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C:\Users\zach\Downloads\"/>
    </mc:Choice>
  </mc:AlternateContent>
  <xr:revisionPtr revIDLastSave="0" documentId="13_ncr:1_{F8BB128A-4446-4949-88F3-36FE4FEFDE9D}" xr6:coauthVersionLast="47" xr6:coauthVersionMax="47" xr10:uidLastSave="{00000000-0000-0000-0000-000000000000}"/>
  <bookViews>
    <workbookView xWindow="43080" yWindow="-120" windowWidth="38640" windowHeight="15720" xr2:uid="{8E196BC9-F5FD-4972-BAD5-A8BCB077F49A}"/>
  </bookViews>
  <sheets>
    <sheet name="Budget Assumption Driver" sheetId="12" r:id="rId1"/>
    <sheet name="Consolidated Budget - '25" sheetId="8" r:id="rId2"/>
    <sheet name="Site Level Budget - '25" sheetId="9" r:id="rId3"/>
    <sheet name="Corporate Monthly - '25" sheetId="11" r:id="rId4"/>
    <sheet name="Corporate Roster - '25" sheetId="10" r:id="rId5"/>
    <sheet name="Historical Financials&gt;&gt;" sheetId="5" r:id="rId6"/>
    <sheet name="Cons. Financials - '23 '24" sheetId="1" r:id="rId7"/>
    <sheet name="Site Level Financials - '23 '24" sheetId="2" r:id="rId8"/>
    <sheet name="Corporate Roster - '24" sheetId="3" r:id="rId9"/>
    <sheet name="Corporate Monthly - '23 '24" sheetId="4" r:id="rId10"/>
  </sheets>
  <definedNames>
    <definedName name="_xlnm._FilterDatabase" localSheetId="9" hidden="1">'Corporate Monthly - ''23 ''24'!$C$258:$AG$314</definedName>
    <definedName name="_xlnm._FilterDatabase" localSheetId="3" hidden="1">'Corporate Monthly - ''25'!$C$242:$T$294</definedName>
    <definedName name="_xlnm._FilterDatabase" localSheetId="2" hidden="1">'Site Level Budget - ''25'!$F$9:$AH$1578</definedName>
    <definedName name="_xlnm._FilterDatabase" localSheetId="7" hidden="1">'Site Level Financials - ''23 ''24'!$F$59:$AG$1578</definedName>
    <definedName name="_xlnm.Print_Area" localSheetId="0">'Budget Assumption Driver'!$C$2:$Q$59</definedName>
    <definedName name="_xlnm.Print_Area" localSheetId="6">'Cons. Financials - ''23 ''24'!$B$2:$AE$81,'Cons. Financials - ''23 ''24'!$B$83:$AE$150,'Cons. Financials - ''23 ''24'!$B$152:$AE$181</definedName>
    <definedName name="_xlnm.Print_Area" localSheetId="1">'Consolidated Budget - ''25'!$B$2:$AF$81,'Consolidated Budget - ''25'!$B$83:$AF$150,'Consolidated Budget - ''25'!$B$152:$AF$181</definedName>
    <definedName name="_xlnm.Print_Area" localSheetId="9">'Corporate Monthly - ''23 ''24'!$B$2:$AH$63,'Corporate Monthly - ''23 ''24'!$B$65:$AH$126,'Corporate Monthly - ''23 ''24'!$B$128:$AH$189,'Corporate Monthly - ''23 ''24'!$B$191:$AH$252,'Corporate Monthly - ''23 ''24'!$B$254:$AH$315,'Corporate Monthly - ''23 ''24'!$B$317:$AH$378</definedName>
    <definedName name="_xlnm.Print_Area" localSheetId="3">'Corporate Monthly - ''25'!$B$2:$U$59,'Corporate Monthly - ''25'!$B$61:$U$118,'Corporate Monthly - ''25'!$B$120:$U$177,'Corporate Monthly - ''25'!$B$179:$U$236,'Corporate Monthly - ''25'!$B$238:$U$295,'Corporate Monthly - ''25'!$B$297:$U$354</definedName>
    <definedName name="_xlnm.Print_Area" localSheetId="8">'Corporate Roster - ''24'!$B$2:$N$63</definedName>
    <definedName name="_xlnm.Print_Area" localSheetId="4">'Corporate Roster - ''25'!$B$2:$N$62</definedName>
    <definedName name="_xlnm.Print_Area" localSheetId="2">'Site Level Budget - ''25'!$E$2:$AI$50,'Site Level Budget - ''25'!$E$52:$AI$100,'Site Level Budget - ''25'!$E$102:$AI$150,'Site Level Budget - ''25'!$E$152:$AI$200,'Site Level Budget - ''25'!$E$202:$AI$250,'Site Level Budget - ''25'!$E$252:$AI$300,'Site Level Budget - ''25'!$E$302:$AI$350,'Site Level Budget - ''25'!$E$352:$AI$400,'Site Level Budget - ''25'!$E$402:$AI$450,'Site Level Budget - ''25'!$E$452:$AI$500,'Site Level Budget - ''25'!$E$502:$AI$550,'Site Level Budget - ''25'!$E$552:$AI$599,'Site Level Budget - ''25'!$E$601:$AI$648,'Site Level Budget - ''25'!$E$650:$AI$697,'Site Level Budget - ''25'!$E$699:$AI$746,'Site Level Budget - ''25'!$E$748:$AI$795,'Site Level Budget - ''25'!$E$797:$AI$844,'Site Level Budget - ''25'!$E$846:$AI$893,'Site Level Budget - ''25'!$E$895:$AI$942,'Site Level Budget - ''25'!$E$944:$AI$991,'Site Level Budget - ''25'!$E$993:$AI$1040,'Site Level Budget - ''25'!$E$1042:$AI$1089,'Site Level Budget - ''25'!$E$1091:$AI$1138,'Site Level Budget - ''25'!$E$1140:$AI$1187,'Site Level Budget - ''25'!$E$1189:$AI$1236,'Site Level Budget - ''25'!$E$1238:$AI$1285,'Site Level Budget - ''25'!$E$1287:$AI$1334,'Site Level Budget - ''25'!$E$1336:$AI$1383,'Site Level Budget - ''25'!$E$1385:$AI$1432,'Site Level Budget - ''25'!$E$1434:$AI$1481,'Site Level Budget - ''25'!$E$1483:$AI$1530,'Site Level Budget - ''25'!$E$1532:$AI$1579</definedName>
    <definedName name="_xlnm.Print_Area" localSheetId="7">'Site Level Financials - ''23 ''24'!$E$2:$AH$50,'Site Level Financials - ''23 ''24'!$E$52:$AH$100,'Site Level Financials - ''23 ''24'!$E$102:$AH$249,'Site Level Financials - ''23 ''24'!$E$252:$AH$300,'Site Level Financials - ''23 ''24'!$E$302:$AH$350,'Site Level Financials - ''23 ''24'!$E$352:$AH$400,'Site Level Financials - ''23 ''24'!$E$402:$AH$450,'Site Level Financials - ''23 ''24'!$E$452:$AH$500,'Site Level Financials - ''23 ''24'!$E$502:$AH$550,'Site Level Financials - ''23 ''24'!$E$552:$AH$599,'Site Level Financials - ''23 ''24'!$E$601:$AH$648,'Site Level Financials - ''23 ''24'!$E$650:$AH$697,'Site Level Financials - ''23 ''24'!$E$699:$AH$746,'Site Level Financials - ''23 ''24'!$E$748:$AH$795,'Site Level Financials - ''23 ''24'!$E$797:$AH$844,'Site Level Financials - ''23 ''24'!$E$846:$AH$893,'Site Level Financials - ''23 ''24'!$E$895:$AH$942,'Site Level Financials - ''23 ''24'!$E$944:$AH$991,'Site Level Financials - ''23 ''24'!$E$993:$AH$1040,'Site Level Financials - ''23 ''24'!$E$1042:$AH$1089,'Site Level Financials - ''23 ''24'!$E$1091:$AH$1138,'Site Level Financials - ''23 ''24'!$E$1140:$AH$1187,'Site Level Financials - ''23 ''24'!$E$1189:$AH$1236,'Site Level Financials - ''23 ''24'!$E$1238:$AH$1285,'Site Level Financials - ''23 ''24'!$E$1287:$AH$1334,'Site Level Financials - ''23 ''24'!$E$1336:$AH$1383,'Site Level Financials - ''23 ''24'!$E$1385:$AH$1432,'Site Level Financials - ''23 ''24'!$E$1434:$AH$1481,'Site Level Financials - ''23 ''24'!$E$1483:$AH$1530,'Site Level Financials - ''23 ''24'!$E$1532:$AH$1579</definedName>
  </definedNames>
  <calcPr calcId="191029" calcMode="autoNoTable" iterate="1" iterateCount="1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0" i="8" l="1"/>
  <c r="Q90" i="8"/>
  <c r="R90" i="8"/>
  <c r="S90" i="8"/>
  <c r="T90" i="8"/>
  <c r="U90" i="8"/>
  <c r="V90" i="8"/>
  <c r="W90" i="8"/>
  <c r="X90" i="8"/>
  <c r="Y90" i="8"/>
  <c r="Z90" i="8"/>
  <c r="AA90" i="8"/>
  <c r="P121" i="8"/>
  <c r="P93" i="8"/>
  <c r="K35" i="8"/>
  <c r="J35" i="8"/>
  <c r="I35" i="8"/>
  <c r="H35" i="8"/>
  <c r="G35" i="8"/>
  <c r="F35" i="8"/>
  <c r="E35" i="8"/>
  <c r="D35" i="8"/>
  <c r="K32" i="8"/>
  <c r="J32" i="8"/>
  <c r="I32" i="8"/>
  <c r="H32" i="8"/>
  <c r="G32" i="8"/>
  <c r="F32" i="8"/>
  <c r="E32" i="8"/>
  <c r="D32" i="8"/>
  <c r="G29" i="8"/>
  <c r="F29" i="8"/>
  <c r="E29" i="8"/>
  <c r="D29" i="8"/>
  <c r="K23" i="8"/>
  <c r="J23" i="8"/>
  <c r="I23" i="8"/>
  <c r="H23" i="8"/>
  <c r="G23" i="8"/>
  <c r="F23" i="8"/>
  <c r="E23" i="8"/>
  <c r="N20" i="8"/>
  <c r="L20" i="8"/>
  <c r="K20" i="8"/>
  <c r="J20" i="8"/>
  <c r="I20" i="8"/>
  <c r="H20" i="8"/>
  <c r="G20" i="8"/>
  <c r="F20" i="8"/>
  <c r="E20" i="8"/>
  <c r="D20" i="8"/>
  <c r="K14" i="8"/>
  <c r="J14" i="8"/>
  <c r="I14" i="8"/>
  <c r="F14" i="8"/>
  <c r="D14" i="8"/>
  <c r="L12" i="8"/>
  <c r="K12" i="8"/>
  <c r="J12" i="8"/>
  <c r="I12" i="8"/>
  <c r="H12" i="8"/>
  <c r="G12" i="8"/>
  <c r="F12" i="8"/>
  <c r="E12" i="8"/>
  <c r="D12" i="8"/>
  <c r="K10" i="8"/>
  <c r="J10" i="8"/>
  <c r="I10" i="8"/>
  <c r="H10" i="8"/>
  <c r="G10" i="8"/>
  <c r="F10" i="8"/>
  <c r="E10" i="8"/>
  <c r="D10" i="8"/>
  <c r="L8" i="8"/>
  <c r="K8" i="8"/>
  <c r="J8" i="8"/>
  <c r="I8" i="8"/>
  <c r="H8" i="8"/>
  <c r="G8" i="8"/>
  <c r="F8" i="8"/>
  <c r="E8" i="8"/>
  <c r="D8" i="8"/>
  <c r="E22" i="12"/>
  <c r="AA70" i="8"/>
  <c r="Z70" i="8"/>
  <c r="Y70" i="8"/>
  <c r="X70" i="8"/>
  <c r="W70" i="8"/>
  <c r="V70" i="8"/>
  <c r="U70" i="8"/>
  <c r="T70" i="8"/>
  <c r="S70" i="8"/>
  <c r="R70" i="8"/>
  <c r="Q70" i="8"/>
  <c r="P70" i="8"/>
  <c r="U174" i="8"/>
  <c r="D52" i="12"/>
  <c r="O136" i="1"/>
  <c r="N136" i="1"/>
  <c r="M136" i="1"/>
  <c r="L136" i="1"/>
  <c r="K136" i="1"/>
  <c r="J136" i="1"/>
  <c r="I136" i="1"/>
  <c r="H136" i="1"/>
  <c r="G136" i="1"/>
  <c r="F136" i="1"/>
  <c r="E136" i="1"/>
  <c r="D136" i="1"/>
  <c r="AA144" i="8"/>
  <c r="Z144" i="8"/>
  <c r="Y144" i="8"/>
  <c r="X144" i="8"/>
  <c r="W144" i="8"/>
  <c r="V144" i="8"/>
  <c r="U144" i="8"/>
  <c r="T144" i="8"/>
  <c r="S144" i="8"/>
  <c r="R144" i="8"/>
  <c r="Q144" i="8"/>
  <c r="P144" i="8"/>
  <c r="AA147" i="8"/>
  <c r="Z147" i="8"/>
  <c r="Y147" i="8"/>
  <c r="X147" i="8"/>
  <c r="W147" i="8"/>
  <c r="V147" i="8"/>
  <c r="U147" i="8"/>
  <c r="T147" i="8"/>
  <c r="S147" i="8"/>
  <c r="R147" i="8"/>
  <c r="Q147" i="8"/>
  <c r="P147" i="8"/>
  <c r="AA48" i="8"/>
  <c r="Z48" i="8"/>
  <c r="Y48" i="8"/>
  <c r="X48" i="8"/>
  <c r="W48" i="8"/>
  <c r="V48" i="8"/>
  <c r="U48" i="8"/>
  <c r="T48" i="8"/>
  <c r="S48" i="8"/>
  <c r="R48" i="8"/>
  <c r="Q48" i="8"/>
  <c r="P48" i="8"/>
  <c r="AA138" i="8"/>
  <c r="Z138" i="8"/>
  <c r="Y138" i="8"/>
  <c r="X138" i="8"/>
  <c r="W138" i="8"/>
  <c r="V138" i="8"/>
  <c r="U138" i="8"/>
  <c r="T138" i="8"/>
  <c r="S138" i="8"/>
  <c r="R138" i="8"/>
  <c r="Q138" i="8"/>
  <c r="P138" i="8"/>
  <c r="D51" i="12"/>
  <c r="D50" i="12"/>
  <c r="D49" i="12"/>
  <c r="D48" i="12"/>
  <c r="D47" i="12"/>
  <c r="D46" i="12"/>
  <c r="F56" i="12"/>
  <c r="G56" i="12" s="1"/>
  <c r="H56" i="12" s="1"/>
  <c r="I56" i="12" s="1"/>
  <c r="J56" i="12" s="1"/>
  <c r="K56" i="12" s="1"/>
  <c r="L56" i="12" s="1"/>
  <c r="M56" i="12" s="1"/>
  <c r="N56" i="12" s="1"/>
  <c r="O56" i="12" s="1"/>
  <c r="P56" i="12" s="1"/>
  <c r="F42" i="12"/>
  <c r="G42" i="12" s="1"/>
  <c r="H42" i="12" s="1"/>
  <c r="I42" i="12" s="1"/>
  <c r="J42" i="12" s="1"/>
  <c r="K42" i="12" s="1"/>
  <c r="L42" i="12" s="1"/>
  <c r="M42" i="12" s="1"/>
  <c r="N42" i="12" s="1"/>
  <c r="O42" i="12" s="1"/>
  <c r="P42" i="12" s="1"/>
  <c r="O147" i="8"/>
  <c r="N147" i="8"/>
  <c r="M147" i="8"/>
  <c r="L147" i="8"/>
  <c r="K147" i="8"/>
  <c r="J147" i="8"/>
  <c r="I147" i="8"/>
  <c r="H147" i="8"/>
  <c r="G147" i="8"/>
  <c r="F147" i="8"/>
  <c r="E147" i="8"/>
  <c r="D147" i="8"/>
  <c r="O144" i="8"/>
  <c r="N144" i="8"/>
  <c r="M144" i="8"/>
  <c r="L144" i="8"/>
  <c r="K144" i="8"/>
  <c r="J144" i="8"/>
  <c r="I144" i="8"/>
  <c r="H144" i="8"/>
  <c r="G144" i="8"/>
  <c r="F144" i="8"/>
  <c r="E144" i="8"/>
  <c r="D144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O112" i="8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N112" i="8"/>
  <c r="M112" i="8"/>
  <c r="L112" i="8"/>
  <c r="K112" i="8"/>
  <c r="J112" i="8"/>
  <c r="I112" i="8"/>
  <c r="H112" i="8"/>
  <c r="G112" i="8"/>
  <c r="F112" i="8"/>
  <c r="E112" i="8"/>
  <c r="D112" i="8"/>
  <c r="O109" i="8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N109" i="8"/>
  <c r="M109" i="8"/>
  <c r="L109" i="8"/>
  <c r="K109" i="8"/>
  <c r="J109" i="8"/>
  <c r="I109" i="8"/>
  <c r="H109" i="8"/>
  <c r="G109" i="8"/>
  <c r="F109" i="8"/>
  <c r="E109" i="8"/>
  <c r="D109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O107" i="8"/>
  <c r="P107" i="8" s="1"/>
  <c r="Q107" i="8" s="1"/>
  <c r="R107" i="8" s="1"/>
  <c r="S107" i="8" s="1"/>
  <c r="T107" i="8" s="1"/>
  <c r="U107" i="8" s="1"/>
  <c r="V107" i="8" s="1"/>
  <c r="W107" i="8" s="1"/>
  <c r="X107" i="8" s="1"/>
  <c r="Y107" i="8" s="1"/>
  <c r="Z107" i="8" s="1"/>
  <c r="AA107" i="8" s="1"/>
  <c r="N107" i="8"/>
  <c r="M107" i="8"/>
  <c r="L107" i="8"/>
  <c r="K107" i="8"/>
  <c r="J107" i="8"/>
  <c r="I107" i="8"/>
  <c r="H107" i="8"/>
  <c r="G107" i="8"/>
  <c r="F107" i="8"/>
  <c r="E107" i="8"/>
  <c r="D107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O99" i="8"/>
  <c r="P99" i="8" s="1"/>
  <c r="Q99" i="8" s="1"/>
  <c r="R99" i="8" s="1"/>
  <c r="S99" i="8" s="1"/>
  <c r="T99" i="8" s="1"/>
  <c r="U99" i="8" s="1"/>
  <c r="V99" i="8" s="1"/>
  <c r="W99" i="8" s="1"/>
  <c r="X99" i="8" s="1"/>
  <c r="Y99" i="8" s="1"/>
  <c r="Z99" i="8" s="1"/>
  <c r="AA99" i="8" s="1"/>
  <c r="N99" i="8"/>
  <c r="M99" i="8"/>
  <c r="L99" i="8"/>
  <c r="K99" i="8"/>
  <c r="J99" i="8"/>
  <c r="I99" i="8"/>
  <c r="H99" i="8"/>
  <c r="G99" i="8"/>
  <c r="F99" i="8"/>
  <c r="E99" i="8"/>
  <c r="D99" i="8"/>
  <c r="O98" i="8"/>
  <c r="N98" i="8"/>
  <c r="M98" i="8"/>
  <c r="L98" i="8"/>
  <c r="K98" i="8"/>
  <c r="J98" i="8"/>
  <c r="I98" i="8"/>
  <c r="H98" i="8"/>
  <c r="G98" i="8"/>
  <c r="F98" i="8"/>
  <c r="E98" i="8"/>
  <c r="D98" i="8"/>
  <c r="O97" i="8"/>
  <c r="P97" i="8" s="1"/>
  <c r="Q97" i="8" s="1"/>
  <c r="R97" i="8" s="1"/>
  <c r="S97" i="8" s="1"/>
  <c r="T97" i="8" s="1"/>
  <c r="U97" i="8" s="1"/>
  <c r="V97" i="8" s="1"/>
  <c r="W97" i="8" s="1"/>
  <c r="X97" i="8" s="1"/>
  <c r="Y97" i="8" s="1"/>
  <c r="Z97" i="8" s="1"/>
  <c r="AA97" i="8" s="1"/>
  <c r="N97" i="8"/>
  <c r="M97" i="8"/>
  <c r="L97" i="8"/>
  <c r="K97" i="8"/>
  <c r="J97" i="8"/>
  <c r="I97" i="8"/>
  <c r="H97" i="8"/>
  <c r="G97" i="8"/>
  <c r="F97" i="8"/>
  <c r="E97" i="8"/>
  <c r="D97" i="8"/>
  <c r="O96" i="8"/>
  <c r="N96" i="8"/>
  <c r="M96" i="8"/>
  <c r="L96" i="8"/>
  <c r="K96" i="8"/>
  <c r="J96" i="8"/>
  <c r="I96" i="8"/>
  <c r="H96" i="8"/>
  <c r="G96" i="8"/>
  <c r="F96" i="8"/>
  <c r="E96" i="8"/>
  <c r="D96" i="8"/>
  <c r="O93" i="8"/>
  <c r="N93" i="8"/>
  <c r="M93" i="8"/>
  <c r="L93" i="8"/>
  <c r="K93" i="8"/>
  <c r="J93" i="8"/>
  <c r="I93" i="8"/>
  <c r="H93" i="8"/>
  <c r="G93" i="8"/>
  <c r="F93" i="8"/>
  <c r="E93" i="8"/>
  <c r="D93" i="8"/>
  <c r="O92" i="8"/>
  <c r="N92" i="8"/>
  <c r="M92" i="8"/>
  <c r="L92" i="8"/>
  <c r="K92" i="8"/>
  <c r="J92" i="8"/>
  <c r="I92" i="8"/>
  <c r="H92" i="8"/>
  <c r="G92" i="8"/>
  <c r="F92" i="8"/>
  <c r="E92" i="8"/>
  <c r="D92" i="8"/>
  <c r="O91" i="8"/>
  <c r="N91" i="8"/>
  <c r="M91" i="8"/>
  <c r="L91" i="8"/>
  <c r="K91" i="8"/>
  <c r="J91" i="8"/>
  <c r="I91" i="8"/>
  <c r="H91" i="8"/>
  <c r="G91" i="8"/>
  <c r="F91" i="8"/>
  <c r="E91" i="8"/>
  <c r="D91" i="8"/>
  <c r="O90" i="8"/>
  <c r="N90" i="8"/>
  <c r="M90" i="8"/>
  <c r="L90" i="8"/>
  <c r="K90" i="8"/>
  <c r="J90" i="8"/>
  <c r="I90" i="8"/>
  <c r="H90" i="8"/>
  <c r="G90" i="8"/>
  <c r="F90" i="8"/>
  <c r="E90" i="8"/>
  <c r="D90" i="8"/>
  <c r="O89" i="8"/>
  <c r="N89" i="8"/>
  <c r="M89" i="8"/>
  <c r="L89" i="8"/>
  <c r="K89" i="8"/>
  <c r="J89" i="8"/>
  <c r="I89" i="8"/>
  <c r="H89" i="8"/>
  <c r="G89" i="8"/>
  <c r="F89" i="8"/>
  <c r="E89" i="8"/>
  <c r="D89" i="8"/>
  <c r="O76" i="8"/>
  <c r="N76" i="8"/>
  <c r="M76" i="8"/>
  <c r="L76" i="8"/>
  <c r="K76" i="8"/>
  <c r="J76" i="8"/>
  <c r="I76" i="8"/>
  <c r="H76" i="8"/>
  <c r="G76" i="8"/>
  <c r="F76" i="8"/>
  <c r="E76" i="8"/>
  <c r="D76" i="8"/>
  <c r="O69" i="8"/>
  <c r="N69" i="8"/>
  <c r="M69" i="8"/>
  <c r="L69" i="8"/>
  <c r="K69" i="8"/>
  <c r="J69" i="8"/>
  <c r="I69" i="8"/>
  <c r="H69" i="8"/>
  <c r="G69" i="8"/>
  <c r="F69" i="8"/>
  <c r="E69" i="8"/>
  <c r="D69" i="8"/>
  <c r="O59" i="8"/>
  <c r="R59" i="8" s="1"/>
  <c r="N59" i="8"/>
  <c r="M59" i="8"/>
  <c r="L59" i="8"/>
  <c r="K59" i="8"/>
  <c r="J59" i="8"/>
  <c r="I59" i="8"/>
  <c r="H59" i="8"/>
  <c r="G59" i="8"/>
  <c r="F59" i="8"/>
  <c r="E59" i="8"/>
  <c r="D59" i="8"/>
  <c r="O56" i="8"/>
  <c r="N56" i="8"/>
  <c r="M56" i="8"/>
  <c r="L56" i="8"/>
  <c r="K56" i="8"/>
  <c r="J56" i="8"/>
  <c r="I56" i="8"/>
  <c r="H56" i="8"/>
  <c r="G56" i="8"/>
  <c r="F56" i="8"/>
  <c r="E56" i="8"/>
  <c r="D56" i="8"/>
  <c r="O47" i="8"/>
  <c r="N47" i="8"/>
  <c r="M47" i="8"/>
  <c r="L47" i="8"/>
  <c r="K47" i="8"/>
  <c r="J47" i="8"/>
  <c r="I47" i="8"/>
  <c r="H47" i="8"/>
  <c r="G47" i="8"/>
  <c r="F47" i="8"/>
  <c r="E47" i="8"/>
  <c r="D47" i="8"/>
  <c r="O44" i="8"/>
  <c r="N44" i="8"/>
  <c r="M44" i="8"/>
  <c r="L44" i="8"/>
  <c r="K44" i="8"/>
  <c r="J44" i="8"/>
  <c r="I44" i="8"/>
  <c r="H44" i="8"/>
  <c r="G44" i="8"/>
  <c r="F44" i="8"/>
  <c r="E44" i="8"/>
  <c r="D44" i="8"/>
  <c r="O41" i="8"/>
  <c r="N41" i="8"/>
  <c r="M41" i="8"/>
  <c r="L41" i="8"/>
  <c r="K41" i="8"/>
  <c r="J41" i="8"/>
  <c r="I41" i="8"/>
  <c r="H41" i="8"/>
  <c r="G41" i="8"/>
  <c r="F41" i="8"/>
  <c r="E41" i="8"/>
  <c r="D41" i="8"/>
  <c r="O35" i="8"/>
  <c r="N35" i="8"/>
  <c r="M35" i="8"/>
  <c r="L35" i="8"/>
  <c r="O32" i="8"/>
  <c r="N32" i="8"/>
  <c r="M32" i="8"/>
  <c r="L32" i="8"/>
  <c r="O29" i="8"/>
  <c r="N29" i="8"/>
  <c r="M29" i="8"/>
  <c r="L29" i="8"/>
  <c r="K29" i="8"/>
  <c r="J29" i="8"/>
  <c r="I29" i="8"/>
  <c r="H29" i="8"/>
  <c r="O23" i="8"/>
  <c r="N23" i="8"/>
  <c r="M23" i="8"/>
  <c r="L23" i="8"/>
  <c r="D23" i="8"/>
  <c r="O20" i="8"/>
  <c r="M20" i="8"/>
  <c r="O17" i="8"/>
  <c r="N17" i="8"/>
  <c r="M17" i="8"/>
  <c r="L17" i="8"/>
  <c r="K17" i="8"/>
  <c r="J17" i="8"/>
  <c r="I17" i="8"/>
  <c r="H17" i="8"/>
  <c r="G17" i="8"/>
  <c r="F17" i="8"/>
  <c r="E17" i="8"/>
  <c r="D17" i="8"/>
  <c r="O16" i="8"/>
  <c r="N16" i="8"/>
  <c r="M16" i="8"/>
  <c r="L16" i="8"/>
  <c r="K16" i="8"/>
  <c r="J16" i="8"/>
  <c r="I16" i="8"/>
  <c r="H16" i="8"/>
  <c r="G16" i="8"/>
  <c r="F16" i="8"/>
  <c r="E16" i="8"/>
  <c r="D16" i="8"/>
  <c r="O14" i="8"/>
  <c r="N14" i="8"/>
  <c r="M14" i="8"/>
  <c r="L14" i="8"/>
  <c r="H14" i="8"/>
  <c r="G14" i="8"/>
  <c r="E14" i="8"/>
  <c r="O12" i="8"/>
  <c r="N12" i="8"/>
  <c r="M12" i="8"/>
  <c r="O10" i="8"/>
  <c r="N10" i="8"/>
  <c r="M10" i="8"/>
  <c r="L10" i="8"/>
  <c r="O8" i="8"/>
  <c r="N8" i="8"/>
  <c r="M8" i="8"/>
  <c r="AC156" i="8"/>
  <c r="AC15" i="8"/>
  <c r="AC16" i="8"/>
  <c r="AC19" i="8"/>
  <c r="AC22" i="8"/>
  <c r="AC25" i="8"/>
  <c r="AC28" i="8"/>
  <c r="AC31" i="8"/>
  <c r="AC34" i="8"/>
  <c r="AC36" i="8"/>
  <c r="AC37" i="8"/>
  <c r="AC40" i="8"/>
  <c r="AC43" i="8"/>
  <c r="AC46" i="8"/>
  <c r="AC48" i="8"/>
  <c r="AC49" i="8"/>
  <c r="AC52" i="8"/>
  <c r="AC55" i="8"/>
  <c r="AC58" i="8"/>
  <c r="AC60" i="8"/>
  <c r="AC63" i="8"/>
  <c r="AC65" i="8"/>
  <c r="AC68" i="8"/>
  <c r="AC71" i="8"/>
  <c r="AE175" i="8"/>
  <c r="AE174" i="8"/>
  <c r="E156" i="8"/>
  <c r="F156" i="8" s="1"/>
  <c r="G156" i="8" s="1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E87" i="8"/>
  <c r="F87" i="8" s="1"/>
  <c r="G87" i="8" s="1"/>
  <c r="H87" i="8" s="1"/>
  <c r="I87" i="8" s="1"/>
  <c r="J87" i="8" s="1"/>
  <c r="K87" i="8" s="1"/>
  <c r="L87" i="8" s="1"/>
  <c r="M87" i="8" s="1"/>
  <c r="N87" i="8" s="1"/>
  <c r="O87" i="8" s="1"/>
  <c r="P87" i="8" s="1"/>
  <c r="Q87" i="8" s="1"/>
  <c r="R87" i="8" s="1"/>
  <c r="S87" i="8" s="1"/>
  <c r="T87" i="8" s="1"/>
  <c r="U87" i="8" s="1"/>
  <c r="V87" i="8" s="1"/>
  <c r="W87" i="8" s="1"/>
  <c r="X87" i="8" s="1"/>
  <c r="Y87" i="8" s="1"/>
  <c r="Z87" i="8" s="1"/>
  <c r="AA87" i="8" s="1"/>
  <c r="E6" i="8"/>
  <c r="F6" i="8" s="1"/>
  <c r="G6" i="8" s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E152" i="8"/>
  <c r="AE83" i="8"/>
  <c r="AE2" i="8"/>
  <c r="Q18" i="9"/>
  <c r="P18" i="9"/>
  <c r="O18" i="9"/>
  <c r="N18" i="9"/>
  <c r="M18" i="9"/>
  <c r="L18" i="9"/>
  <c r="K18" i="9"/>
  <c r="J18" i="9"/>
  <c r="I18" i="9"/>
  <c r="H18" i="9"/>
  <c r="G18" i="9"/>
  <c r="R18" i="9"/>
  <c r="AD1568" i="9"/>
  <c r="AC1568" i="9"/>
  <c r="AB1568" i="9"/>
  <c r="AA1568" i="9"/>
  <c r="Z1568" i="9"/>
  <c r="Y1568" i="9"/>
  <c r="X1568" i="9"/>
  <c r="W1568" i="9"/>
  <c r="V1568" i="9"/>
  <c r="U1568" i="9"/>
  <c r="T1568" i="9"/>
  <c r="S1568" i="9"/>
  <c r="AD1519" i="9"/>
  <c r="AC1519" i="9"/>
  <c r="AB1519" i="9"/>
  <c r="AA1519" i="9"/>
  <c r="Z1519" i="9"/>
  <c r="Y1519" i="9"/>
  <c r="X1519" i="9"/>
  <c r="W1519" i="9"/>
  <c r="V1519" i="9"/>
  <c r="U1519" i="9"/>
  <c r="T1519" i="9"/>
  <c r="S1519" i="9"/>
  <c r="AD1470" i="9"/>
  <c r="AC1470" i="9"/>
  <c r="AB1470" i="9"/>
  <c r="AA1470" i="9"/>
  <c r="Z1470" i="9"/>
  <c r="Y1470" i="9"/>
  <c r="X1470" i="9"/>
  <c r="W1470" i="9"/>
  <c r="V1470" i="9"/>
  <c r="U1470" i="9"/>
  <c r="T1470" i="9"/>
  <c r="S1470" i="9"/>
  <c r="AD1421" i="9"/>
  <c r="AC1421" i="9"/>
  <c r="AB1421" i="9"/>
  <c r="AA1421" i="9"/>
  <c r="Z1421" i="9"/>
  <c r="Y1421" i="9"/>
  <c r="X1421" i="9"/>
  <c r="W1421" i="9"/>
  <c r="V1421" i="9"/>
  <c r="U1421" i="9"/>
  <c r="T1421" i="9"/>
  <c r="S1421" i="9"/>
  <c r="AD1372" i="9"/>
  <c r="AC1372" i="9"/>
  <c r="AB1372" i="9"/>
  <c r="AA1372" i="9"/>
  <c r="Z1372" i="9"/>
  <c r="Y1372" i="9"/>
  <c r="X1372" i="9"/>
  <c r="W1372" i="9"/>
  <c r="V1372" i="9"/>
  <c r="U1372" i="9"/>
  <c r="T1372" i="9"/>
  <c r="S1372" i="9"/>
  <c r="AD1323" i="9"/>
  <c r="AC1323" i="9"/>
  <c r="AB1323" i="9"/>
  <c r="AA1323" i="9"/>
  <c r="Z1323" i="9"/>
  <c r="Y1323" i="9"/>
  <c r="X1323" i="9"/>
  <c r="W1323" i="9"/>
  <c r="V1323" i="9"/>
  <c r="U1323" i="9"/>
  <c r="T1323" i="9"/>
  <c r="S1323" i="9"/>
  <c r="AD1274" i="9"/>
  <c r="AC1274" i="9"/>
  <c r="AB1274" i="9"/>
  <c r="AA1274" i="9"/>
  <c r="Z1274" i="9"/>
  <c r="Y1274" i="9"/>
  <c r="X1274" i="9"/>
  <c r="W1274" i="9"/>
  <c r="V1274" i="9"/>
  <c r="U1274" i="9"/>
  <c r="T1274" i="9"/>
  <c r="S1274" i="9"/>
  <c r="AD1225" i="9"/>
  <c r="AC1225" i="9"/>
  <c r="AB1225" i="9"/>
  <c r="AA1225" i="9"/>
  <c r="Z1225" i="9"/>
  <c r="Y1225" i="9"/>
  <c r="X1225" i="9"/>
  <c r="W1225" i="9"/>
  <c r="V1225" i="9"/>
  <c r="U1225" i="9"/>
  <c r="T1225" i="9"/>
  <c r="S1225" i="9"/>
  <c r="AD1176" i="9"/>
  <c r="AC1176" i="9"/>
  <c r="AB1176" i="9"/>
  <c r="AA1176" i="9"/>
  <c r="Z1176" i="9"/>
  <c r="Y1176" i="9"/>
  <c r="X1176" i="9"/>
  <c r="W1176" i="9"/>
  <c r="V1176" i="9"/>
  <c r="U1176" i="9"/>
  <c r="T1176" i="9"/>
  <c r="S1176" i="9"/>
  <c r="AD1127" i="9"/>
  <c r="AC1127" i="9"/>
  <c r="AB1127" i="9"/>
  <c r="AA1127" i="9"/>
  <c r="Z1127" i="9"/>
  <c r="Y1127" i="9"/>
  <c r="X1127" i="9"/>
  <c r="W1127" i="9"/>
  <c r="V1127" i="9"/>
  <c r="U1127" i="9"/>
  <c r="T1127" i="9"/>
  <c r="S1127" i="9"/>
  <c r="AD1078" i="9"/>
  <c r="AC1078" i="9"/>
  <c r="AB1078" i="9"/>
  <c r="AA1078" i="9"/>
  <c r="Z1078" i="9"/>
  <c r="Y1078" i="9"/>
  <c r="X1078" i="9"/>
  <c r="W1078" i="9"/>
  <c r="V1078" i="9"/>
  <c r="U1078" i="9"/>
  <c r="T1078" i="9"/>
  <c r="S1078" i="9"/>
  <c r="AD1029" i="9"/>
  <c r="AC1029" i="9"/>
  <c r="AB1029" i="9"/>
  <c r="AA1029" i="9"/>
  <c r="Z1029" i="9"/>
  <c r="Y1029" i="9"/>
  <c r="X1029" i="9"/>
  <c r="W1029" i="9"/>
  <c r="V1029" i="9"/>
  <c r="U1029" i="9"/>
  <c r="T1029" i="9"/>
  <c r="S1029" i="9"/>
  <c r="AD980" i="9"/>
  <c r="AC980" i="9"/>
  <c r="AB980" i="9"/>
  <c r="AA980" i="9"/>
  <c r="Z980" i="9"/>
  <c r="Y980" i="9"/>
  <c r="X980" i="9"/>
  <c r="W980" i="9"/>
  <c r="V980" i="9"/>
  <c r="U980" i="9"/>
  <c r="T980" i="9"/>
  <c r="S980" i="9"/>
  <c r="AD931" i="9"/>
  <c r="AC931" i="9"/>
  <c r="AB931" i="9"/>
  <c r="AA931" i="9"/>
  <c r="Z931" i="9"/>
  <c r="Y931" i="9"/>
  <c r="X931" i="9"/>
  <c r="W931" i="9"/>
  <c r="V931" i="9"/>
  <c r="U931" i="9"/>
  <c r="T931" i="9"/>
  <c r="S931" i="9"/>
  <c r="AD882" i="9"/>
  <c r="AC882" i="9"/>
  <c r="AB882" i="9"/>
  <c r="AA882" i="9"/>
  <c r="Z882" i="9"/>
  <c r="Y882" i="9"/>
  <c r="X882" i="9"/>
  <c r="W882" i="9"/>
  <c r="V882" i="9"/>
  <c r="U882" i="9"/>
  <c r="T882" i="9"/>
  <c r="S882" i="9"/>
  <c r="AD833" i="9"/>
  <c r="AC833" i="9"/>
  <c r="AB833" i="9"/>
  <c r="AA833" i="9"/>
  <c r="Z833" i="9"/>
  <c r="Y833" i="9"/>
  <c r="X833" i="9"/>
  <c r="W833" i="9"/>
  <c r="V833" i="9"/>
  <c r="U833" i="9"/>
  <c r="T833" i="9"/>
  <c r="S833" i="9"/>
  <c r="AD784" i="9"/>
  <c r="AC784" i="9"/>
  <c r="AB784" i="9"/>
  <c r="AA784" i="9"/>
  <c r="Z784" i="9"/>
  <c r="Y784" i="9"/>
  <c r="X784" i="9"/>
  <c r="W784" i="9"/>
  <c r="V784" i="9"/>
  <c r="U784" i="9"/>
  <c r="T784" i="9"/>
  <c r="S784" i="9"/>
  <c r="AD735" i="9"/>
  <c r="AC735" i="9"/>
  <c r="AB735" i="9"/>
  <c r="AA735" i="9"/>
  <c r="Z735" i="9"/>
  <c r="Y735" i="9"/>
  <c r="X735" i="9"/>
  <c r="W735" i="9"/>
  <c r="V735" i="9"/>
  <c r="U735" i="9"/>
  <c r="T735" i="9"/>
  <c r="S735" i="9"/>
  <c r="AD686" i="9"/>
  <c r="AC686" i="9"/>
  <c r="AB686" i="9"/>
  <c r="AA686" i="9"/>
  <c r="Z686" i="9"/>
  <c r="Y686" i="9"/>
  <c r="X686" i="9"/>
  <c r="W686" i="9"/>
  <c r="V686" i="9"/>
  <c r="U686" i="9"/>
  <c r="T686" i="9"/>
  <c r="S686" i="9"/>
  <c r="AD637" i="9"/>
  <c r="AC637" i="9"/>
  <c r="AB637" i="9"/>
  <c r="AA637" i="9"/>
  <c r="Z637" i="9"/>
  <c r="Y637" i="9"/>
  <c r="X637" i="9"/>
  <c r="W637" i="9"/>
  <c r="V637" i="9"/>
  <c r="U637" i="9"/>
  <c r="T637" i="9"/>
  <c r="S637" i="9"/>
  <c r="AD588" i="9"/>
  <c r="AC588" i="9"/>
  <c r="AB588" i="9"/>
  <c r="AA588" i="9"/>
  <c r="Z588" i="9"/>
  <c r="Y588" i="9"/>
  <c r="X588" i="9"/>
  <c r="W588" i="9"/>
  <c r="V588" i="9"/>
  <c r="U588" i="9"/>
  <c r="T588" i="9"/>
  <c r="S588" i="9"/>
  <c r="AD539" i="9"/>
  <c r="AC539" i="9"/>
  <c r="AB539" i="9"/>
  <c r="AA539" i="9"/>
  <c r="Z539" i="9"/>
  <c r="Y539" i="9"/>
  <c r="X539" i="9"/>
  <c r="W539" i="9"/>
  <c r="V539" i="9"/>
  <c r="U539" i="9"/>
  <c r="T539" i="9"/>
  <c r="S539" i="9"/>
  <c r="AD489" i="9"/>
  <c r="AC489" i="9"/>
  <c r="AB489" i="9"/>
  <c r="AA489" i="9"/>
  <c r="Z489" i="9"/>
  <c r="Y489" i="9"/>
  <c r="X489" i="9"/>
  <c r="W489" i="9"/>
  <c r="V489" i="9"/>
  <c r="U489" i="9"/>
  <c r="T489" i="9"/>
  <c r="S489" i="9"/>
  <c r="AD439" i="9"/>
  <c r="AC439" i="9"/>
  <c r="AB439" i="9"/>
  <c r="AA439" i="9"/>
  <c r="Z439" i="9"/>
  <c r="Y439" i="9"/>
  <c r="X439" i="9"/>
  <c r="W439" i="9"/>
  <c r="V439" i="9"/>
  <c r="U439" i="9"/>
  <c r="T439" i="9"/>
  <c r="S439" i="9"/>
  <c r="AD389" i="9"/>
  <c r="AC389" i="9"/>
  <c r="AB389" i="9"/>
  <c r="AA389" i="9"/>
  <c r="Z389" i="9"/>
  <c r="Y389" i="9"/>
  <c r="X389" i="9"/>
  <c r="W389" i="9"/>
  <c r="V389" i="9"/>
  <c r="U389" i="9"/>
  <c r="T389" i="9"/>
  <c r="S389" i="9"/>
  <c r="AD339" i="9"/>
  <c r="AC339" i="9"/>
  <c r="AB339" i="9"/>
  <c r="AA339" i="9"/>
  <c r="Z339" i="9"/>
  <c r="Y339" i="9"/>
  <c r="X339" i="9"/>
  <c r="W339" i="9"/>
  <c r="V339" i="9"/>
  <c r="U339" i="9"/>
  <c r="T339" i="9"/>
  <c r="S339" i="9"/>
  <c r="AD289" i="9"/>
  <c r="AC289" i="9"/>
  <c r="AB289" i="9"/>
  <c r="AA289" i="9"/>
  <c r="Z289" i="9"/>
  <c r="Y289" i="9"/>
  <c r="X289" i="9"/>
  <c r="W289" i="9"/>
  <c r="V289" i="9"/>
  <c r="U289" i="9"/>
  <c r="T289" i="9"/>
  <c r="S289" i="9"/>
  <c r="AD239" i="9"/>
  <c r="AC239" i="9"/>
  <c r="AB239" i="9"/>
  <c r="AA239" i="9"/>
  <c r="Z239" i="9"/>
  <c r="Y239" i="9"/>
  <c r="X239" i="9"/>
  <c r="W239" i="9"/>
  <c r="V239" i="9"/>
  <c r="U239" i="9"/>
  <c r="T239" i="9"/>
  <c r="S239" i="9"/>
  <c r="AD189" i="9"/>
  <c r="AC189" i="9"/>
  <c r="AB189" i="9"/>
  <c r="AA189" i="9"/>
  <c r="Z189" i="9"/>
  <c r="Y189" i="9"/>
  <c r="X189" i="9"/>
  <c r="W189" i="9"/>
  <c r="V189" i="9"/>
  <c r="U189" i="9"/>
  <c r="T189" i="9"/>
  <c r="S189" i="9"/>
  <c r="AD139" i="9"/>
  <c r="AC139" i="9"/>
  <c r="AB139" i="9"/>
  <c r="AA139" i="9"/>
  <c r="Z139" i="9"/>
  <c r="Y139" i="9"/>
  <c r="X139" i="9"/>
  <c r="W139" i="9"/>
  <c r="V139" i="9"/>
  <c r="U139" i="9"/>
  <c r="T139" i="9"/>
  <c r="S139" i="9"/>
  <c r="AD89" i="9"/>
  <c r="AC89" i="9"/>
  <c r="AB89" i="9"/>
  <c r="AA89" i="9"/>
  <c r="Z89" i="9"/>
  <c r="Y89" i="9"/>
  <c r="X89" i="9"/>
  <c r="W89" i="9"/>
  <c r="V89" i="9"/>
  <c r="U89" i="9"/>
  <c r="T89" i="9"/>
  <c r="S89" i="9"/>
  <c r="AD39" i="9"/>
  <c r="AC39" i="9"/>
  <c r="AB39" i="9"/>
  <c r="AA39" i="9"/>
  <c r="Z39" i="9"/>
  <c r="Y39" i="9"/>
  <c r="X39" i="9"/>
  <c r="W39" i="9"/>
  <c r="V39" i="9"/>
  <c r="U39" i="9"/>
  <c r="T39" i="9"/>
  <c r="S39" i="9"/>
  <c r="P22" i="12"/>
  <c r="O22" i="12"/>
  <c r="N22" i="12"/>
  <c r="M22" i="12"/>
  <c r="L22" i="12"/>
  <c r="K22" i="12"/>
  <c r="J22" i="12"/>
  <c r="I22" i="12"/>
  <c r="H22" i="12"/>
  <c r="G22" i="12"/>
  <c r="F22" i="12"/>
  <c r="A16" i="12"/>
  <c r="A17" i="12" s="1"/>
  <c r="A18" i="12" s="1"/>
  <c r="A19" i="12" s="1"/>
  <c r="A8" i="12"/>
  <c r="A9" i="12" s="1"/>
  <c r="A10" i="12" s="1"/>
  <c r="A11" i="12" s="1"/>
  <c r="P2" i="12"/>
  <c r="F32" i="12"/>
  <c r="G32" i="12" s="1"/>
  <c r="H32" i="12" s="1"/>
  <c r="I32" i="12" s="1"/>
  <c r="J32" i="12" s="1"/>
  <c r="K32" i="12" s="1"/>
  <c r="L32" i="12" s="1"/>
  <c r="M32" i="12" s="1"/>
  <c r="N32" i="12" s="1"/>
  <c r="O32" i="12" s="1"/>
  <c r="P32" i="12" s="1"/>
  <c r="F14" i="12"/>
  <c r="G14" i="12" s="1"/>
  <c r="H14" i="12" s="1"/>
  <c r="I14" i="12" s="1"/>
  <c r="J14" i="12" s="1"/>
  <c r="K14" i="12" s="1"/>
  <c r="L14" i="12" s="1"/>
  <c r="M14" i="12" s="1"/>
  <c r="N14" i="12" s="1"/>
  <c r="O14" i="12" s="1"/>
  <c r="P14" i="12" s="1"/>
  <c r="F6" i="12"/>
  <c r="G6" i="12" s="1"/>
  <c r="H6" i="12" s="1"/>
  <c r="I6" i="12" s="1"/>
  <c r="J6" i="12" s="1"/>
  <c r="K6" i="12" s="1"/>
  <c r="L6" i="12" s="1"/>
  <c r="M6" i="12" s="1"/>
  <c r="N6" i="12" s="1"/>
  <c r="O6" i="12" s="1"/>
  <c r="P6" i="12" s="1"/>
  <c r="AD11" i="2"/>
  <c r="AD1393" i="2"/>
  <c r="AD12" i="9"/>
  <c r="AC12" i="9"/>
  <c r="AB12" i="9"/>
  <c r="AA12" i="9"/>
  <c r="Z12" i="9"/>
  <c r="Y12" i="9"/>
  <c r="X12" i="9"/>
  <c r="W12" i="9"/>
  <c r="V12" i="9"/>
  <c r="U12" i="9"/>
  <c r="T12" i="9"/>
  <c r="S12" i="9"/>
  <c r="G352" i="11"/>
  <c r="G351" i="11"/>
  <c r="G350" i="11"/>
  <c r="G349" i="11"/>
  <c r="G348" i="11"/>
  <c r="G347" i="11"/>
  <c r="F352" i="11"/>
  <c r="E352" i="11"/>
  <c r="F351" i="11"/>
  <c r="E351" i="11"/>
  <c r="F350" i="11"/>
  <c r="E350" i="11"/>
  <c r="F349" i="11"/>
  <c r="E349" i="11"/>
  <c r="F348" i="11"/>
  <c r="E348" i="11"/>
  <c r="F347" i="11"/>
  <c r="E347" i="11"/>
  <c r="F346" i="11"/>
  <c r="E346" i="11"/>
  <c r="F345" i="11"/>
  <c r="E345" i="11"/>
  <c r="F344" i="11"/>
  <c r="E344" i="11"/>
  <c r="F343" i="11"/>
  <c r="E343" i="11"/>
  <c r="F342" i="11"/>
  <c r="E342" i="11"/>
  <c r="F341" i="11"/>
  <c r="E341" i="11"/>
  <c r="F340" i="11"/>
  <c r="E340" i="11"/>
  <c r="F339" i="11"/>
  <c r="E339" i="11"/>
  <c r="F338" i="11"/>
  <c r="E338" i="11"/>
  <c r="F337" i="11"/>
  <c r="E337" i="11"/>
  <c r="F336" i="11"/>
  <c r="E336" i="11"/>
  <c r="F335" i="11"/>
  <c r="E335" i="11"/>
  <c r="F334" i="11"/>
  <c r="E334" i="11"/>
  <c r="F333" i="11"/>
  <c r="E333" i="11"/>
  <c r="F332" i="11"/>
  <c r="E332" i="11"/>
  <c r="F331" i="11"/>
  <c r="E331" i="11"/>
  <c r="F330" i="11"/>
  <c r="E330" i="11"/>
  <c r="F329" i="11"/>
  <c r="E329" i="11"/>
  <c r="F328" i="11"/>
  <c r="E328" i="11"/>
  <c r="F327" i="11"/>
  <c r="E327" i="11"/>
  <c r="F326" i="11"/>
  <c r="E326" i="11"/>
  <c r="F325" i="11"/>
  <c r="E325" i="11"/>
  <c r="F324" i="11"/>
  <c r="E324" i="11"/>
  <c r="F323" i="11"/>
  <c r="E323" i="11"/>
  <c r="F322" i="11"/>
  <c r="E322" i="11"/>
  <c r="F321" i="11"/>
  <c r="E321" i="11"/>
  <c r="F320" i="11"/>
  <c r="E320" i="11"/>
  <c r="F319" i="11"/>
  <c r="E319" i="11"/>
  <c r="F318" i="11"/>
  <c r="E318" i="11"/>
  <c r="F317" i="11"/>
  <c r="E317" i="11"/>
  <c r="F316" i="11"/>
  <c r="E316" i="11"/>
  <c r="F315" i="11"/>
  <c r="E315" i="11"/>
  <c r="F314" i="11"/>
  <c r="E314" i="11"/>
  <c r="F313" i="11"/>
  <c r="E313" i="11"/>
  <c r="F312" i="11"/>
  <c r="E312" i="11"/>
  <c r="F311" i="11"/>
  <c r="E311" i="11"/>
  <c r="F310" i="11"/>
  <c r="E310" i="11"/>
  <c r="F309" i="11"/>
  <c r="E309" i="11"/>
  <c r="F308" i="11"/>
  <c r="E308" i="11"/>
  <c r="F307" i="11"/>
  <c r="E307" i="11"/>
  <c r="F306" i="11"/>
  <c r="E306" i="11"/>
  <c r="F305" i="11"/>
  <c r="E305" i="11"/>
  <c r="F304" i="11"/>
  <c r="E304" i="11"/>
  <c r="F303" i="11"/>
  <c r="E303" i="11"/>
  <c r="F302" i="11"/>
  <c r="E302" i="11"/>
  <c r="G293" i="11"/>
  <c r="G292" i="11"/>
  <c r="G291" i="11"/>
  <c r="G290" i="11"/>
  <c r="G289" i="11"/>
  <c r="G288" i="11"/>
  <c r="G285" i="11"/>
  <c r="G265" i="11"/>
  <c r="G245" i="11"/>
  <c r="F293" i="11"/>
  <c r="E293" i="11"/>
  <c r="F292" i="11"/>
  <c r="E292" i="11"/>
  <c r="F291" i="11"/>
  <c r="E291" i="11"/>
  <c r="F290" i="11"/>
  <c r="E290" i="11"/>
  <c r="F289" i="11"/>
  <c r="E289" i="11"/>
  <c r="F288" i="11"/>
  <c r="E288" i="11"/>
  <c r="F287" i="11"/>
  <c r="E287" i="11"/>
  <c r="F286" i="11"/>
  <c r="E286" i="11"/>
  <c r="F285" i="11"/>
  <c r="E285" i="11"/>
  <c r="F284" i="11"/>
  <c r="E284" i="11"/>
  <c r="F283" i="11"/>
  <c r="E283" i="11"/>
  <c r="F282" i="11"/>
  <c r="E282" i="11"/>
  <c r="F281" i="11"/>
  <c r="E281" i="11"/>
  <c r="F280" i="11"/>
  <c r="E280" i="11"/>
  <c r="F279" i="11"/>
  <c r="E279" i="11"/>
  <c r="F278" i="11"/>
  <c r="E278" i="11"/>
  <c r="F277" i="11"/>
  <c r="E277" i="11"/>
  <c r="F276" i="11"/>
  <c r="E276" i="11"/>
  <c r="F275" i="11"/>
  <c r="E275" i="11"/>
  <c r="F274" i="11"/>
  <c r="E274" i="11"/>
  <c r="F273" i="11"/>
  <c r="E273" i="11"/>
  <c r="F272" i="11"/>
  <c r="E272" i="11"/>
  <c r="F271" i="11"/>
  <c r="E271" i="11"/>
  <c r="F270" i="11"/>
  <c r="E270" i="11"/>
  <c r="F269" i="11"/>
  <c r="E269" i="11"/>
  <c r="F268" i="11"/>
  <c r="E268" i="11"/>
  <c r="F267" i="11"/>
  <c r="E267" i="11"/>
  <c r="F266" i="11"/>
  <c r="E266" i="11"/>
  <c r="F265" i="11"/>
  <c r="E265" i="11"/>
  <c r="F264" i="11"/>
  <c r="E264" i="11"/>
  <c r="F263" i="11"/>
  <c r="E263" i="11"/>
  <c r="F262" i="11"/>
  <c r="E262" i="11"/>
  <c r="F261" i="11"/>
  <c r="E261" i="11"/>
  <c r="F260" i="11"/>
  <c r="E260" i="11"/>
  <c r="F259" i="11"/>
  <c r="E259" i="11"/>
  <c r="F258" i="11"/>
  <c r="E258" i="11"/>
  <c r="F257" i="11"/>
  <c r="E257" i="11"/>
  <c r="F256" i="11"/>
  <c r="E256" i="11"/>
  <c r="F255" i="11"/>
  <c r="E255" i="11"/>
  <c r="F254" i="11"/>
  <c r="E254" i="11"/>
  <c r="F253" i="11"/>
  <c r="E253" i="11"/>
  <c r="F252" i="11"/>
  <c r="E252" i="11"/>
  <c r="F251" i="11"/>
  <c r="E251" i="11"/>
  <c r="F250" i="11"/>
  <c r="E250" i="11"/>
  <c r="F249" i="11"/>
  <c r="E249" i="11"/>
  <c r="F248" i="11"/>
  <c r="E248" i="11"/>
  <c r="F247" i="11"/>
  <c r="E247" i="11"/>
  <c r="F246" i="11"/>
  <c r="E246" i="11"/>
  <c r="F245" i="11"/>
  <c r="E245" i="11"/>
  <c r="F244" i="11"/>
  <c r="E244" i="11"/>
  <c r="F243" i="11"/>
  <c r="E243" i="11"/>
  <c r="F234" i="11"/>
  <c r="E234" i="11"/>
  <c r="F233" i="11"/>
  <c r="E233" i="11"/>
  <c r="F232" i="11"/>
  <c r="E232" i="11"/>
  <c r="F231" i="11"/>
  <c r="E231" i="11"/>
  <c r="F230" i="11"/>
  <c r="E230" i="11"/>
  <c r="F229" i="11"/>
  <c r="E229" i="11"/>
  <c r="F228" i="11"/>
  <c r="E228" i="11"/>
  <c r="F227" i="11"/>
  <c r="E227" i="11"/>
  <c r="F226" i="11"/>
  <c r="E226" i="11"/>
  <c r="F225" i="11"/>
  <c r="E225" i="11"/>
  <c r="F224" i="11"/>
  <c r="E224" i="11"/>
  <c r="F223" i="11"/>
  <c r="E223" i="11"/>
  <c r="F222" i="11"/>
  <c r="E222" i="11"/>
  <c r="F221" i="11"/>
  <c r="E221" i="11"/>
  <c r="F220" i="11"/>
  <c r="E220" i="11"/>
  <c r="F219" i="11"/>
  <c r="E219" i="11"/>
  <c r="F218" i="11"/>
  <c r="E218" i="11"/>
  <c r="F217" i="11"/>
  <c r="E217" i="11"/>
  <c r="F216" i="11"/>
  <c r="E216" i="11"/>
  <c r="F215" i="11"/>
  <c r="E215" i="11"/>
  <c r="F214" i="11"/>
  <c r="E214" i="11"/>
  <c r="F213" i="11"/>
  <c r="E213" i="11"/>
  <c r="F212" i="11"/>
  <c r="E212" i="11"/>
  <c r="F211" i="11"/>
  <c r="E211" i="11"/>
  <c r="F210" i="11"/>
  <c r="E210" i="11"/>
  <c r="F209" i="11"/>
  <c r="E209" i="11"/>
  <c r="F208" i="11"/>
  <c r="E208" i="11"/>
  <c r="F207" i="11"/>
  <c r="E207" i="11"/>
  <c r="F206" i="11"/>
  <c r="E206" i="11"/>
  <c r="F205" i="11"/>
  <c r="E205" i="11"/>
  <c r="F204" i="11"/>
  <c r="E204" i="11"/>
  <c r="F203" i="11"/>
  <c r="E203" i="11"/>
  <c r="F202" i="11"/>
  <c r="E202" i="11"/>
  <c r="F201" i="11"/>
  <c r="E201" i="11"/>
  <c r="F200" i="11"/>
  <c r="E200" i="11"/>
  <c r="F199" i="11"/>
  <c r="E199" i="11"/>
  <c r="F198" i="11"/>
  <c r="E198" i="11"/>
  <c r="F197" i="11"/>
  <c r="E197" i="11"/>
  <c r="F196" i="11"/>
  <c r="E196" i="11"/>
  <c r="F195" i="11"/>
  <c r="E195" i="11"/>
  <c r="F194" i="11"/>
  <c r="E194" i="11"/>
  <c r="F193" i="11"/>
  <c r="E193" i="11"/>
  <c r="F192" i="11"/>
  <c r="E192" i="11"/>
  <c r="F191" i="11"/>
  <c r="E191" i="11"/>
  <c r="F190" i="11"/>
  <c r="E190" i="11"/>
  <c r="F189" i="11"/>
  <c r="E189" i="11"/>
  <c r="F188" i="11"/>
  <c r="E188" i="11"/>
  <c r="F187" i="11"/>
  <c r="E187" i="11"/>
  <c r="F186" i="11"/>
  <c r="E186" i="11"/>
  <c r="F185" i="11"/>
  <c r="E185" i="11"/>
  <c r="F184" i="11"/>
  <c r="E184" i="11"/>
  <c r="G234" i="11"/>
  <c r="G233" i="11"/>
  <c r="G232" i="11"/>
  <c r="G231" i="11"/>
  <c r="G230" i="11"/>
  <c r="G229" i="11"/>
  <c r="I57" i="11"/>
  <c r="I293" i="11" s="1"/>
  <c r="F175" i="11"/>
  <c r="E175" i="11"/>
  <c r="F174" i="11"/>
  <c r="E174" i="11"/>
  <c r="F173" i="11"/>
  <c r="E173" i="11"/>
  <c r="F172" i="11"/>
  <c r="E172" i="11"/>
  <c r="F171" i="11"/>
  <c r="E171" i="11"/>
  <c r="F170" i="11"/>
  <c r="E170" i="11"/>
  <c r="F169" i="11"/>
  <c r="E169" i="11"/>
  <c r="F168" i="11"/>
  <c r="E168" i="11"/>
  <c r="F167" i="11"/>
  <c r="E167" i="11"/>
  <c r="F166" i="11"/>
  <c r="E166" i="11"/>
  <c r="F165" i="11"/>
  <c r="E165" i="11"/>
  <c r="F164" i="11"/>
  <c r="E164" i="11"/>
  <c r="F163" i="11"/>
  <c r="E163" i="11"/>
  <c r="F162" i="11"/>
  <c r="E162" i="11"/>
  <c r="F161" i="11"/>
  <c r="E161" i="11"/>
  <c r="F160" i="11"/>
  <c r="E160" i="11"/>
  <c r="F159" i="11"/>
  <c r="E159" i="11"/>
  <c r="F158" i="11"/>
  <c r="E158" i="11"/>
  <c r="F157" i="11"/>
  <c r="E157" i="11"/>
  <c r="F156" i="11"/>
  <c r="E156" i="11"/>
  <c r="F155" i="11"/>
  <c r="E155" i="11"/>
  <c r="F154" i="11"/>
  <c r="E154" i="11"/>
  <c r="F153" i="11"/>
  <c r="E153" i="11"/>
  <c r="F152" i="11"/>
  <c r="E152" i="11"/>
  <c r="F151" i="11"/>
  <c r="E151" i="11"/>
  <c r="F150" i="11"/>
  <c r="E150" i="11"/>
  <c r="F149" i="11"/>
  <c r="E149" i="11"/>
  <c r="F148" i="11"/>
  <c r="E148" i="11"/>
  <c r="F147" i="11"/>
  <c r="E147" i="11"/>
  <c r="F146" i="11"/>
  <c r="E146" i="11"/>
  <c r="F145" i="11"/>
  <c r="E145" i="11"/>
  <c r="F144" i="11"/>
  <c r="E144" i="11"/>
  <c r="F143" i="11"/>
  <c r="E143" i="11"/>
  <c r="F142" i="11"/>
  <c r="E142" i="11"/>
  <c r="F141" i="11"/>
  <c r="E141" i="11"/>
  <c r="F140" i="11"/>
  <c r="E140" i="11"/>
  <c r="F139" i="11"/>
  <c r="E139" i="11"/>
  <c r="F138" i="11"/>
  <c r="E138" i="11"/>
  <c r="F137" i="11"/>
  <c r="E137" i="11"/>
  <c r="F136" i="11"/>
  <c r="E136" i="11"/>
  <c r="F135" i="11"/>
  <c r="E135" i="11"/>
  <c r="F134" i="11"/>
  <c r="E134" i="11"/>
  <c r="F133" i="11"/>
  <c r="E133" i="11"/>
  <c r="F132" i="11"/>
  <c r="E132" i="11"/>
  <c r="F131" i="11"/>
  <c r="E131" i="11"/>
  <c r="F130" i="11"/>
  <c r="E130" i="11"/>
  <c r="F129" i="11"/>
  <c r="E129" i="11"/>
  <c r="F128" i="11"/>
  <c r="E128" i="11"/>
  <c r="F127" i="11"/>
  <c r="E127" i="11"/>
  <c r="F126" i="11"/>
  <c r="E126" i="11"/>
  <c r="F125" i="11"/>
  <c r="E125" i="11"/>
  <c r="G175" i="11"/>
  <c r="G174" i="11"/>
  <c r="G173" i="11"/>
  <c r="G172" i="11"/>
  <c r="G171" i="11"/>
  <c r="G170" i="11"/>
  <c r="G169" i="11"/>
  <c r="T116" i="11"/>
  <c r="F116" i="11"/>
  <c r="E116" i="11"/>
  <c r="F115" i="11"/>
  <c r="E115" i="11"/>
  <c r="F114" i="11"/>
  <c r="E114" i="11"/>
  <c r="F113" i="11"/>
  <c r="E113" i="11"/>
  <c r="F112" i="11"/>
  <c r="E112" i="11"/>
  <c r="F111" i="11"/>
  <c r="E111" i="11"/>
  <c r="F110" i="11"/>
  <c r="E110" i="11"/>
  <c r="F109" i="11"/>
  <c r="E109" i="11"/>
  <c r="F108" i="11"/>
  <c r="E108" i="11"/>
  <c r="F107" i="11"/>
  <c r="E107" i="11"/>
  <c r="F106" i="11"/>
  <c r="E106" i="11"/>
  <c r="F105" i="11"/>
  <c r="E105" i="11"/>
  <c r="F104" i="11"/>
  <c r="E104" i="11"/>
  <c r="F103" i="11"/>
  <c r="E103" i="11"/>
  <c r="F102" i="11"/>
  <c r="E102" i="11"/>
  <c r="F101" i="11"/>
  <c r="E101" i="11"/>
  <c r="F100" i="11"/>
  <c r="E100" i="11"/>
  <c r="F99" i="11"/>
  <c r="E99" i="11"/>
  <c r="F98" i="11"/>
  <c r="E98" i="11"/>
  <c r="F97" i="11"/>
  <c r="E97" i="11"/>
  <c r="F96" i="11"/>
  <c r="E96" i="11"/>
  <c r="F95" i="11"/>
  <c r="E95" i="11"/>
  <c r="F94" i="11"/>
  <c r="E94" i="11"/>
  <c r="F93" i="11"/>
  <c r="E93" i="11"/>
  <c r="F92" i="11"/>
  <c r="E92" i="11"/>
  <c r="F91" i="11"/>
  <c r="E91" i="11"/>
  <c r="F90" i="11"/>
  <c r="E90" i="11"/>
  <c r="F89" i="11"/>
  <c r="E89" i="11"/>
  <c r="F88" i="11"/>
  <c r="E88" i="11"/>
  <c r="F87" i="11"/>
  <c r="E87" i="11"/>
  <c r="F86" i="11"/>
  <c r="E86" i="11"/>
  <c r="F85" i="11"/>
  <c r="E85" i="11"/>
  <c r="F84" i="11"/>
  <c r="E84" i="11"/>
  <c r="F83" i="11"/>
  <c r="E83" i="11"/>
  <c r="F82" i="11"/>
  <c r="E82" i="11"/>
  <c r="F81" i="11"/>
  <c r="E81" i="11"/>
  <c r="F80" i="11"/>
  <c r="E80" i="11"/>
  <c r="F79" i="11"/>
  <c r="E79" i="11"/>
  <c r="F78" i="11"/>
  <c r="E78" i="11"/>
  <c r="F77" i="11"/>
  <c r="E77" i="11"/>
  <c r="F76" i="11"/>
  <c r="E76" i="11"/>
  <c r="F75" i="11"/>
  <c r="E75" i="11"/>
  <c r="F74" i="11"/>
  <c r="E74" i="11"/>
  <c r="F73" i="11"/>
  <c r="E73" i="11"/>
  <c r="F72" i="11"/>
  <c r="E72" i="11"/>
  <c r="F71" i="11"/>
  <c r="E71" i="11"/>
  <c r="F70" i="11"/>
  <c r="E70" i="11"/>
  <c r="F69" i="11"/>
  <c r="E69" i="11"/>
  <c r="F68" i="11"/>
  <c r="E68" i="11"/>
  <c r="F67" i="11"/>
  <c r="E67" i="11"/>
  <c r="F66" i="11"/>
  <c r="E66" i="11"/>
  <c r="G116" i="11"/>
  <c r="G115" i="11"/>
  <c r="T115" i="11" s="1"/>
  <c r="G114" i="11"/>
  <c r="T114" i="11" s="1"/>
  <c r="G113" i="11"/>
  <c r="T113" i="11" s="1"/>
  <c r="G112" i="11"/>
  <c r="T112" i="11" s="1"/>
  <c r="G111" i="11"/>
  <c r="T111" i="11" s="1"/>
  <c r="G108" i="11"/>
  <c r="G88" i="11"/>
  <c r="G87" i="11"/>
  <c r="G68" i="11"/>
  <c r="K301" i="11"/>
  <c r="L301" i="11" s="1"/>
  <c r="M301" i="11" s="1"/>
  <c r="N301" i="11" s="1"/>
  <c r="O301" i="11" s="1"/>
  <c r="P301" i="11" s="1"/>
  <c r="Q301" i="11" s="1"/>
  <c r="R301" i="11" s="1"/>
  <c r="S301" i="11" s="1"/>
  <c r="T301" i="11" s="1"/>
  <c r="J301" i="11"/>
  <c r="K242" i="11"/>
  <c r="L242" i="11" s="1"/>
  <c r="M242" i="11" s="1"/>
  <c r="N242" i="11" s="1"/>
  <c r="O242" i="11" s="1"/>
  <c r="P242" i="11" s="1"/>
  <c r="Q242" i="11" s="1"/>
  <c r="R242" i="11" s="1"/>
  <c r="S242" i="11" s="1"/>
  <c r="T242" i="11" s="1"/>
  <c r="J242" i="11"/>
  <c r="K183" i="11"/>
  <c r="L183" i="11" s="1"/>
  <c r="M183" i="11" s="1"/>
  <c r="N183" i="11" s="1"/>
  <c r="O183" i="11" s="1"/>
  <c r="P183" i="11" s="1"/>
  <c r="Q183" i="11" s="1"/>
  <c r="R183" i="11" s="1"/>
  <c r="S183" i="11" s="1"/>
  <c r="T183" i="11" s="1"/>
  <c r="J183" i="11"/>
  <c r="J124" i="11"/>
  <c r="K124" i="11" s="1"/>
  <c r="L124" i="11" s="1"/>
  <c r="M124" i="11" s="1"/>
  <c r="N124" i="11" s="1"/>
  <c r="O124" i="11" s="1"/>
  <c r="P124" i="11" s="1"/>
  <c r="Q124" i="11" s="1"/>
  <c r="R124" i="11" s="1"/>
  <c r="S124" i="11" s="1"/>
  <c r="T124" i="11" s="1"/>
  <c r="T297" i="11"/>
  <c r="T238" i="11"/>
  <c r="T179" i="11"/>
  <c r="T120" i="11"/>
  <c r="T61" i="11"/>
  <c r="J65" i="11"/>
  <c r="K65" i="11" s="1"/>
  <c r="L65" i="11" s="1"/>
  <c r="M65" i="11" s="1"/>
  <c r="N65" i="11" s="1"/>
  <c r="O65" i="11" s="1"/>
  <c r="P65" i="11" s="1"/>
  <c r="Q65" i="11" s="1"/>
  <c r="R65" i="11" s="1"/>
  <c r="S65" i="11" s="1"/>
  <c r="T65" i="11" s="1"/>
  <c r="E57" i="11"/>
  <c r="F57" i="11"/>
  <c r="G57" i="11"/>
  <c r="J57" i="11" s="1"/>
  <c r="G56" i="11"/>
  <c r="G55" i="11"/>
  <c r="G54" i="11"/>
  <c r="G53" i="11"/>
  <c r="G52" i="11"/>
  <c r="G50" i="11"/>
  <c r="G30" i="11"/>
  <c r="G14" i="11"/>
  <c r="G13" i="11"/>
  <c r="F56" i="11"/>
  <c r="E56" i="11"/>
  <c r="F55" i="11"/>
  <c r="E55" i="11"/>
  <c r="F54" i="11"/>
  <c r="E54" i="11"/>
  <c r="F53" i="11"/>
  <c r="E53" i="11"/>
  <c r="F52" i="11"/>
  <c r="E52" i="11"/>
  <c r="F51" i="11"/>
  <c r="E51" i="11"/>
  <c r="F50" i="11"/>
  <c r="E50" i="11"/>
  <c r="F49" i="11"/>
  <c r="E49" i="11"/>
  <c r="F48" i="11"/>
  <c r="E48" i="11"/>
  <c r="F47" i="11"/>
  <c r="E47" i="11"/>
  <c r="F46" i="11"/>
  <c r="E46" i="11"/>
  <c r="F45" i="11"/>
  <c r="E45" i="11"/>
  <c r="F44" i="11"/>
  <c r="E44" i="11"/>
  <c r="F43" i="11"/>
  <c r="E43" i="11"/>
  <c r="F42" i="11"/>
  <c r="E42" i="11"/>
  <c r="F41" i="11"/>
  <c r="E41" i="11"/>
  <c r="F40" i="11"/>
  <c r="E40" i="11"/>
  <c r="F39" i="11"/>
  <c r="E39" i="11"/>
  <c r="F38" i="11"/>
  <c r="E38" i="11"/>
  <c r="F37" i="11"/>
  <c r="E37" i="11"/>
  <c r="F36" i="11"/>
  <c r="E36" i="11"/>
  <c r="F35" i="11"/>
  <c r="E35" i="11"/>
  <c r="F34" i="11"/>
  <c r="E34" i="11"/>
  <c r="F33" i="11"/>
  <c r="E33" i="11"/>
  <c r="F32" i="11"/>
  <c r="E32" i="11"/>
  <c r="F31" i="11"/>
  <c r="E31" i="11"/>
  <c r="F30" i="11"/>
  <c r="E30" i="11"/>
  <c r="F29" i="11"/>
  <c r="E29" i="11"/>
  <c r="F28" i="11"/>
  <c r="E28" i="11"/>
  <c r="F27" i="11"/>
  <c r="E27" i="11"/>
  <c r="F26" i="11"/>
  <c r="E26" i="11"/>
  <c r="F25" i="11"/>
  <c r="E25" i="11"/>
  <c r="F24" i="11"/>
  <c r="E24" i="11"/>
  <c r="F23" i="11"/>
  <c r="E23" i="11"/>
  <c r="F22" i="11"/>
  <c r="E22" i="11"/>
  <c r="F21" i="11"/>
  <c r="E21" i="11"/>
  <c r="F20" i="11"/>
  <c r="E20" i="11"/>
  <c r="F19" i="11"/>
  <c r="E19" i="11"/>
  <c r="F18" i="11"/>
  <c r="E18" i="11"/>
  <c r="F17" i="11"/>
  <c r="E17" i="11"/>
  <c r="F16" i="11"/>
  <c r="E16" i="11"/>
  <c r="F15" i="11"/>
  <c r="E15" i="11"/>
  <c r="F14" i="11"/>
  <c r="E14" i="11"/>
  <c r="F13" i="11"/>
  <c r="E13" i="11"/>
  <c r="F12" i="11"/>
  <c r="E12" i="11"/>
  <c r="F11" i="11"/>
  <c r="E11" i="11"/>
  <c r="F10" i="11"/>
  <c r="E10" i="11"/>
  <c r="F9" i="11"/>
  <c r="E9" i="11"/>
  <c r="F8" i="11"/>
  <c r="E8" i="11"/>
  <c r="F7" i="11"/>
  <c r="E7" i="11"/>
  <c r="T2" i="11"/>
  <c r="J6" i="11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J53" i="10"/>
  <c r="J52" i="10"/>
  <c r="G168" i="11" s="1"/>
  <c r="J51" i="10"/>
  <c r="G167" i="11" s="1"/>
  <c r="J50" i="10"/>
  <c r="G166" i="11" s="1"/>
  <c r="J49" i="10"/>
  <c r="G165" i="11" s="1"/>
  <c r="J48" i="10"/>
  <c r="G164" i="11" s="1"/>
  <c r="J47" i="10"/>
  <c r="G163" i="11" s="1"/>
  <c r="J46" i="10"/>
  <c r="G162" i="11" s="1"/>
  <c r="J45" i="10"/>
  <c r="G161" i="11" s="1"/>
  <c r="J44" i="10"/>
  <c r="G160" i="11" s="1"/>
  <c r="J43" i="10"/>
  <c r="G159" i="11" s="1"/>
  <c r="J42" i="10"/>
  <c r="G158" i="11" s="1"/>
  <c r="J41" i="10"/>
  <c r="G157" i="11" s="1"/>
  <c r="J40" i="10"/>
  <c r="G156" i="11" s="1"/>
  <c r="J39" i="10"/>
  <c r="G155" i="11" s="1"/>
  <c r="J38" i="10"/>
  <c r="G154" i="11" s="1"/>
  <c r="J37" i="10"/>
  <c r="G153" i="11" s="1"/>
  <c r="J36" i="10"/>
  <c r="G152" i="11" s="1"/>
  <c r="J35" i="10"/>
  <c r="G151" i="11" s="1"/>
  <c r="J34" i="10"/>
  <c r="G150" i="11" s="1"/>
  <c r="J33" i="10"/>
  <c r="G149" i="11" s="1"/>
  <c r="J32" i="10"/>
  <c r="G148" i="11" s="1"/>
  <c r="J31" i="10"/>
  <c r="G147" i="11" s="1"/>
  <c r="J30" i="10"/>
  <c r="G146" i="11" s="1"/>
  <c r="J29" i="10"/>
  <c r="G145" i="11" s="1"/>
  <c r="J28" i="10"/>
  <c r="G144" i="11" s="1"/>
  <c r="J27" i="10"/>
  <c r="G143" i="11" s="1"/>
  <c r="J26" i="10"/>
  <c r="G142" i="11" s="1"/>
  <c r="J25" i="10"/>
  <c r="G141" i="11" s="1"/>
  <c r="J24" i="10"/>
  <c r="G140" i="11" s="1"/>
  <c r="J23" i="10"/>
  <c r="G139" i="11" s="1"/>
  <c r="J22" i="10"/>
  <c r="G138" i="11" s="1"/>
  <c r="J21" i="10"/>
  <c r="G137" i="11" s="1"/>
  <c r="J20" i="10"/>
  <c r="G136" i="11" s="1"/>
  <c r="J19" i="10"/>
  <c r="G135" i="11" s="1"/>
  <c r="J18" i="10"/>
  <c r="G134" i="11" s="1"/>
  <c r="J17" i="10"/>
  <c r="G133" i="11" s="1"/>
  <c r="J16" i="10"/>
  <c r="G132" i="11" s="1"/>
  <c r="J15" i="10"/>
  <c r="G131" i="11" s="1"/>
  <c r="J14" i="10"/>
  <c r="G130" i="11" s="1"/>
  <c r="J13" i="10"/>
  <c r="G129" i="11" s="1"/>
  <c r="J12" i="10"/>
  <c r="G128" i="11" s="1"/>
  <c r="J11" i="10"/>
  <c r="G127" i="11" s="1"/>
  <c r="J10" i="10"/>
  <c r="G126" i="11" s="1"/>
  <c r="J9" i="10"/>
  <c r="G125" i="11" s="1"/>
  <c r="H53" i="10"/>
  <c r="G287" i="11" s="1"/>
  <c r="H52" i="10"/>
  <c r="G286" i="11" s="1"/>
  <c r="H51" i="10"/>
  <c r="H50" i="10"/>
  <c r="G284" i="11" s="1"/>
  <c r="H49" i="10"/>
  <c r="G283" i="11" s="1"/>
  <c r="H48" i="10"/>
  <c r="G282" i="11" s="1"/>
  <c r="H47" i="10"/>
  <c r="G281" i="11" s="1"/>
  <c r="H46" i="10"/>
  <c r="G280" i="11" s="1"/>
  <c r="H45" i="10"/>
  <c r="G279" i="11" s="1"/>
  <c r="H44" i="10"/>
  <c r="H43" i="10"/>
  <c r="G277" i="11" s="1"/>
  <c r="H42" i="10"/>
  <c r="G276" i="11" s="1"/>
  <c r="H41" i="10"/>
  <c r="H40" i="10"/>
  <c r="H39" i="10"/>
  <c r="H38" i="10"/>
  <c r="H37" i="10"/>
  <c r="H36" i="10"/>
  <c r="G270" i="11" s="1"/>
  <c r="H35" i="10"/>
  <c r="H34" i="10"/>
  <c r="H33" i="10"/>
  <c r="G267" i="11" s="1"/>
  <c r="H32" i="10"/>
  <c r="G266" i="11" s="1"/>
  <c r="H31" i="10"/>
  <c r="H30" i="10"/>
  <c r="G264" i="11" s="1"/>
  <c r="H29" i="10"/>
  <c r="G263" i="11" s="1"/>
  <c r="H28" i="10"/>
  <c r="G262" i="11" s="1"/>
  <c r="H27" i="10"/>
  <c r="G261" i="11" s="1"/>
  <c r="H26" i="10"/>
  <c r="G260" i="11" s="1"/>
  <c r="H25" i="10"/>
  <c r="G259" i="11" s="1"/>
  <c r="H24" i="10"/>
  <c r="H23" i="10"/>
  <c r="G80" i="11" s="1"/>
  <c r="H22" i="10"/>
  <c r="G256" i="11" s="1"/>
  <c r="H21" i="10"/>
  <c r="H20" i="10"/>
  <c r="H19" i="10"/>
  <c r="H18" i="10"/>
  <c r="H17" i="10"/>
  <c r="H16" i="10"/>
  <c r="G250" i="11" s="1"/>
  <c r="H15" i="10"/>
  <c r="H14" i="10"/>
  <c r="H13" i="10"/>
  <c r="G70" i="11" s="1"/>
  <c r="H12" i="10"/>
  <c r="G246" i="11" s="1"/>
  <c r="H11" i="10"/>
  <c r="H10" i="10"/>
  <c r="G244" i="11" s="1"/>
  <c r="H9" i="10"/>
  <c r="G243" i="11" s="1"/>
  <c r="G53" i="10"/>
  <c r="G51" i="11" s="1"/>
  <c r="G52" i="10"/>
  <c r="G51" i="10"/>
  <c r="G49" i="11" s="1"/>
  <c r="G50" i="10"/>
  <c r="G48" i="11" s="1"/>
  <c r="G49" i="10"/>
  <c r="G47" i="11" s="1"/>
  <c r="G48" i="10"/>
  <c r="G46" i="11" s="1"/>
  <c r="G47" i="10"/>
  <c r="G45" i="11" s="1"/>
  <c r="G46" i="10"/>
  <c r="G44" i="11" s="1"/>
  <c r="G45" i="10"/>
  <c r="G43" i="11" s="1"/>
  <c r="G44" i="10"/>
  <c r="G42" i="11" s="1"/>
  <c r="G43" i="10"/>
  <c r="G41" i="11" s="1"/>
  <c r="G42" i="10"/>
  <c r="G40" i="11" s="1"/>
  <c r="G41" i="10"/>
  <c r="G39" i="11" s="1"/>
  <c r="G40" i="10"/>
  <c r="G38" i="11" s="1"/>
  <c r="G39" i="10"/>
  <c r="G37" i="11" s="1"/>
  <c r="G38" i="10"/>
  <c r="G36" i="11" s="1"/>
  <c r="G37" i="10"/>
  <c r="G35" i="11" s="1"/>
  <c r="G36" i="10"/>
  <c r="G34" i="11" s="1"/>
  <c r="G35" i="10"/>
  <c r="G33" i="11" s="1"/>
  <c r="G34" i="10"/>
  <c r="G32" i="11" s="1"/>
  <c r="G33" i="10"/>
  <c r="G31" i="11" s="1"/>
  <c r="G32" i="10"/>
  <c r="G31" i="10"/>
  <c r="G29" i="11" s="1"/>
  <c r="G30" i="10"/>
  <c r="G28" i="11" s="1"/>
  <c r="G29" i="10"/>
  <c r="G27" i="11" s="1"/>
  <c r="G28" i="10"/>
  <c r="G26" i="11" s="1"/>
  <c r="G27" i="10"/>
  <c r="G25" i="11" s="1"/>
  <c r="G26" i="10"/>
  <c r="G24" i="11" s="1"/>
  <c r="G25" i="10"/>
  <c r="G23" i="11" s="1"/>
  <c r="G24" i="10"/>
  <c r="G22" i="11" s="1"/>
  <c r="G23" i="10"/>
  <c r="G21" i="11" s="1"/>
  <c r="G22" i="10"/>
  <c r="G20" i="11" s="1"/>
  <c r="G21" i="10"/>
  <c r="G19" i="11" s="1"/>
  <c r="G20" i="10"/>
  <c r="G18" i="11" s="1"/>
  <c r="G19" i="10"/>
  <c r="G17" i="11" s="1"/>
  <c r="G18" i="10"/>
  <c r="G16" i="11" s="1"/>
  <c r="G17" i="10"/>
  <c r="G15" i="11" s="1"/>
  <c r="G16" i="10"/>
  <c r="G15" i="10"/>
  <c r="G14" i="10"/>
  <c r="G12" i="11" s="1"/>
  <c r="G13" i="10"/>
  <c r="G11" i="11" s="1"/>
  <c r="G12" i="10"/>
  <c r="G10" i="11" s="1"/>
  <c r="G11" i="10"/>
  <c r="G9" i="11" s="1"/>
  <c r="G10" i="10"/>
  <c r="G8" i="11" s="1"/>
  <c r="G9" i="10"/>
  <c r="G7" i="11" s="1"/>
  <c r="I55" i="10"/>
  <c r="I56" i="10"/>
  <c r="M56" i="10" s="1"/>
  <c r="I57" i="10"/>
  <c r="M57" i="10" s="1"/>
  <c r="I58" i="10"/>
  <c r="I59" i="10"/>
  <c r="K59" i="10" s="1"/>
  <c r="G104" i="11" l="1"/>
  <c r="G105" i="11"/>
  <c r="G106" i="11"/>
  <c r="G107" i="11"/>
  <c r="G69" i="11"/>
  <c r="T69" i="11" s="1"/>
  <c r="G109" i="11"/>
  <c r="G66" i="11"/>
  <c r="G117" i="11" s="1"/>
  <c r="G110" i="11"/>
  <c r="T110" i="11" s="1"/>
  <c r="G67" i="11"/>
  <c r="G83" i="11"/>
  <c r="T83" i="11" s="1"/>
  <c r="G247" i="11"/>
  <c r="G84" i="11"/>
  <c r="G85" i="11"/>
  <c r="N57" i="11"/>
  <c r="N175" i="11" s="1"/>
  <c r="G86" i="11"/>
  <c r="G89" i="11"/>
  <c r="T89" i="11" s="1"/>
  <c r="G90" i="11"/>
  <c r="G103" i="11"/>
  <c r="R47" i="8"/>
  <c r="X47" i="8"/>
  <c r="G269" i="11"/>
  <c r="G92" i="11"/>
  <c r="K57" i="11"/>
  <c r="L57" i="11"/>
  <c r="M57" i="11"/>
  <c r="P57" i="11"/>
  <c r="R57" i="11"/>
  <c r="S57" i="11"/>
  <c r="N293" i="11"/>
  <c r="N352" i="11" s="1"/>
  <c r="G249" i="11"/>
  <c r="G72" i="11"/>
  <c r="G251" i="11"/>
  <c r="G74" i="11"/>
  <c r="G94" i="11"/>
  <c r="T94" i="11" s="1"/>
  <c r="G271" i="11"/>
  <c r="G73" i="11"/>
  <c r="G278" i="11"/>
  <c r="G101" i="11"/>
  <c r="T101" i="11" s="1"/>
  <c r="G272" i="11"/>
  <c r="G95" i="11"/>
  <c r="G273" i="11"/>
  <c r="G96" i="11"/>
  <c r="T96" i="11" s="1"/>
  <c r="G255" i="11"/>
  <c r="G78" i="11"/>
  <c r="T57" i="11"/>
  <c r="G254" i="11"/>
  <c r="G77" i="11"/>
  <c r="T77" i="11" s="1"/>
  <c r="G275" i="11"/>
  <c r="G98" i="11"/>
  <c r="T98" i="11" s="1"/>
  <c r="Q57" i="11"/>
  <c r="G252" i="11"/>
  <c r="G75" i="11"/>
  <c r="G253" i="11"/>
  <c r="G76" i="11"/>
  <c r="G274" i="11"/>
  <c r="G97" i="11"/>
  <c r="O57" i="11"/>
  <c r="J175" i="11"/>
  <c r="J293" i="11"/>
  <c r="G93" i="11"/>
  <c r="G176" i="11"/>
  <c r="G258" i="11"/>
  <c r="G81" i="11"/>
  <c r="G248" i="11"/>
  <c r="G71" i="11"/>
  <c r="G268" i="11"/>
  <c r="G91" i="11"/>
  <c r="T91" i="11" s="1"/>
  <c r="G79" i="11"/>
  <c r="T79" i="11" s="1"/>
  <c r="G99" i="11"/>
  <c r="T99" i="11" s="1"/>
  <c r="I175" i="11"/>
  <c r="I352" i="11" s="1"/>
  <c r="G100" i="11"/>
  <c r="G257" i="11"/>
  <c r="G82" i="11"/>
  <c r="G102" i="11"/>
  <c r="T47" i="8"/>
  <c r="P47" i="8"/>
  <c r="P56" i="8"/>
  <c r="Q56" i="8" s="1"/>
  <c r="R56" i="8" s="1"/>
  <c r="S56" i="8" s="1"/>
  <c r="W47" i="8"/>
  <c r="Y47" i="8"/>
  <c r="Z47" i="8"/>
  <c r="AA47" i="8"/>
  <c r="Q47" i="8"/>
  <c r="S47" i="8"/>
  <c r="U47" i="8"/>
  <c r="V47" i="8"/>
  <c r="U59" i="8"/>
  <c r="U160" i="8" s="1"/>
  <c r="AD56" i="8"/>
  <c r="S59" i="8"/>
  <c r="S160" i="8" s="1"/>
  <c r="T59" i="8"/>
  <c r="T160" i="8" s="1"/>
  <c r="V59" i="8"/>
  <c r="V160" i="8" s="1"/>
  <c r="W59" i="8"/>
  <c r="W160" i="8" s="1"/>
  <c r="X59" i="8"/>
  <c r="X160" i="8" s="1"/>
  <c r="Y59" i="8"/>
  <c r="Y160" i="8" s="1"/>
  <c r="Z59" i="8"/>
  <c r="Z160" i="8" s="1"/>
  <c r="AA59" i="8"/>
  <c r="AA160" i="8" s="1"/>
  <c r="AD29" i="8"/>
  <c r="AD44" i="8"/>
  <c r="AD69" i="8"/>
  <c r="P59" i="8"/>
  <c r="P98" i="8" s="1"/>
  <c r="AD12" i="8"/>
  <c r="Q59" i="8"/>
  <c r="Q160" i="8" s="1"/>
  <c r="AD14" i="8"/>
  <c r="AD23" i="8"/>
  <c r="AD32" i="8"/>
  <c r="AD47" i="8"/>
  <c r="AD76" i="8"/>
  <c r="AD35" i="8"/>
  <c r="AD8" i="8"/>
  <c r="AD59" i="8"/>
  <c r="AD20" i="8"/>
  <c r="AD17" i="8"/>
  <c r="AD10" i="8"/>
  <c r="AD41" i="8"/>
  <c r="I16" i="11"/>
  <c r="I252" i="11" s="1"/>
  <c r="I42" i="11"/>
  <c r="J8" i="11"/>
  <c r="J244" i="11" s="1"/>
  <c r="I34" i="11"/>
  <c r="I152" i="11" s="1"/>
  <c r="I211" i="11" s="1"/>
  <c r="I8" i="11"/>
  <c r="I126" i="11" s="1"/>
  <c r="I185" i="11" s="1"/>
  <c r="I28" i="11"/>
  <c r="I264" i="11" s="1"/>
  <c r="I27" i="11"/>
  <c r="I263" i="11" s="1"/>
  <c r="I17" i="11"/>
  <c r="I15" i="11"/>
  <c r="I133" i="11" s="1"/>
  <c r="I192" i="11" s="1"/>
  <c r="I36" i="11"/>
  <c r="I154" i="11" s="1"/>
  <c r="I213" i="11" s="1"/>
  <c r="I38" i="11"/>
  <c r="I23" i="11"/>
  <c r="I141" i="11" s="1"/>
  <c r="I200" i="11" s="1"/>
  <c r="I50" i="11"/>
  <c r="I30" i="11"/>
  <c r="I148" i="11" s="1"/>
  <c r="I207" i="11" s="1"/>
  <c r="J10" i="11"/>
  <c r="J246" i="11" s="1"/>
  <c r="T85" i="11"/>
  <c r="I41" i="11"/>
  <c r="I26" i="11"/>
  <c r="I144" i="11" s="1"/>
  <c r="I203" i="11" s="1"/>
  <c r="J13" i="11"/>
  <c r="I22" i="11"/>
  <c r="I140" i="11" s="1"/>
  <c r="I199" i="11" s="1"/>
  <c r="I9" i="11"/>
  <c r="I127" i="11" s="1"/>
  <c r="I186" i="11" s="1"/>
  <c r="J18" i="11"/>
  <c r="J136" i="11" s="1"/>
  <c r="J195" i="11" s="1"/>
  <c r="J32" i="11"/>
  <c r="J150" i="11" s="1"/>
  <c r="I45" i="11"/>
  <c r="I39" i="11"/>
  <c r="I275" i="11" s="1"/>
  <c r="J11" i="11"/>
  <c r="J20" i="11"/>
  <c r="J256" i="11" s="1"/>
  <c r="I31" i="11"/>
  <c r="I267" i="11" s="1"/>
  <c r="I49" i="11"/>
  <c r="I285" i="11" s="1"/>
  <c r="T87" i="11"/>
  <c r="J27" i="11"/>
  <c r="J263" i="11" s="1"/>
  <c r="I56" i="11"/>
  <c r="J52" i="11"/>
  <c r="I11" i="11"/>
  <c r="I129" i="11" s="1"/>
  <c r="I188" i="11" s="1"/>
  <c r="J28" i="11"/>
  <c r="J264" i="11" s="1"/>
  <c r="J15" i="11"/>
  <c r="J133" i="11" s="1"/>
  <c r="J192" i="11" s="1"/>
  <c r="I51" i="11"/>
  <c r="I53" i="11"/>
  <c r="I29" i="11"/>
  <c r="I265" i="11" s="1"/>
  <c r="I46" i="11"/>
  <c r="I47" i="11"/>
  <c r="T84" i="11"/>
  <c r="I32" i="11"/>
  <c r="I150" i="11" s="1"/>
  <c r="J39" i="11"/>
  <c r="J275" i="11" s="1"/>
  <c r="J49" i="11"/>
  <c r="J285" i="11" s="1"/>
  <c r="K6" i="11"/>
  <c r="K22" i="11" s="1"/>
  <c r="I12" i="11"/>
  <c r="I35" i="11"/>
  <c r="I54" i="11"/>
  <c r="J7" i="11"/>
  <c r="J243" i="11" s="1"/>
  <c r="I48" i="11"/>
  <c r="T78" i="11"/>
  <c r="I19" i="11"/>
  <c r="J19" i="11"/>
  <c r="J37" i="11"/>
  <c r="I37" i="11"/>
  <c r="J33" i="11"/>
  <c r="J42" i="11"/>
  <c r="T90" i="11"/>
  <c r="T109" i="11"/>
  <c r="T105" i="11"/>
  <c r="T74" i="11"/>
  <c r="T67" i="11"/>
  <c r="J24" i="11"/>
  <c r="I24" i="11"/>
  <c r="I14" i="11"/>
  <c r="G58" i="11"/>
  <c r="I21" i="11"/>
  <c r="I25" i="11"/>
  <c r="T72" i="11"/>
  <c r="I44" i="11"/>
  <c r="J44" i="11"/>
  <c r="J14" i="11"/>
  <c r="J22" i="11"/>
  <c r="T100" i="11"/>
  <c r="T71" i="11"/>
  <c r="T95" i="11"/>
  <c r="T76" i="11"/>
  <c r="T81" i="11"/>
  <c r="T86" i="11"/>
  <c r="T106" i="11"/>
  <c r="J29" i="11"/>
  <c r="J47" i="11"/>
  <c r="J12" i="11"/>
  <c r="J34" i="11"/>
  <c r="T82" i="11"/>
  <c r="J56" i="11"/>
  <c r="J51" i="11"/>
  <c r="J46" i="11"/>
  <c r="J41" i="11"/>
  <c r="J36" i="11"/>
  <c r="J31" i="11"/>
  <c r="J26" i="11"/>
  <c r="J21" i="11"/>
  <c r="J53" i="11"/>
  <c r="J48" i="11"/>
  <c r="J43" i="11"/>
  <c r="J38" i="11"/>
  <c r="J40" i="11"/>
  <c r="J276" i="11" s="1"/>
  <c r="J55" i="11"/>
  <c r="J50" i="11"/>
  <c r="J45" i="11"/>
  <c r="J9" i="11"/>
  <c r="I13" i="11"/>
  <c r="J16" i="11"/>
  <c r="I20" i="11"/>
  <c r="J25" i="11"/>
  <c r="I55" i="11"/>
  <c r="T107" i="11"/>
  <c r="J30" i="11"/>
  <c r="T68" i="11"/>
  <c r="T92" i="11"/>
  <c r="J35" i="11"/>
  <c r="T108" i="11"/>
  <c r="I7" i="11"/>
  <c r="I10" i="11"/>
  <c r="J17" i="11"/>
  <c r="T88" i="11"/>
  <c r="T103" i="11"/>
  <c r="T93" i="11"/>
  <c r="I18" i="11"/>
  <c r="J54" i="11"/>
  <c r="I40" i="11"/>
  <c r="I276" i="11" s="1"/>
  <c r="I33" i="11"/>
  <c r="T70" i="11"/>
  <c r="T75" i="11"/>
  <c r="T80" i="11"/>
  <c r="J23" i="11"/>
  <c r="I43" i="11"/>
  <c r="I52" i="11"/>
  <c r="T102" i="11"/>
  <c r="T73" i="11"/>
  <c r="T97" i="11"/>
  <c r="T104" i="11"/>
  <c r="H60" i="10"/>
  <c r="J60" i="10"/>
  <c r="G60" i="10"/>
  <c r="K55" i="10"/>
  <c r="M59" i="10"/>
  <c r="K58" i="10"/>
  <c r="K57" i="10"/>
  <c r="K56" i="10"/>
  <c r="M55" i="10"/>
  <c r="M58" i="10"/>
  <c r="I54" i="10"/>
  <c r="K54" i="10" s="1"/>
  <c r="I53" i="10"/>
  <c r="K53" i="10" s="1"/>
  <c r="I52" i="10"/>
  <c r="M52" i="10" s="1"/>
  <c r="I51" i="10"/>
  <c r="M51" i="10" s="1"/>
  <c r="I50" i="10"/>
  <c r="K50" i="10" s="1"/>
  <c r="I49" i="10"/>
  <c r="K49" i="10" s="1"/>
  <c r="I48" i="10"/>
  <c r="M48" i="10" s="1"/>
  <c r="I47" i="10"/>
  <c r="M47" i="10" s="1"/>
  <c r="I46" i="10"/>
  <c r="K46" i="10" s="1"/>
  <c r="I45" i="10"/>
  <c r="K45" i="10" s="1"/>
  <c r="I44" i="10"/>
  <c r="M44" i="10" s="1"/>
  <c r="I43" i="10"/>
  <c r="M43" i="10" s="1"/>
  <c r="I42" i="10"/>
  <c r="M42" i="10" s="1"/>
  <c r="I41" i="10"/>
  <c r="K41" i="10" s="1"/>
  <c r="I40" i="10"/>
  <c r="M40" i="10" s="1"/>
  <c r="I39" i="10"/>
  <c r="M39" i="10" s="1"/>
  <c r="I38" i="10"/>
  <c r="M38" i="10" s="1"/>
  <c r="I37" i="10"/>
  <c r="M37" i="10" s="1"/>
  <c r="I36" i="10"/>
  <c r="M36" i="10" s="1"/>
  <c r="I35" i="10"/>
  <c r="K35" i="10" s="1"/>
  <c r="I34" i="10"/>
  <c r="M34" i="10" s="1"/>
  <c r="I33" i="10"/>
  <c r="M33" i="10" s="1"/>
  <c r="I32" i="10"/>
  <c r="M32" i="10" s="1"/>
  <c r="I31" i="10"/>
  <c r="K31" i="10" s="1"/>
  <c r="I30" i="10"/>
  <c r="K30" i="10" s="1"/>
  <c r="I29" i="10"/>
  <c r="K29" i="10" s="1"/>
  <c r="I28" i="10"/>
  <c r="M28" i="10" s="1"/>
  <c r="I27" i="10"/>
  <c r="K27" i="10" s="1"/>
  <c r="I26" i="10"/>
  <c r="M26" i="10" s="1"/>
  <c r="I25" i="10"/>
  <c r="K25" i="10" s="1"/>
  <c r="I24" i="10"/>
  <c r="M24" i="10" s="1"/>
  <c r="I23" i="10"/>
  <c r="M23" i="10" s="1"/>
  <c r="I22" i="10"/>
  <c r="K22" i="10" s="1"/>
  <c r="I21" i="10"/>
  <c r="K21" i="10" s="1"/>
  <c r="I20" i="10"/>
  <c r="M20" i="10" s="1"/>
  <c r="I19" i="10"/>
  <c r="M19" i="10" s="1"/>
  <c r="I18" i="10"/>
  <c r="M18" i="10" s="1"/>
  <c r="I17" i="10"/>
  <c r="M17" i="10" s="1"/>
  <c r="I16" i="10"/>
  <c r="M16" i="10" s="1"/>
  <c r="I15" i="10"/>
  <c r="K15" i="10" s="1"/>
  <c r="I14" i="10"/>
  <c r="M14" i="10" s="1"/>
  <c r="I13" i="10"/>
  <c r="M13" i="10" s="1"/>
  <c r="I12" i="10"/>
  <c r="M12" i="10" s="1"/>
  <c r="I11" i="10"/>
  <c r="M11" i="10" s="1"/>
  <c r="I10" i="10"/>
  <c r="K10" i="10" s="1"/>
  <c r="I9" i="10"/>
  <c r="M2" i="10"/>
  <c r="H1538" i="9"/>
  <c r="I1538" i="9" s="1"/>
  <c r="J1538" i="9" s="1"/>
  <c r="K1538" i="9" s="1"/>
  <c r="L1538" i="9" s="1"/>
  <c r="M1538" i="9" s="1"/>
  <c r="N1538" i="9" s="1"/>
  <c r="O1538" i="9" s="1"/>
  <c r="P1538" i="9" s="1"/>
  <c r="Q1538" i="9" s="1"/>
  <c r="R1538" i="9" s="1"/>
  <c r="H1489" i="9"/>
  <c r="I1489" i="9" s="1"/>
  <c r="J1489" i="9" s="1"/>
  <c r="K1489" i="9" s="1"/>
  <c r="L1489" i="9" s="1"/>
  <c r="M1489" i="9" s="1"/>
  <c r="N1489" i="9" s="1"/>
  <c r="O1489" i="9" s="1"/>
  <c r="P1489" i="9" s="1"/>
  <c r="Q1489" i="9" s="1"/>
  <c r="R1489" i="9" s="1"/>
  <c r="H1440" i="9"/>
  <c r="I1440" i="9" s="1"/>
  <c r="J1440" i="9" s="1"/>
  <c r="K1440" i="9" s="1"/>
  <c r="L1440" i="9" s="1"/>
  <c r="M1440" i="9" s="1"/>
  <c r="N1440" i="9" s="1"/>
  <c r="O1440" i="9" s="1"/>
  <c r="P1440" i="9" s="1"/>
  <c r="Q1440" i="9" s="1"/>
  <c r="R1440" i="9" s="1"/>
  <c r="H1391" i="9"/>
  <c r="I1391" i="9" s="1"/>
  <c r="J1391" i="9" s="1"/>
  <c r="K1391" i="9" s="1"/>
  <c r="L1391" i="9" s="1"/>
  <c r="M1391" i="9" s="1"/>
  <c r="N1391" i="9" s="1"/>
  <c r="O1391" i="9" s="1"/>
  <c r="P1391" i="9" s="1"/>
  <c r="Q1391" i="9" s="1"/>
  <c r="R1391" i="9" s="1"/>
  <c r="H1342" i="9"/>
  <c r="I1342" i="9" s="1"/>
  <c r="J1342" i="9" s="1"/>
  <c r="K1342" i="9" s="1"/>
  <c r="L1342" i="9" s="1"/>
  <c r="M1342" i="9" s="1"/>
  <c r="N1342" i="9" s="1"/>
  <c r="O1342" i="9" s="1"/>
  <c r="P1342" i="9" s="1"/>
  <c r="Q1342" i="9" s="1"/>
  <c r="R1342" i="9" s="1"/>
  <c r="H1293" i="9"/>
  <c r="I1293" i="9" s="1"/>
  <c r="J1293" i="9" s="1"/>
  <c r="K1293" i="9" s="1"/>
  <c r="L1293" i="9" s="1"/>
  <c r="M1293" i="9" s="1"/>
  <c r="N1293" i="9" s="1"/>
  <c r="O1293" i="9" s="1"/>
  <c r="P1293" i="9" s="1"/>
  <c r="Q1293" i="9" s="1"/>
  <c r="R1293" i="9" s="1"/>
  <c r="H1244" i="9"/>
  <c r="I1244" i="9" s="1"/>
  <c r="J1244" i="9" s="1"/>
  <c r="K1244" i="9" s="1"/>
  <c r="L1244" i="9" s="1"/>
  <c r="M1244" i="9" s="1"/>
  <c r="N1244" i="9" s="1"/>
  <c r="O1244" i="9" s="1"/>
  <c r="P1244" i="9" s="1"/>
  <c r="Q1244" i="9" s="1"/>
  <c r="R1244" i="9" s="1"/>
  <c r="H1195" i="9"/>
  <c r="I1195" i="9" s="1"/>
  <c r="J1195" i="9" s="1"/>
  <c r="K1195" i="9" s="1"/>
  <c r="L1195" i="9" s="1"/>
  <c r="M1195" i="9" s="1"/>
  <c r="N1195" i="9" s="1"/>
  <c r="O1195" i="9" s="1"/>
  <c r="P1195" i="9" s="1"/>
  <c r="Q1195" i="9" s="1"/>
  <c r="R1195" i="9" s="1"/>
  <c r="H1146" i="9"/>
  <c r="I1146" i="9" s="1"/>
  <c r="J1146" i="9" s="1"/>
  <c r="K1146" i="9" s="1"/>
  <c r="L1146" i="9" s="1"/>
  <c r="M1146" i="9" s="1"/>
  <c r="N1146" i="9" s="1"/>
  <c r="O1146" i="9" s="1"/>
  <c r="P1146" i="9" s="1"/>
  <c r="Q1146" i="9" s="1"/>
  <c r="R1146" i="9" s="1"/>
  <c r="H1097" i="9"/>
  <c r="I1097" i="9" s="1"/>
  <c r="J1097" i="9" s="1"/>
  <c r="K1097" i="9" s="1"/>
  <c r="L1097" i="9" s="1"/>
  <c r="M1097" i="9" s="1"/>
  <c r="N1097" i="9" s="1"/>
  <c r="O1097" i="9" s="1"/>
  <c r="P1097" i="9" s="1"/>
  <c r="Q1097" i="9" s="1"/>
  <c r="R1097" i="9" s="1"/>
  <c r="H1048" i="9"/>
  <c r="I1048" i="9" s="1"/>
  <c r="J1048" i="9" s="1"/>
  <c r="K1048" i="9" s="1"/>
  <c r="L1048" i="9" s="1"/>
  <c r="M1048" i="9" s="1"/>
  <c r="N1048" i="9" s="1"/>
  <c r="O1048" i="9" s="1"/>
  <c r="P1048" i="9" s="1"/>
  <c r="Q1048" i="9" s="1"/>
  <c r="R1048" i="9" s="1"/>
  <c r="H999" i="9"/>
  <c r="I999" i="9" s="1"/>
  <c r="J999" i="9" s="1"/>
  <c r="K999" i="9" s="1"/>
  <c r="L999" i="9" s="1"/>
  <c r="M999" i="9" s="1"/>
  <c r="N999" i="9" s="1"/>
  <c r="O999" i="9" s="1"/>
  <c r="P999" i="9" s="1"/>
  <c r="Q999" i="9" s="1"/>
  <c r="R999" i="9" s="1"/>
  <c r="H950" i="9"/>
  <c r="I950" i="9" s="1"/>
  <c r="J950" i="9" s="1"/>
  <c r="K950" i="9" s="1"/>
  <c r="L950" i="9" s="1"/>
  <c r="M950" i="9" s="1"/>
  <c r="N950" i="9" s="1"/>
  <c r="O950" i="9" s="1"/>
  <c r="P950" i="9" s="1"/>
  <c r="Q950" i="9" s="1"/>
  <c r="R950" i="9" s="1"/>
  <c r="H901" i="9"/>
  <c r="I901" i="9" s="1"/>
  <c r="J901" i="9" s="1"/>
  <c r="K901" i="9" s="1"/>
  <c r="L901" i="9" s="1"/>
  <c r="M901" i="9" s="1"/>
  <c r="N901" i="9" s="1"/>
  <c r="O901" i="9" s="1"/>
  <c r="P901" i="9" s="1"/>
  <c r="Q901" i="9" s="1"/>
  <c r="R901" i="9" s="1"/>
  <c r="H852" i="9"/>
  <c r="I852" i="9" s="1"/>
  <c r="J852" i="9" s="1"/>
  <c r="K852" i="9" s="1"/>
  <c r="L852" i="9" s="1"/>
  <c r="M852" i="9" s="1"/>
  <c r="N852" i="9" s="1"/>
  <c r="O852" i="9" s="1"/>
  <c r="P852" i="9" s="1"/>
  <c r="Q852" i="9" s="1"/>
  <c r="R852" i="9" s="1"/>
  <c r="H803" i="9"/>
  <c r="I803" i="9" s="1"/>
  <c r="J803" i="9" s="1"/>
  <c r="K803" i="9" s="1"/>
  <c r="L803" i="9" s="1"/>
  <c r="M803" i="9" s="1"/>
  <c r="N803" i="9" s="1"/>
  <c r="O803" i="9" s="1"/>
  <c r="P803" i="9" s="1"/>
  <c r="Q803" i="9" s="1"/>
  <c r="R803" i="9" s="1"/>
  <c r="H754" i="9"/>
  <c r="I754" i="9" s="1"/>
  <c r="J754" i="9" s="1"/>
  <c r="K754" i="9" s="1"/>
  <c r="L754" i="9" s="1"/>
  <c r="M754" i="9" s="1"/>
  <c r="N754" i="9" s="1"/>
  <c r="O754" i="9" s="1"/>
  <c r="P754" i="9" s="1"/>
  <c r="Q754" i="9" s="1"/>
  <c r="R754" i="9" s="1"/>
  <c r="H705" i="9"/>
  <c r="I705" i="9" s="1"/>
  <c r="J705" i="9" s="1"/>
  <c r="K705" i="9" s="1"/>
  <c r="L705" i="9" s="1"/>
  <c r="M705" i="9" s="1"/>
  <c r="N705" i="9" s="1"/>
  <c r="O705" i="9" s="1"/>
  <c r="P705" i="9" s="1"/>
  <c r="Q705" i="9" s="1"/>
  <c r="R705" i="9" s="1"/>
  <c r="H656" i="9"/>
  <c r="I656" i="9" s="1"/>
  <c r="J656" i="9" s="1"/>
  <c r="K656" i="9" s="1"/>
  <c r="L656" i="9" s="1"/>
  <c r="M656" i="9" s="1"/>
  <c r="N656" i="9" s="1"/>
  <c r="O656" i="9" s="1"/>
  <c r="P656" i="9" s="1"/>
  <c r="Q656" i="9" s="1"/>
  <c r="R656" i="9" s="1"/>
  <c r="H607" i="9"/>
  <c r="I607" i="9" s="1"/>
  <c r="J607" i="9" s="1"/>
  <c r="K607" i="9" s="1"/>
  <c r="L607" i="9" s="1"/>
  <c r="M607" i="9" s="1"/>
  <c r="N607" i="9" s="1"/>
  <c r="O607" i="9" s="1"/>
  <c r="P607" i="9" s="1"/>
  <c r="Q607" i="9" s="1"/>
  <c r="R607" i="9" s="1"/>
  <c r="H558" i="9"/>
  <c r="I558" i="9" s="1"/>
  <c r="J558" i="9" s="1"/>
  <c r="K558" i="9" s="1"/>
  <c r="L558" i="9" s="1"/>
  <c r="M558" i="9" s="1"/>
  <c r="N558" i="9" s="1"/>
  <c r="O558" i="9" s="1"/>
  <c r="P558" i="9" s="1"/>
  <c r="Q558" i="9" s="1"/>
  <c r="R558" i="9" s="1"/>
  <c r="H509" i="9"/>
  <c r="I509" i="9" s="1"/>
  <c r="J509" i="9" s="1"/>
  <c r="K509" i="9" s="1"/>
  <c r="L509" i="9" s="1"/>
  <c r="M509" i="9" s="1"/>
  <c r="N509" i="9" s="1"/>
  <c r="O509" i="9" s="1"/>
  <c r="P509" i="9" s="1"/>
  <c r="Q509" i="9" s="1"/>
  <c r="R509" i="9" s="1"/>
  <c r="H459" i="9"/>
  <c r="I459" i="9" s="1"/>
  <c r="J459" i="9" s="1"/>
  <c r="K459" i="9" s="1"/>
  <c r="L459" i="9" s="1"/>
  <c r="M459" i="9" s="1"/>
  <c r="N459" i="9" s="1"/>
  <c r="O459" i="9" s="1"/>
  <c r="P459" i="9" s="1"/>
  <c r="Q459" i="9" s="1"/>
  <c r="R459" i="9" s="1"/>
  <c r="H409" i="9"/>
  <c r="I409" i="9" s="1"/>
  <c r="J409" i="9" s="1"/>
  <c r="K409" i="9" s="1"/>
  <c r="L409" i="9" s="1"/>
  <c r="M409" i="9" s="1"/>
  <c r="N409" i="9" s="1"/>
  <c r="O409" i="9" s="1"/>
  <c r="P409" i="9" s="1"/>
  <c r="Q409" i="9" s="1"/>
  <c r="R409" i="9" s="1"/>
  <c r="H359" i="9"/>
  <c r="I359" i="9" s="1"/>
  <c r="J359" i="9" s="1"/>
  <c r="K359" i="9" s="1"/>
  <c r="L359" i="9" s="1"/>
  <c r="M359" i="9" s="1"/>
  <c r="N359" i="9" s="1"/>
  <c r="O359" i="9" s="1"/>
  <c r="P359" i="9" s="1"/>
  <c r="Q359" i="9" s="1"/>
  <c r="R359" i="9" s="1"/>
  <c r="H309" i="9"/>
  <c r="I309" i="9" s="1"/>
  <c r="J309" i="9" s="1"/>
  <c r="K309" i="9" s="1"/>
  <c r="L309" i="9" s="1"/>
  <c r="M309" i="9" s="1"/>
  <c r="N309" i="9" s="1"/>
  <c r="O309" i="9" s="1"/>
  <c r="P309" i="9" s="1"/>
  <c r="Q309" i="9" s="1"/>
  <c r="R309" i="9" s="1"/>
  <c r="H259" i="9"/>
  <c r="I259" i="9" s="1"/>
  <c r="J259" i="9" s="1"/>
  <c r="K259" i="9" s="1"/>
  <c r="L259" i="9" s="1"/>
  <c r="M259" i="9" s="1"/>
  <c r="N259" i="9" s="1"/>
  <c r="O259" i="9" s="1"/>
  <c r="P259" i="9" s="1"/>
  <c r="Q259" i="9" s="1"/>
  <c r="R259" i="9" s="1"/>
  <c r="H209" i="9"/>
  <c r="I209" i="9" s="1"/>
  <c r="J209" i="9" s="1"/>
  <c r="K209" i="9" s="1"/>
  <c r="L209" i="9" s="1"/>
  <c r="M209" i="9" s="1"/>
  <c r="N209" i="9" s="1"/>
  <c r="O209" i="9" s="1"/>
  <c r="P209" i="9" s="1"/>
  <c r="Q209" i="9" s="1"/>
  <c r="R209" i="9" s="1"/>
  <c r="H159" i="9"/>
  <c r="I159" i="9" s="1"/>
  <c r="J159" i="9" s="1"/>
  <c r="K159" i="9" s="1"/>
  <c r="L159" i="9" s="1"/>
  <c r="M159" i="9" s="1"/>
  <c r="N159" i="9" s="1"/>
  <c r="O159" i="9" s="1"/>
  <c r="P159" i="9" s="1"/>
  <c r="Q159" i="9" s="1"/>
  <c r="R159" i="9" s="1"/>
  <c r="H109" i="9"/>
  <c r="I109" i="9" s="1"/>
  <c r="J109" i="9" s="1"/>
  <c r="K109" i="9" s="1"/>
  <c r="L109" i="9" s="1"/>
  <c r="M109" i="9" s="1"/>
  <c r="N109" i="9" s="1"/>
  <c r="O109" i="9" s="1"/>
  <c r="P109" i="9" s="1"/>
  <c r="Q109" i="9" s="1"/>
  <c r="R109" i="9" s="1"/>
  <c r="H59" i="9"/>
  <c r="I59" i="9" s="1"/>
  <c r="J59" i="9" s="1"/>
  <c r="K59" i="9" s="1"/>
  <c r="L59" i="9" s="1"/>
  <c r="M59" i="9" s="1"/>
  <c r="N59" i="9" s="1"/>
  <c r="O59" i="9" s="1"/>
  <c r="P59" i="9" s="1"/>
  <c r="Q59" i="9" s="1"/>
  <c r="R59" i="9" s="1"/>
  <c r="R48" i="9"/>
  <c r="Q48" i="9"/>
  <c r="P48" i="9"/>
  <c r="O48" i="9"/>
  <c r="N48" i="9"/>
  <c r="M48" i="9"/>
  <c r="L48" i="9"/>
  <c r="K48" i="9"/>
  <c r="J48" i="9"/>
  <c r="I48" i="9"/>
  <c r="H48" i="9"/>
  <c r="G48" i="9"/>
  <c r="Q45" i="9"/>
  <c r="P45" i="9"/>
  <c r="O45" i="9"/>
  <c r="N45" i="9"/>
  <c r="M45" i="9"/>
  <c r="L45" i="9"/>
  <c r="K45" i="9"/>
  <c r="J45" i="9"/>
  <c r="I45" i="9"/>
  <c r="H45" i="9"/>
  <c r="G45" i="9"/>
  <c r="R46" i="9"/>
  <c r="Q46" i="9"/>
  <c r="P46" i="9"/>
  <c r="O46" i="9"/>
  <c r="N46" i="9"/>
  <c r="M46" i="9"/>
  <c r="L46" i="9"/>
  <c r="K46" i="9"/>
  <c r="J46" i="9"/>
  <c r="I46" i="9"/>
  <c r="H46" i="9"/>
  <c r="G46" i="9"/>
  <c r="R39" i="9"/>
  <c r="Q39" i="9"/>
  <c r="P39" i="9"/>
  <c r="O39" i="9"/>
  <c r="N39" i="9"/>
  <c r="M39" i="9"/>
  <c r="L39" i="9"/>
  <c r="K39" i="9"/>
  <c r="J39" i="9"/>
  <c r="I39" i="9"/>
  <c r="H39" i="9"/>
  <c r="G39" i="9"/>
  <c r="Q41" i="9"/>
  <c r="P41" i="9"/>
  <c r="O41" i="9"/>
  <c r="N41" i="9"/>
  <c r="M41" i="9"/>
  <c r="L41" i="9"/>
  <c r="K41" i="9"/>
  <c r="J41" i="9"/>
  <c r="I41" i="9"/>
  <c r="H41" i="9"/>
  <c r="G41" i="9"/>
  <c r="R38" i="9"/>
  <c r="AD38" i="9" s="1"/>
  <c r="Q38" i="9"/>
  <c r="AC38" i="9" s="1"/>
  <c r="P38" i="9"/>
  <c r="AB38" i="9" s="1"/>
  <c r="O38" i="9"/>
  <c r="AA38" i="9" s="1"/>
  <c r="N38" i="9"/>
  <c r="Z38" i="9" s="1"/>
  <c r="M38" i="9"/>
  <c r="Y38" i="9" s="1"/>
  <c r="L38" i="9"/>
  <c r="X38" i="9" s="1"/>
  <c r="K38" i="9"/>
  <c r="W38" i="9" s="1"/>
  <c r="J38" i="9"/>
  <c r="V38" i="9" s="1"/>
  <c r="I38" i="9"/>
  <c r="U38" i="9" s="1"/>
  <c r="H38" i="9"/>
  <c r="T38" i="9" s="1"/>
  <c r="G38" i="9"/>
  <c r="S38" i="9" s="1"/>
  <c r="R35" i="9"/>
  <c r="Q35" i="9"/>
  <c r="P35" i="9"/>
  <c r="O35" i="9"/>
  <c r="N35" i="9"/>
  <c r="M35" i="9"/>
  <c r="L35" i="9"/>
  <c r="K35" i="9"/>
  <c r="J35" i="9"/>
  <c r="I35" i="9"/>
  <c r="H35" i="9"/>
  <c r="G35" i="9"/>
  <c r="R32" i="9"/>
  <c r="Q32" i="9"/>
  <c r="P32" i="9"/>
  <c r="O32" i="9"/>
  <c r="N32" i="9"/>
  <c r="M32" i="9"/>
  <c r="L32" i="9"/>
  <c r="K32" i="9"/>
  <c r="J32" i="9"/>
  <c r="I32" i="9"/>
  <c r="H32" i="9"/>
  <c r="G32" i="9"/>
  <c r="Q29" i="9"/>
  <c r="P29" i="9"/>
  <c r="O29" i="9"/>
  <c r="N29" i="9"/>
  <c r="M29" i="9"/>
  <c r="L29" i="9"/>
  <c r="K29" i="9"/>
  <c r="J29" i="9"/>
  <c r="I29" i="9"/>
  <c r="H29" i="9"/>
  <c r="G29" i="9"/>
  <c r="R26" i="9"/>
  <c r="Q26" i="9"/>
  <c r="P26" i="9"/>
  <c r="O26" i="9"/>
  <c r="N26" i="9"/>
  <c r="M26" i="9"/>
  <c r="L26" i="9"/>
  <c r="K26" i="9"/>
  <c r="J26" i="9"/>
  <c r="I26" i="9"/>
  <c r="H26" i="9"/>
  <c r="G26" i="9"/>
  <c r="R23" i="9"/>
  <c r="Q23" i="9"/>
  <c r="P23" i="9"/>
  <c r="O23" i="9"/>
  <c r="N23" i="9"/>
  <c r="M23" i="9"/>
  <c r="L23" i="9"/>
  <c r="K23" i="9"/>
  <c r="J23" i="9"/>
  <c r="I23" i="9"/>
  <c r="H23" i="9"/>
  <c r="G23" i="9"/>
  <c r="R20" i="9"/>
  <c r="Q20" i="9"/>
  <c r="P20" i="9"/>
  <c r="O20" i="9"/>
  <c r="N20" i="9"/>
  <c r="M20" i="9"/>
  <c r="L20" i="9"/>
  <c r="K20" i="9"/>
  <c r="J20" i="9"/>
  <c r="I20" i="9"/>
  <c r="H20" i="9"/>
  <c r="G20" i="9"/>
  <c r="Q17" i="9"/>
  <c r="P17" i="9"/>
  <c r="O17" i="9"/>
  <c r="N17" i="9"/>
  <c r="M17" i="9"/>
  <c r="L17" i="9"/>
  <c r="K17" i="9"/>
  <c r="J17" i="9"/>
  <c r="I17" i="9"/>
  <c r="H17" i="9"/>
  <c r="G17" i="9"/>
  <c r="R16" i="9"/>
  <c r="Q16" i="9"/>
  <c r="P16" i="9"/>
  <c r="O16" i="9"/>
  <c r="N16" i="9"/>
  <c r="M16" i="9"/>
  <c r="L16" i="9"/>
  <c r="K16" i="9"/>
  <c r="J16" i="9"/>
  <c r="I16" i="9"/>
  <c r="H16" i="9"/>
  <c r="G16" i="9"/>
  <c r="Q15" i="9"/>
  <c r="P15" i="9"/>
  <c r="O15" i="9"/>
  <c r="N15" i="9"/>
  <c r="M15" i="9"/>
  <c r="L15" i="9"/>
  <c r="K15" i="9"/>
  <c r="J15" i="9"/>
  <c r="I15" i="9"/>
  <c r="H15" i="9"/>
  <c r="G15" i="9"/>
  <c r="R14" i="9"/>
  <c r="Q14" i="9"/>
  <c r="P14" i="9"/>
  <c r="O14" i="9"/>
  <c r="N14" i="9"/>
  <c r="M14" i="9"/>
  <c r="L14" i="9"/>
  <c r="K14" i="9"/>
  <c r="J14" i="9"/>
  <c r="I14" i="9"/>
  <c r="H14" i="9"/>
  <c r="G14" i="9"/>
  <c r="Q13" i="9"/>
  <c r="P13" i="9"/>
  <c r="O13" i="9"/>
  <c r="N13" i="9"/>
  <c r="M13" i="9"/>
  <c r="L13" i="9"/>
  <c r="K13" i="9"/>
  <c r="J13" i="9"/>
  <c r="I13" i="9"/>
  <c r="H13" i="9"/>
  <c r="G13" i="9"/>
  <c r="R12" i="9"/>
  <c r="Q12" i="9"/>
  <c r="P12" i="9"/>
  <c r="O12" i="9"/>
  <c r="N12" i="9"/>
  <c r="M12" i="9"/>
  <c r="L12" i="9"/>
  <c r="K12" i="9"/>
  <c r="J12" i="9"/>
  <c r="I12" i="9"/>
  <c r="H12" i="9"/>
  <c r="G12" i="9"/>
  <c r="R11" i="9"/>
  <c r="S11" i="9" s="1"/>
  <c r="Q11" i="9"/>
  <c r="P11" i="9"/>
  <c r="O11" i="9"/>
  <c r="N11" i="9"/>
  <c r="M11" i="9"/>
  <c r="L11" i="9"/>
  <c r="K11" i="9"/>
  <c r="J11" i="9"/>
  <c r="I11" i="9"/>
  <c r="H11" i="9"/>
  <c r="G11" i="9"/>
  <c r="AF46" i="9"/>
  <c r="AF45" i="9"/>
  <c r="AF42" i="9"/>
  <c r="AF41" i="9"/>
  <c r="AF38" i="9"/>
  <c r="AF36" i="9"/>
  <c r="AF35" i="9"/>
  <c r="AF33" i="9"/>
  <c r="AF32" i="9"/>
  <c r="AF30" i="9"/>
  <c r="AF29" i="9"/>
  <c r="AF27" i="9"/>
  <c r="AF26" i="9"/>
  <c r="AF24" i="9"/>
  <c r="AF23" i="9"/>
  <c r="AF21" i="9"/>
  <c r="AF20" i="9"/>
  <c r="AF17" i="9"/>
  <c r="AF16" i="9"/>
  <c r="AF15" i="9"/>
  <c r="AF14" i="9"/>
  <c r="AF13" i="9"/>
  <c r="AF12" i="9"/>
  <c r="AF11" i="9"/>
  <c r="C98" i="9"/>
  <c r="C97" i="9"/>
  <c r="C96" i="9"/>
  <c r="C95" i="9"/>
  <c r="C94" i="9"/>
  <c r="C93" i="9"/>
  <c r="C91" i="9"/>
  <c r="C90" i="9"/>
  <c r="C89" i="9"/>
  <c r="C88" i="9"/>
  <c r="C87" i="9"/>
  <c r="C85" i="9"/>
  <c r="C84" i="9"/>
  <c r="C82" i="9"/>
  <c r="C81" i="9"/>
  <c r="C79" i="9"/>
  <c r="C78" i="9"/>
  <c r="C76" i="9"/>
  <c r="C75" i="9"/>
  <c r="C73" i="9"/>
  <c r="C72" i="9"/>
  <c r="C70" i="9"/>
  <c r="C69" i="9"/>
  <c r="C68" i="9"/>
  <c r="C67" i="9"/>
  <c r="C66" i="9"/>
  <c r="C65" i="9"/>
  <c r="C64" i="9"/>
  <c r="C63" i="9"/>
  <c r="C62" i="9"/>
  <c r="C6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11" i="9"/>
  <c r="AH12" i="9"/>
  <c r="AH1532" i="9"/>
  <c r="AH1483" i="9"/>
  <c r="AH1434" i="9"/>
  <c r="AH1385" i="9"/>
  <c r="AH1336" i="9"/>
  <c r="AH1287" i="9"/>
  <c r="AH1238" i="9"/>
  <c r="AH1189" i="9"/>
  <c r="AH1140" i="9"/>
  <c r="AH1091" i="9"/>
  <c r="AH1042" i="9"/>
  <c r="AH993" i="9"/>
  <c r="AH944" i="9"/>
  <c r="AH895" i="9"/>
  <c r="AH846" i="9"/>
  <c r="AH797" i="9"/>
  <c r="AH748" i="9"/>
  <c r="AH699" i="9"/>
  <c r="AH650" i="9"/>
  <c r="AH601" i="9"/>
  <c r="AH552" i="9"/>
  <c r="AH502" i="9"/>
  <c r="AH452" i="9"/>
  <c r="AH402" i="9"/>
  <c r="AH352" i="9"/>
  <c r="AH302" i="9"/>
  <c r="AH252" i="9"/>
  <c r="AH202" i="9"/>
  <c r="AH152" i="9"/>
  <c r="AH102" i="9"/>
  <c r="AH52" i="9"/>
  <c r="AH2" i="9"/>
  <c r="B1577" i="9"/>
  <c r="C1577" i="9" s="1"/>
  <c r="B1576" i="9"/>
  <c r="C1576" i="9" s="1"/>
  <c r="B1575" i="9"/>
  <c r="C1575" i="9" s="1"/>
  <c r="B1574" i="9"/>
  <c r="C1574" i="9" s="1"/>
  <c r="B1573" i="9"/>
  <c r="C1573" i="9" s="1"/>
  <c r="B1572" i="9"/>
  <c r="C1572" i="9" s="1"/>
  <c r="F1571" i="9"/>
  <c r="B1571" i="9"/>
  <c r="B1570" i="9"/>
  <c r="C1570" i="9" s="1"/>
  <c r="B1569" i="9"/>
  <c r="C1569" i="9" s="1"/>
  <c r="B1568" i="9"/>
  <c r="C1568" i="9" s="1"/>
  <c r="B1567" i="9"/>
  <c r="C1567" i="9" s="1"/>
  <c r="B1566" i="9"/>
  <c r="C1566" i="9" s="1"/>
  <c r="F1565" i="9"/>
  <c r="B1565" i="9"/>
  <c r="B1564" i="9"/>
  <c r="C1564" i="9" s="1"/>
  <c r="B1563" i="9"/>
  <c r="C1563" i="9" s="1"/>
  <c r="F1562" i="9"/>
  <c r="B1562" i="9"/>
  <c r="B1561" i="9"/>
  <c r="C1561" i="9" s="1"/>
  <c r="B1560" i="9"/>
  <c r="C1560" i="9" s="1"/>
  <c r="F1559" i="9"/>
  <c r="B1559" i="9"/>
  <c r="B1558" i="9"/>
  <c r="C1558" i="9" s="1"/>
  <c r="B1557" i="9"/>
  <c r="C1557" i="9" s="1"/>
  <c r="F1556" i="9"/>
  <c r="B1556" i="9"/>
  <c r="B1555" i="9"/>
  <c r="C1555" i="9" s="1"/>
  <c r="B1554" i="9"/>
  <c r="C1554" i="9" s="1"/>
  <c r="F1553" i="9"/>
  <c r="B1553" i="9"/>
  <c r="B1552" i="9"/>
  <c r="C1552" i="9" s="1"/>
  <c r="B1551" i="9"/>
  <c r="C1551" i="9" s="1"/>
  <c r="F1550" i="9"/>
  <c r="B1550" i="9"/>
  <c r="B1549" i="9"/>
  <c r="C1549" i="9" s="1"/>
  <c r="B1548" i="9"/>
  <c r="C1548" i="9" s="1"/>
  <c r="B1547" i="9"/>
  <c r="C1547" i="9" s="1"/>
  <c r="B1546" i="9"/>
  <c r="C1546" i="9" s="1"/>
  <c r="B1545" i="9"/>
  <c r="C1545" i="9" s="1"/>
  <c r="B1544" i="9"/>
  <c r="C1544" i="9" s="1"/>
  <c r="B1543" i="9"/>
  <c r="C1543" i="9" s="1"/>
  <c r="B1542" i="9"/>
  <c r="C1542" i="9" s="1"/>
  <c r="B1541" i="9"/>
  <c r="C1541" i="9" s="1"/>
  <c r="B1540" i="9"/>
  <c r="C1540" i="9" s="1"/>
  <c r="B1539" i="9"/>
  <c r="B1538" i="9"/>
  <c r="B1537" i="9"/>
  <c r="B1536" i="9"/>
  <c r="B1535" i="9"/>
  <c r="B1534" i="9"/>
  <c r="B1533" i="9"/>
  <c r="B1528" i="9"/>
  <c r="C1528" i="9" s="1"/>
  <c r="B1527" i="9"/>
  <c r="C1527" i="9" s="1"/>
  <c r="B1526" i="9"/>
  <c r="C1526" i="9" s="1"/>
  <c r="B1525" i="9"/>
  <c r="C1525" i="9" s="1"/>
  <c r="B1524" i="9"/>
  <c r="C1524" i="9" s="1"/>
  <c r="B1523" i="9"/>
  <c r="C1523" i="9" s="1"/>
  <c r="F1522" i="9"/>
  <c r="B1522" i="9"/>
  <c r="B1521" i="9"/>
  <c r="C1521" i="9" s="1"/>
  <c r="B1520" i="9"/>
  <c r="C1520" i="9" s="1"/>
  <c r="B1519" i="9"/>
  <c r="C1519" i="9" s="1"/>
  <c r="B1518" i="9"/>
  <c r="C1518" i="9" s="1"/>
  <c r="B1517" i="9"/>
  <c r="C1517" i="9" s="1"/>
  <c r="F1516" i="9"/>
  <c r="B1516" i="9"/>
  <c r="B1515" i="9"/>
  <c r="C1515" i="9" s="1"/>
  <c r="B1514" i="9"/>
  <c r="C1514" i="9" s="1"/>
  <c r="F1513" i="9"/>
  <c r="B1513" i="9"/>
  <c r="B1512" i="9"/>
  <c r="C1512" i="9" s="1"/>
  <c r="B1511" i="9"/>
  <c r="C1511" i="9" s="1"/>
  <c r="F1510" i="9"/>
  <c r="B1510" i="9"/>
  <c r="B1509" i="9"/>
  <c r="C1509" i="9" s="1"/>
  <c r="B1508" i="9"/>
  <c r="C1508" i="9" s="1"/>
  <c r="F1507" i="9"/>
  <c r="B1507" i="9"/>
  <c r="B1506" i="9"/>
  <c r="C1506" i="9" s="1"/>
  <c r="B1505" i="9"/>
  <c r="C1505" i="9" s="1"/>
  <c r="F1504" i="9"/>
  <c r="C1504" i="9" s="1"/>
  <c r="B1504" i="9"/>
  <c r="B1503" i="9"/>
  <c r="C1503" i="9" s="1"/>
  <c r="B1502" i="9"/>
  <c r="C1502" i="9" s="1"/>
  <c r="F1501" i="9"/>
  <c r="B1501" i="9"/>
  <c r="B1500" i="9"/>
  <c r="C1500" i="9" s="1"/>
  <c r="B1499" i="9"/>
  <c r="C1499" i="9" s="1"/>
  <c r="B1498" i="9"/>
  <c r="C1498" i="9" s="1"/>
  <c r="B1497" i="9"/>
  <c r="C1497" i="9" s="1"/>
  <c r="B1496" i="9"/>
  <c r="C1496" i="9" s="1"/>
  <c r="B1495" i="9"/>
  <c r="C1495" i="9" s="1"/>
  <c r="B1494" i="9"/>
  <c r="C1494" i="9" s="1"/>
  <c r="B1493" i="9"/>
  <c r="C1493" i="9" s="1"/>
  <c r="B1492" i="9"/>
  <c r="C1492" i="9" s="1"/>
  <c r="B1491" i="9"/>
  <c r="C1491" i="9" s="1"/>
  <c r="B1490" i="9"/>
  <c r="B1489" i="9"/>
  <c r="B1488" i="9"/>
  <c r="B1487" i="9"/>
  <c r="B1486" i="9"/>
  <c r="B1485" i="9"/>
  <c r="B1484" i="9"/>
  <c r="B1479" i="9"/>
  <c r="C1479" i="9" s="1"/>
  <c r="B1478" i="9"/>
  <c r="C1478" i="9" s="1"/>
  <c r="B1477" i="9"/>
  <c r="C1477" i="9" s="1"/>
  <c r="B1476" i="9"/>
  <c r="C1476" i="9" s="1"/>
  <c r="B1475" i="9"/>
  <c r="C1475" i="9" s="1"/>
  <c r="B1474" i="9"/>
  <c r="C1474" i="9" s="1"/>
  <c r="F1473" i="9"/>
  <c r="B1473" i="9"/>
  <c r="B1472" i="9"/>
  <c r="C1472" i="9" s="1"/>
  <c r="B1471" i="9"/>
  <c r="C1471" i="9" s="1"/>
  <c r="B1470" i="9"/>
  <c r="C1470" i="9" s="1"/>
  <c r="B1469" i="9"/>
  <c r="C1469" i="9" s="1"/>
  <c r="B1468" i="9"/>
  <c r="C1468" i="9" s="1"/>
  <c r="F1467" i="9"/>
  <c r="B1467" i="9"/>
  <c r="B1466" i="9"/>
  <c r="C1466" i="9" s="1"/>
  <c r="B1465" i="9"/>
  <c r="C1465" i="9" s="1"/>
  <c r="F1464" i="9"/>
  <c r="B1464" i="9"/>
  <c r="B1463" i="9"/>
  <c r="C1463" i="9" s="1"/>
  <c r="B1462" i="9"/>
  <c r="C1462" i="9" s="1"/>
  <c r="F1461" i="9"/>
  <c r="B1461" i="9"/>
  <c r="B1460" i="9"/>
  <c r="C1460" i="9" s="1"/>
  <c r="B1459" i="9"/>
  <c r="C1459" i="9" s="1"/>
  <c r="F1458" i="9"/>
  <c r="B1458" i="9"/>
  <c r="B1457" i="9"/>
  <c r="C1457" i="9" s="1"/>
  <c r="B1456" i="9"/>
  <c r="C1456" i="9" s="1"/>
  <c r="F1455" i="9"/>
  <c r="B1455" i="9"/>
  <c r="B1454" i="9"/>
  <c r="C1454" i="9" s="1"/>
  <c r="B1453" i="9"/>
  <c r="C1453" i="9" s="1"/>
  <c r="F1452" i="9"/>
  <c r="B1452" i="9"/>
  <c r="B1451" i="9"/>
  <c r="C1451" i="9" s="1"/>
  <c r="B1450" i="9"/>
  <c r="C1450" i="9" s="1"/>
  <c r="B1449" i="9"/>
  <c r="C1449" i="9" s="1"/>
  <c r="B1448" i="9"/>
  <c r="C1448" i="9" s="1"/>
  <c r="B1447" i="9"/>
  <c r="C1447" i="9" s="1"/>
  <c r="B1446" i="9"/>
  <c r="C1446" i="9" s="1"/>
  <c r="B1445" i="9"/>
  <c r="C1445" i="9" s="1"/>
  <c r="B1444" i="9"/>
  <c r="C1444" i="9" s="1"/>
  <c r="B1443" i="9"/>
  <c r="C1443" i="9" s="1"/>
  <c r="B1442" i="9"/>
  <c r="C1442" i="9" s="1"/>
  <c r="B1441" i="9"/>
  <c r="B1440" i="9"/>
  <c r="B1439" i="9"/>
  <c r="B1438" i="9"/>
  <c r="B1437" i="9"/>
  <c r="B1436" i="9"/>
  <c r="B1435" i="9"/>
  <c r="B1430" i="9"/>
  <c r="C1430" i="9" s="1"/>
  <c r="B1429" i="9"/>
  <c r="C1429" i="9" s="1"/>
  <c r="B1428" i="9"/>
  <c r="C1428" i="9" s="1"/>
  <c r="B1427" i="9"/>
  <c r="C1427" i="9" s="1"/>
  <c r="B1426" i="9"/>
  <c r="C1426" i="9" s="1"/>
  <c r="B1425" i="9"/>
  <c r="C1425" i="9" s="1"/>
  <c r="F1424" i="9"/>
  <c r="B1424" i="9"/>
  <c r="B1423" i="9"/>
  <c r="C1423" i="9" s="1"/>
  <c r="B1422" i="9"/>
  <c r="C1422" i="9" s="1"/>
  <c r="B1421" i="9"/>
  <c r="C1421" i="9" s="1"/>
  <c r="B1420" i="9"/>
  <c r="C1420" i="9" s="1"/>
  <c r="B1419" i="9"/>
  <c r="C1419" i="9" s="1"/>
  <c r="F1418" i="9"/>
  <c r="B1418" i="9"/>
  <c r="B1417" i="9"/>
  <c r="C1417" i="9" s="1"/>
  <c r="B1416" i="9"/>
  <c r="C1416" i="9" s="1"/>
  <c r="F1415" i="9"/>
  <c r="B1415" i="9"/>
  <c r="B1414" i="9"/>
  <c r="C1414" i="9" s="1"/>
  <c r="B1413" i="9"/>
  <c r="C1413" i="9" s="1"/>
  <c r="F1412" i="9"/>
  <c r="B1412" i="9"/>
  <c r="B1411" i="9"/>
  <c r="C1411" i="9" s="1"/>
  <c r="B1410" i="9"/>
  <c r="C1410" i="9" s="1"/>
  <c r="F1409" i="9"/>
  <c r="B1409" i="9"/>
  <c r="B1408" i="9"/>
  <c r="C1408" i="9" s="1"/>
  <c r="B1407" i="9"/>
  <c r="C1407" i="9" s="1"/>
  <c r="F1406" i="9"/>
  <c r="B1406" i="9"/>
  <c r="B1405" i="9"/>
  <c r="C1405" i="9" s="1"/>
  <c r="B1404" i="9"/>
  <c r="C1404" i="9" s="1"/>
  <c r="F1403" i="9"/>
  <c r="B1403" i="9"/>
  <c r="B1402" i="9"/>
  <c r="C1402" i="9" s="1"/>
  <c r="B1401" i="9"/>
  <c r="C1401" i="9" s="1"/>
  <c r="B1400" i="9"/>
  <c r="C1400" i="9" s="1"/>
  <c r="B1399" i="9"/>
  <c r="C1399" i="9" s="1"/>
  <c r="B1398" i="9"/>
  <c r="C1398" i="9" s="1"/>
  <c r="B1397" i="9"/>
  <c r="C1397" i="9" s="1"/>
  <c r="B1396" i="9"/>
  <c r="C1396" i="9" s="1"/>
  <c r="B1395" i="9"/>
  <c r="C1395" i="9" s="1"/>
  <c r="B1394" i="9"/>
  <c r="C1394" i="9" s="1"/>
  <c r="B1393" i="9"/>
  <c r="C1393" i="9" s="1"/>
  <c r="B1392" i="9"/>
  <c r="B1391" i="9"/>
  <c r="B1390" i="9"/>
  <c r="B1389" i="9"/>
  <c r="B1388" i="9"/>
  <c r="B1387" i="9"/>
  <c r="B1386" i="9"/>
  <c r="B1381" i="9"/>
  <c r="C1381" i="9" s="1"/>
  <c r="B1380" i="9"/>
  <c r="C1380" i="9" s="1"/>
  <c r="B1379" i="9"/>
  <c r="C1379" i="9" s="1"/>
  <c r="B1378" i="9"/>
  <c r="C1378" i="9" s="1"/>
  <c r="B1377" i="9"/>
  <c r="C1377" i="9" s="1"/>
  <c r="B1376" i="9"/>
  <c r="C1376" i="9" s="1"/>
  <c r="F1375" i="9"/>
  <c r="B1375" i="9"/>
  <c r="C1375" i="9" s="1"/>
  <c r="B1374" i="9"/>
  <c r="C1374" i="9" s="1"/>
  <c r="B1373" i="9"/>
  <c r="C1373" i="9" s="1"/>
  <c r="B1372" i="9"/>
  <c r="C1372" i="9" s="1"/>
  <c r="B1371" i="9"/>
  <c r="C1371" i="9" s="1"/>
  <c r="B1370" i="9"/>
  <c r="C1370" i="9" s="1"/>
  <c r="F1369" i="9"/>
  <c r="B1369" i="9"/>
  <c r="B1368" i="9"/>
  <c r="C1368" i="9" s="1"/>
  <c r="B1367" i="9"/>
  <c r="C1367" i="9" s="1"/>
  <c r="F1366" i="9"/>
  <c r="B1366" i="9"/>
  <c r="B1365" i="9"/>
  <c r="C1365" i="9" s="1"/>
  <c r="B1364" i="9"/>
  <c r="C1364" i="9" s="1"/>
  <c r="F1363" i="9"/>
  <c r="B1363" i="9"/>
  <c r="B1362" i="9"/>
  <c r="C1362" i="9" s="1"/>
  <c r="B1361" i="9"/>
  <c r="C1361" i="9" s="1"/>
  <c r="F1360" i="9"/>
  <c r="B1360" i="9"/>
  <c r="B1359" i="9"/>
  <c r="C1359" i="9" s="1"/>
  <c r="B1358" i="9"/>
  <c r="C1358" i="9" s="1"/>
  <c r="F1357" i="9"/>
  <c r="B1357" i="9"/>
  <c r="B1356" i="9"/>
  <c r="C1356" i="9" s="1"/>
  <c r="B1355" i="9"/>
  <c r="C1355" i="9" s="1"/>
  <c r="F1354" i="9"/>
  <c r="B1354" i="9"/>
  <c r="B1353" i="9"/>
  <c r="C1353" i="9" s="1"/>
  <c r="B1352" i="9"/>
  <c r="C1352" i="9" s="1"/>
  <c r="B1351" i="9"/>
  <c r="C1351" i="9" s="1"/>
  <c r="B1350" i="9"/>
  <c r="C1350" i="9" s="1"/>
  <c r="B1349" i="9"/>
  <c r="C1349" i="9" s="1"/>
  <c r="B1348" i="9"/>
  <c r="C1348" i="9" s="1"/>
  <c r="B1347" i="9"/>
  <c r="C1347" i="9" s="1"/>
  <c r="B1346" i="9"/>
  <c r="C1346" i="9" s="1"/>
  <c r="B1345" i="9"/>
  <c r="C1345" i="9" s="1"/>
  <c r="B1344" i="9"/>
  <c r="C1344" i="9" s="1"/>
  <c r="B1343" i="9"/>
  <c r="B1342" i="9"/>
  <c r="B1341" i="9"/>
  <c r="B1340" i="9"/>
  <c r="B1339" i="9"/>
  <c r="B1338" i="9"/>
  <c r="B1337" i="9"/>
  <c r="B1332" i="9"/>
  <c r="C1332" i="9" s="1"/>
  <c r="B1331" i="9"/>
  <c r="C1331" i="9" s="1"/>
  <c r="B1330" i="9"/>
  <c r="C1330" i="9" s="1"/>
  <c r="B1329" i="9"/>
  <c r="C1329" i="9" s="1"/>
  <c r="B1328" i="9"/>
  <c r="C1328" i="9" s="1"/>
  <c r="B1327" i="9"/>
  <c r="C1327" i="9" s="1"/>
  <c r="F1326" i="9"/>
  <c r="B1326" i="9"/>
  <c r="B1325" i="9"/>
  <c r="C1325" i="9" s="1"/>
  <c r="B1324" i="9"/>
  <c r="C1324" i="9" s="1"/>
  <c r="B1323" i="9"/>
  <c r="C1323" i="9" s="1"/>
  <c r="B1322" i="9"/>
  <c r="C1322" i="9" s="1"/>
  <c r="B1321" i="9"/>
  <c r="C1321" i="9" s="1"/>
  <c r="F1320" i="9"/>
  <c r="C1320" i="9" s="1"/>
  <c r="B1320" i="9"/>
  <c r="B1319" i="9"/>
  <c r="C1319" i="9" s="1"/>
  <c r="B1318" i="9"/>
  <c r="C1318" i="9" s="1"/>
  <c r="F1317" i="9"/>
  <c r="B1317" i="9"/>
  <c r="B1316" i="9"/>
  <c r="C1316" i="9" s="1"/>
  <c r="B1315" i="9"/>
  <c r="C1315" i="9" s="1"/>
  <c r="F1314" i="9"/>
  <c r="B1314" i="9"/>
  <c r="B1313" i="9"/>
  <c r="C1313" i="9" s="1"/>
  <c r="B1312" i="9"/>
  <c r="C1312" i="9" s="1"/>
  <c r="F1311" i="9"/>
  <c r="B1311" i="9"/>
  <c r="B1310" i="9"/>
  <c r="C1310" i="9" s="1"/>
  <c r="B1309" i="9"/>
  <c r="C1309" i="9" s="1"/>
  <c r="F1308" i="9"/>
  <c r="B1308" i="9"/>
  <c r="B1307" i="9"/>
  <c r="C1307" i="9" s="1"/>
  <c r="B1306" i="9"/>
  <c r="C1306" i="9" s="1"/>
  <c r="F1305" i="9"/>
  <c r="B1305" i="9"/>
  <c r="B1304" i="9"/>
  <c r="C1304" i="9" s="1"/>
  <c r="B1303" i="9"/>
  <c r="C1303" i="9" s="1"/>
  <c r="B1302" i="9"/>
  <c r="C1302" i="9" s="1"/>
  <c r="B1301" i="9"/>
  <c r="C1301" i="9" s="1"/>
  <c r="B1300" i="9"/>
  <c r="C1300" i="9" s="1"/>
  <c r="B1299" i="9"/>
  <c r="C1299" i="9" s="1"/>
  <c r="B1298" i="9"/>
  <c r="C1298" i="9" s="1"/>
  <c r="B1297" i="9"/>
  <c r="C1297" i="9" s="1"/>
  <c r="B1296" i="9"/>
  <c r="C1296" i="9" s="1"/>
  <c r="B1295" i="9"/>
  <c r="C1295" i="9" s="1"/>
  <c r="B1294" i="9"/>
  <c r="B1293" i="9"/>
  <c r="B1292" i="9"/>
  <c r="B1291" i="9"/>
  <c r="B1290" i="9"/>
  <c r="B1289" i="9"/>
  <c r="B1288" i="9"/>
  <c r="B1283" i="9"/>
  <c r="C1283" i="9" s="1"/>
  <c r="B1282" i="9"/>
  <c r="C1282" i="9" s="1"/>
  <c r="B1281" i="9"/>
  <c r="C1281" i="9" s="1"/>
  <c r="B1280" i="9"/>
  <c r="C1280" i="9" s="1"/>
  <c r="B1279" i="9"/>
  <c r="C1279" i="9" s="1"/>
  <c r="B1278" i="9"/>
  <c r="C1278" i="9" s="1"/>
  <c r="F1277" i="9"/>
  <c r="B1277" i="9"/>
  <c r="B1276" i="9"/>
  <c r="C1276" i="9" s="1"/>
  <c r="B1275" i="9"/>
  <c r="C1275" i="9" s="1"/>
  <c r="B1274" i="9"/>
  <c r="C1274" i="9" s="1"/>
  <c r="B1273" i="9"/>
  <c r="C1273" i="9" s="1"/>
  <c r="B1272" i="9"/>
  <c r="C1272" i="9" s="1"/>
  <c r="F1271" i="9"/>
  <c r="B1271" i="9"/>
  <c r="B1270" i="9"/>
  <c r="C1270" i="9" s="1"/>
  <c r="B1269" i="9"/>
  <c r="C1269" i="9" s="1"/>
  <c r="F1268" i="9"/>
  <c r="B1268" i="9"/>
  <c r="B1267" i="9"/>
  <c r="C1267" i="9" s="1"/>
  <c r="B1266" i="9"/>
  <c r="C1266" i="9" s="1"/>
  <c r="F1265" i="9"/>
  <c r="B1265" i="9"/>
  <c r="B1264" i="9"/>
  <c r="C1264" i="9" s="1"/>
  <c r="B1263" i="9"/>
  <c r="C1263" i="9" s="1"/>
  <c r="F1262" i="9"/>
  <c r="B1262" i="9"/>
  <c r="B1261" i="9"/>
  <c r="C1261" i="9" s="1"/>
  <c r="B1260" i="9"/>
  <c r="C1260" i="9" s="1"/>
  <c r="F1259" i="9"/>
  <c r="B1259" i="9"/>
  <c r="B1258" i="9"/>
  <c r="C1258" i="9" s="1"/>
  <c r="B1257" i="9"/>
  <c r="C1257" i="9" s="1"/>
  <c r="F1256" i="9"/>
  <c r="B1256" i="9"/>
  <c r="B1255" i="9"/>
  <c r="C1255" i="9" s="1"/>
  <c r="B1254" i="9"/>
  <c r="C1254" i="9" s="1"/>
  <c r="B1253" i="9"/>
  <c r="C1253" i="9" s="1"/>
  <c r="B1252" i="9"/>
  <c r="C1252" i="9" s="1"/>
  <c r="B1251" i="9"/>
  <c r="C1251" i="9" s="1"/>
  <c r="B1250" i="9"/>
  <c r="C1250" i="9" s="1"/>
  <c r="B1249" i="9"/>
  <c r="C1249" i="9" s="1"/>
  <c r="B1248" i="9"/>
  <c r="C1248" i="9" s="1"/>
  <c r="B1247" i="9"/>
  <c r="C1247" i="9" s="1"/>
  <c r="B1246" i="9"/>
  <c r="C1246" i="9" s="1"/>
  <c r="B1245" i="9"/>
  <c r="B1244" i="9"/>
  <c r="B1243" i="9"/>
  <c r="B1242" i="9"/>
  <c r="B1241" i="9"/>
  <c r="B1240" i="9"/>
  <c r="B1239" i="9"/>
  <c r="B1234" i="9"/>
  <c r="C1234" i="9" s="1"/>
  <c r="B1233" i="9"/>
  <c r="C1233" i="9" s="1"/>
  <c r="B1232" i="9"/>
  <c r="C1232" i="9" s="1"/>
  <c r="B1231" i="9"/>
  <c r="C1231" i="9" s="1"/>
  <c r="B1230" i="9"/>
  <c r="C1230" i="9" s="1"/>
  <c r="B1229" i="9"/>
  <c r="C1229" i="9" s="1"/>
  <c r="F1228" i="9"/>
  <c r="B1228" i="9"/>
  <c r="B1227" i="9"/>
  <c r="C1227" i="9" s="1"/>
  <c r="B1226" i="9"/>
  <c r="C1226" i="9" s="1"/>
  <c r="B1225" i="9"/>
  <c r="C1225" i="9" s="1"/>
  <c r="B1224" i="9"/>
  <c r="C1224" i="9" s="1"/>
  <c r="B1223" i="9"/>
  <c r="C1223" i="9" s="1"/>
  <c r="F1222" i="9"/>
  <c r="C1222" i="9" s="1"/>
  <c r="B1222" i="9"/>
  <c r="B1221" i="9"/>
  <c r="C1221" i="9" s="1"/>
  <c r="B1220" i="9"/>
  <c r="C1220" i="9" s="1"/>
  <c r="F1219" i="9"/>
  <c r="C1219" i="9" s="1"/>
  <c r="B1219" i="9"/>
  <c r="B1218" i="9"/>
  <c r="C1218" i="9" s="1"/>
  <c r="B1217" i="9"/>
  <c r="C1217" i="9" s="1"/>
  <c r="F1216" i="9"/>
  <c r="B1216" i="9"/>
  <c r="B1215" i="9"/>
  <c r="C1215" i="9" s="1"/>
  <c r="B1214" i="9"/>
  <c r="C1214" i="9" s="1"/>
  <c r="F1213" i="9"/>
  <c r="B1213" i="9"/>
  <c r="B1212" i="9"/>
  <c r="C1212" i="9" s="1"/>
  <c r="B1211" i="9"/>
  <c r="C1211" i="9" s="1"/>
  <c r="F1210" i="9"/>
  <c r="B1210" i="9"/>
  <c r="B1209" i="9"/>
  <c r="C1209" i="9" s="1"/>
  <c r="B1208" i="9"/>
  <c r="C1208" i="9" s="1"/>
  <c r="F1207" i="9"/>
  <c r="B1207" i="9"/>
  <c r="B1206" i="9"/>
  <c r="C1206" i="9" s="1"/>
  <c r="B1205" i="9"/>
  <c r="C1205" i="9" s="1"/>
  <c r="B1204" i="9"/>
  <c r="C1204" i="9" s="1"/>
  <c r="B1203" i="9"/>
  <c r="C1203" i="9" s="1"/>
  <c r="B1202" i="9"/>
  <c r="C1202" i="9" s="1"/>
  <c r="B1201" i="9"/>
  <c r="C1201" i="9" s="1"/>
  <c r="B1200" i="9"/>
  <c r="C1200" i="9" s="1"/>
  <c r="B1199" i="9"/>
  <c r="C1199" i="9" s="1"/>
  <c r="B1198" i="9"/>
  <c r="C1198" i="9" s="1"/>
  <c r="B1197" i="9"/>
  <c r="C1197" i="9" s="1"/>
  <c r="B1196" i="9"/>
  <c r="B1195" i="9"/>
  <c r="B1194" i="9"/>
  <c r="B1193" i="9"/>
  <c r="B1192" i="9"/>
  <c r="B1191" i="9"/>
  <c r="B1190" i="9"/>
  <c r="B1185" i="9"/>
  <c r="C1185" i="9" s="1"/>
  <c r="B1184" i="9"/>
  <c r="C1184" i="9" s="1"/>
  <c r="B1183" i="9"/>
  <c r="C1183" i="9" s="1"/>
  <c r="B1182" i="9"/>
  <c r="C1182" i="9" s="1"/>
  <c r="B1181" i="9"/>
  <c r="C1181" i="9" s="1"/>
  <c r="B1180" i="9"/>
  <c r="C1180" i="9" s="1"/>
  <c r="F1179" i="9"/>
  <c r="B1179" i="9"/>
  <c r="B1178" i="9"/>
  <c r="C1178" i="9" s="1"/>
  <c r="B1177" i="9"/>
  <c r="C1177" i="9" s="1"/>
  <c r="B1176" i="9"/>
  <c r="C1176" i="9" s="1"/>
  <c r="B1175" i="9"/>
  <c r="C1175" i="9" s="1"/>
  <c r="B1174" i="9"/>
  <c r="C1174" i="9" s="1"/>
  <c r="F1173" i="9"/>
  <c r="B1173" i="9"/>
  <c r="B1172" i="9"/>
  <c r="C1172" i="9" s="1"/>
  <c r="B1171" i="9"/>
  <c r="C1171" i="9" s="1"/>
  <c r="F1170" i="9"/>
  <c r="B1170" i="9"/>
  <c r="B1169" i="9"/>
  <c r="C1169" i="9" s="1"/>
  <c r="B1168" i="9"/>
  <c r="C1168" i="9" s="1"/>
  <c r="F1167" i="9"/>
  <c r="B1167" i="9"/>
  <c r="B1166" i="9"/>
  <c r="C1166" i="9" s="1"/>
  <c r="B1165" i="9"/>
  <c r="C1165" i="9" s="1"/>
  <c r="F1164" i="9"/>
  <c r="B1164" i="9"/>
  <c r="B1163" i="9"/>
  <c r="C1163" i="9" s="1"/>
  <c r="B1162" i="9"/>
  <c r="C1162" i="9" s="1"/>
  <c r="F1161" i="9"/>
  <c r="B1161" i="9"/>
  <c r="B1160" i="9"/>
  <c r="C1160" i="9" s="1"/>
  <c r="B1159" i="9"/>
  <c r="C1159" i="9" s="1"/>
  <c r="F1158" i="9"/>
  <c r="B1158" i="9"/>
  <c r="B1157" i="9"/>
  <c r="C1157" i="9" s="1"/>
  <c r="B1156" i="9"/>
  <c r="C1156" i="9" s="1"/>
  <c r="B1155" i="9"/>
  <c r="C1155" i="9" s="1"/>
  <c r="B1154" i="9"/>
  <c r="C1154" i="9" s="1"/>
  <c r="B1153" i="9"/>
  <c r="C1153" i="9" s="1"/>
  <c r="B1152" i="9"/>
  <c r="C1152" i="9" s="1"/>
  <c r="B1151" i="9"/>
  <c r="C1151" i="9" s="1"/>
  <c r="B1150" i="9"/>
  <c r="C1150" i="9" s="1"/>
  <c r="B1149" i="9"/>
  <c r="C1149" i="9" s="1"/>
  <c r="B1148" i="9"/>
  <c r="C1148" i="9" s="1"/>
  <c r="B1147" i="9"/>
  <c r="B1146" i="9"/>
  <c r="B1145" i="9"/>
  <c r="B1144" i="9"/>
  <c r="B1143" i="9"/>
  <c r="B1142" i="9"/>
  <c r="B1141" i="9"/>
  <c r="B1136" i="9"/>
  <c r="C1136" i="9" s="1"/>
  <c r="B1135" i="9"/>
  <c r="C1135" i="9" s="1"/>
  <c r="B1134" i="9"/>
  <c r="C1134" i="9" s="1"/>
  <c r="B1133" i="9"/>
  <c r="C1133" i="9" s="1"/>
  <c r="B1132" i="9"/>
  <c r="C1132" i="9" s="1"/>
  <c r="B1131" i="9"/>
  <c r="C1131" i="9" s="1"/>
  <c r="F1130" i="9"/>
  <c r="B1130" i="9"/>
  <c r="B1129" i="9"/>
  <c r="C1129" i="9" s="1"/>
  <c r="B1128" i="9"/>
  <c r="C1128" i="9" s="1"/>
  <c r="B1127" i="9"/>
  <c r="C1127" i="9" s="1"/>
  <c r="B1126" i="9"/>
  <c r="C1126" i="9" s="1"/>
  <c r="B1125" i="9"/>
  <c r="C1125" i="9" s="1"/>
  <c r="F1124" i="9"/>
  <c r="B1124" i="9"/>
  <c r="B1123" i="9"/>
  <c r="C1123" i="9" s="1"/>
  <c r="B1122" i="9"/>
  <c r="C1122" i="9" s="1"/>
  <c r="F1121" i="9"/>
  <c r="B1121" i="9"/>
  <c r="B1120" i="9"/>
  <c r="C1120" i="9" s="1"/>
  <c r="B1119" i="9"/>
  <c r="C1119" i="9" s="1"/>
  <c r="F1118" i="9"/>
  <c r="B1118" i="9"/>
  <c r="B1117" i="9"/>
  <c r="C1117" i="9" s="1"/>
  <c r="B1116" i="9"/>
  <c r="C1116" i="9" s="1"/>
  <c r="F1115" i="9"/>
  <c r="B1115" i="9"/>
  <c r="B1114" i="9"/>
  <c r="C1114" i="9" s="1"/>
  <c r="B1113" i="9"/>
  <c r="C1113" i="9" s="1"/>
  <c r="F1112" i="9"/>
  <c r="B1112" i="9"/>
  <c r="B1111" i="9"/>
  <c r="C1111" i="9" s="1"/>
  <c r="B1110" i="9"/>
  <c r="C1110" i="9" s="1"/>
  <c r="F1109" i="9"/>
  <c r="B1109" i="9"/>
  <c r="B1108" i="9"/>
  <c r="C1108" i="9" s="1"/>
  <c r="B1107" i="9"/>
  <c r="C1107" i="9" s="1"/>
  <c r="B1106" i="9"/>
  <c r="C1106" i="9" s="1"/>
  <c r="B1105" i="9"/>
  <c r="C1105" i="9" s="1"/>
  <c r="B1104" i="9"/>
  <c r="C1104" i="9" s="1"/>
  <c r="B1103" i="9"/>
  <c r="C1103" i="9" s="1"/>
  <c r="B1102" i="9"/>
  <c r="C1102" i="9" s="1"/>
  <c r="B1101" i="9"/>
  <c r="C1101" i="9" s="1"/>
  <c r="B1100" i="9"/>
  <c r="C1100" i="9" s="1"/>
  <c r="B1099" i="9"/>
  <c r="C1099" i="9" s="1"/>
  <c r="B1098" i="9"/>
  <c r="B1097" i="9"/>
  <c r="B1096" i="9"/>
  <c r="B1095" i="9"/>
  <c r="B1094" i="9"/>
  <c r="B1093" i="9"/>
  <c r="B1092" i="9"/>
  <c r="B1087" i="9"/>
  <c r="C1087" i="9" s="1"/>
  <c r="B1086" i="9"/>
  <c r="C1086" i="9" s="1"/>
  <c r="B1085" i="9"/>
  <c r="C1085" i="9" s="1"/>
  <c r="B1084" i="9"/>
  <c r="C1084" i="9" s="1"/>
  <c r="B1083" i="9"/>
  <c r="C1083" i="9" s="1"/>
  <c r="B1082" i="9"/>
  <c r="C1082" i="9" s="1"/>
  <c r="F1081" i="9"/>
  <c r="B1081" i="9"/>
  <c r="B1080" i="9"/>
  <c r="C1080" i="9" s="1"/>
  <c r="B1079" i="9"/>
  <c r="C1079" i="9" s="1"/>
  <c r="B1078" i="9"/>
  <c r="C1078" i="9" s="1"/>
  <c r="B1077" i="9"/>
  <c r="C1077" i="9" s="1"/>
  <c r="B1076" i="9"/>
  <c r="C1076" i="9" s="1"/>
  <c r="F1075" i="9"/>
  <c r="B1075" i="9"/>
  <c r="B1074" i="9"/>
  <c r="C1074" i="9" s="1"/>
  <c r="B1073" i="9"/>
  <c r="C1073" i="9" s="1"/>
  <c r="F1072" i="9"/>
  <c r="B1072" i="9"/>
  <c r="B1071" i="9"/>
  <c r="C1071" i="9" s="1"/>
  <c r="B1070" i="9"/>
  <c r="C1070" i="9" s="1"/>
  <c r="F1069" i="9"/>
  <c r="B1069" i="9"/>
  <c r="B1068" i="9"/>
  <c r="C1068" i="9" s="1"/>
  <c r="B1067" i="9"/>
  <c r="C1067" i="9" s="1"/>
  <c r="F1066" i="9"/>
  <c r="B1066" i="9"/>
  <c r="B1065" i="9"/>
  <c r="C1065" i="9" s="1"/>
  <c r="B1064" i="9"/>
  <c r="C1064" i="9" s="1"/>
  <c r="F1063" i="9"/>
  <c r="B1063" i="9"/>
  <c r="B1062" i="9"/>
  <c r="C1062" i="9" s="1"/>
  <c r="B1061" i="9"/>
  <c r="C1061" i="9" s="1"/>
  <c r="F1060" i="9"/>
  <c r="B1060" i="9"/>
  <c r="B1059" i="9"/>
  <c r="C1059" i="9" s="1"/>
  <c r="B1058" i="9"/>
  <c r="C1058" i="9" s="1"/>
  <c r="B1057" i="9"/>
  <c r="C1057" i="9" s="1"/>
  <c r="B1056" i="9"/>
  <c r="C1056" i="9" s="1"/>
  <c r="B1055" i="9"/>
  <c r="C1055" i="9" s="1"/>
  <c r="B1054" i="9"/>
  <c r="C1054" i="9" s="1"/>
  <c r="B1053" i="9"/>
  <c r="C1053" i="9" s="1"/>
  <c r="B1052" i="9"/>
  <c r="C1052" i="9" s="1"/>
  <c r="B1051" i="9"/>
  <c r="C1051" i="9" s="1"/>
  <c r="B1050" i="9"/>
  <c r="C1050" i="9" s="1"/>
  <c r="B1049" i="9"/>
  <c r="B1048" i="9"/>
  <c r="B1047" i="9"/>
  <c r="B1046" i="9"/>
  <c r="B1045" i="9"/>
  <c r="B1044" i="9"/>
  <c r="B1043" i="9"/>
  <c r="B1038" i="9"/>
  <c r="C1038" i="9" s="1"/>
  <c r="B1037" i="9"/>
  <c r="C1037" i="9" s="1"/>
  <c r="B1036" i="9"/>
  <c r="C1036" i="9" s="1"/>
  <c r="B1035" i="9"/>
  <c r="C1035" i="9" s="1"/>
  <c r="B1034" i="9"/>
  <c r="C1034" i="9" s="1"/>
  <c r="B1033" i="9"/>
  <c r="C1033" i="9" s="1"/>
  <c r="F1032" i="9"/>
  <c r="B1032" i="9"/>
  <c r="C1032" i="9" s="1"/>
  <c r="B1031" i="9"/>
  <c r="C1031" i="9" s="1"/>
  <c r="B1030" i="9"/>
  <c r="C1030" i="9" s="1"/>
  <c r="B1029" i="9"/>
  <c r="C1029" i="9" s="1"/>
  <c r="B1028" i="9"/>
  <c r="C1028" i="9" s="1"/>
  <c r="B1027" i="9"/>
  <c r="C1027" i="9" s="1"/>
  <c r="F1026" i="9"/>
  <c r="B1026" i="9"/>
  <c r="B1025" i="9"/>
  <c r="C1025" i="9" s="1"/>
  <c r="B1024" i="9"/>
  <c r="C1024" i="9" s="1"/>
  <c r="F1023" i="9"/>
  <c r="B1023" i="9"/>
  <c r="B1022" i="9"/>
  <c r="C1022" i="9" s="1"/>
  <c r="B1021" i="9"/>
  <c r="C1021" i="9" s="1"/>
  <c r="F1020" i="9"/>
  <c r="B1020" i="9"/>
  <c r="B1019" i="9"/>
  <c r="C1019" i="9" s="1"/>
  <c r="B1018" i="9"/>
  <c r="C1018" i="9" s="1"/>
  <c r="F1017" i="9"/>
  <c r="B1017" i="9"/>
  <c r="B1016" i="9"/>
  <c r="C1016" i="9" s="1"/>
  <c r="B1015" i="9"/>
  <c r="C1015" i="9" s="1"/>
  <c r="F1014" i="9"/>
  <c r="B1014" i="9"/>
  <c r="B1013" i="9"/>
  <c r="C1013" i="9" s="1"/>
  <c r="B1012" i="9"/>
  <c r="C1012" i="9" s="1"/>
  <c r="F1011" i="9"/>
  <c r="B1011" i="9"/>
  <c r="B1010" i="9"/>
  <c r="C1010" i="9" s="1"/>
  <c r="B1009" i="9"/>
  <c r="C1009" i="9" s="1"/>
  <c r="B1008" i="9"/>
  <c r="C1008" i="9" s="1"/>
  <c r="B1007" i="9"/>
  <c r="C1007" i="9" s="1"/>
  <c r="B1006" i="9"/>
  <c r="C1006" i="9" s="1"/>
  <c r="B1005" i="9"/>
  <c r="C1005" i="9" s="1"/>
  <c r="B1004" i="9"/>
  <c r="C1004" i="9" s="1"/>
  <c r="B1003" i="9"/>
  <c r="C1003" i="9" s="1"/>
  <c r="B1002" i="9"/>
  <c r="C1002" i="9" s="1"/>
  <c r="B1001" i="9"/>
  <c r="C1001" i="9" s="1"/>
  <c r="B1000" i="9"/>
  <c r="B999" i="9"/>
  <c r="B998" i="9"/>
  <c r="B997" i="9"/>
  <c r="B996" i="9"/>
  <c r="B995" i="9"/>
  <c r="B994" i="9"/>
  <c r="B989" i="9"/>
  <c r="C989" i="9" s="1"/>
  <c r="B988" i="9"/>
  <c r="C988" i="9" s="1"/>
  <c r="B987" i="9"/>
  <c r="C987" i="9" s="1"/>
  <c r="B986" i="9"/>
  <c r="C986" i="9" s="1"/>
  <c r="B985" i="9"/>
  <c r="C985" i="9" s="1"/>
  <c r="B984" i="9"/>
  <c r="C984" i="9" s="1"/>
  <c r="F983" i="9"/>
  <c r="B983" i="9"/>
  <c r="B982" i="9"/>
  <c r="C982" i="9" s="1"/>
  <c r="B981" i="9"/>
  <c r="C981" i="9" s="1"/>
  <c r="B980" i="9"/>
  <c r="C980" i="9" s="1"/>
  <c r="B979" i="9"/>
  <c r="C979" i="9" s="1"/>
  <c r="B978" i="9"/>
  <c r="C978" i="9" s="1"/>
  <c r="F977" i="9"/>
  <c r="B977" i="9"/>
  <c r="B976" i="9"/>
  <c r="C976" i="9" s="1"/>
  <c r="B975" i="9"/>
  <c r="C975" i="9" s="1"/>
  <c r="F974" i="9"/>
  <c r="B974" i="9"/>
  <c r="B973" i="9"/>
  <c r="C973" i="9" s="1"/>
  <c r="B972" i="9"/>
  <c r="C972" i="9" s="1"/>
  <c r="F971" i="9"/>
  <c r="B971" i="9"/>
  <c r="B970" i="9"/>
  <c r="C970" i="9" s="1"/>
  <c r="B969" i="9"/>
  <c r="C969" i="9" s="1"/>
  <c r="F968" i="9"/>
  <c r="B968" i="9"/>
  <c r="B967" i="9"/>
  <c r="C967" i="9" s="1"/>
  <c r="B966" i="9"/>
  <c r="C966" i="9" s="1"/>
  <c r="F965" i="9"/>
  <c r="C965" i="9" s="1"/>
  <c r="B965" i="9"/>
  <c r="B964" i="9"/>
  <c r="C964" i="9" s="1"/>
  <c r="B963" i="9"/>
  <c r="C963" i="9" s="1"/>
  <c r="F962" i="9"/>
  <c r="B962" i="9"/>
  <c r="B961" i="9"/>
  <c r="C961" i="9" s="1"/>
  <c r="B960" i="9"/>
  <c r="C960" i="9" s="1"/>
  <c r="B959" i="9"/>
  <c r="C959" i="9" s="1"/>
  <c r="B958" i="9"/>
  <c r="C958" i="9" s="1"/>
  <c r="B957" i="9"/>
  <c r="C957" i="9" s="1"/>
  <c r="B956" i="9"/>
  <c r="C956" i="9" s="1"/>
  <c r="B955" i="9"/>
  <c r="C955" i="9" s="1"/>
  <c r="B954" i="9"/>
  <c r="C954" i="9" s="1"/>
  <c r="B953" i="9"/>
  <c r="C953" i="9" s="1"/>
  <c r="B952" i="9"/>
  <c r="C952" i="9" s="1"/>
  <c r="B951" i="9"/>
  <c r="B950" i="9"/>
  <c r="B949" i="9"/>
  <c r="B948" i="9"/>
  <c r="B947" i="9"/>
  <c r="B946" i="9"/>
  <c r="B945" i="9"/>
  <c r="B940" i="9"/>
  <c r="C940" i="9" s="1"/>
  <c r="B939" i="9"/>
  <c r="C939" i="9" s="1"/>
  <c r="B938" i="9"/>
  <c r="C938" i="9" s="1"/>
  <c r="B937" i="9"/>
  <c r="C937" i="9" s="1"/>
  <c r="B936" i="9"/>
  <c r="C936" i="9" s="1"/>
  <c r="B935" i="9"/>
  <c r="C935" i="9" s="1"/>
  <c r="F934" i="9"/>
  <c r="B934" i="9"/>
  <c r="C934" i="9" s="1"/>
  <c r="B933" i="9"/>
  <c r="C933" i="9" s="1"/>
  <c r="B932" i="9"/>
  <c r="C932" i="9" s="1"/>
  <c r="B931" i="9"/>
  <c r="C931" i="9" s="1"/>
  <c r="B930" i="9"/>
  <c r="C930" i="9" s="1"/>
  <c r="B929" i="9"/>
  <c r="C929" i="9" s="1"/>
  <c r="F928" i="9"/>
  <c r="B928" i="9"/>
  <c r="B927" i="9"/>
  <c r="C927" i="9" s="1"/>
  <c r="B926" i="9"/>
  <c r="C926" i="9" s="1"/>
  <c r="F925" i="9"/>
  <c r="B925" i="9"/>
  <c r="B924" i="9"/>
  <c r="C924" i="9" s="1"/>
  <c r="B923" i="9"/>
  <c r="C923" i="9" s="1"/>
  <c r="F922" i="9"/>
  <c r="B922" i="9"/>
  <c r="B921" i="9"/>
  <c r="C921" i="9" s="1"/>
  <c r="B920" i="9"/>
  <c r="C920" i="9" s="1"/>
  <c r="F919" i="9"/>
  <c r="B919" i="9"/>
  <c r="B918" i="9"/>
  <c r="C918" i="9" s="1"/>
  <c r="B917" i="9"/>
  <c r="C917" i="9" s="1"/>
  <c r="F916" i="9"/>
  <c r="B916" i="9"/>
  <c r="B915" i="9"/>
  <c r="C915" i="9" s="1"/>
  <c r="B914" i="9"/>
  <c r="C914" i="9" s="1"/>
  <c r="F913" i="9"/>
  <c r="B913" i="9"/>
  <c r="B912" i="9"/>
  <c r="C912" i="9" s="1"/>
  <c r="B911" i="9"/>
  <c r="C911" i="9" s="1"/>
  <c r="B910" i="9"/>
  <c r="C910" i="9" s="1"/>
  <c r="B909" i="9"/>
  <c r="C909" i="9" s="1"/>
  <c r="B908" i="9"/>
  <c r="C908" i="9" s="1"/>
  <c r="B907" i="9"/>
  <c r="C907" i="9" s="1"/>
  <c r="B906" i="9"/>
  <c r="C906" i="9" s="1"/>
  <c r="B905" i="9"/>
  <c r="C905" i="9" s="1"/>
  <c r="B904" i="9"/>
  <c r="C904" i="9" s="1"/>
  <c r="B903" i="9"/>
  <c r="C903" i="9" s="1"/>
  <c r="B902" i="9"/>
  <c r="B901" i="9"/>
  <c r="B900" i="9"/>
  <c r="B899" i="9"/>
  <c r="B898" i="9"/>
  <c r="B897" i="9"/>
  <c r="B896" i="9"/>
  <c r="B891" i="9"/>
  <c r="C891" i="9" s="1"/>
  <c r="B890" i="9"/>
  <c r="C890" i="9" s="1"/>
  <c r="B889" i="9"/>
  <c r="C889" i="9" s="1"/>
  <c r="B888" i="9"/>
  <c r="C888" i="9" s="1"/>
  <c r="B887" i="9"/>
  <c r="C887" i="9" s="1"/>
  <c r="B886" i="9"/>
  <c r="C886" i="9" s="1"/>
  <c r="F885" i="9"/>
  <c r="B885" i="9"/>
  <c r="C885" i="9" s="1"/>
  <c r="B884" i="9"/>
  <c r="C884" i="9" s="1"/>
  <c r="B883" i="9"/>
  <c r="C883" i="9" s="1"/>
  <c r="B882" i="9"/>
  <c r="C882" i="9" s="1"/>
  <c r="B881" i="9"/>
  <c r="C881" i="9" s="1"/>
  <c r="B880" i="9"/>
  <c r="C880" i="9" s="1"/>
  <c r="F879" i="9"/>
  <c r="B879" i="9"/>
  <c r="B878" i="9"/>
  <c r="C878" i="9" s="1"/>
  <c r="B877" i="9"/>
  <c r="C877" i="9" s="1"/>
  <c r="F876" i="9"/>
  <c r="B876" i="9"/>
  <c r="B875" i="9"/>
  <c r="C875" i="9" s="1"/>
  <c r="B874" i="9"/>
  <c r="C874" i="9" s="1"/>
  <c r="F873" i="9"/>
  <c r="B873" i="9"/>
  <c r="B872" i="9"/>
  <c r="C872" i="9" s="1"/>
  <c r="B871" i="9"/>
  <c r="C871" i="9" s="1"/>
  <c r="F870" i="9"/>
  <c r="B870" i="9"/>
  <c r="B869" i="9"/>
  <c r="C869" i="9" s="1"/>
  <c r="B868" i="9"/>
  <c r="C868" i="9" s="1"/>
  <c r="F867" i="9"/>
  <c r="B867" i="9"/>
  <c r="B866" i="9"/>
  <c r="C866" i="9" s="1"/>
  <c r="B865" i="9"/>
  <c r="C865" i="9" s="1"/>
  <c r="F864" i="9"/>
  <c r="B864" i="9"/>
  <c r="B863" i="9"/>
  <c r="C863" i="9" s="1"/>
  <c r="B862" i="9"/>
  <c r="C862" i="9" s="1"/>
  <c r="B861" i="9"/>
  <c r="C861" i="9" s="1"/>
  <c r="B860" i="9"/>
  <c r="C860" i="9" s="1"/>
  <c r="B859" i="9"/>
  <c r="C859" i="9" s="1"/>
  <c r="B858" i="9"/>
  <c r="C858" i="9" s="1"/>
  <c r="B857" i="9"/>
  <c r="C857" i="9" s="1"/>
  <c r="B856" i="9"/>
  <c r="C856" i="9" s="1"/>
  <c r="B855" i="9"/>
  <c r="C855" i="9" s="1"/>
  <c r="B854" i="9"/>
  <c r="C854" i="9" s="1"/>
  <c r="B853" i="9"/>
  <c r="B852" i="9"/>
  <c r="B851" i="9"/>
  <c r="B850" i="9"/>
  <c r="B849" i="9"/>
  <c r="B848" i="9"/>
  <c r="B847" i="9"/>
  <c r="B842" i="9"/>
  <c r="C842" i="9" s="1"/>
  <c r="B841" i="9"/>
  <c r="C841" i="9" s="1"/>
  <c r="B840" i="9"/>
  <c r="C840" i="9" s="1"/>
  <c r="B839" i="9"/>
  <c r="C839" i="9" s="1"/>
  <c r="B838" i="9"/>
  <c r="C838" i="9" s="1"/>
  <c r="B837" i="9"/>
  <c r="C837" i="9" s="1"/>
  <c r="F836" i="9"/>
  <c r="B836" i="9"/>
  <c r="B835" i="9"/>
  <c r="C835" i="9" s="1"/>
  <c r="B834" i="9"/>
  <c r="C834" i="9" s="1"/>
  <c r="B833" i="9"/>
  <c r="C833" i="9" s="1"/>
  <c r="B832" i="9"/>
  <c r="C832" i="9" s="1"/>
  <c r="B831" i="9"/>
  <c r="C831" i="9" s="1"/>
  <c r="F830" i="9"/>
  <c r="B830" i="9"/>
  <c r="B829" i="9"/>
  <c r="C829" i="9" s="1"/>
  <c r="B828" i="9"/>
  <c r="C828" i="9" s="1"/>
  <c r="F827" i="9"/>
  <c r="B827" i="9"/>
  <c r="B826" i="9"/>
  <c r="C826" i="9" s="1"/>
  <c r="B825" i="9"/>
  <c r="C825" i="9" s="1"/>
  <c r="F824" i="9"/>
  <c r="B824" i="9"/>
  <c r="B823" i="9"/>
  <c r="C823" i="9" s="1"/>
  <c r="B822" i="9"/>
  <c r="C822" i="9" s="1"/>
  <c r="F821" i="9"/>
  <c r="B821" i="9"/>
  <c r="B820" i="9"/>
  <c r="C820" i="9" s="1"/>
  <c r="B819" i="9"/>
  <c r="C819" i="9" s="1"/>
  <c r="F818" i="9"/>
  <c r="B818" i="9"/>
  <c r="B817" i="9"/>
  <c r="C817" i="9" s="1"/>
  <c r="B816" i="9"/>
  <c r="C816" i="9" s="1"/>
  <c r="F815" i="9"/>
  <c r="B815" i="9"/>
  <c r="B814" i="9"/>
  <c r="C814" i="9" s="1"/>
  <c r="B813" i="9"/>
  <c r="C813" i="9" s="1"/>
  <c r="B812" i="9"/>
  <c r="C812" i="9" s="1"/>
  <c r="B811" i="9"/>
  <c r="C811" i="9" s="1"/>
  <c r="B810" i="9"/>
  <c r="C810" i="9" s="1"/>
  <c r="B809" i="9"/>
  <c r="C809" i="9" s="1"/>
  <c r="B808" i="9"/>
  <c r="C808" i="9" s="1"/>
  <c r="B807" i="9"/>
  <c r="C807" i="9" s="1"/>
  <c r="B806" i="9"/>
  <c r="C806" i="9" s="1"/>
  <c r="B805" i="9"/>
  <c r="C805" i="9" s="1"/>
  <c r="B804" i="9"/>
  <c r="B803" i="9"/>
  <c r="B802" i="9"/>
  <c r="B801" i="9"/>
  <c r="B800" i="9"/>
  <c r="B799" i="9"/>
  <c r="B798" i="9"/>
  <c r="B793" i="9"/>
  <c r="C793" i="9" s="1"/>
  <c r="B792" i="9"/>
  <c r="C792" i="9" s="1"/>
  <c r="B791" i="9"/>
  <c r="C791" i="9" s="1"/>
  <c r="B790" i="9"/>
  <c r="C790" i="9" s="1"/>
  <c r="B789" i="9"/>
  <c r="C789" i="9" s="1"/>
  <c r="B788" i="9"/>
  <c r="C788" i="9" s="1"/>
  <c r="F787" i="9"/>
  <c r="B787" i="9"/>
  <c r="B786" i="9"/>
  <c r="C786" i="9" s="1"/>
  <c r="B785" i="9"/>
  <c r="C785" i="9" s="1"/>
  <c r="B784" i="9"/>
  <c r="C784" i="9" s="1"/>
  <c r="B783" i="9"/>
  <c r="C783" i="9" s="1"/>
  <c r="B782" i="9"/>
  <c r="C782" i="9" s="1"/>
  <c r="F781" i="9"/>
  <c r="B781" i="9"/>
  <c r="B780" i="9"/>
  <c r="C780" i="9" s="1"/>
  <c r="B779" i="9"/>
  <c r="C779" i="9" s="1"/>
  <c r="F778" i="9"/>
  <c r="B778" i="9"/>
  <c r="B777" i="9"/>
  <c r="C777" i="9" s="1"/>
  <c r="B776" i="9"/>
  <c r="C776" i="9" s="1"/>
  <c r="F775" i="9"/>
  <c r="B775" i="9"/>
  <c r="B774" i="9"/>
  <c r="C774" i="9" s="1"/>
  <c r="B773" i="9"/>
  <c r="C773" i="9" s="1"/>
  <c r="F772" i="9"/>
  <c r="B772" i="9"/>
  <c r="B771" i="9"/>
  <c r="C771" i="9" s="1"/>
  <c r="B770" i="9"/>
  <c r="C770" i="9" s="1"/>
  <c r="F769" i="9"/>
  <c r="B769" i="9"/>
  <c r="B768" i="9"/>
  <c r="C768" i="9" s="1"/>
  <c r="B767" i="9"/>
  <c r="C767" i="9" s="1"/>
  <c r="F766" i="9"/>
  <c r="B766" i="9"/>
  <c r="B765" i="9"/>
  <c r="C765" i="9" s="1"/>
  <c r="B764" i="9"/>
  <c r="C764" i="9" s="1"/>
  <c r="B763" i="9"/>
  <c r="C763" i="9" s="1"/>
  <c r="B762" i="9"/>
  <c r="C762" i="9" s="1"/>
  <c r="B761" i="9"/>
  <c r="C761" i="9" s="1"/>
  <c r="B760" i="9"/>
  <c r="C760" i="9" s="1"/>
  <c r="B759" i="9"/>
  <c r="C759" i="9" s="1"/>
  <c r="B758" i="9"/>
  <c r="C758" i="9" s="1"/>
  <c r="B757" i="9"/>
  <c r="C757" i="9" s="1"/>
  <c r="B756" i="9"/>
  <c r="C756" i="9" s="1"/>
  <c r="B755" i="9"/>
  <c r="B754" i="9"/>
  <c r="B753" i="9"/>
  <c r="B752" i="9"/>
  <c r="B751" i="9"/>
  <c r="B750" i="9"/>
  <c r="B749" i="9"/>
  <c r="B744" i="9"/>
  <c r="C744" i="9" s="1"/>
  <c r="B743" i="9"/>
  <c r="C743" i="9" s="1"/>
  <c r="B742" i="9"/>
  <c r="C742" i="9" s="1"/>
  <c r="B741" i="9"/>
  <c r="C741" i="9" s="1"/>
  <c r="B740" i="9"/>
  <c r="C740" i="9" s="1"/>
  <c r="B739" i="9"/>
  <c r="C739" i="9" s="1"/>
  <c r="F738" i="9"/>
  <c r="B738" i="9"/>
  <c r="B737" i="9"/>
  <c r="C737" i="9" s="1"/>
  <c r="B736" i="9"/>
  <c r="C736" i="9" s="1"/>
  <c r="B735" i="9"/>
  <c r="C735" i="9" s="1"/>
  <c r="B734" i="9"/>
  <c r="C734" i="9" s="1"/>
  <c r="B733" i="9"/>
  <c r="C733" i="9" s="1"/>
  <c r="F732" i="9"/>
  <c r="B732" i="9"/>
  <c r="B731" i="9"/>
  <c r="C731" i="9" s="1"/>
  <c r="B730" i="9"/>
  <c r="C730" i="9" s="1"/>
  <c r="F729" i="9"/>
  <c r="B729" i="9"/>
  <c r="B728" i="9"/>
  <c r="C728" i="9" s="1"/>
  <c r="B727" i="9"/>
  <c r="C727" i="9" s="1"/>
  <c r="F726" i="9"/>
  <c r="B726" i="9"/>
  <c r="B725" i="9"/>
  <c r="C725" i="9" s="1"/>
  <c r="B724" i="9"/>
  <c r="C724" i="9" s="1"/>
  <c r="F723" i="9"/>
  <c r="B723" i="9"/>
  <c r="B722" i="9"/>
  <c r="C722" i="9" s="1"/>
  <c r="B721" i="9"/>
  <c r="C721" i="9" s="1"/>
  <c r="F720" i="9"/>
  <c r="B720" i="9"/>
  <c r="B719" i="9"/>
  <c r="C719" i="9" s="1"/>
  <c r="B718" i="9"/>
  <c r="C718" i="9" s="1"/>
  <c r="F717" i="9"/>
  <c r="B717" i="9"/>
  <c r="B716" i="9"/>
  <c r="C716" i="9" s="1"/>
  <c r="B715" i="9"/>
  <c r="C715" i="9" s="1"/>
  <c r="B714" i="9"/>
  <c r="C714" i="9" s="1"/>
  <c r="B713" i="9"/>
  <c r="C713" i="9" s="1"/>
  <c r="B712" i="9"/>
  <c r="C712" i="9" s="1"/>
  <c r="B711" i="9"/>
  <c r="C711" i="9" s="1"/>
  <c r="B710" i="9"/>
  <c r="C710" i="9" s="1"/>
  <c r="B709" i="9"/>
  <c r="C709" i="9" s="1"/>
  <c r="B708" i="9"/>
  <c r="C708" i="9" s="1"/>
  <c r="B707" i="9"/>
  <c r="C707" i="9" s="1"/>
  <c r="B706" i="9"/>
  <c r="B705" i="9"/>
  <c r="B704" i="9"/>
  <c r="B703" i="9"/>
  <c r="B702" i="9"/>
  <c r="B701" i="9"/>
  <c r="B700" i="9"/>
  <c r="B695" i="9"/>
  <c r="C695" i="9" s="1"/>
  <c r="B694" i="9"/>
  <c r="C694" i="9" s="1"/>
  <c r="B693" i="9"/>
  <c r="C693" i="9" s="1"/>
  <c r="B692" i="9"/>
  <c r="C692" i="9" s="1"/>
  <c r="B691" i="9"/>
  <c r="C691" i="9" s="1"/>
  <c r="B690" i="9"/>
  <c r="C690" i="9" s="1"/>
  <c r="F689" i="9"/>
  <c r="B689" i="9"/>
  <c r="B688" i="9"/>
  <c r="C688" i="9" s="1"/>
  <c r="B687" i="9"/>
  <c r="C687" i="9" s="1"/>
  <c r="B686" i="9"/>
  <c r="C686" i="9" s="1"/>
  <c r="B685" i="9"/>
  <c r="C685" i="9" s="1"/>
  <c r="B684" i="9"/>
  <c r="C684" i="9" s="1"/>
  <c r="F683" i="9"/>
  <c r="B683" i="9"/>
  <c r="B682" i="9"/>
  <c r="C682" i="9" s="1"/>
  <c r="B681" i="9"/>
  <c r="C681" i="9" s="1"/>
  <c r="F680" i="9"/>
  <c r="B680" i="9"/>
  <c r="B679" i="9"/>
  <c r="C679" i="9" s="1"/>
  <c r="B678" i="9"/>
  <c r="C678" i="9" s="1"/>
  <c r="F677" i="9"/>
  <c r="C677" i="9" s="1"/>
  <c r="B677" i="9"/>
  <c r="B676" i="9"/>
  <c r="C676" i="9" s="1"/>
  <c r="B675" i="9"/>
  <c r="C675" i="9" s="1"/>
  <c r="F674" i="9"/>
  <c r="B674" i="9"/>
  <c r="B673" i="9"/>
  <c r="C673" i="9" s="1"/>
  <c r="B672" i="9"/>
  <c r="C672" i="9" s="1"/>
  <c r="F671" i="9"/>
  <c r="B671" i="9"/>
  <c r="B670" i="9"/>
  <c r="C670" i="9" s="1"/>
  <c r="B669" i="9"/>
  <c r="C669" i="9" s="1"/>
  <c r="F668" i="9"/>
  <c r="B668" i="9"/>
  <c r="B667" i="9"/>
  <c r="C667" i="9" s="1"/>
  <c r="B666" i="9"/>
  <c r="C666" i="9" s="1"/>
  <c r="B665" i="9"/>
  <c r="C665" i="9" s="1"/>
  <c r="B664" i="9"/>
  <c r="C664" i="9" s="1"/>
  <c r="B663" i="9"/>
  <c r="C663" i="9" s="1"/>
  <c r="B662" i="9"/>
  <c r="C662" i="9" s="1"/>
  <c r="B661" i="9"/>
  <c r="C661" i="9" s="1"/>
  <c r="B660" i="9"/>
  <c r="C660" i="9" s="1"/>
  <c r="B659" i="9"/>
  <c r="C659" i="9" s="1"/>
  <c r="B658" i="9"/>
  <c r="C658" i="9" s="1"/>
  <c r="B657" i="9"/>
  <c r="B656" i="9"/>
  <c r="B655" i="9"/>
  <c r="B654" i="9"/>
  <c r="B653" i="9"/>
  <c r="B652" i="9"/>
  <c r="B651" i="9"/>
  <c r="B646" i="9"/>
  <c r="C646" i="9" s="1"/>
  <c r="B645" i="9"/>
  <c r="C645" i="9" s="1"/>
  <c r="B644" i="9"/>
  <c r="C644" i="9" s="1"/>
  <c r="B643" i="9"/>
  <c r="C643" i="9" s="1"/>
  <c r="B642" i="9"/>
  <c r="C642" i="9" s="1"/>
  <c r="B641" i="9"/>
  <c r="C641" i="9" s="1"/>
  <c r="F640" i="9"/>
  <c r="B640" i="9"/>
  <c r="C640" i="9" s="1"/>
  <c r="B639" i="9"/>
  <c r="C639" i="9" s="1"/>
  <c r="B638" i="9"/>
  <c r="C638" i="9" s="1"/>
  <c r="B637" i="9"/>
  <c r="C637" i="9" s="1"/>
  <c r="B636" i="9"/>
  <c r="C636" i="9" s="1"/>
  <c r="B635" i="9"/>
  <c r="C635" i="9" s="1"/>
  <c r="F634" i="9"/>
  <c r="B634" i="9"/>
  <c r="B633" i="9"/>
  <c r="C633" i="9" s="1"/>
  <c r="B632" i="9"/>
  <c r="C632" i="9" s="1"/>
  <c r="F631" i="9"/>
  <c r="B631" i="9"/>
  <c r="B630" i="9"/>
  <c r="C630" i="9" s="1"/>
  <c r="B629" i="9"/>
  <c r="C629" i="9" s="1"/>
  <c r="F628" i="9"/>
  <c r="B628" i="9"/>
  <c r="B627" i="9"/>
  <c r="C627" i="9" s="1"/>
  <c r="B626" i="9"/>
  <c r="C626" i="9" s="1"/>
  <c r="F625" i="9"/>
  <c r="B625" i="9"/>
  <c r="B624" i="9"/>
  <c r="C624" i="9" s="1"/>
  <c r="B623" i="9"/>
  <c r="C623" i="9" s="1"/>
  <c r="F622" i="9"/>
  <c r="B622" i="9"/>
  <c r="B621" i="9"/>
  <c r="C621" i="9" s="1"/>
  <c r="B620" i="9"/>
  <c r="C620" i="9" s="1"/>
  <c r="F619" i="9"/>
  <c r="B619" i="9"/>
  <c r="B618" i="9"/>
  <c r="C618" i="9" s="1"/>
  <c r="B617" i="9"/>
  <c r="C617" i="9" s="1"/>
  <c r="B616" i="9"/>
  <c r="C616" i="9" s="1"/>
  <c r="B615" i="9"/>
  <c r="C615" i="9" s="1"/>
  <c r="B614" i="9"/>
  <c r="C614" i="9" s="1"/>
  <c r="B613" i="9"/>
  <c r="C613" i="9" s="1"/>
  <c r="B612" i="9"/>
  <c r="C612" i="9" s="1"/>
  <c r="B611" i="9"/>
  <c r="C611" i="9" s="1"/>
  <c r="B610" i="9"/>
  <c r="C610" i="9" s="1"/>
  <c r="B609" i="9"/>
  <c r="C609" i="9" s="1"/>
  <c r="B608" i="9"/>
  <c r="B607" i="9"/>
  <c r="B606" i="9"/>
  <c r="B605" i="9"/>
  <c r="B604" i="9"/>
  <c r="B603" i="9"/>
  <c r="B602" i="9"/>
  <c r="B597" i="9"/>
  <c r="C597" i="9" s="1"/>
  <c r="B596" i="9"/>
  <c r="C596" i="9" s="1"/>
  <c r="B595" i="9"/>
  <c r="C595" i="9" s="1"/>
  <c r="B594" i="9"/>
  <c r="C594" i="9" s="1"/>
  <c r="B593" i="9"/>
  <c r="C593" i="9" s="1"/>
  <c r="B592" i="9"/>
  <c r="C592" i="9" s="1"/>
  <c r="F591" i="9"/>
  <c r="B591" i="9"/>
  <c r="B590" i="9"/>
  <c r="C590" i="9" s="1"/>
  <c r="B589" i="9"/>
  <c r="C589" i="9" s="1"/>
  <c r="B588" i="9"/>
  <c r="C588" i="9" s="1"/>
  <c r="B587" i="9"/>
  <c r="C587" i="9" s="1"/>
  <c r="B586" i="9"/>
  <c r="C586" i="9" s="1"/>
  <c r="F585" i="9"/>
  <c r="B585" i="9"/>
  <c r="B584" i="9"/>
  <c r="C584" i="9" s="1"/>
  <c r="B583" i="9"/>
  <c r="C583" i="9" s="1"/>
  <c r="F582" i="9"/>
  <c r="B582" i="9"/>
  <c r="B581" i="9"/>
  <c r="C581" i="9" s="1"/>
  <c r="B580" i="9"/>
  <c r="C580" i="9" s="1"/>
  <c r="F579" i="9"/>
  <c r="B579" i="9"/>
  <c r="B578" i="9"/>
  <c r="C578" i="9" s="1"/>
  <c r="B577" i="9"/>
  <c r="C577" i="9" s="1"/>
  <c r="F576" i="9"/>
  <c r="B576" i="9"/>
  <c r="B575" i="9"/>
  <c r="C575" i="9" s="1"/>
  <c r="B574" i="9"/>
  <c r="C574" i="9" s="1"/>
  <c r="F573" i="9"/>
  <c r="B573" i="9"/>
  <c r="B572" i="9"/>
  <c r="C572" i="9" s="1"/>
  <c r="B571" i="9"/>
  <c r="C571" i="9" s="1"/>
  <c r="F570" i="9"/>
  <c r="B570" i="9"/>
  <c r="B569" i="9"/>
  <c r="C569" i="9" s="1"/>
  <c r="B568" i="9"/>
  <c r="C568" i="9" s="1"/>
  <c r="B567" i="9"/>
  <c r="C567" i="9" s="1"/>
  <c r="B566" i="9"/>
  <c r="C566" i="9" s="1"/>
  <c r="B565" i="9"/>
  <c r="C565" i="9" s="1"/>
  <c r="B564" i="9"/>
  <c r="C564" i="9" s="1"/>
  <c r="B563" i="9"/>
  <c r="C563" i="9" s="1"/>
  <c r="B562" i="9"/>
  <c r="C562" i="9" s="1"/>
  <c r="B561" i="9"/>
  <c r="C561" i="9" s="1"/>
  <c r="B560" i="9"/>
  <c r="C560" i="9" s="1"/>
  <c r="B559" i="9"/>
  <c r="B558" i="9"/>
  <c r="B557" i="9"/>
  <c r="B556" i="9"/>
  <c r="B555" i="9"/>
  <c r="B554" i="9"/>
  <c r="B553" i="9"/>
  <c r="B548" i="9"/>
  <c r="C548" i="9" s="1"/>
  <c r="B547" i="9"/>
  <c r="C547" i="9" s="1"/>
  <c r="B546" i="9"/>
  <c r="C546" i="9" s="1"/>
  <c r="B545" i="9"/>
  <c r="C545" i="9" s="1"/>
  <c r="B544" i="9"/>
  <c r="C544" i="9" s="1"/>
  <c r="B543" i="9"/>
  <c r="C543" i="9" s="1"/>
  <c r="F542" i="9"/>
  <c r="B542" i="9"/>
  <c r="C542" i="9" s="1"/>
  <c r="B541" i="9"/>
  <c r="C541" i="9" s="1"/>
  <c r="B540" i="9"/>
  <c r="C540" i="9" s="1"/>
  <c r="B539" i="9"/>
  <c r="C539" i="9" s="1"/>
  <c r="B538" i="9"/>
  <c r="C538" i="9" s="1"/>
  <c r="B537" i="9"/>
  <c r="C537" i="9" s="1"/>
  <c r="F536" i="9"/>
  <c r="B536" i="9"/>
  <c r="B535" i="9"/>
  <c r="C535" i="9" s="1"/>
  <c r="B534" i="9"/>
  <c r="C534" i="9" s="1"/>
  <c r="F533" i="9"/>
  <c r="B533" i="9"/>
  <c r="B532" i="9"/>
  <c r="C532" i="9" s="1"/>
  <c r="B531" i="9"/>
  <c r="C531" i="9" s="1"/>
  <c r="F530" i="9"/>
  <c r="C530" i="9" s="1"/>
  <c r="B530" i="9"/>
  <c r="B529" i="9"/>
  <c r="C529" i="9" s="1"/>
  <c r="B528" i="9"/>
  <c r="C528" i="9" s="1"/>
  <c r="F527" i="9"/>
  <c r="B527" i="9"/>
  <c r="B526" i="9"/>
  <c r="C526" i="9" s="1"/>
  <c r="B525" i="9"/>
  <c r="C525" i="9" s="1"/>
  <c r="F524" i="9"/>
  <c r="B524" i="9"/>
  <c r="B523" i="9"/>
  <c r="C523" i="9" s="1"/>
  <c r="B522" i="9"/>
  <c r="C522" i="9" s="1"/>
  <c r="F521" i="9"/>
  <c r="B521" i="9"/>
  <c r="B520" i="9"/>
  <c r="C520" i="9" s="1"/>
  <c r="B519" i="9"/>
  <c r="C519" i="9" s="1"/>
  <c r="B518" i="9"/>
  <c r="C518" i="9" s="1"/>
  <c r="B517" i="9"/>
  <c r="C517" i="9" s="1"/>
  <c r="B516" i="9"/>
  <c r="C516" i="9" s="1"/>
  <c r="B515" i="9"/>
  <c r="C515" i="9" s="1"/>
  <c r="B514" i="9"/>
  <c r="C514" i="9" s="1"/>
  <c r="B513" i="9"/>
  <c r="C513" i="9" s="1"/>
  <c r="B512" i="9"/>
  <c r="C512" i="9" s="1"/>
  <c r="B511" i="9"/>
  <c r="C511" i="9" s="1"/>
  <c r="B510" i="9"/>
  <c r="B509" i="9"/>
  <c r="B508" i="9"/>
  <c r="B507" i="9"/>
  <c r="B506" i="9"/>
  <c r="B505" i="9"/>
  <c r="B503" i="9"/>
  <c r="B498" i="9"/>
  <c r="C498" i="9" s="1"/>
  <c r="B497" i="9"/>
  <c r="C497" i="9" s="1"/>
  <c r="B496" i="9"/>
  <c r="C496" i="9" s="1"/>
  <c r="B495" i="9"/>
  <c r="C495" i="9" s="1"/>
  <c r="B494" i="9"/>
  <c r="C494" i="9" s="1"/>
  <c r="B493" i="9"/>
  <c r="C493" i="9" s="1"/>
  <c r="F492" i="9"/>
  <c r="B492" i="9"/>
  <c r="B491" i="9"/>
  <c r="C491" i="9" s="1"/>
  <c r="B490" i="9"/>
  <c r="C490" i="9" s="1"/>
  <c r="B489" i="9"/>
  <c r="C489" i="9" s="1"/>
  <c r="B488" i="9"/>
  <c r="C488" i="9" s="1"/>
  <c r="B487" i="9"/>
  <c r="C487" i="9" s="1"/>
  <c r="F486" i="9"/>
  <c r="B486" i="9"/>
  <c r="B485" i="9"/>
  <c r="C485" i="9" s="1"/>
  <c r="B484" i="9"/>
  <c r="C484" i="9" s="1"/>
  <c r="F483" i="9"/>
  <c r="B483" i="9"/>
  <c r="B482" i="9"/>
  <c r="C482" i="9" s="1"/>
  <c r="B481" i="9"/>
  <c r="C481" i="9" s="1"/>
  <c r="F480" i="9"/>
  <c r="B480" i="9"/>
  <c r="B479" i="9"/>
  <c r="C479" i="9" s="1"/>
  <c r="B478" i="9"/>
  <c r="C478" i="9" s="1"/>
  <c r="F477" i="9"/>
  <c r="B477" i="9"/>
  <c r="B476" i="9"/>
  <c r="C476" i="9" s="1"/>
  <c r="B475" i="9"/>
  <c r="C475" i="9" s="1"/>
  <c r="F474" i="9"/>
  <c r="B474" i="9"/>
  <c r="B473" i="9"/>
  <c r="C473" i="9" s="1"/>
  <c r="B472" i="9"/>
  <c r="C472" i="9" s="1"/>
  <c r="F471" i="9"/>
  <c r="B471" i="9"/>
  <c r="B470" i="9"/>
  <c r="C470" i="9" s="1"/>
  <c r="B469" i="9"/>
  <c r="C469" i="9" s="1"/>
  <c r="B468" i="9"/>
  <c r="C468" i="9" s="1"/>
  <c r="B467" i="9"/>
  <c r="C467" i="9" s="1"/>
  <c r="B466" i="9"/>
  <c r="C466" i="9" s="1"/>
  <c r="B465" i="9"/>
  <c r="C465" i="9" s="1"/>
  <c r="B464" i="9"/>
  <c r="C464" i="9" s="1"/>
  <c r="B463" i="9"/>
  <c r="C463" i="9" s="1"/>
  <c r="B462" i="9"/>
  <c r="C462" i="9" s="1"/>
  <c r="B461" i="9"/>
  <c r="C461" i="9" s="1"/>
  <c r="B460" i="9"/>
  <c r="B459" i="9"/>
  <c r="B458" i="9"/>
  <c r="B457" i="9"/>
  <c r="B456" i="9"/>
  <c r="B455" i="9"/>
  <c r="B453" i="9"/>
  <c r="B448" i="9"/>
  <c r="C448" i="9" s="1"/>
  <c r="B447" i="9"/>
  <c r="C447" i="9" s="1"/>
  <c r="B446" i="9"/>
  <c r="C446" i="9" s="1"/>
  <c r="B445" i="9"/>
  <c r="C445" i="9" s="1"/>
  <c r="B444" i="9"/>
  <c r="C444" i="9" s="1"/>
  <c r="B443" i="9"/>
  <c r="C443" i="9" s="1"/>
  <c r="F442" i="9"/>
  <c r="B442" i="9"/>
  <c r="C442" i="9" s="1"/>
  <c r="B441" i="9"/>
  <c r="C441" i="9" s="1"/>
  <c r="B440" i="9"/>
  <c r="C440" i="9" s="1"/>
  <c r="B439" i="9"/>
  <c r="C439" i="9" s="1"/>
  <c r="B438" i="9"/>
  <c r="C438" i="9" s="1"/>
  <c r="B437" i="9"/>
  <c r="C437" i="9" s="1"/>
  <c r="F436" i="9"/>
  <c r="B436" i="9"/>
  <c r="B435" i="9"/>
  <c r="C435" i="9" s="1"/>
  <c r="B434" i="9"/>
  <c r="C434" i="9" s="1"/>
  <c r="F433" i="9"/>
  <c r="B433" i="9"/>
  <c r="B432" i="9"/>
  <c r="C432" i="9" s="1"/>
  <c r="B431" i="9"/>
  <c r="C431" i="9" s="1"/>
  <c r="F430" i="9"/>
  <c r="B430" i="9"/>
  <c r="B429" i="9"/>
  <c r="C429" i="9" s="1"/>
  <c r="B428" i="9"/>
  <c r="C428" i="9" s="1"/>
  <c r="F427" i="9"/>
  <c r="B427" i="9"/>
  <c r="B426" i="9"/>
  <c r="C426" i="9" s="1"/>
  <c r="B425" i="9"/>
  <c r="C425" i="9" s="1"/>
  <c r="F424" i="9"/>
  <c r="B424" i="9"/>
  <c r="B423" i="9"/>
  <c r="C423" i="9" s="1"/>
  <c r="B422" i="9"/>
  <c r="C422" i="9" s="1"/>
  <c r="F421" i="9"/>
  <c r="B421" i="9"/>
  <c r="B420" i="9"/>
  <c r="C420" i="9" s="1"/>
  <c r="B419" i="9"/>
  <c r="C419" i="9" s="1"/>
  <c r="B418" i="9"/>
  <c r="C418" i="9" s="1"/>
  <c r="B417" i="9"/>
  <c r="C417" i="9" s="1"/>
  <c r="B416" i="9"/>
  <c r="C416" i="9" s="1"/>
  <c r="B415" i="9"/>
  <c r="C415" i="9" s="1"/>
  <c r="B414" i="9"/>
  <c r="C414" i="9" s="1"/>
  <c r="B413" i="9"/>
  <c r="C413" i="9" s="1"/>
  <c r="B412" i="9"/>
  <c r="C412" i="9" s="1"/>
  <c r="B411" i="9"/>
  <c r="C411" i="9" s="1"/>
  <c r="B410" i="9"/>
  <c r="B409" i="9"/>
  <c r="B408" i="9"/>
  <c r="B407" i="9"/>
  <c r="B406" i="9"/>
  <c r="B405" i="9"/>
  <c r="B403" i="9"/>
  <c r="B398" i="9"/>
  <c r="C398" i="9" s="1"/>
  <c r="B397" i="9"/>
  <c r="C397" i="9" s="1"/>
  <c r="B396" i="9"/>
  <c r="C396" i="9" s="1"/>
  <c r="B395" i="9"/>
  <c r="C395" i="9" s="1"/>
  <c r="B394" i="9"/>
  <c r="C394" i="9" s="1"/>
  <c r="B393" i="9"/>
  <c r="C393" i="9" s="1"/>
  <c r="F392" i="9"/>
  <c r="B392" i="9"/>
  <c r="C392" i="9" s="1"/>
  <c r="B391" i="9"/>
  <c r="C391" i="9" s="1"/>
  <c r="B390" i="9"/>
  <c r="C390" i="9" s="1"/>
  <c r="B389" i="9"/>
  <c r="C389" i="9" s="1"/>
  <c r="B388" i="9"/>
  <c r="C388" i="9" s="1"/>
  <c r="B387" i="9"/>
  <c r="C387" i="9" s="1"/>
  <c r="F386" i="9"/>
  <c r="B386" i="9"/>
  <c r="B385" i="9"/>
  <c r="C385" i="9" s="1"/>
  <c r="B384" i="9"/>
  <c r="C384" i="9" s="1"/>
  <c r="F383" i="9"/>
  <c r="B383" i="9"/>
  <c r="B382" i="9"/>
  <c r="C382" i="9" s="1"/>
  <c r="B381" i="9"/>
  <c r="C381" i="9" s="1"/>
  <c r="F380" i="9"/>
  <c r="B380" i="9"/>
  <c r="B379" i="9"/>
  <c r="C379" i="9" s="1"/>
  <c r="B378" i="9"/>
  <c r="C378" i="9" s="1"/>
  <c r="F377" i="9"/>
  <c r="B377" i="9"/>
  <c r="B376" i="9"/>
  <c r="C376" i="9" s="1"/>
  <c r="B375" i="9"/>
  <c r="C375" i="9" s="1"/>
  <c r="F374" i="9"/>
  <c r="B374" i="9"/>
  <c r="B373" i="9"/>
  <c r="C373" i="9" s="1"/>
  <c r="B372" i="9"/>
  <c r="C372" i="9" s="1"/>
  <c r="F371" i="9"/>
  <c r="C371" i="9" s="1"/>
  <c r="B371" i="9"/>
  <c r="B370" i="9"/>
  <c r="C370" i="9" s="1"/>
  <c r="B369" i="9"/>
  <c r="C369" i="9" s="1"/>
  <c r="B368" i="9"/>
  <c r="C368" i="9" s="1"/>
  <c r="B367" i="9"/>
  <c r="C367" i="9" s="1"/>
  <c r="B366" i="9"/>
  <c r="C366" i="9" s="1"/>
  <c r="B365" i="9"/>
  <c r="C365" i="9" s="1"/>
  <c r="B364" i="9"/>
  <c r="C364" i="9" s="1"/>
  <c r="B363" i="9"/>
  <c r="C363" i="9" s="1"/>
  <c r="B362" i="9"/>
  <c r="C362" i="9" s="1"/>
  <c r="B361" i="9"/>
  <c r="C361" i="9" s="1"/>
  <c r="B360" i="9"/>
  <c r="B359" i="9"/>
  <c r="B358" i="9"/>
  <c r="B357" i="9"/>
  <c r="B356" i="9"/>
  <c r="B355" i="9"/>
  <c r="B353" i="9"/>
  <c r="B348" i="9"/>
  <c r="C348" i="9" s="1"/>
  <c r="B347" i="9"/>
  <c r="C347" i="9" s="1"/>
  <c r="B346" i="9"/>
  <c r="C346" i="9" s="1"/>
  <c r="B345" i="9"/>
  <c r="C345" i="9" s="1"/>
  <c r="B344" i="9"/>
  <c r="C344" i="9" s="1"/>
  <c r="B343" i="9"/>
  <c r="C343" i="9" s="1"/>
  <c r="F342" i="9"/>
  <c r="B342" i="9"/>
  <c r="B341" i="9"/>
  <c r="C341" i="9" s="1"/>
  <c r="B340" i="9"/>
  <c r="C340" i="9" s="1"/>
  <c r="B339" i="9"/>
  <c r="C339" i="9" s="1"/>
  <c r="B338" i="9"/>
  <c r="C338" i="9" s="1"/>
  <c r="B337" i="9"/>
  <c r="C337" i="9" s="1"/>
  <c r="F336" i="9"/>
  <c r="B336" i="9"/>
  <c r="B335" i="9"/>
  <c r="C335" i="9" s="1"/>
  <c r="B334" i="9"/>
  <c r="C334" i="9" s="1"/>
  <c r="F333" i="9"/>
  <c r="B333" i="9"/>
  <c r="B332" i="9"/>
  <c r="C332" i="9" s="1"/>
  <c r="B331" i="9"/>
  <c r="C331" i="9" s="1"/>
  <c r="F330" i="9"/>
  <c r="B330" i="9"/>
  <c r="B329" i="9"/>
  <c r="C329" i="9" s="1"/>
  <c r="B328" i="9"/>
  <c r="C328" i="9" s="1"/>
  <c r="F327" i="9"/>
  <c r="B327" i="9"/>
  <c r="B326" i="9"/>
  <c r="C326" i="9" s="1"/>
  <c r="B325" i="9"/>
  <c r="C325" i="9" s="1"/>
  <c r="F324" i="9"/>
  <c r="B324" i="9"/>
  <c r="B323" i="9"/>
  <c r="C323" i="9" s="1"/>
  <c r="B322" i="9"/>
  <c r="C322" i="9" s="1"/>
  <c r="F321" i="9"/>
  <c r="B321" i="9"/>
  <c r="B320" i="9"/>
  <c r="C320" i="9" s="1"/>
  <c r="B319" i="9"/>
  <c r="C319" i="9" s="1"/>
  <c r="B318" i="9"/>
  <c r="C318" i="9" s="1"/>
  <c r="B317" i="9"/>
  <c r="C317" i="9" s="1"/>
  <c r="B316" i="9"/>
  <c r="C316" i="9" s="1"/>
  <c r="B315" i="9"/>
  <c r="C315" i="9" s="1"/>
  <c r="B314" i="9"/>
  <c r="C314" i="9" s="1"/>
  <c r="B313" i="9"/>
  <c r="C313" i="9" s="1"/>
  <c r="B312" i="9"/>
  <c r="C312" i="9" s="1"/>
  <c r="B311" i="9"/>
  <c r="C311" i="9" s="1"/>
  <c r="B310" i="9"/>
  <c r="B309" i="9"/>
  <c r="B308" i="9"/>
  <c r="B307" i="9"/>
  <c r="B306" i="9"/>
  <c r="B305" i="9"/>
  <c r="B303" i="9"/>
  <c r="B298" i="9"/>
  <c r="C298" i="9" s="1"/>
  <c r="B297" i="9"/>
  <c r="C297" i="9" s="1"/>
  <c r="B296" i="9"/>
  <c r="C296" i="9" s="1"/>
  <c r="B295" i="9"/>
  <c r="C295" i="9" s="1"/>
  <c r="B294" i="9"/>
  <c r="C294" i="9" s="1"/>
  <c r="B293" i="9"/>
  <c r="C293" i="9" s="1"/>
  <c r="F292" i="9"/>
  <c r="B292" i="9"/>
  <c r="B291" i="9"/>
  <c r="C291" i="9" s="1"/>
  <c r="B290" i="9"/>
  <c r="C290" i="9" s="1"/>
  <c r="B289" i="9"/>
  <c r="C289" i="9" s="1"/>
  <c r="B288" i="9"/>
  <c r="C288" i="9" s="1"/>
  <c r="B287" i="9"/>
  <c r="C287" i="9" s="1"/>
  <c r="F286" i="9"/>
  <c r="B286" i="9"/>
  <c r="B285" i="9"/>
  <c r="C285" i="9" s="1"/>
  <c r="B284" i="9"/>
  <c r="C284" i="9" s="1"/>
  <c r="F283" i="9"/>
  <c r="B283" i="9"/>
  <c r="B282" i="9"/>
  <c r="C282" i="9" s="1"/>
  <c r="B281" i="9"/>
  <c r="C281" i="9" s="1"/>
  <c r="F280" i="9"/>
  <c r="B280" i="9"/>
  <c r="B279" i="9"/>
  <c r="C279" i="9" s="1"/>
  <c r="B278" i="9"/>
  <c r="C278" i="9" s="1"/>
  <c r="F277" i="9"/>
  <c r="B277" i="9"/>
  <c r="B276" i="9"/>
  <c r="C276" i="9" s="1"/>
  <c r="B275" i="9"/>
  <c r="C275" i="9" s="1"/>
  <c r="F274" i="9"/>
  <c r="B274" i="9"/>
  <c r="B273" i="9"/>
  <c r="C273" i="9" s="1"/>
  <c r="B272" i="9"/>
  <c r="C272" i="9" s="1"/>
  <c r="F271" i="9"/>
  <c r="B271" i="9"/>
  <c r="B270" i="9"/>
  <c r="C270" i="9" s="1"/>
  <c r="B269" i="9"/>
  <c r="C269" i="9" s="1"/>
  <c r="B268" i="9"/>
  <c r="C268" i="9" s="1"/>
  <c r="B267" i="9"/>
  <c r="C267" i="9" s="1"/>
  <c r="B266" i="9"/>
  <c r="C266" i="9" s="1"/>
  <c r="B265" i="9"/>
  <c r="C265" i="9" s="1"/>
  <c r="B264" i="9"/>
  <c r="C264" i="9" s="1"/>
  <c r="B263" i="9"/>
  <c r="C263" i="9" s="1"/>
  <c r="B262" i="9"/>
  <c r="C262" i="9" s="1"/>
  <c r="B261" i="9"/>
  <c r="C261" i="9" s="1"/>
  <c r="B260" i="9"/>
  <c r="B259" i="9"/>
  <c r="B258" i="9"/>
  <c r="B257" i="9"/>
  <c r="B256" i="9"/>
  <c r="B255" i="9"/>
  <c r="B253" i="9"/>
  <c r="B248" i="9"/>
  <c r="C248" i="9" s="1"/>
  <c r="B247" i="9"/>
  <c r="C247" i="9" s="1"/>
  <c r="B246" i="9"/>
  <c r="C246" i="9" s="1"/>
  <c r="B245" i="9"/>
  <c r="C245" i="9" s="1"/>
  <c r="B244" i="9"/>
  <c r="C244" i="9" s="1"/>
  <c r="B243" i="9"/>
  <c r="C243" i="9" s="1"/>
  <c r="F242" i="9"/>
  <c r="B242" i="9"/>
  <c r="B241" i="9"/>
  <c r="C241" i="9" s="1"/>
  <c r="B240" i="9"/>
  <c r="C240" i="9" s="1"/>
  <c r="B239" i="9"/>
  <c r="C239" i="9" s="1"/>
  <c r="B238" i="9"/>
  <c r="C238" i="9" s="1"/>
  <c r="B237" i="9"/>
  <c r="C237" i="9" s="1"/>
  <c r="F236" i="9"/>
  <c r="B236" i="9"/>
  <c r="B235" i="9"/>
  <c r="C235" i="9" s="1"/>
  <c r="B234" i="9"/>
  <c r="C234" i="9" s="1"/>
  <c r="F233" i="9"/>
  <c r="B233" i="9"/>
  <c r="B232" i="9"/>
  <c r="C232" i="9" s="1"/>
  <c r="B231" i="9"/>
  <c r="C231" i="9" s="1"/>
  <c r="F230" i="9"/>
  <c r="B230" i="9"/>
  <c r="B229" i="9"/>
  <c r="C229" i="9" s="1"/>
  <c r="B228" i="9"/>
  <c r="C228" i="9" s="1"/>
  <c r="F227" i="9"/>
  <c r="B227" i="9"/>
  <c r="B226" i="9"/>
  <c r="C226" i="9" s="1"/>
  <c r="B225" i="9"/>
  <c r="C225" i="9" s="1"/>
  <c r="F224" i="9"/>
  <c r="B224" i="9"/>
  <c r="B223" i="9"/>
  <c r="C223" i="9" s="1"/>
  <c r="B222" i="9"/>
  <c r="C222" i="9" s="1"/>
  <c r="F221" i="9"/>
  <c r="B221" i="9"/>
  <c r="B220" i="9"/>
  <c r="C220" i="9" s="1"/>
  <c r="B219" i="9"/>
  <c r="C219" i="9" s="1"/>
  <c r="B218" i="9"/>
  <c r="C218" i="9" s="1"/>
  <c r="B217" i="9"/>
  <c r="C217" i="9" s="1"/>
  <c r="B216" i="9"/>
  <c r="C216" i="9" s="1"/>
  <c r="B215" i="9"/>
  <c r="C215" i="9" s="1"/>
  <c r="B214" i="9"/>
  <c r="C214" i="9" s="1"/>
  <c r="B213" i="9"/>
  <c r="C213" i="9" s="1"/>
  <c r="B212" i="9"/>
  <c r="C212" i="9" s="1"/>
  <c r="B211" i="9"/>
  <c r="C211" i="9" s="1"/>
  <c r="B210" i="9"/>
  <c r="B209" i="9"/>
  <c r="B208" i="9"/>
  <c r="B207" i="9"/>
  <c r="B206" i="9"/>
  <c r="B205" i="9"/>
  <c r="B203" i="9"/>
  <c r="B198" i="9"/>
  <c r="C198" i="9" s="1"/>
  <c r="B197" i="9"/>
  <c r="C197" i="9" s="1"/>
  <c r="B196" i="9"/>
  <c r="C196" i="9" s="1"/>
  <c r="B195" i="9"/>
  <c r="C195" i="9" s="1"/>
  <c r="B194" i="9"/>
  <c r="C194" i="9" s="1"/>
  <c r="B193" i="9"/>
  <c r="C193" i="9" s="1"/>
  <c r="F192" i="9"/>
  <c r="B192" i="9"/>
  <c r="C192" i="9" s="1"/>
  <c r="B191" i="9"/>
  <c r="C191" i="9" s="1"/>
  <c r="B190" i="9"/>
  <c r="C190" i="9" s="1"/>
  <c r="B189" i="9"/>
  <c r="C189" i="9" s="1"/>
  <c r="B188" i="9"/>
  <c r="C188" i="9" s="1"/>
  <c r="B187" i="9"/>
  <c r="C187" i="9" s="1"/>
  <c r="F186" i="9"/>
  <c r="B186" i="9"/>
  <c r="B185" i="9"/>
  <c r="C185" i="9" s="1"/>
  <c r="B184" i="9"/>
  <c r="C184" i="9" s="1"/>
  <c r="F183" i="9"/>
  <c r="B183" i="9"/>
  <c r="B182" i="9"/>
  <c r="C182" i="9" s="1"/>
  <c r="B181" i="9"/>
  <c r="C181" i="9" s="1"/>
  <c r="F180" i="9"/>
  <c r="B180" i="9"/>
  <c r="B179" i="9"/>
  <c r="C179" i="9" s="1"/>
  <c r="B178" i="9"/>
  <c r="C178" i="9" s="1"/>
  <c r="F177" i="9"/>
  <c r="B177" i="9"/>
  <c r="B176" i="9"/>
  <c r="C176" i="9" s="1"/>
  <c r="B175" i="9"/>
  <c r="C175" i="9" s="1"/>
  <c r="F174" i="9"/>
  <c r="B174" i="9"/>
  <c r="B173" i="9"/>
  <c r="C173" i="9" s="1"/>
  <c r="B172" i="9"/>
  <c r="C172" i="9" s="1"/>
  <c r="F171" i="9"/>
  <c r="B171" i="9"/>
  <c r="B170" i="9"/>
  <c r="C170" i="9" s="1"/>
  <c r="B169" i="9"/>
  <c r="C169" i="9" s="1"/>
  <c r="B168" i="9"/>
  <c r="C168" i="9" s="1"/>
  <c r="B167" i="9"/>
  <c r="C167" i="9" s="1"/>
  <c r="B166" i="9"/>
  <c r="C166" i="9" s="1"/>
  <c r="B165" i="9"/>
  <c r="C165" i="9" s="1"/>
  <c r="B164" i="9"/>
  <c r="C164" i="9" s="1"/>
  <c r="B163" i="9"/>
  <c r="C163" i="9" s="1"/>
  <c r="B162" i="9"/>
  <c r="C162" i="9" s="1"/>
  <c r="B161" i="9"/>
  <c r="C161" i="9" s="1"/>
  <c r="B160" i="9"/>
  <c r="B159" i="9"/>
  <c r="B158" i="9"/>
  <c r="B157" i="9"/>
  <c r="B156" i="9"/>
  <c r="B155" i="9"/>
  <c r="B153" i="9"/>
  <c r="B148" i="9"/>
  <c r="C148" i="9" s="1"/>
  <c r="B147" i="9"/>
  <c r="C147" i="9" s="1"/>
  <c r="B146" i="9"/>
  <c r="C146" i="9" s="1"/>
  <c r="B145" i="9"/>
  <c r="C145" i="9" s="1"/>
  <c r="B144" i="9"/>
  <c r="C144" i="9" s="1"/>
  <c r="B143" i="9"/>
  <c r="C143" i="9" s="1"/>
  <c r="F142" i="9"/>
  <c r="B142" i="9"/>
  <c r="B141" i="9"/>
  <c r="C141" i="9" s="1"/>
  <c r="B140" i="9"/>
  <c r="C140" i="9" s="1"/>
  <c r="B139" i="9"/>
  <c r="C139" i="9" s="1"/>
  <c r="B138" i="9"/>
  <c r="C138" i="9" s="1"/>
  <c r="B137" i="9"/>
  <c r="C137" i="9" s="1"/>
  <c r="F136" i="9"/>
  <c r="B136" i="9"/>
  <c r="B135" i="9"/>
  <c r="C135" i="9" s="1"/>
  <c r="B134" i="9"/>
  <c r="C134" i="9" s="1"/>
  <c r="F133" i="9"/>
  <c r="B133" i="9"/>
  <c r="B132" i="9"/>
  <c r="C132" i="9" s="1"/>
  <c r="B131" i="9"/>
  <c r="C131" i="9" s="1"/>
  <c r="F130" i="9"/>
  <c r="B130" i="9"/>
  <c r="B129" i="9"/>
  <c r="C129" i="9" s="1"/>
  <c r="B128" i="9"/>
  <c r="C128" i="9" s="1"/>
  <c r="F127" i="9"/>
  <c r="C127" i="9" s="1"/>
  <c r="B127" i="9"/>
  <c r="B126" i="9"/>
  <c r="C126" i="9" s="1"/>
  <c r="B125" i="9"/>
  <c r="C125" i="9" s="1"/>
  <c r="F124" i="9"/>
  <c r="B124" i="9"/>
  <c r="B123" i="9"/>
  <c r="C123" i="9" s="1"/>
  <c r="B122" i="9"/>
  <c r="C122" i="9" s="1"/>
  <c r="F121" i="9"/>
  <c r="B121" i="9"/>
  <c r="B120" i="9"/>
  <c r="C120" i="9" s="1"/>
  <c r="B119" i="9"/>
  <c r="C119" i="9" s="1"/>
  <c r="B118" i="9"/>
  <c r="C118" i="9" s="1"/>
  <c r="B117" i="9"/>
  <c r="C117" i="9" s="1"/>
  <c r="B116" i="9"/>
  <c r="C116" i="9" s="1"/>
  <c r="B115" i="9"/>
  <c r="C115" i="9" s="1"/>
  <c r="B114" i="9"/>
  <c r="C114" i="9" s="1"/>
  <c r="B113" i="9"/>
  <c r="C113" i="9" s="1"/>
  <c r="B112" i="9"/>
  <c r="C112" i="9" s="1"/>
  <c r="B111" i="9"/>
  <c r="C111" i="9" s="1"/>
  <c r="B110" i="9"/>
  <c r="B109" i="9"/>
  <c r="B108" i="9"/>
  <c r="B107" i="9"/>
  <c r="B106" i="9"/>
  <c r="B105" i="9"/>
  <c r="B103" i="9"/>
  <c r="B98" i="9"/>
  <c r="B97" i="9"/>
  <c r="B96" i="9"/>
  <c r="B95" i="9"/>
  <c r="B94" i="9"/>
  <c r="B93" i="9"/>
  <c r="F92" i="9"/>
  <c r="C92" i="9" s="1"/>
  <c r="B92" i="9"/>
  <c r="B91" i="9"/>
  <c r="B90" i="9"/>
  <c r="B89" i="9"/>
  <c r="B88" i="9"/>
  <c r="B87" i="9"/>
  <c r="F86" i="9"/>
  <c r="C86" i="9" s="1"/>
  <c r="B86" i="9"/>
  <c r="B85" i="9"/>
  <c r="B84" i="9"/>
  <c r="F83" i="9"/>
  <c r="C83" i="9" s="1"/>
  <c r="B83" i="9"/>
  <c r="B82" i="9"/>
  <c r="B81" i="9"/>
  <c r="F80" i="9"/>
  <c r="C80" i="9" s="1"/>
  <c r="B80" i="9"/>
  <c r="B79" i="9"/>
  <c r="B78" i="9"/>
  <c r="F77" i="9"/>
  <c r="C77" i="9" s="1"/>
  <c r="B77" i="9"/>
  <c r="B76" i="9"/>
  <c r="B75" i="9"/>
  <c r="F74" i="9"/>
  <c r="B74" i="9"/>
  <c r="B73" i="9"/>
  <c r="B72" i="9"/>
  <c r="F71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3" i="9"/>
  <c r="B48" i="9"/>
  <c r="B47" i="9"/>
  <c r="B46" i="9"/>
  <c r="B45" i="9"/>
  <c r="B44" i="9"/>
  <c r="B43" i="9"/>
  <c r="F42" i="9"/>
  <c r="B42" i="9"/>
  <c r="B41" i="9"/>
  <c r="B40" i="9"/>
  <c r="B39" i="9"/>
  <c r="B38" i="9"/>
  <c r="B37" i="9"/>
  <c r="F36" i="9"/>
  <c r="B36" i="9"/>
  <c r="B35" i="9"/>
  <c r="B34" i="9"/>
  <c r="F33" i="9"/>
  <c r="B33" i="9"/>
  <c r="B32" i="9"/>
  <c r="B31" i="9"/>
  <c r="F30" i="9"/>
  <c r="B30" i="9"/>
  <c r="B29" i="9"/>
  <c r="B28" i="9"/>
  <c r="F27" i="9"/>
  <c r="B27" i="9"/>
  <c r="B26" i="9"/>
  <c r="B25" i="9"/>
  <c r="F24" i="9"/>
  <c r="B24" i="9"/>
  <c r="B23" i="9"/>
  <c r="B22" i="9"/>
  <c r="F21" i="9"/>
  <c r="B21" i="9"/>
  <c r="B20" i="9"/>
  <c r="B19" i="9"/>
  <c r="B18" i="9"/>
  <c r="B17" i="9"/>
  <c r="B16" i="9"/>
  <c r="B15" i="9"/>
  <c r="B14" i="9"/>
  <c r="B13" i="9"/>
  <c r="B12" i="9"/>
  <c r="B11" i="9"/>
  <c r="B10" i="9"/>
  <c r="H9" i="9"/>
  <c r="I9" i="9" s="1"/>
  <c r="J9" i="9" s="1"/>
  <c r="K9" i="9" s="1"/>
  <c r="L9" i="9" s="1"/>
  <c r="M9" i="9" s="1"/>
  <c r="N9" i="9" s="1"/>
  <c r="O9" i="9" s="1"/>
  <c r="P9" i="9" s="1"/>
  <c r="Q9" i="9" s="1"/>
  <c r="R9" i="9" s="1"/>
  <c r="S9" i="9" s="1"/>
  <c r="T9" i="9" s="1"/>
  <c r="U9" i="9" s="1"/>
  <c r="V9" i="9" s="1"/>
  <c r="W9" i="9" s="1"/>
  <c r="X9" i="9" s="1"/>
  <c r="Y9" i="9" s="1"/>
  <c r="Z9" i="9" s="1"/>
  <c r="AA9" i="9" s="1"/>
  <c r="AB9" i="9" s="1"/>
  <c r="AC9" i="9" s="1"/>
  <c r="AD9" i="9" s="1"/>
  <c r="B9" i="9"/>
  <c r="B8" i="9"/>
  <c r="B7" i="9"/>
  <c r="B6" i="9"/>
  <c r="B5" i="9"/>
  <c r="B3" i="9"/>
  <c r="AA171" i="8"/>
  <c r="AA172" i="8" s="1"/>
  <c r="Z171" i="8"/>
  <c r="Z172" i="8" s="1"/>
  <c r="Y171" i="8"/>
  <c r="Y172" i="8" s="1"/>
  <c r="X171" i="8"/>
  <c r="X172" i="8" s="1"/>
  <c r="W171" i="8"/>
  <c r="W172" i="8" s="1"/>
  <c r="V171" i="8"/>
  <c r="V172" i="8" s="1"/>
  <c r="U171" i="8"/>
  <c r="U172" i="8" s="1"/>
  <c r="T171" i="8"/>
  <c r="T172" i="8" s="1"/>
  <c r="S171" i="8"/>
  <c r="S172" i="8" s="1"/>
  <c r="R171" i="8"/>
  <c r="R172" i="8" s="1"/>
  <c r="Q171" i="8"/>
  <c r="P171" i="8"/>
  <c r="C168" i="8"/>
  <c r="C167" i="8"/>
  <c r="C166" i="8"/>
  <c r="AA165" i="8"/>
  <c r="Z165" i="8"/>
  <c r="Y165" i="8"/>
  <c r="X165" i="8"/>
  <c r="W165" i="8"/>
  <c r="V165" i="8"/>
  <c r="U165" i="8"/>
  <c r="T165" i="8"/>
  <c r="S165" i="8"/>
  <c r="R165" i="8"/>
  <c r="Q165" i="8"/>
  <c r="P165" i="8"/>
  <c r="C165" i="8"/>
  <c r="C164" i="8"/>
  <c r="C163" i="8"/>
  <c r="C162" i="8"/>
  <c r="C161" i="8"/>
  <c r="R160" i="8"/>
  <c r="P160" i="8"/>
  <c r="AA149" i="8"/>
  <c r="Z149" i="8"/>
  <c r="Y149" i="8"/>
  <c r="X149" i="8"/>
  <c r="W149" i="8"/>
  <c r="V149" i="8"/>
  <c r="U149" i="8"/>
  <c r="T149" i="8"/>
  <c r="S149" i="8"/>
  <c r="R149" i="8"/>
  <c r="Q149" i="8"/>
  <c r="P149" i="8"/>
  <c r="AA146" i="8"/>
  <c r="Z146" i="8"/>
  <c r="Y146" i="8"/>
  <c r="X146" i="8"/>
  <c r="W146" i="8"/>
  <c r="V146" i="8"/>
  <c r="U146" i="8"/>
  <c r="T146" i="8"/>
  <c r="S146" i="8"/>
  <c r="R146" i="8"/>
  <c r="Q146" i="8"/>
  <c r="P146" i="8"/>
  <c r="AA139" i="8"/>
  <c r="Z139" i="8"/>
  <c r="Y139" i="8"/>
  <c r="X139" i="8"/>
  <c r="W139" i="8"/>
  <c r="V139" i="8"/>
  <c r="U139" i="8"/>
  <c r="T139" i="8"/>
  <c r="S139" i="8"/>
  <c r="R139" i="8"/>
  <c r="Q139" i="8"/>
  <c r="P139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O105" i="8"/>
  <c r="O110" i="8" s="1"/>
  <c r="N105" i="8"/>
  <c r="N110" i="8" s="1"/>
  <c r="M105" i="8"/>
  <c r="M110" i="8" s="1"/>
  <c r="L105" i="8"/>
  <c r="L110" i="8" s="1"/>
  <c r="K105" i="8"/>
  <c r="K110" i="8" s="1"/>
  <c r="J105" i="8"/>
  <c r="J110" i="8" s="1"/>
  <c r="I105" i="8"/>
  <c r="I110" i="8" s="1"/>
  <c r="H105" i="8"/>
  <c r="H110" i="8" s="1"/>
  <c r="G105" i="8"/>
  <c r="G110" i="8" s="1"/>
  <c r="F105" i="8"/>
  <c r="F110" i="8" s="1"/>
  <c r="E105" i="8"/>
  <c r="E110" i="8" s="1"/>
  <c r="D105" i="8"/>
  <c r="D110" i="8" s="1"/>
  <c r="O94" i="8"/>
  <c r="O100" i="8" s="1"/>
  <c r="N94" i="8"/>
  <c r="N100" i="8" s="1"/>
  <c r="M94" i="8"/>
  <c r="M100" i="8" s="1"/>
  <c r="L94" i="8"/>
  <c r="L100" i="8" s="1"/>
  <c r="K94" i="8"/>
  <c r="K100" i="8" s="1"/>
  <c r="J94" i="8"/>
  <c r="J100" i="8" s="1"/>
  <c r="I94" i="8"/>
  <c r="I100" i="8" s="1"/>
  <c r="H94" i="8"/>
  <c r="H100" i="8" s="1"/>
  <c r="G94" i="8"/>
  <c r="G100" i="8" s="1"/>
  <c r="F94" i="8"/>
  <c r="F100" i="8" s="1"/>
  <c r="E94" i="8"/>
  <c r="E100" i="8" s="1"/>
  <c r="D94" i="8"/>
  <c r="D100" i="8" s="1"/>
  <c r="O77" i="8"/>
  <c r="N77" i="8"/>
  <c r="M77" i="8"/>
  <c r="L77" i="8"/>
  <c r="K77" i="8"/>
  <c r="J77" i="8"/>
  <c r="I77" i="8"/>
  <c r="H77" i="8"/>
  <c r="G77" i="8"/>
  <c r="F77" i="8"/>
  <c r="E77" i="8"/>
  <c r="D77" i="8"/>
  <c r="O57" i="8"/>
  <c r="N57" i="8"/>
  <c r="M57" i="8"/>
  <c r="L57" i="8"/>
  <c r="K57" i="8"/>
  <c r="J57" i="8"/>
  <c r="I57" i="8"/>
  <c r="H57" i="8"/>
  <c r="G57" i="8"/>
  <c r="F57" i="8"/>
  <c r="E57" i="8"/>
  <c r="D57" i="8"/>
  <c r="O50" i="8"/>
  <c r="O51" i="8" s="1"/>
  <c r="N50" i="8"/>
  <c r="N51" i="8" s="1"/>
  <c r="M50" i="8"/>
  <c r="M51" i="8" s="1"/>
  <c r="L50" i="8"/>
  <c r="L51" i="8" s="1"/>
  <c r="K50" i="8"/>
  <c r="K51" i="8" s="1"/>
  <c r="J50" i="8"/>
  <c r="J51" i="8" s="1"/>
  <c r="I50" i="8"/>
  <c r="I51" i="8" s="1"/>
  <c r="H50" i="8"/>
  <c r="H51" i="8" s="1"/>
  <c r="G50" i="8"/>
  <c r="G51" i="8" s="1"/>
  <c r="F50" i="8"/>
  <c r="F51" i="8" s="1"/>
  <c r="E50" i="8"/>
  <c r="E51" i="8" s="1"/>
  <c r="D50" i="8"/>
  <c r="O45" i="8"/>
  <c r="AA45" i="8" s="1"/>
  <c r="N45" i="8"/>
  <c r="Z45" i="8" s="1"/>
  <c r="M45" i="8"/>
  <c r="Y45" i="8" s="1"/>
  <c r="L45" i="8"/>
  <c r="X45" i="8" s="1"/>
  <c r="K45" i="8"/>
  <c r="W45" i="8" s="1"/>
  <c r="J45" i="8"/>
  <c r="V45" i="8" s="1"/>
  <c r="I45" i="8"/>
  <c r="U45" i="8" s="1"/>
  <c r="H45" i="8"/>
  <c r="T45" i="8" s="1"/>
  <c r="G45" i="8"/>
  <c r="S45" i="8" s="1"/>
  <c r="F45" i="8"/>
  <c r="R45" i="8" s="1"/>
  <c r="E45" i="8"/>
  <c r="Q45" i="8" s="1"/>
  <c r="D45" i="8"/>
  <c r="P45" i="8" s="1"/>
  <c r="O42" i="8"/>
  <c r="N42" i="8"/>
  <c r="M42" i="8"/>
  <c r="L42" i="8"/>
  <c r="K42" i="8"/>
  <c r="J42" i="8"/>
  <c r="I42" i="8"/>
  <c r="H42" i="8"/>
  <c r="G42" i="8"/>
  <c r="F42" i="8"/>
  <c r="E42" i="8"/>
  <c r="D42" i="8"/>
  <c r="O33" i="8"/>
  <c r="N33" i="8"/>
  <c r="M33" i="8"/>
  <c r="L33" i="8"/>
  <c r="K33" i="8"/>
  <c r="J33" i="8"/>
  <c r="I33" i="8"/>
  <c r="H33" i="8"/>
  <c r="G33" i="8"/>
  <c r="F33" i="8"/>
  <c r="E33" i="8"/>
  <c r="D33" i="8"/>
  <c r="O30" i="8"/>
  <c r="N30" i="8"/>
  <c r="M30" i="8"/>
  <c r="L30" i="8"/>
  <c r="K30" i="8"/>
  <c r="J30" i="8"/>
  <c r="I30" i="8"/>
  <c r="H30" i="8"/>
  <c r="G30" i="8"/>
  <c r="F30" i="8"/>
  <c r="E30" i="8"/>
  <c r="D30" i="8"/>
  <c r="O26" i="8"/>
  <c r="O38" i="8" s="1"/>
  <c r="N26" i="8"/>
  <c r="N27" i="8" s="1"/>
  <c r="M26" i="8"/>
  <c r="M38" i="8" s="1"/>
  <c r="L26" i="8"/>
  <c r="L27" i="8" s="1"/>
  <c r="K26" i="8"/>
  <c r="K38" i="8" s="1"/>
  <c r="J26" i="8"/>
  <c r="J38" i="8" s="1"/>
  <c r="I26" i="8"/>
  <c r="I38" i="8" s="1"/>
  <c r="H26" i="8"/>
  <c r="H27" i="8" s="1"/>
  <c r="G26" i="8"/>
  <c r="G27" i="8" s="1"/>
  <c r="F26" i="8"/>
  <c r="F27" i="8" s="1"/>
  <c r="E26" i="8"/>
  <c r="E38" i="8" s="1"/>
  <c r="D26" i="8"/>
  <c r="O24" i="8"/>
  <c r="N24" i="8"/>
  <c r="M24" i="8"/>
  <c r="L24" i="8"/>
  <c r="K24" i="8"/>
  <c r="J24" i="8"/>
  <c r="I24" i="8"/>
  <c r="H24" i="8"/>
  <c r="G24" i="8"/>
  <c r="F24" i="8"/>
  <c r="E24" i="8"/>
  <c r="D24" i="8"/>
  <c r="O21" i="8"/>
  <c r="N21" i="8"/>
  <c r="M21" i="8"/>
  <c r="L21" i="8"/>
  <c r="K21" i="8"/>
  <c r="J21" i="8"/>
  <c r="I21" i="8"/>
  <c r="H21" i="8"/>
  <c r="G21" i="8"/>
  <c r="F21" i="8"/>
  <c r="E21" i="8"/>
  <c r="D21" i="8"/>
  <c r="O18" i="8"/>
  <c r="N18" i="8"/>
  <c r="M18" i="8"/>
  <c r="L18" i="8"/>
  <c r="K18" i="8"/>
  <c r="J18" i="8"/>
  <c r="I18" i="8"/>
  <c r="H18" i="8"/>
  <c r="G18" i="8"/>
  <c r="F18" i="8"/>
  <c r="E18" i="8"/>
  <c r="D18" i="8"/>
  <c r="AC176" i="1"/>
  <c r="AC176" i="8" s="1"/>
  <c r="AC175" i="1"/>
  <c r="AC175" i="8" s="1"/>
  <c r="AD174" i="1"/>
  <c r="AC174" i="1"/>
  <c r="AC162" i="1"/>
  <c r="AC162" i="8" s="1"/>
  <c r="D132" i="1"/>
  <c r="E135" i="1"/>
  <c r="D135" i="1"/>
  <c r="E124" i="1"/>
  <c r="D124" i="1"/>
  <c r="E130" i="1"/>
  <c r="D130" i="1"/>
  <c r="X132" i="1"/>
  <c r="L132" i="8" s="1"/>
  <c r="X132" i="8" s="1"/>
  <c r="W132" i="1"/>
  <c r="K132" i="8" s="1"/>
  <c r="W132" i="8" s="1"/>
  <c r="J132" i="1"/>
  <c r="I132" i="1"/>
  <c r="H132" i="1"/>
  <c r="E132" i="1"/>
  <c r="U175" i="1"/>
  <c r="AD175" i="1" s="1"/>
  <c r="E64" i="1"/>
  <c r="X172" i="1"/>
  <c r="W172" i="1"/>
  <c r="S172" i="1"/>
  <c r="R172" i="1"/>
  <c r="M172" i="1"/>
  <c r="J172" i="1"/>
  <c r="I172" i="1"/>
  <c r="H172" i="1"/>
  <c r="AA171" i="1"/>
  <c r="AA172" i="1" s="1"/>
  <c r="Z171" i="1"/>
  <c r="Z172" i="1" s="1"/>
  <c r="Y171" i="1"/>
  <c r="Y172" i="1" s="1"/>
  <c r="X171" i="1"/>
  <c r="W171" i="1"/>
  <c r="V171" i="1"/>
  <c r="V172" i="1" s="1"/>
  <c r="U171" i="1"/>
  <c r="U172" i="1" s="1"/>
  <c r="T171" i="1"/>
  <c r="T172" i="1" s="1"/>
  <c r="S171" i="1"/>
  <c r="R171" i="1"/>
  <c r="Q171" i="1"/>
  <c r="Q172" i="1" s="1"/>
  <c r="P171" i="1"/>
  <c r="P172" i="1" s="1"/>
  <c r="O171" i="1"/>
  <c r="O172" i="1" s="1"/>
  <c r="N171" i="1"/>
  <c r="N172" i="1" s="1"/>
  <c r="M171" i="1"/>
  <c r="L171" i="1"/>
  <c r="L172" i="1" s="1"/>
  <c r="K171" i="1"/>
  <c r="K172" i="1" s="1"/>
  <c r="J171" i="1"/>
  <c r="I171" i="1"/>
  <c r="H171" i="1"/>
  <c r="G171" i="1"/>
  <c r="G172" i="1" s="1"/>
  <c r="F171" i="1"/>
  <c r="F172" i="1" s="1"/>
  <c r="E171" i="1"/>
  <c r="E172" i="1" s="1"/>
  <c r="J177" i="1"/>
  <c r="H177" i="1"/>
  <c r="AA176" i="1"/>
  <c r="AA177" i="1" s="1"/>
  <c r="Z176" i="1"/>
  <c r="Z177" i="1" s="1"/>
  <c r="Y176" i="1"/>
  <c r="Y177" i="1" s="1"/>
  <c r="X176" i="1"/>
  <c r="X177" i="1" s="1"/>
  <c r="W176" i="1"/>
  <c r="W177" i="1" s="1"/>
  <c r="V176" i="1"/>
  <c r="V177" i="1" s="1"/>
  <c r="U176" i="1"/>
  <c r="U177" i="1" s="1"/>
  <c r="T176" i="1"/>
  <c r="T177" i="1" s="1"/>
  <c r="S176" i="1"/>
  <c r="S177" i="1" s="1"/>
  <c r="R176" i="1"/>
  <c r="R177" i="1" s="1"/>
  <c r="Q176" i="1"/>
  <c r="Q177" i="1" s="1"/>
  <c r="P176" i="1"/>
  <c r="P177" i="1" s="1"/>
  <c r="O176" i="1"/>
  <c r="O177" i="1" s="1"/>
  <c r="N176" i="1"/>
  <c r="N177" i="1" s="1"/>
  <c r="M176" i="1"/>
  <c r="M177" i="1" s="1"/>
  <c r="L176" i="1"/>
  <c r="L177" i="1" s="1"/>
  <c r="K176" i="1"/>
  <c r="K177" i="1" s="1"/>
  <c r="J176" i="1"/>
  <c r="I176" i="1"/>
  <c r="I177" i="1" s="1"/>
  <c r="H176" i="1"/>
  <c r="G176" i="1"/>
  <c r="G177" i="1" s="1"/>
  <c r="F176" i="1"/>
  <c r="F177" i="1" s="1"/>
  <c r="E176" i="1"/>
  <c r="E177" i="1" s="1"/>
  <c r="D177" i="1"/>
  <c r="D171" i="1"/>
  <c r="D172" i="1" s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AD168" i="1" s="1"/>
  <c r="O168" i="1"/>
  <c r="N168" i="1"/>
  <c r="M168" i="1"/>
  <c r="L168" i="1"/>
  <c r="K168" i="1"/>
  <c r="J168" i="1"/>
  <c r="I168" i="1"/>
  <c r="H168" i="1"/>
  <c r="G168" i="1"/>
  <c r="F168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AD167" i="1" s="1"/>
  <c r="O167" i="1"/>
  <c r="N167" i="1"/>
  <c r="M167" i="1"/>
  <c r="L167" i="1"/>
  <c r="K167" i="1"/>
  <c r="J167" i="1"/>
  <c r="I167" i="1"/>
  <c r="H167" i="1"/>
  <c r="G167" i="1"/>
  <c r="F167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AD166" i="1" s="1"/>
  <c r="O166" i="1"/>
  <c r="N166" i="1"/>
  <c r="M166" i="1"/>
  <c r="L166" i="1"/>
  <c r="K166" i="1"/>
  <c r="J166" i="1"/>
  <c r="I166" i="1"/>
  <c r="H166" i="1"/>
  <c r="G166" i="1"/>
  <c r="F166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AD165" i="1" s="1"/>
  <c r="O165" i="1"/>
  <c r="N165" i="1"/>
  <c r="M165" i="1"/>
  <c r="L165" i="1"/>
  <c r="K165" i="1"/>
  <c r="J165" i="1"/>
  <c r="I165" i="1"/>
  <c r="H165" i="1"/>
  <c r="G165" i="1"/>
  <c r="AC165" i="1" s="1"/>
  <c r="AC165" i="8" s="1"/>
  <c r="F165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AD164" i="1" s="1"/>
  <c r="O164" i="1"/>
  <c r="N164" i="1"/>
  <c r="M164" i="1"/>
  <c r="L164" i="1"/>
  <c r="K164" i="1"/>
  <c r="J164" i="1"/>
  <c r="I164" i="1"/>
  <c r="H164" i="1"/>
  <c r="G164" i="1"/>
  <c r="F164" i="1"/>
  <c r="AC164" i="1" s="1"/>
  <c r="AC164" i="8" s="1"/>
  <c r="AA162" i="1"/>
  <c r="Z162" i="1"/>
  <c r="Y162" i="1"/>
  <c r="X162" i="1"/>
  <c r="W162" i="1"/>
  <c r="V162" i="1"/>
  <c r="U162" i="1"/>
  <c r="T162" i="1"/>
  <c r="S162" i="1"/>
  <c r="R162" i="1"/>
  <c r="Q162" i="1"/>
  <c r="AD162" i="1" s="1"/>
  <c r="P162" i="1"/>
  <c r="O162" i="1"/>
  <c r="N162" i="1"/>
  <c r="M162" i="1"/>
  <c r="L162" i="1"/>
  <c r="K162" i="1"/>
  <c r="J162" i="1"/>
  <c r="I162" i="1"/>
  <c r="H162" i="1"/>
  <c r="G162" i="1"/>
  <c r="F162" i="1"/>
  <c r="AA161" i="1"/>
  <c r="Z161" i="1"/>
  <c r="Y161" i="1"/>
  <c r="X161" i="1"/>
  <c r="W161" i="1"/>
  <c r="V161" i="1"/>
  <c r="U161" i="1"/>
  <c r="T161" i="1"/>
  <c r="S161" i="1"/>
  <c r="AD161" i="1" s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AA160" i="1"/>
  <c r="O160" i="8" s="1"/>
  <c r="Z160" i="1"/>
  <c r="N160" i="8" s="1"/>
  <c r="Y160" i="1"/>
  <c r="M160" i="8" s="1"/>
  <c r="X160" i="1"/>
  <c r="L160" i="8" s="1"/>
  <c r="W160" i="1"/>
  <c r="K160" i="8" s="1"/>
  <c r="V160" i="1"/>
  <c r="J160" i="8" s="1"/>
  <c r="U160" i="1"/>
  <c r="I160" i="8" s="1"/>
  <c r="T160" i="1"/>
  <c r="H160" i="8" s="1"/>
  <c r="S160" i="1"/>
  <c r="G160" i="8" s="1"/>
  <c r="R160" i="1"/>
  <c r="F160" i="8" s="1"/>
  <c r="Q160" i="1"/>
  <c r="E160" i="8" s="1"/>
  <c r="P160" i="1"/>
  <c r="D160" i="8" s="1"/>
  <c r="O160" i="1"/>
  <c r="N160" i="1"/>
  <c r="M160" i="1"/>
  <c r="L160" i="1"/>
  <c r="K160" i="1"/>
  <c r="J160" i="1"/>
  <c r="I160" i="1"/>
  <c r="H160" i="1"/>
  <c r="G160" i="1"/>
  <c r="F160" i="1"/>
  <c r="AA159" i="1"/>
  <c r="O159" i="8" s="1"/>
  <c r="Z159" i="1"/>
  <c r="N159" i="8" s="1"/>
  <c r="Y159" i="1"/>
  <c r="M159" i="8" s="1"/>
  <c r="X159" i="1"/>
  <c r="L159" i="8" s="1"/>
  <c r="W159" i="1"/>
  <c r="K159" i="8" s="1"/>
  <c r="V159" i="1"/>
  <c r="J159" i="8" s="1"/>
  <c r="U159" i="1"/>
  <c r="I159" i="8" s="1"/>
  <c r="T159" i="1"/>
  <c r="H159" i="8" s="1"/>
  <c r="S159" i="1"/>
  <c r="G159" i="8" s="1"/>
  <c r="R159" i="1"/>
  <c r="F159" i="8" s="1"/>
  <c r="Q159" i="1"/>
  <c r="E159" i="8" s="1"/>
  <c r="P159" i="1"/>
  <c r="D159" i="8" s="1"/>
  <c r="O159" i="1"/>
  <c r="N159" i="1"/>
  <c r="M159" i="1"/>
  <c r="L159" i="1"/>
  <c r="K159" i="1"/>
  <c r="J159" i="1"/>
  <c r="I159" i="1"/>
  <c r="H159" i="1"/>
  <c r="G159" i="1"/>
  <c r="F159" i="1"/>
  <c r="E168" i="1"/>
  <c r="AC168" i="1" s="1"/>
  <c r="AC168" i="8" s="1"/>
  <c r="E167" i="1"/>
  <c r="AC167" i="1" s="1"/>
  <c r="AC167" i="8" s="1"/>
  <c r="E166" i="1"/>
  <c r="AC166" i="1" s="1"/>
  <c r="AC166" i="8" s="1"/>
  <c r="E165" i="1"/>
  <c r="E164" i="1"/>
  <c r="E162" i="1"/>
  <c r="E161" i="1"/>
  <c r="AC161" i="1" s="1"/>
  <c r="AC161" i="8" s="1"/>
  <c r="E160" i="1"/>
  <c r="AC160" i="1" s="1"/>
  <c r="AC160" i="8" s="1"/>
  <c r="E159" i="1"/>
  <c r="AC159" i="1" s="1"/>
  <c r="AC159" i="8" s="1"/>
  <c r="D160" i="1"/>
  <c r="D159" i="1"/>
  <c r="C167" i="1"/>
  <c r="C168" i="1"/>
  <c r="C166" i="1"/>
  <c r="C165" i="1"/>
  <c r="C162" i="1"/>
  <c r="C163" i="1"/>
  <c r="C164" i="1"/>
  <c r="C161" i="1"/>
  <c r="E156" i="1"/>
  <c r="F156" i="1" s="1"/>
  <c r="G156" i="1" s="1"/>
  <c r="H156" i="1" s="1"/>
  <c r="I156" i="1" s="1"/>
  <c r="J156" i="1" s="1"/>
  <c r="K156" i="1" s="1"/>
  <c r="L156" i="1" s="1"/>
  <c r="M156" i="1" s="1"/>
  <c r="N156" i="1" s="1"/>
  <c r="O156" i="1" s="1"/>
  <c r="P156" i="1" s="1"/>
  <c r="Q156" i="1" s="1"/>
  <c r="R156" i="1" s="1"/>
  <c r="S156" i="1" s="1"/>
  <c r="T156" i="1" s="1"/>
  <c r="U156" i="1" s="1"/>
  <c r="V156" i="1" s="1"/>
  <c r="W156" i="1" s="1"/>
  <c r="X156" i="1" s="1"/>
  <c r="Y156" i="1" s="1"/>
  <c r="Z156" i="1" s="1"/>
  <c r="AA156" i="1" s="1"/>
  <c r="AD152" i="1"/>
  <c r="AA146" i="1"/>
  <c r="O146" i="8" s="1"/>
  <c r="Z146" i="1"/>
  <c r="N146" i="8" s="1"/>
  <c r="Y146" i="1"/>
  <c r="M146" i="8" s="1"/>
  <c r="X146" i="1"/>
  <c r="L146" i="8" s="1"/>
  <c r="W146" i="1"/>
  <c r="K146" i="8" s="1"/>
  <c r="V146" i="1"/>
  <c r="J146" i="8" s="1"/>
  <c r="U146" i="1"/>
  <c r="I146" i="8" s="1"/>
  <c r="T146" i="1"/>
  <c r="H146" i="8" s="1"/>
  <c r="S146" i="1"/>
  <c r="G146" i="8" s="1"/>
  <c r="R146" i="1"/>
  <c r="F146" i="8" s="1"/>
  <c r="Q146" i="1"/>
  <c r="E146" i="8" s="1"/>
  <c r="P146" i="1"/>
  <c r="D146" i="8" s="1"/>
  <c r="O146" i="1"/>
  <c r="N146" i="1"/>
  <c r="M146" i="1"/>
  <c r="L146" i="1"/>
  <c r="K146" i="1"/>
  <c r="J146" i="1"/>
  <c r="I146" i="1"/>
  <c r="H146" i="1"/>
  <c r="G146" i="1"/>
  <c r="F146" i="1"/>
  <c r="E146" i="1"/>
  <c r="D146" i="1"/>
  <c r="AA149" i="1"/>
  <c r="O149" i="8" s="1"/>
  <c r="Z149" i="1"/>
  <c r="N149" i="8" s="1"/>
  <c r="Y149" i="1"/>
  <c r="M149" i="8" s="1"/>
  <c r="X149" i="1"/>
  <c r="L149" i="8" s="1"/>
  <c r="W149" i="1"/>
  <c r="K149" i="8" s="1"/>
  <c r="V149" i="1"/>
  <c r="J149" i="8" s="1"/>
  <c r="U149" i="1"/>
  <c r="I149" i="8" s="1"/>
  <c r="T149" i="1"/>
  <c r="H149" i="8" s="1"/>
  <c r="S149" i="1"/>
  <c r="G149" i="8" s="1"/>
  <c r="R149" i="1"/>
  <c r="F149" i="8" s="1"/>
  <c r="Q149" i="1"/>
  <c r="E149" i="8" s="1"/>
  <c r="P149" i="1"/>
  <c r="D149" i="8" s="1"/>
  <c r="O149" i="1"/>
  <c r="N149" i="1"/>
  <c r="M149" i="1"/>
  <c r="L149" i="1"/>
  <c r="K149" i="1"/>
  <c r="J149" i="1"/>
  <c r="I149" i="1"/>
  <c r="H149" i="1"/>
  <c r="G149" i="1"/>
  <c r="F149" i="1"/>
  <c r="E149" i="1"/>
  <c r="D149" i="1"/>
  <c r="D114" i="1"/>
  <c r="AD59" i="1"/>
  <c r="AC59" i="1"/>
  <c r="AC59" i="8" s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D105" i="1"/>
  <c r="D110" i="1" s="1"/>
  <c r="E140" i="1"/>
  <c r="D140" i="1"/>
  <c r="AA139" i="1"/>
  <c r="O139" i="8" s="1"/>
  <c r="Z139" i="1"/>
  <c r="N139" i="8" s="1"/>
  <c r="Y139" i="1"/>
  <c r="M139" i="8" s="1"/>
  <c r="X139" i="1"/>
  <c r="L139" i="8" s="1"/>
  <c r="W139" i="1"/>
  <c r="K139" i="8" s="1"/>
  <c r="V139" i="1"/>
  <c r="J139" i="8" s="1"/>
  <c r="U139" i="1"/>
  <c r="I139" i="8" s="1"/>
  <c r="T139" i="1"/>
  <c r="H139" i="8" s="1"/>
  <c r="S139" i="1"/>
  <c r="G139" i="8" s="1"/>
  <c r="R139" i="1"/>
  <c r="F139" i="8" s="1"/>
  <c r="Q139" i="1"/>
  <c r="E139" i="8" s="1"/>
  <c r="P139" i="1"/>
  <c r="D139" i="8" s="1"/>
  <c r="O139" i="1"/>
  <c r="N139" i="1"/>
  <c r="M139" i="1"/>
  <c r="L139" i="1"/>
  <c r="K139" i="1"/>
  <c r="J139" i="1"/>
  <c r="I139" i="1"/>
  <c r="H139" i="1"/>
  <c r="G139" i="1"/>
  <c r="F139" i="1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G88" i="4"/>
  <c r="AG87" i="4"/>
  <c r="AG86" i="4"/>
  <c r="AG85" i="4"/>
  <c r="AG84" i="4"/>
  <c r="AG83" i="4"/>
  <c r="AG82" i="4"/>
  <c r="AG81" i="4"/>
  <c r="AG80" i="4"/>
  <c r="AG79" i="4"/>
  <c r="AG78" i="4"/>
  <c r="AG77" i="4"/>
  <c r="AG76" i="4"/>
  <c r="AG75" i="4"/>
  <c r="AG74" i="4"/>
  <c r="AG73" i="4"/>
  <c r="AG72" i="4"/>
  <c r="AG71" i="4"/>
  <c r="AG70" i="4"/>
  <c r="AG240" i="4"/>
  <c r="AA133" i="1"/>
  <c r="O133" i="8" s="1"/>
  <c r="Z133" i="1"/>
  <c r="N133" i="8" s="1"/>
  <c r="Y133" i="1"/>
  <c r="M133" i="8" s="1"/>
  <c r="X133" i="1"/>
  <c r="L133" i="8" s="1"/>
  <c r="W133" i="1"/>
  <c r="K133" i="8" s="1"/>
  <c r="V133" i="1"/>
  <c r="J133" i="8" s="1"/>
  <c r="U133" i="1"/>
  <c r="I133" i="8" s="1"/>
  <c r="T133" i="1"/>
  <c r="H133" i="8" s="1"/>
  <c r="S133" i="1"/>
  <c r="G133" i="8" s="1"/>
  <c r="R133" i="1"/>
  <c r="F133" i="8" s="1"/>
  <c r="Q133" i="1"/>
  <c r="E133" i="8" s="1"/>
  <c r="P133" i="1"/>
  <c r="D133" i="8" s="1"/>
  <c r="O133" i="1"/>
  <c r="O132" i="1" s="1"/>
  <c r="N133" i="1"/>
  <c r="N132" i="1" s="1"/>
  <c r="M133" i="1"/>
  <c r="M132" i="1" s="1"/>
  <c r="L133" i="1"/>
  <c r="L132" i="1" s="1"/>
  <c r="K133" i="1"/>
  <c r="K132" i="1" s="1"/>
  <c r="J133" i="1"/>
  <c r="I133" i="1"/>
  <c r="H133" i="1"/>
  <c r="G133" i="1"/>
  <c r="G132" i="1" s="1"/>
  <c r="F133" i="1"/>
  <c r="F132" i="1" s="1"/>
  <c r="E121" i="1"/>
  <c r="D121" i="1"/>
  <c r="J352" i="11" l="1"/>
  <c r="T11" i="9"/>
  <c r="T66" i="11"/>
  <c r="J249" i="11"/>
  <c r="G294" i="11"/>
  <c r="I271" i="11"/>
  <c r="I253" i="11"/>
  <c r="M60" i="10"/>
  <c r="J247" i="11"/>
  <c r="C421" i="9"/>
  <c r="C133" i="9"/>
  <c r="C286" i="9"/>
  <c r="C424" i="9"/>
  <c r="C781" i="9"/>
  <c r="C971" i="9"/>
  <c r="C1066" i="9"/>
  <c r="C1271" i="9"/>
  <c r="C1406" i="9"/>
  <c r="C292" i="9"/>
  <c r="C787" i="9"/>
  <c r="C1277" i="9"/>
  <c r="C1522" i="9"/>
  <c r="C242" i="9"/>
  <c r="C983" i="9"/>
  <c r="C1473" i="9"/>
  <c r="C591" i="9"/>
  <c r="C836" i="9"/>
  <c r="C1081" i="9"/>
  <c r="C1326" i="9"/>
  <c r="C729" i="9"/>
  <c r="C1559" i="9"/>
  <c r="U11" i="9"/>
  <c r="U13" i="9" s="1"/>
  <c r="T13" i="9"/>
  <c r="AH38" i="9"/>
  <c r="G21" i="9"/>
  <c r="S21" i="9" s="1"/>
  <c r="AD57" i="8"/>
  <c r="AD30" i="8"/>
  <c r="AD11" i="8"/>
  <c r="I169" i="11"/>
  <c r="I287" i="11"/>
  <c r="O175" i="11"/>
  <c r="O293" i="11"/>
  <c r="O352" i="11" s="1"/>
  <c r="G346" i="11"/>
  <c r="G228" i="11"/>
  <c r="G190" i="11"/>
  <c r="G308" i="11"/>
  <c r="G210" i="11"/>
  <c r="G328" i="11"/>
  <c r="J277" i="11"/>
  <c r="I277" i="11"/>
  <c r="I289" i="11"/>
  <c r="I171" i="11"/>
  <c r="J282" i="11"/>
  <c r="J280" i="11"/>
  <c r="J339" i="11" s="1"/>
  <c r="I291" i="11"/>
  <c r="I173" i="11"/>
  <c r="J287" i="11"/>
  <c r="J169" i="11"/>
  <c r="I280" i="11"/>
  <c r="J278" i="11"/>
  <c r="J292" i="11"/>
  <c r="J174" i="11"/>
  <c r="J288" i="11"/>
  <c r="J170" i="11"/>
  <c r="I284" i="11"/>
  <c r="I286" i="11"/>
  <c r="I168" i="11"/>
  <c r="J172" i="11"/>
  <c r="J290" i="11"/>
  <c r="J349" i="11" s="1"/>
  <c r="I174" i="11"/>
  <c r="I292" i="11"/>
  <c r="G196" i="11"/>
  <c r="G314" i="11"/>
  <c r="G216" i="11"/>
  <c r="G334" i="11"/>
  <c r="I290" i="11"/>
  <c r="I172" i="11"/>
  <c r="I274" i="11"/>
  <c r="Q175" i="11"/>
  <c r="Q293" i="11"/>
  <c r="G315" i="11"/>
  <c r="G197" i="11"/>
  <c r="J281" i="11"/>
  <c r="I248" i="11"/>
  <c r="J286" i="11"/>
  <c r="J168" i="11"/>
  <c r="J283" i="11"/>
  <c r="J342" i="11" s="1"/>
  <c r="S293" i="11"/>
  <c r="S175" i="11"/>
  <c r="G200" i="11"/>
  <c r="G318" i="11"/>
  <c r="G220" i="11"/>
  <c r="G338" i="11"/>
  <c r="J291" i="11"/>
  <c r="J350" i="11" s="1"/>
  <c r="J173" i="11"/>
  <c r="R175" i="11"/>
  <c r="R293" i="11"/>
  <c r="G221" i="11"/>
  <c r="G339" i="11"/>
  <c r="T293" i="11"/>
  <c r="T175" i="11"/>
  <c r="P293" i="11"/>
  <c r="P175" i="11"/>
  <c r="G320" i="11"/>
  <c r="G202" i="11"/>
  <c r="M175" i="11"/>
  <c r="M293" i="11"/>
  <c r="M352" i="11" s="1"/>
  <c r="J279" i="11"/>
  <c r="I281" i="11"/>
  <c r="I222" i="11"/>
  <c r="L175" i="11"/>
  <c r="L293" i="11"/>
  <c r="L352" i="11" s="1"/>
  <c r="G322" i="11"/>
  <c r="G204" i="11"/>
  <c r="G342" i="11"/>
  <c r="G224" i="11"/>
  <c r="J284" i="11"/>
  <c r="K175" i="11"/>
  <c r="K293" i="11"/>
  <c r="K352" i="11" s="1"/>
  <c r="G185" i="11"/>
  <c r="G303" i="11"/>
  <c r="G205" i="11"/>
  <c r="G323" i="11"/>
  <c r="G225" i="11"/>
  <c r="G343" i="11"/>
  <c r="I170" i="11"/>
  <c r="I288" i="11"/>
  <c r="J289" i="11"/>
  <c r="J171" i="11"/>
  <c r="I165" i="11"/>
  <c r="I231" i="11" s="1"/>
  <c r="I224" i="11"/>
  <c r="I283" i="11"/>
  <c r="I342" i="11" s="1"/>
  <c r="I278" i="11"/>
  <c r="G206" i="11"/>
  <c r="G324" i="11"/>
  <c r="I279" i="11"/>
  <c r="I164" i="11"/>
  <c r="I230" i="11" s="1"/>
  <c r="I282" i="11"/>
  <c r="I341" i="11" s="1"/>
  <c r="P159" i="8"/>
  <c r="P96" i="8"/>
  <c r="Q96" i="8" s="1"/>
  <c r="R96" i="8" s="1"/>
  <c r="S96" i="8" s="1"/>
  <c r="T56" i="8"/>
  <c r="S159" i="8"/>
  <c r="AE47" i="8"/>
  <c r="AE48" i="8" s="1"/>
  <c r="R159" i="8"/>
  <c r="G116" i="8"/>
  <c r="G117" i="8" s="1"/>
  <c r="N116" i="8"/>
  <c r="N117" i="8" s="1"/>
  <c r="P132" i="1"/>
  <c r="D132" i="8" s="1"/>
  <c r="P132" i="8" s="1"/>
  <c r="AE59" i="8"/>
  <c r="Q132" i="1"/>
  <c r="E132" i="8" s="1"/>
  <c r="Q132" i="8" s="1"/>
  <c r="R132" i="1"/>
  <c r="F132" i="8" s="1"/>
  <c r="R132" i="8" s="1"/>
  <c r="AC171" i="1"/>
  <c r="S132" i="1"/>
  <c r="G132" i="8" s="1"/>
  <c r="S132" i="8" s="1"/>
  <c r="AD159" i="1"/>
  <c r="AD171" i="1"/>
  <c r="AD172" i="1" s="1"/>
  <c r="T132" i="1"/>
  <c r="H132" i="8" s="1"/>
  <c r="T132" i="8" s="1"/>
  <c r="U132" i="1"/>
  <c r="I132" i="8" s="1"/>
  <c r="U132" i="8" s="1"/>
  <c r="AD160" i="1"/>
  <c r="I116" i="8"/>
  <c r="I117" i="8" s="1"/>
  <c r="AC177" i="1"/>
  <c r="AC177" i="8" s="1"/>
  <c r="AC174" i="8"/>
  <c r="V132" i="1"/>
  <c r="J132" i="8" s="1"/>
  <c r="V132" i="8" s="1"/>
  <c r="E116" i="8"/>
  <c r="E117" i="8" s="1"/>
  <c r="Q159" i="8"/>
  <c r="Y132" i="1"/>
  <c r="M132" i="8" s="1"/>
  <c r="Y132" i="8" s="1"/>
  <c r="AD176" i="1"/>
  <c r="AD177" i="1" s="1"/>
  <c r="Z132" i="1"/>
  <c r="N132" i="8" s="1"/>
  <c r="Z132" i="8" s="1"/>
  <c r="M176" i="8"/>
  <c r="E175" i="8"/>
  <c r="I172" i="8"/>
  <c r="E168" i="8"/>
  <c r="I166" i="8"/>
  <c r="M164" i="8"/>
  <c r="I161" i="8"/>
  <c r="L176" i="8"/>
  <c r="D175" i="8"/>
  <c r="H172" i="8"/>
  <c r="D168" i="8"/>
  <c r="H166" i="8"/>
  <c r="L164" i="8"/>
  <c r="H161" i="8"/>
  <c r="K176" i="8"/>
  <c r="O174" i="8"/>
  <c r="G172" i="8"/>
  <c r="O167" i="8"/>
  <c r="G166" i="8"/>
  <c r="K164" i="8"/>
  <c r="O162" i="8"/>
  <c r="G161" i="8"/>
  <c r="J176" i="8"/>
  <c r="N174" i="8"/>
  <c r="F172" i="8"/>
  <c r="N167" i="8"/>
  <c r="F166" i="8"/>
  <c r="J164" i="8"/>
  <c r="N162" i="8"/>
  <c r="F161" i="8"/>
  <c r="I176" i="8"/>
  <c r="M174" i="8"/>
  <c r="E172" i="8"/>
  <c r="M167" i="8"/>
  <c r="E166" i="8"/>
  <c r="I164" i="8"/>
  <c r="M162" i="8"/>
  <c r="E161" i="8"/>
  <c r="H176" i="8"/>
  <c r="L174" i="8"/>
  <c r="D172" i="8"/>
  <c r="L167" i="8"/>
  <c r="D166" i="8"/>
  <c r="H164" i="8"/>
  <c r="L162" i="8"/>
  <c r="D161" i="8"/>
  <c r="O177" i="8"/>
  <c r="G176" i="8"/>
  <c r="K174" i="8"/>
  <c r="O171" i="8"/>
  <c r="K167" i="8"/>
  <c r="O165" i="8"/>
  <c r="G164" i="8"/>
  <c r="K162" i="8"/>
  <c r="N177" i="8"/>
  <c r="F176" i="8"/>
  <c r="J174" i="8"/>
  <c r="N171" i="8"/>
  <c r="J167" i="8"/>
  <c r="N165" i="8"/>
  <c r="F164" i="8"/>
  <c r="J162" i="8"/>
  <c r="M177" i="8"/>
  <c r="E176" i="8"/>
  <c r="I174" i="8"/>
  <c r="M171" i="8"/>
  <c r="I167" i="8"/>
  <c r="M165" i="8"/>
  <c r="E164" i="8"/>
  <c r="I162" i="8"/>
  <c r="L177" i="8"/>
  <c r="D176" i="8"/>
  <c r="H174" i="8"/>
  <c r="L171" i="8"/>
  <c r="H167" i="8"/>
  <c r="L165" i="8"/>
  <c r="D164" i="8"/>
  <c r="H162" i="8"/>
  <c r="K177" i="8"/>
  <c r="O175" i="8"/>
  <c r="G174" i="8"/>
  <c r="K171" i="8"/>
  <c r="O168" i="8"/>
  <c r="G167" i="8"/>
  <c r="K165" i="8"/>
  <c r="G162" i="8"/>
  <c r="J177" i="8"/>
  <c r="N175" i="8"/>
  <c r="F174" i="8"/>
  <c r="J171" i="8"/>
  <c r="N168" i="8"/>
  <c r="F167" i="8"/>
  <c r="J165" i="8"/>
  <c r="F162" i="8"/>
  <c r="I177" i="8"/>
  <c r="M175" i="8"/>
  <c r="E174" i="8"/>
  <c r="I171" i="8"/>
  <c r="M168" i="8"/>
  <c r="E167" i="8"/>
  <c r="I165" i="8"/>
  <c r="E162" i="8"/>
  <c r="H177" i="8"/>
  <c r="L175" i="8"/>
  <c r="D174" i="8"/>
  <c r="H171" i="8"/>
  <c r="L168" i="8"/>
  <c r="D167" i="8"/>
  <c r="H165" i="8"/>
  <c r="D162" i="8"/>
  <c r="G177" i="8"/>
  <c r="K175" i="8"/>
  <c r="O172" i="8"/>
  <c r="G171" i="8"/>
  <c r="K168" i="8"/>
  <c r="O166" i="8"/>
  <c r="G165" i="8"/>
  <c r="O161" i="8"/>
  <c r="F177" i="8"/>
  <c r="J175" i="8"/>
  <c r="N172" i="8"/>
  <c r="F171" i="8"/>
  <c r="J168" i="8"/>
  <c r="N166" i="8"/>
  <c r="F165" i="8"/>
  <c r="N161" i="8"/>
  <c r="E177" i="8"/>
  <c r="I175" i="8"/>
  <c r="M172" i="8"/>
  <c r="E171" i="8"/>
  <c r="I168" i="8"/>
  <c r="M166" i="8"/>
  <c r="E165" i="8"/>
  <c r="M161" i="8"/>
  <c r="D177" i="8"/>
  <c r="H175" i="8"/>
  <c r="L172" i="8"/>
  <c r="D171" i="8"/>
  <c r="H168" i="8"/>
  <c r="L166" i="8"/>
  <c r="D165" i="8"/>
  <c r="L161" i="8"/>
  <c r="O176" i="8"/>
  <c r="G175" i="8"/>
  <c r="K172" i="8"/>
  <c r="G168" i="8"/>
  <c r="K166" i="8"/>
  <c r="O164" i="8"/>
  <c r="K161" i="8"/>
  <c r="N176" i="8"/>
  <c r="F175" i="8"/>
  <c r="J172" i="8"/>
  <c r="F168" i="8"/>
  <c r="J166" i="8"/>
  <c r="N164" i="8"/>
  <c r="J161" i="8"/>
  <c r="AA132" i="1"/>
  <c r="O132" i="8" s="1"/>
  <c r="AA132" i="8" s="1"/>
  <c r="Q98" i="8"/>
  <c r="R98" i="8" s="1"/>
  <c r="S98" i="8" s="1"/>
  <c r="T98" i="8" s="1"/>
  <c r="U98" i="8" s="1"/>
  <c r="V98" i="8" s="1"/>
  <c r="W98" i="8" s="1"/>
  <c r="X98" i="8" s="1"/>
  <c r="Y98" i="8" s="1"/>
  <c r="Z98" i="8" s="1"/>
  <c r="AA98" i="8" s="1"/>
  <c r="AE165" i="8"/>
  <c r="Q172" i="8"/>
  <c r="AE171" i="8"/>
  <c r="AE172" i="8" s="1"/>
  <c r="S13" i="9"/>
  <c r="AE160" i="8"/>
  <c r="D116" i="8"/>
  <c r="D117" i="8" s="1"/>
  <c r="AD160" i="8"/>
  <c r="AD159" i="8"/>
  <c r="D51" i="8"/>
  <c r="AD50" i="8"/>
  <c r="AD51" i="8" s="1"/>
  <c r="J27" i="8"/>
  <c r="H38" i="8"/>
  <c r="H39" i="8" s="1"/>
  <c r="L38" i="8"/>
  <c r="L39" i="8" s="1"/>
  <c r="D27" i="8"/>
  <c r="AD26" i="8"/>
  <c r="AD27" i="8" s="1"/>
  <c r="M27" i="8"/>
  <c r="H116" i="8"/>
  <c r="H117" i="8" s="1"/>
  <c r="E53" i="8"/>
  <c r="E61" i="8" s="1"/>
  <c r="E39" i="8"/>
  <c r="I53" i="8"/>
  <c r="I54" i="8" s="1"/>
  <c r="I39" i="8"/>
  <c r="M39" i="8"/>
  <c r="M53" i="8"/>
  <c r="D38" i="8"/>
  <c r="K116" i="8"/>
  <c r="K117" i="8" s="1"/>
  <c r="E27" i="8"/>
  <c r="L116" i="8"/>
  <c r="L117" i="8" s="1"/>
  <c r="I27" i="8"/>
  <c r="AD33" i="8"/>
  <c r="K27" i="8"/>
  <c r="N38" i="8"/>
  <c r="N53" i="8" s="1"/>
  <c r="N54" i="8" s="1"/>
  <c r="AD21" i="8"/>
  <c r="AD24" i="8"/>
  <c r="AD77" i="8"/>
  <c r="F116" i="8"/>
  <c r="F117" i="8" s="1"/>
  <c r="AD18" i="8"/>
  <c r="P172" i="8"/>
  <c r="C492" i="9"/>
  <c r="C738" i="9"/>
  <c r="C1228" i="9"/>
  <c r="C130" i="9"/>
  <c r="C171" i="9"/>
  <c r="C186" i="9"/>
  <c r="C283" i="9"/>
  <c r="C324" i="9"/>
  <c r="C436" i="9"/>
  <c r="C628" i="9"/>
  <c r="C683" i="9"/>
  <c r="C818" i="9"/>
  <c r="C913" i="9"/>
  <c r="C1118" i="9"/>
  <c r="C1173" i="9"/>
  <c r="C1403" i="9"/>
  <c r="C342" i="9"/>
  <c r="C1571" i="9"/>
  <c r="C174" i="9"/>
  <c r="C230" i="9"/>
  <c r="C480" i="9"/>
  <c r="C576" i="9"/>
  <c r="C631" i="9"/>
  <c r="C671" i="9"/>
  <c r="C726" i="9"/>
  <c r="C766" i="9"/>
  <c r="C821" i="9"/>
  <c r="C876" i="9"/>
  <c r="C916" i="9"/>
  <c r="C1011" i="9"/>
  <c r="C1026" i="9"/>
  <c r="C1556" i="9"/>
  <c r="C1179" i="9"/>
  <c r="C1424" i="9"/>
  <c r="C121" i="9"/>
  <c r="C136" i="9"/>
  <c r="C177" i="9"/>
  <c r="C233" i="9"/>
  <c r="C274" i="9"/>
  <c r="C330" i="9"/>
  <c r="C386" i="9"/>
  <c r="C427" i="9"/>
  <c r="C483" i="9"/>
  <c r="C524" i="9"/>
  <c r="C579" i="9"/>
  <c r="C619" i="9"/>
  <c r="C634" i="9"/>
  <c r="C674" i="9"/>
  <c r="C769" i="9"/>
  <c r="C864" i="9"/>
  <c r="C1014" i="9"/>
  <c r="C1069" i="9"/>
  <c r="C1354" i="9"/>
  <c r="C124" i="9"/>
  <c r="C180" i="9"/>
  <c r="C221" i="9"/>
  <c r="C236" i="9"/>
  <c r="C374" i="9"/>
  <c r="C527" i="9"/>
  <c r="C622" i="9"/>
  <c r="C732" i="9"/>
  <c r="C867" i="9"/>
  <c r="C1017" i="9"/>
  <c r="C1167" i="9"/>
  <c r="C1357" i="9"/>
  <c r="C1507" i="9"/>
  <c r="C142" i="9"/>
  <c r="C1130" i="9"/>
  <c r="C224" i="9"/>
  <c r="C280" i="9"/>
  <c r="C336" i="9"/>
  <c r="C474" i="9"/>
  <c r="C625" i="9"/>
  <c r="C680" i="9"/>
  <c r="C830" i="9"/>
  <c r="C1020" i="9"/>
  <c r="C1170" i="9"/>
  <c r="C1510" i="9"/>
  <c r="S607" i="9"/>
  <c r="S610" i="9" s="1"/>
  <c r="S509" i="9"/>
  <c r="S512" i="9" s="1"/>
  <c r="S558" i="9"/>
  <c r="S561" i="9" s="1"/>
  <c r="S1440" i="9"/>
  <c r="S1443" i="9" s="1"/>
  <c r="S1391" i="9"/>
  <c r="S1394" i="9" s="1"/>
  <c r="S1489" i="9"/>
  <c r="S1492" i="9" s="1"/>
  <c r="C380" i="9"/>
  <c r="C477" i="9"/>
  <c r="C533" i="9"/>
  <c r="C573" i="9"/>
  <c r="C668" i="9"/>
  <c r="C723" i="9"/>
  <c r="C778" i="9"/>
  <c r="C873" i="9"/>
  <c r="C928" i="9"/>
  <c r="C968" i="9"/>
  <c r="C1023" i="9"/>
  <c r="C1063" i="9"/>
  <c r="C1158" i="9"/>
  <c r="C1213" i="9"/>
  <c r="C1268" i="9"/>
  <c r="C1308" i="9"/>
  <c r="C1363" i="9"/>
  <c r="C1418" i="9"/>
  <c r="C1458" i="9"/>
  <c r="C1513" i="9"/>
  <c r="C1553" i="9"/>
  <c r="S754" i="9"/>
  <c r="S757" i="9"/>
  <c r="C271" i="9"/>
  <c r="C327" i="9"/>
  <c r="C383" i="9"/>
  <c r="C521" i="9"/>
  <c r="C536" i="9"/>
  <c r="C1121" i="9"/>
  <c r="C1161" i="9"/>
  <c r="C1216" i="9"/>
  <c r="C1256" i="9"/>
  <c r="C1311" i="9"/>
  <c r="C1366" i="9"/>
  <c r="C1461" i="9"/>
  <c r="C1501" i="9"/>
  <c r="C1516" i="9"/>
  <c r="S901" i="9"/>
  <c r="S904" i="9" s="1"/>
  <c r="S656" i="9"/>
  <c r="C689" i="9"/>
  <c r="C183" i="9"/>
  <c r="C824" i="9"/>
  <c r="C879" i="9"/>
  <c r="C919" i="9"/>
  <c r="C974" i="9"/>
  <c r="C1109" i="9"/>
  <c r="C1124" i="9"/>
  <c r="C1164" i="9"/>
  <c r="C1259" i="9"/>
  <c r="C1314" i="9"/>
  <c r="C1369" i="9"/>
  <c r="C1409" i="9"/>
  <c r="C1464" i="9"/>
  <c r="S1538" i="9"/>
  <c r="C277" i="9"/>
  <c r="C333" i="9"/>
  <c r="C430" i="9"/>
  <c r="C486" i="9"/>
  <c r="C582" i="9"/>
  <c r="C717" i="9"/>
  <c r="C772" i="9"/>
  <c r="C827" i="9"/>
  <c r="C922" i="9"/>
  <c r="C962" i="9"/>
  <c r="C977" i="9"/>
  <c r="C1072" i="9"/>
  <c r="C1112" i="9"/>
  <c r="C1207" i="9"/>
  <c r="C1262" i="9"/>
  <c r="C1317" i="9"/>
  <c r="C1412" i="9"/>
  <c r="C1452" i="9"/>
  <c r="C1467" i="9"/>
  <c r="C1562" i="9"/>
  <c r="C1455" i="9"/>
  <c r="S1195" i="9"/>
  <c r="S1198" i="9" s="1"/>
  <c r="S1293" i="9"/>
  <c r="S1296" i="9" s="1"/>
  <c r="C71" i="9"/>
  <c r="C227" i="9"/>
  <c r="C471" i="9"/>
  <c r="C321" i="9"/>
  <c r="C377" i="9"/>
  <c r="C433" i="9"/>
  <c r="C570" i="9"/>
  <c r="C585" i="9"/>
  <c r="C720" i="9"/>
  <c r="C775" i="9"/>
  <c r="C815" i="9"/>
  <c r="C870" i="9"/>
  <c r="C925" i="9"/>
  <c r="C1060" i="9"/>
  <c r="C1075" i="9"/>
  <c r="C1115" i="9"/>
  <c r="C1210" i="9"/>
  <c r="C1265" i="9"/>
  <c r="C1305" i="9"/>
  <c r="C1360" i="9"/>
  <c r="C1415" i="9"/>
  <c r="C1550" i="9"/>
  <c r="C1565" i="9"/>
  <c r="C74" i="9"/>
  <c r="S1342" i="9"/>
  <c r="S1345" i="9" s="1"/>
  <c r="S309" i="9"/>
  <c r="S312" i="9" s="1"/>
  <c r="S1146" i="9"/>
  <c r="S1149" i="9"/>
  <c r="S359" i="9"/>
  <c r="S362" i="9" s="1"/>
  <c r="S409" i="9"/>
  <c r="S412" i="9" s="1"/>
  <c r="S459" i="9"/>
  <c r="S462" i="9" s="1"/>
  <c r="S1244" i="9"/>
  <c r="S1247" i="9" s="1"/>
  <c r="S705" i="9"/>
  <c r="S708" i="9" s="1"/>
  <c r="S803" i="9"/>
  <c r="S806" i="9" s="1"/>
  <c r="S852" i="9"/>
  <c r="S855" i="9" s="1"/>
  <c r="S59" i="9"/>
  <c r="S62" i="9"/>
  <c r="S109" i="9"/>
  <c r="S112" i="9" s="1"/>
  <c r="S950" i="9"/>
  <c r="S953" i="9" s="1"/>
  <c r="S159" i="9"/>
  <c r="S162" i="9" s="1"/>
  <c r="S999" i="9"/>
  <c r="S1002" i="9" s="1"/>
  <c r="S209" i="9"/>
  <c r="S212" i="9" s="1"/>
  <c r="S1048" i="9"/>
  <c r="S1051" i="9" s="1"/>
  <c r="S259" i="9"/>
  <c r="S262" i="9" s="1"/>
  <c r="S1097" i="9"/>
  <c r="S1100" i="9" s="1"/>
  <c r="AG12" i="9"/>
  <c r="AG20" i="9"/>
  <c r="AG26" i="9"/>
  <c r="AG23" i="9"/>
  <c r="AG35" i="9"/>
  <c r="AG32" i="9"/>
  <c r="AG38" i="9"/>
  <c r="AG39" i="9" s="1"/>
  <c r="I160" i="11"/>
  <c r="I226" i="11" s="1"/>
  <c r="J157" i="11"/>
  <c r="J216" i="11" s="1"/>
  <c r="I244" i="11"/>
  <c r="I303" i="11" s="1"/>
  <c r="I270" i="11"/>
  <c r="I329" i="11" s="1"/>
  <c r="J126" i="11"/>
  <c r="J185" i="11" s="1"/>
  <c r="I146" i="11"/>
  <c r="I205" i="11" s="1"/>
  <c r="I145" i="11"/>
  <c r="I204" i="11" s="1"/>
  <c r="I251" i="11"/>
  <c r="I310" i="11" s="1"/>
  <c r="I259" i="11"/>
  <c r="I318" i="11" s="1"/>
  <c r="I135" i="11"/>
  <c r="I194" i="11" s="1"/>
  <c r="K37" i="11"/>
  <c r="K155" i="11" s="1"/>
  <c r="K214" i="11" s="1"/>
  <c r="I258" i="11"/>
  <c r="I317" i="11" s="1"/>
  <c r="I209" i="11"/>
  <c r="I268" i="11"/>
  <c r="I327" i="11" s="1"/>
  <c r="I153" i="11"/>
  <c r="I330" i="11" s="1"/>
  <c r="K56" i="11"/>
  <c r="K10" i="11"/>
  <c r="K128" i="11" s="1"/>
  <c r="K187" i="11" s="1"/>
  <c r="K54" i="11"/>
  <c r="K53" i="11"/>
  <c r="I156" i="11"/>
  <c r="I215" i="11" s="1"/>
  <c r="K15" i="11"/>
  <c r="K251" i="11" s="1"/>
  <c r="K20" i="11"/>
  <c r="K256" i="11" s="1"/>
  <c r="I234" i="11"/>
  <c r="I266" i="11"/>
  <c r="I325" i="11" s="1"/>
  <c r="I245" i="11"/>
  <c r="I304" i="11" s="1"/>
  <c r="I262" i="11"/>
  <c r="I321" i="11" s="1"/>
  <c r="J251" i="11"/>
  <c r="J310" i="11" s="1"/>
  <c r="I272" i="11"/>
  <c r="I331" i="11" s="1"/>
  <c r="J125" i="11"/>
  <c r="J184" i="11" s="1"/>
  <c r="K38" i="11"/>
  <c r="K274" i="11" s="1"/>
  <c r="K32" i="11"/>
  <c r="K268" i="11" s="1"/>
  <c r="I159" i="11"/>
  <c r="I218" i="11" s="1"/>
  <c r="J128" i="11"/>
  <c r="J187" i="11" s="1"/>
  <c r="J138" i="11"/>
  <c r="J197" i="11" s="1"/>
  <c r="J131" i="11"/>
  <c r="J190" i="11" s="1"/>
  <c r="I147" i="11"/>
  <c r="I206" i="11" s="1"/>
  <c r="J254" i="11"/>
  <c r="J313" i="11" s="1"/>
  <c r="K44" i="11"/>
  <c r="I247" i="11"/>
  <c r="I306" i="11" s="1"/>
  <c r="K19" i="11"/>
  <c r="K255" i="11" s="1"/>
  <c r="K25" i="11"/>
  <c r="K143" i="11" s="1"/>
  <c r="K202" i="11" s="1"/>
  <c r="K14" i="11"/>
  <c r="K250" i="11" s="1"/>
  <c r="I163" i="11"/>
  <c r="I229" i="11" s="1"/>
  <c r="K21" i="11"/>
  <c r="K257" i="11" s="1"/>
  <c r="J268" i="11"/>
  <c r="J327" i="11" s="1"/>
  <c r="K9" i="11"/>
  <c r="K127" i="11" s="1"/>
  <c r="K186" i="11" s="1"/>
  <c r="K7" i="11"/>
  <c r="K243" i="11" s="1"/>
  <c r="K31" i="11"/>
  <c r="K267" i="11" s="1"/>
  <c r="K47" i="11"/>
  <c r="I157" i="11"/>
  <c r="I216" i="11" s="1"/>
  <c r="J146" i="11"/>
  <c r="J205" i="11" s="1"/>
  <c r="J167" i="11"/>
  <c r="J233" i="11" s="1"/>
  <c r="J129" i="11"/>
  <c r="J188" i="11" s="1"/>
  <c r="J209" i="11"/>
  <c r="K45" i="11"/>
  <c r="K36" i="11"/>
  <c r="K154" i="11" s="1"/>
  <c r="K213" i="11" s="1"/>
  <c r="K12" i="11"/>
  <c r="K248" i="11" s="1"/>
  <c r="K33" i="11"/>
  <c r="K50" i="11"/>
  <c r="K51" i="11"/>
  <c r="K17" i="11"/>
  <c r="K253" i="11" s="1"/>
  <c r="K55" i="11"/>
  <c r="K48" i="11"/>
  <c r="I149" i="11"/>
  <c r="I208" i="11" s="1"/>
  <c r="K27" i="11"/>
  <c r="K263" i="11" s="1"/>
  <c r="I166" i="11"/>
  <c r="I232" i="11" s="1"/>
  <c r="K42" i="11"/>
  <c r="K26" i="11"/>
  <c r="K262" i="11" s="1"/>
  <c r="K16" i="11"/>
  <c r="K134" i="11" s="1"/>
  <c r="K193" i="11" s="1"/>
  <c r="K34" i="11"/>
  <c r="K18" i="11"/>
  <c r="K254" i="11" s="1"/>
  <c r="K52" i="11"/>
  <c r="I167" i="11"/>
  <c r="I233" i="11" s="1"/>
  <c r="L6" i="11"/>
  <c r="L27" i="11" s="1"/>
  <c r="K46" i="11"/>
  <c r="K49" i="11"/>
  <c r="K285" i="11" s="1"/>
  <c r="K41" i="11"/>
  <c r="K11" i="11"/>
  <c r="K28" i="11"/>
  <c r="K23" i="11"/>
  <c r="K39" i="11"/>
  <c r="K275" i="11" s="1"/>
  <c r="K8" i="11"/>
  <c r="J145" i="11"/>
  <c r="J204" i="11" s="1"/>
  <c r="K30" i="11"/>
  <c r="K266" i="11" s="1"/>
  <c r="K29" i="11"/>
  <c r="K265" i="11" s="1"/>
  <c r="I130" i="11"/>
  <c r="I189" i="11" s="1"/>
  <c r="K35" i="11"/>
  <c r="K271" i="11" s="1"/>
  <c r="J58" i="11"/>
  <c r="I134" i="11"/>
  <c r="I193" i="11" s="1"/>
  <c r="K13" i="11"/>
  <c r="K249" i="11" s="1"/>
  <c r="K40" i="11"/>
  <c r="K276" i="11" s="1"/>
  <c r="K24" i="11"/>
  <c r="K260" i="11" s="1"/>
  <c r="K43" i="11"/>
  <c r="I269" i="11"/>
  <c r="I151" i="11"/>
  <c r="I210" i="11" s="1"/>
  <c r="J267" i="11"/>
  <c r="J149" i="11"/>
  <c r="J208" i="11" s="1"/>
  <c r="J250" i="11"/>
  <c r="J132" i="11"/>
  <c r="J191" i="11" s="1"/>
  <c r="J272" i="11"/>
  <c r="J154" i="11"/>
  <c r="J213" i="11" s="1"/>
  <c r="J165" i="11"/>
  <c r="J231" i="11" s="1"/>
  <c r="J255" i="11"/>
  <c r="J137" i="11"/>
  <c r="J196" i="11" s="1"/>
  <c r="I256" i="11"/>
  <c r="I138" i="11"/>
  <c r="I197" i="11" s="1"/>
  <c r="J159" i="11"/>
  <c r="J218" i="11" s="1"/>
  <c r="J265" i="11"/>
  <c r="J324" i="11" s="1"/>
  <c r="J147" i="11"/>
  <c r="J206" i="11" s="1"/>
  <c r="I255" i="11"/>
  <c r="I137" i="11"/>
  <c r="I196" i="11" s="1"/>
  <c r="J252" i="11"/>
  <c r="J134" i="11"/>
  <c r="J193" i="11" s="1"/>
  <c r="J164" i="11"/>
  <c r="J230" i="11" s="1"/>
  <c r="J160" i="11"/>
  <c r="J226" i="11" s="1"/>
  <c r="I249" i="11"/>
  <c r="I131" i="11"/>
  <c r="I190" i="11" s="1"/>
  <c r="I261" i="11"/>
  <c r="I143" i="11"/>
  <c r="I202" i="11" s="1"/>
  <c r="I260" i="11"/>
  <c r="I142" i="11"/>
  <c r="I201" i="11" s="1"/>
  <c r="I257" i="11"/>
  <c r="I139" i="11"/>
  <c r="I198" i="11" s="1"/>
  <c r="J260" i="11"/>
  <c r="J142" i="11"/>
  <c r="J201" i="11" s="1"/>
  <c r="I161" i="11"/>
  <c r="I227" i="11" s="1"/>
  <c r="J245" i="11"/>
  <c r="J127" i="11"/>
  <c r="J186" i="11" s="1"/>
  <c r="I158" i="11"/>
  <c r="I217" i="11" s="1"/>
  <c r="J271" i="11"/>
  <c r="J153" i="11"/>
  <c r="J212" i="11" s="1"/>
  <c r="J163" i="11"/>
  <c r="J229" i="11" s="1"/>
  <c r="J234" i="11"/>
  <c r="J162" i="11"/>
  <c r="J228" i="11" s="1"/>
  <c r="J269" i="11"/>
  <c r="J151" i="11"/>
  <c r="J210" i="11" s="1"/>
  <c r="J262" i="11"/>
  <c r="J144" i="11"/>
  <c r="J203" i="11" s="1"/>
  <c r="J259" i="11"/>
  <c r="J141" i="11"/>
  <c r="J200" i="11" s="1"/>
  <c r="J135" i="11"/>
  <c r="J194" i="11" s="1"/>
  <c r="J253" i="11"/>
  <c r="I162" i="11"/>
  <c r="I228" i="11" s="1"/>
  <c r="I254" i="11"/>
  <c r="I136" i="11"/>
  <c r="I195" i="11" s="1"/>
  <c r="I246" i="11"/>
  <c r="I128" i="11"/>
  <c r="I187" i="11" s="1"/>
  <c r="J258" i="11"/>
  <c r="J140" i="11"/>
  <c r="J199" i="11" s="1"/>
  <c r="I243" i="11"/>
  <c r="I125" i="11"/>
  <c r="I58" i="11"/>
  <c r="J158" i="11"/>
  <c r="J217" i="11" s="1"/>
  <c r="J270" i="11"/>
  <c r="J152" i="11"/>
  <c r="J211" i="11" s="1"/>
  <c r="K258" i="11"/>
  <c r="K140" i="11"/>
  <c r="K199" i="11" s="1"/>
  <c r="J261" i="11"/>
  <c r="J143" i="11"/>
  <c r="J202" i="11" s="1"/>
  <c r="J274" i="11"/>
  <c r="J156" i="11"/>
  <c r="J215" i="11" s="1"/>
  <c r="J257" i="11"/>
  <c r="J139" i="11"/>
  <c r="J198" i="11" s="1"/>
  <c r="J266" i="11"/>
  <c r="J148" i="11"/>
  <c r="J207" i="11" s="1"/>
  <c r="J161" i="11"/>
  <c r="J227" i="11" s="1"/>
  <c r="J248" i="11"/>
  <c r="J130" i="11"/>
  <c r="J189" i="11" s="1"/>
  <c r="I250" i="11"/>
  <c r="I132" i="11"/>
  <c r="I191" i="11" s="1"/>
  <c r="J166" i="11"/>
  <c r="J232" i="11" s="1"/>
  <c r="T117" i="11"/>
  <c r="I273" i="11"/>
  <c r="I155" i="11"/>
  <c r="I214" i="11" s="1"/>
  <c r="J273" i="11"/>
  <c r="J155" i="11"/>
  <c r="J214" i="11" s="1"/>
  <c r="M31" i="10"/>
  <c r="K43" i="10"/>
  <c r="K32" i="10"/>
  <c r="M21" i="10"/>
  <c r="M27" i="10"/>
  <c r="K11" i="10"/>
  <c r="K33" i="10"/>
  <c r="K38" i="10"/>
  <c r="K13" i="10"/>
  <c r="K26" i="10"/>
  <c r="K37" i="10"/>
  <c r="M50" i="10"/>
  <c r="M30" i="10"/>
  <c r="M41" i="10"/>
  <c r="M46" i="10"/>
  <c r="K34" i="10"/>
  <c r="K48" i="10"/>
  <c r="K12" i="10"/>
  <c r="K23" i="10"/>
  <c r="K14" i="10"/>
  <c r="K47" i="10"/>
  <c r="K17" i="10"/>
  <c r="K28" i="10"/>
  <c r="I60" i="10"/>
  <c r="K60" i="10" s="1"/>
  <c r="K18" i="10"/>
  <c r="K51" i="10"/>
  <c r="M10" i="10"/>
  <c r="M54" i="10"/>
  <c r="M53" i="10"/>
  <c r="M35" i="10"/>
  <c r="M25" i="10"/>
  <c r="M45" i="10"/>
  <c r="K52" i="10"/>
  <c r="K19" i="10"/>
  <c r="K39" i="10"/>
  <c r="M15" i="10"/>
  <c r="K20" i="10"/>
  <c r="K40" i="10"/>
  <c r="K42" i="10"/>
  <c r="M9" i="10"/>
  <c r="K16" i="10"/>
  <c r="M29" i="10"/>
  <c r="K36" i="10"/>
  <c r="M49" i="10"/>
  <c r="K9" i="10"/>
  <c r="M22" i="10"/>
  <c r="K24" i="10"/>
  <c r="K44" i="10"/>
  <c r="J33" i="9"/>
  <c r="V33" i="9" s="1"/>
  <c r="K33" i="9"/>
  <c r="W33" i="9" s="1"/>
  <c r="K24" i="9"/>
  <c r="W24" i="9" s="1"/>
  <c r="K36" i="9"/>
  <c r="W36" i="9" s="1"/>
  <c r="K27" i="9"/>
  <c r="W27" i="9" s="1"/>
  <c r="K21" i="9"/>
  <c r="W21" i="9" s="1"/>
  <c r="G33" i="9"/>
  <c r="S33" i="9" s="1"/>
  <c r="G24" i="9"/>
  <c r="S24" i="9" s="1"/>
  <c r="G36" i="9"/>
  <c r="S36" i="9" s="1"/>
  <c r="G27" i="9"/>
  <c r="S27" i="9" s="1"/>
  <c r="O36" i="9"/>
  <c r="AA36" i="9" s="1"/>
  <c r="O27" i="9"/>
  <c r="AA27" i="9" s="1"/>
  <c r="O21" i="9"/>
  <c r="AA21" i="9" s="1"/>
  <c r="O33" i="9"/>
  <c r="AA33" i="9" s="1"/>
  <c r="O24" i="9"/>
  <c r="AA24" i="9" s="1"/>
  <c r="J116" i="8"/>
  <c r="J117" i="8" s="1"/>
  <c r="M116" i="8"/>
  <c r="M117" i="8" s="1"/>
  <c r="J39" i="8"/>
  <c r="J53" i="8"/>
  <c r="K39" i="8"/>
  <c r="K53" i="8"/>
  <c r="O116" i="8"/>
  <c r="O117" i="8" s="1"/>
  <c r="O53" i="8"/>
  <c r="O39" i="8"/>
  <c r="AD13" i="8"/>
  <c r="AD42" i="8"/>
  <c r="O27" i="8"/>
  <c r="F38" i="8"/>
  <c r="G38" i="8"/>
  <c r="AD45" i="8"/>
  <c r="F64" i="1"/>
  <c r="X64" i="1"/>
  <c r="L64" i="8" s="1"/>
  <c r="T64" i="1"/>
  <c r="H64" i="8" s="1"/>
  <c r="Y64" i="1"/>
  <c r="M64" i="8" s="1"/>
  <c r="G64" i="1"/>
  <c r="M64" i="1"/>
  <c r="Z64" i="1"/>
  <c r="N64" i="8" s="1"/>
  <c r="H64" i="1"/>
  <c r="O64" i="1"/>
  <c r="I64" i="1"/>
  <c r="E110" i="1"/>
  <c r="O110" i="1"/>
  <c r="L110" i="1"/>
  <c r="K110" i="1"/>
  <c r="AA110" i="1"/>
  <c r="X110" i="1"/>
  <c r="Y110" i="1"/>
  <c r="Z110" i="1"/>
  <c r="T110" i="1"/>
  <c r="N110" i="1"/>
  <c r="J110" i="1"/>
  <c r="F110" i="1"/>
  <c r="G110" i="1"/>
  <c r="D116" i="1"/>
  <c r="E87" i="1"/>
  <c r="F87" i="1" s="1"/>
  <c r="G87" i="1" s="1"/>
  <c r="H87" i="1" s="1"/>
  <c r="I87" i="1" s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87" i="1" s="1"/>
  <c r="V87" i="1" s="1"/>
  <c r="W87" i="1" s="1"/>
  <c r="X87" i="1" s="1"/>
  <c r="Y87" i="1" s="1"/>
  <c r="Z87" i="1" s="1"/>
  <c r="AA87" i="1" s="1"/>
  <c r="AD83" i="1"/>
  <c r="AG1552" i="2"/>
  <c r="AF1552" i="2"/>
  <c r="AG1503" i="2"/>
  <c r="AF1503" i="2"/>
  <c r="AG1454" i="2"/>
  <c r="AF1454" i="2"/>
  <c r="AG1405" i="2"/>
  <c r="AF1405" i="2"/>
  <c r="AG1356" i="2"/>
  <c r="AF1356" i="2"/>
  <c r="AG1307" i="2"/>
  <c r="AF1307" i="2"/>
  <c r="AG1258" i="2"/>
  <c r="AF1258" i="2"/>
  <c r="AG1209" i="2"/>
  <c r="AF1209" i="2"/>
  <c r="AG1160" i="2"/>
  <c r="AF1160" i="2"/>
  <c r="AG1111" i="2"/>
  <c r="AF1111" i="2"/>
  <c r="AG1062" i="2"/>
  <c r="AF1062" i="2"/>
  <c r="AG1013" i="2"/>
  <c r="AF1013" i="2"/>
  <c r="AG964" i="2"/>
  <c r="AF964" i="2"/>
  <c r="AG915" i="2"/>
  <c r="AF915" i="2"/>
  <c r="AG866" i="2"/>
  <c r="AF866" i="2"/>
  <c r="AG817" i="2"/>
  <c r="AF817" i="2"/>
  <c r="AG768" i="2"/>
  <c r="AF768" i="2"/>
  <c r="AG719" i="2"/>
  <c r="AF719" i="2"/>
  <c r="AG670" i="2"/>
  <c r="AF670" i="2"/>
  <c r="AG621" i="2"/>
  <c r="AF621" i="2"/>
  <c r="AG572" i="2"/>
  <c r="AF572" i="2"/>
  <c r="AG523" i="2"/>
  <c r="AF523" i="2"/>
  <c r="AG473" i="2"/>
  <c r="AF473" i="2"/>
  <c r="AG423" i="2"/>
  <c r="AF423" i="2"/>
  <c r="AG373" i="2"/>
  <c r="AF373" i="2"/>
  <c r="AG323" i="2"/>
  <c r="AF323" i="2"/>
  <c r="AG273" i="2"/>
  <c r="AF273" i="2"/>
  <c r="AG223" i="2"/>
  <c r="AF223" i="2"/>
  <c r="AG173" i="2"/>
  <c r="AF173" i="2"/>
  <c r="AG123" i="2"/>
  <c r="AF123" i="2"/>
  <c r="AG73" i="2"/>
  <c r="AF73" i="2"/>
  <c r="AG1212" i="2"/>
  <c r="AF1212" i="2"/>
  <c r="AG1555" i="2"/>
  <c r="AF1555" i="2"/>
  <c r="AG1506" i="2"/>
  <c r="AF1506" i="2"/>
  <c r="AG1457" i="2"/>
  <c r="AF1457" i="2"/>
  <c r="AG1408" i="2"/>
  <c r="AF1408" i="2"/>
  <c r="AG1359" i="2"/>
  <c r="AF1359" i="2"/>
  <c r="AG1310" i="2"/>
  <c r="AF1310" i="2"/>
  <c r="AG1261" i="2"/>
  <c r="AF1261" i="2"/>
  <c r="AG1163" i="2"/>
  <c r="AF1163" i="2"/>
  <c r="AG1114" i="2"/>
  <c r="AF1114" i="2"/>
  <c r="AG1065" i="2"/>
  <c r="AF1065" i="2"/>
  <c r="AG1016" i="2"/>
  <c r="AF1016" i="2"/>
  <c r="AG967" i="2"/>
  <c r="AF967" i="2"/>
  <c r="AG918" i="2"/>
  <c r="AF918" i="2"/>
  <c r="AG869" i="2"/>
  <c r="AF869" i="2"/>
  <c r="AG820" i="2"/>
  <c r="AF820" i="2"/>
  <c r="AG771" i="2"/>
  <c r="AF771" i="2"/>
  <c r="AG722" i="2"/>
  <c r="AF722" i="2"/>
  <c r="AG673" i="2"/>
  <c r="AF673" i="2"/>
  <c r="AG624" i="2"/>
  <c r="AF624" i="2"/>
  <c r="AG575" i="2"/>
  <c r="AF575" i="2"/>
  <c r="AG526" i="2"/>
  <c r="AF526" i="2"/>
  <c r="AG476" i="2"/>
  <c r="AF476" i="2"/>
  <c r="AG426" i="2"/>
  <c r="AF426" i="2"/>
  <c r="AG376" i="2"/>
  <c r="AF376" i="2"/>
  <c r="AG326" i="2"/>
  <c r="AF326" i="2"/>
  <c r="AG276" i="2"/>
  <c r="AF276" i="2"/>
  <c r="AG226" i="2"/>
  <c r="AF226" i="2"/>
  <c r="AG176" i="2"/>
  <c r="AF176" i="2"/>
  <c r="AG126" i="2"/>
  <c r="AF126" i="2"/>
  <c r="AG76" i="2"/>
  <c r="AF76" i="2"/>
  <c r="AG1549" i="2"/>
  <c r="AF1549" i="2"/>
  <c r="AG1500" i="2"/>
  <c r="AF1500" i="2"/>
  <c r="AG1451" i="2"/>
  <c r="AF1451" i="2"/>
  <c r="AG1402" i="2"/>
  <c r="AF1402" i="2"/>
  <c r="AG1353" i="2"/>
  <c r="AF1353" i="2"/>
  <c r="AG1304" i="2"/>
  <c r="AF1304" i="2"/>
  <c r="AG1255" i="2"/>
  <c r="AF1255" i="2"/>
  <c r="AG1206" i="2"/>
  <c r="AF1206" i="2"/>
  <c r="AG1157" i="2"/>
  <c r="AF1157" i="2"/>
  <c r="AG1108" i="2"/>
  <c r="AF1108" i="2"/>
  <c r="AG1059" i="2"/>
  <c r="AF1059" i="2"/>
  <c r="AG1010" i="2"/>
  <c r="AF1010" i="2"/>
  <c r="AG961" i="2"/>
  <c r="AF961" i="2"/>
  <c r="AG912" i="2"/>
  <c r="AF912" i="2"/>
  <c r="AG863" i="2"/>
  <c r="AF863" i="2"/>
  <c r="AG814" i="2"/>
  <c r="AF814" i="2"/>
  <c r="AG716" i="2"/>
  <c r="AF716" i="2"/>
  <c r="AG765" i="2"/>
  <c r="AF765" i="2"/>
  <c r="AG667" i="2"/>
  <c r="AF667" i="2"/>
  <c r="AG618" i="2"/>
  <c r="AF618" i="2"/>
  <c r="AG569" i="2"/>
  <c r="AF569" i="2"/>
  <c r="AG520" i="2"/>
  <c r="AF520" i="2"/>
  <c r="AG470" i="2"/>
  <c r="AF470" i="2"/>
  <c r="AG420" i="2"/>
  <c r="AF420" i="2"/>
  <c r="AG370" i="2"/>
  <c r="AF370" i="2"/>
  <c r="AG320" i="2"/>
  <c r="AF320" i="2"/>
  <c r="AG270" i="2"/>
  <c r="AF270" i="2"/>
  <c r="AG220" i="2"/>
  <c r="AF220" i="2"/>
  <c r="AG170" i="2"/>
  <c r="AF170" i="2"/>
  <c r="AG120" i="2"/>
  <c r="AF120" i="2"/>
  <c r="AG70" i="2"/>
  <c r="AF70" i="2"/>
  <c r="F142" i="2"/>
  <c r="B142" i="2"/>
  <c r="F136" i="2"/>
  <c r="F133" i="2"/>
  <c r="F130" i="2"/>
  <c r="F127" i="2"/>
  <c r="F124" i="2"/>
  <c r="F121" i="2"/>
  <c r="AG1577" i="2"/>
  <c r="AD1577" i="2"/>
  <c r="AC1577" i="2"/>
  <c r="AB1577" i="2"/>
  <c r="AA1577" i="2"/>
  <c r="Z1577" i="2"/>
  <c r="Y1577" i="2"/>
  <c r="X1577" i="2"/>
  <c r="W1577" i="2"/>
  <c r="V1577" i="2"/>
  <c r="U1577" i="2"/>
  <c r="T1577" i="2"/>
  <c r="S1577" i="2"/>
  <c r="AG1528" i="2"/>
  <c r="AD1528" i="2"/>
  <c r="AC1528" i="2"/>
  <c r="AB1528" i="2"/>
  <c r="AA1528" i="2"/>
  <c r="Z1528" i="2"/>
  <c r="Y1528" i="2"/>
  <c r="X1528" i="2"/>
  <c r="W1528" i="2"/>
  <c r="V1528" i="2"/>
  <c r="U1528" i="2"/>
  <c r="T1528" i="2"/>
  <c r="S1528" i="2"/>
  <c r="AG1479" i="2"/>
  <c r="AD1479" i="2"/>
  <c r="AC1479" i="2"/>
  <c r="AB1479" i="2"/>
  <c r="AA1479" i="2"/>
  <c r="Z1479" i="2"/>
  <c r="Y1479" i="2"/>
  <c r="X1479" i="2"/>
  <c r="W1479" i="2"/>
  <c r="V1479" i="2"/>
  <c r="U1479" i="2"/>
  <c r="T1479" i="2"/>
  <c r="S1479" i="2"/>
  <c r="AG1430" i="2"/>
  <c r="AD1430" i="2"/>
  <c r="AC1430" i="2"/>
  <c r="AB1430" i="2"/>
  <c r="AA1430" i="2"/>
  <c r="Z1430" i="2"/>
  <c r="Y1430" i="2"/>
  <c r="X1430" i="2"/>
  <c r="W1430" i="2"/>
  <c r="V1430" i="2"/>
  <c r="U1430" i="2"/>
  <c r="T1430" i="2"/>
  <c r="S1430" i="2"/>
  <c r="AG1381" i="2"/>
  <c r="AD1381" i="2"/>
  <c r="AC1381" i="2"/>
  <c r="AB1381" i="2"/>
  <c r="AA1381" i="2"/>
  <c r="Z1381" i="2"/>
  <c r="Y1381" i="2"/>
  <c r="X1381" i="2"/>
  <c r="W1381" i="2"/>
  <c r="V1381" i="2"/>
  <c r="U1381" i="2"/>
  <c r="T1381" i="2"/>
  <c r="S1381" i="2"/>
  <c r="AG1332" i="2"/>
  <c r="AD1332" i="2"/>
  <c r="AC1332" i="2"/>
  <c r="AB1332" i="2"/>
  <c r="AA1332" i="2"/>
  <c r="Z1332" i="2"/>
  <c r="Y1332" i="2"/>
  <c r="X1332" i="2"/>
  <c r="W1332" i="2"/>
  <c r="V1332" i="2"/>
  <c r="U1332" i="2"/>
  <c r="T1332" i="2"/>
  <c r="S1332" i="2"/>
  <c r="AG1283" i="2"/>
  <c r="AD1283" i="2"/>
  <c r="AC1283" i="2"/>
  <c r="AB1283" i="2"/>
  <c r="AA1283" i="2"/>
  <c r="Z1283" i="2"/>
  <c r="Y1283" i="2"/>
  <c r="X1283" i="2"/>
  <c r="W1283" i="2"/>
  <c r="V1283" i="2"/>
  <c r="U1283" i="2"/>
  <c r="T1283" i="2"/>
  <c r="S1283" i="2"/>
  <c r="AG1234" i="2"/>
  <c r="AD1234" i="2"/>
  <c r="AC1234" i="2"/>
  <c r="AB1234" i="2"/>
  <c r="AA1234" i="2"/>
  <c r="Z1234" i="2"/>
  <c r="Y1234" i="2"/>
  <c r="X1234" i="2"/>
  <c r="W1234" i="2"/>
  <c r="V1234" i="2"/>
  <c r="U1234" i="2"/>
  <c r="T1234" i="2"/>
  <c r="S1234" i="2"/>
  <c r="AG1185" i="2"/>
  <c r="AD1185" i="2"/>
  <c r="AC1185" i="2"/>
  <c r="AB1185" i="2"/>
  <c r="AA1185" i="2"/>
  <c r="Z1185" i="2"/>
  <c r="Y1185" i="2"/>
  <c r="X1185" i="2"/>
  <c r="W1185" i="2"/>
  <c r="V1185" i="2"/>
  <c r="U1185" i="2"/>
  <c r="T1185" i="2"/>
  <c r="S1185" i="2"/>
  <c r="AG1136" i="2"/>
  <c r="AD1136" i="2"/>
  <c r="AC1136" i="2"/>
  <c r="AB1136" i="2"/>
  <c r="AA1136" i="2"/>
  <c r="Z1136" i="2"/>
  <c r="Y1136" i="2"/>
  <c r="X1136" i="2"/>
  <c r="W1136" i="2"/>
  <c r="V1136" i="2"/>
  <c r="U1136" i="2"/>
  <c r="T1136" i="2"/>
  <c r="S1136" i="2"/>
  <c r="AG1087" i="2"/>
  <c r="AD1087" i="2"/>
  <c r="AC1087" i="2"/>
  <c r="AB1087" i="2"/>
  <c r="AA1087" i="2"/>
  <c r="Z1087" i="2"/>
  <c r="Y1087" i="2"/>
  <c r="X1087" i="2"/>
  <c r="W1087" i="2"/>
  <c r="V1087" i="2"/>
  <c r="U1087" i="2"/>
  <c r="T1087" i="2"/>
  <c r="S1087" i="2"/>
  <c r="AG1038" i="2"/>
  <c r="AD1038" i="2"/>
  <c r="AC1038" i="2"/>
  <c r="AB1038" i="2"/>
  <c r="AA1038" i="2"/>
  <c r="Z1038" i="2"/>
  <c r="Y1038" i="2"/>
  <c r="X1038" i="2"/>
  <c r="W1038" i="2"/>
  <c r="V1038" i="2"/>
  <c r="U1038" i="2"/>
  <c r="T1038" i="2"/>
  <c r="S1038" i="2"/>
  <c r="AG989" i="2"/>
  <c r="AD989" i="2"/>
  <c r="AC989" i="2"/>
  <c r="AB989" i="2"/>
  <c r="AA989" i="2"/>
  <c r="Z989" i="2"/>
  <c r="Y989" i="2"/>
  <c r="X989" i="2"/>
  <c r="W989" i="2"/>
  <c r="V989" i="2"/>
  <c r="U989" i="2"/>
  <c r="T989" i="2"/>
  <c r="S989" i="2"/>
  <c r="AG940" i="2"/>
  <c r="AD940" i="2"/>
  <c r="AC940" i="2"/>
  <c r="AB940" i="2"/>
  <c r="AA940" i="2"/>
  <c r="Z940" i="2"/>
  <c r="Y940" i="2"/>
  <c r="X940" i="2"/>
  <c r="W940" i="2"/>
  <c r="V940" i="2"/>
  <c r="U940" i="2"/>
  <c r="T940" i="2"/>
  <c r="S940" i="2"/>
  <c r="AG891" i="2"/>
  <c r="AD891" i="2"/>
  <c r="AC891" i="2"/>
  <c r="AB891" i="2"/>
  <c r="AA891" i="2"/>
  <c r="Z891" i="2"/>
  <c r="Y891" i="2"/>
  <c r="X891" i="2"/>
  <c r="W891" i="2"/>
  <c r="V891" i="2"/>
  <c r="U891" i="2"/>
  <c r="T891" i="2"/>
  <c r="S891" i="2"/>
  <c r="AG842" i="2"/>
  <c r="AD842" i="2"/>
  <c r="AC842" i="2"/>
  <c r="AB842" i="2"/>
  <c r="AA842" i="2"/>
  <c r="Z842" i="2"/>
  <c r="Y842" i="2"/>
  <c r="X842" i="2"/>
  <c r="W842" i="2"/>
  <c r="V842" i="2"/>
  <c r="U842" i="2"/>
  <c r="T842" i="2"/>
  <c r="S842" i="2"/>
  <c r="AG793" i="2"/>
  <c r="AD793" i="2"/>
  <c r="AC793" i="2"/>
  <c r="AB793" i="2"/>
  <c r="AA793" i="2"/>
  <c r="Z793" i="2"/>
  <c r="Y793" i="2"/>
  <c r="X793" i="2"/>
  <c r="W793" i="2"/>
  <c r="V793" i="2"/>
  <c r="U793" i="2"/>
  <c r="T793" i="2"/>
  <c r="S793" i="2"/>
  <c r="AG744" i="2"/>
  <c r="AD744" i="2"/>
  <c r="AC744" i="2"/>
  <c r="AB744" i="2"/>
  <c r="AA744" i="2"/>
  <c r="Z744" i="2"/>
  <c r="Y744" i="2"/>
  <c r="X744" i="2"/>
  <c r="W744" i="2"/>
  <c r="V744" i="2"/>
  <c r="U744" i="2"/>
  <c r="T744" i="2"/>
  <c r="S744" i="2"/>
  <c r="AG695" i="2"/>
  <c r="AD695" i="2"/>
  <c r="AC695" i="2"/>
  <c r="AB695" i="2"/>
  <c r="AA695" i="2"/>
  <c r="Z695" i="2"/>
  <c r="Y695" i="2"/>
  <c r="X695" i="2"/>
  <c r="W695" i="2"/>
  <c r="V695" i="2"/>
  <c r="U695" i="2"/>
  <c r="T695" i="2"/>
  <c r="S695" i="2"/>
  <c r="AG646" i="2"/>
  <c r="AD646" i="2"/>
  <c r="AC646" i="2"/>
  <c r="AB646" i="2"/>
  <c r="AA646" i="2"/>
  <c r="Z646" i="2"/>
  <c r="Y646" i="2"/>
  <c r="X646" i="2"/>
  <c r="W646" i="2"/>
  <c r="V646" i="2"/>
  <c r="U646" i="2"/>
  <c r="T646" i="2"/>
  <c r="S646" i="2"/>
  <c r="AG597" i="2"/>
  <c r="AD597" i="2"/>
  <c r="AC597" i="2"/>
  <c r="AB597" i="2"/>
  <c r="AA597" i="2"/>
  <c r="Z597" i="2"/>
  <c r="Y597" i="2"/>
  <c r="X597" i="2"/>
  <c r="W597" i="2"/>
  <c r="V597" i="2"/>
  <c r="U597" i="2"/>
  <c r="T597" i="2"/>
  <c r="S597" i="2"/>
  <c r="AG548" i="2"/>
  <c r="AD548" i="2"/>
  <c r="AC548" i="2"/>
  <c r="AB548" i="2"/>
  <c r="AA548" i="2"/>
  <c r="Z548" i="2"/>
  <c r="Y548" i="2"/>
  <c r="X548" i="2"/>
  <c r="W548" i="2"/>
  <c r="V548" i="2"/>
  <c r="U548" i="2"/>
  <c r="T548" i="2"/>
  <c r="S548" i="2"/>
  <c r="AG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AG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AG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AG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AG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AG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AG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AG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AG98" i="2"/>
  <c r="AD98" i="2"/>
  <c r="AC98" i="2"/>
  <c r="AB98" i="2"/>
  <c r="AA98" i="2"/>
  <c r="Z98" i="2"/>
  <c r="Y98" i="2"/>
  <c r="X98" i="2"/>
  <c r="W98" i="2"/>
  <c r="V98" i="2"/>
  <c r="U98" i="2"/>
  <c r="T98" i="2"/>
  <c r="S98" i="2"/>
  <c r="F1571" i="2"/>
  <c r="F1522" i="2"/>
  <c r="F1473" i="2"/>
  <c r="F1424" i="2"/>
  <c r="F1375" i="2"/>
  <c r="F1326" i="2"/>
  <c r="F1277" i="2"/>
  <c r="F1228" i="2"/>
  <c r="F1179" i="2"/>
  <c r="F1130" i="2"/>
  <c r="F1081" i="2"/>
  <c r="F1032" i="2"/>
  <c r="F983" i="2"/>
  <c r="F934" i="2"/>
  <c r="F885" i="2"/>
  <c r="F836" i="2"/>
  <c r="F787" i="2"/>
  <c r="F738" i="2"/>
  <c r="F689" i="2"/>
  <c r="F640" i="2"/>
  <c r="F591" i="2"/>
  <c r="F542" i="2"/>
  <c r="F492" i="2"/>
  <c r="F442" i="2"/>
  <c r="F392" i="2"/>
  <c r="F342" i="2"/>
  <c r="F292" i="2"/>
  <c r="F242" i="2"/>
  <c r="F192" i="2"/>
  <c r="F92" i="2"/>
  <c r="AG1568" i="2"/>
  <c r="AD1568" i="2"/>
  <c r="AC1568" i="2"/>
  <c r="AB1568" i="2"/>
  <c r="AA1568" i="2"/>
  <c r="Z1568" i="2"/>
  <c r="Y1568" i="2"/>
  <c r="X1568" i="2"/>
  <c r="W1568" i="2"/>
  <c r="V1568" i="2"/>
  <c r="U1568" i="2"/>
  <c r="T1568" i="2"/>
  <c r="S1568" i="2"/>
  <c r="AG1519" i="2"/>
  <c r="AD1519" i="2"/>
  <c r="AC1519" i="2"/>
  <c r="AB1519" i="2"/>
  <c r="AA1519" i="2"/>
  <c r="Z1519" i="2"/>
  <c r="Y1519" i="2"/>
  <c r="X1519" i="2"/>
  <c r="W1519" i="2"/>
  <c r="V1519" i="2"/>
  <c r="U1519" i="2"/>
  <c r="T1519" i="2"/>
  <c r="S1519" i="2"/>
  <c r="AG1470" i="2"/>
  <c r="AD1470" i="2"/>
  <c r="AC1470" i="2"/>
  <c r="AB1470" i="2"/>
  <c r="AA1470" i="2"/>
  <c r="Z1470" i="2"/>
  <c r="Y1470" i="2"/>
  <c r="X1470" i="2"/>
  <c r="W1470" i="2"/>
  <c r="V1470" i="2"/>
  <c r="U1470" i="2"/>
  <c r="T1470" i="2"/>
  <c r="S1470" i="2"/>
  <c r="AG1421" i="2"/>
  <c r="AD1421" i="2"/>
  <c r="AC1421" i="2"/>
  <c r="AB1421" i="2"/>
  <c r="AA1421" i="2"/>
  <c r="Z1421" i="2"/>
  <c r="Y1421" i="2"/>
  <c r="X1421" i="2"/>
  <c r="W1421" i="2"/>
  <c r="V1421" i="2"/>
  <c r="U1421" i="2"/>
  <c r="T1421" i="2"/>
  <c r="S1421" i="2"/>
  <c r="AG1372" i="2"/>
  <c r="AD1372" i="2"/>
  <c r="AC1372" i="2"/>
  <c r="AB1372" i="2"/>
  <c r="AA1372" i="2"/>
  <c r="Z1372" i="2"/>
  <c r="Y1372" i="2"/>
  <c r="X1372" i="2"/>
  <c r="W1372" i="2"/>
  <c r="V1372" i="2"/>
  <c r="U1372" i="2"/>
  <c r="T1372" i="2"/>
  <c r="S1372" i="2"/>
  <c r="AG1323" i="2"/>
  <c r="AD1323" i="2"/>
  <c r="AC1323" i="2"/>
  <c r="AB1323" i="2"/>
  <c r="AA1323" i="2"/>
  <c r="Z1323" i="2"/>
  <c r="Y1323" i="2"/>
  <c r="X1323" i="2"/>
  <c r="W1323" i="2"/>
  <c r="V1323" i="2"/>
  <c r="U1323" i="2"/>
  <c r="T1323" i="2"/>
  <c r="S1323" i="2"/>
  <c r="AG1274" i="2"/>
  <c r="AD1274" i="2"/>
  <c r="AC1274" i="2"/>
  <c r="AB1274" i="2"/>
  <c r="AA1274" i="2"/>
  <c r="Z1274" i="2"/>
  <c r="Y1274" i="2"/>
  <c r="X1274" i="2"/>
  <c r="W1274" i="2"/>
  <c r="V1274" i="2"/>
  <c r="U1274" i="2"/>
  <c r="T1274" i="2"/>
  <c r="S1274" i="2"/>
  <c r="AG1225" i="2"/>
  <c r="AD1225" i="2"/>
  <c r="AC1225" i="2"/>
  <c r="AB1225" i="2"/>
  <c r="AA1225" i="2"/>
  <c r="Z1225" i="2"/>
  <c r="Y1225" i="2"/>
  <c r="X1225" i="2"/>
  <c r="W1225" i="2"/>
  <c r="V1225" i="2"/>
  <c r="U1225" i="2"/>
  <c r="T1225" i="2"/>
  <c r="S1225" i="2"/>
  <c r="AG1176" i="2"/>
  <c r="AD1176" i="2"/>
  <c r="AC1176" i="2"/>
  <c r="AB1176" i="2"/>
  <c r="AA1176" i="2"/>
  <c r="Z1176" i="2"/>
  <c r="Y1176" i="2"/>
  <c r="X1176" i="2"/>
  <c r="W1176" i="2"/>
  <c r="V1176" i="2"/>
  <c r="U1176" i="2"/>
  <c r="T1176" i="2"/>
  <c r="S1176" i="2"/>
  <c r="AG1127" i="2"/>
  <c r="AD1127" i="2"/>
  <c r="AC1127" i="2"/>
  <c r="AB1127" i="2"/>
  <c r="AA1127" i="2"/>
  <c r="Z1127" i="2"/>
  <c r="Y1127" i="2"/>
  <c r="X1127" i="2"/>
  <c r="W1127" i="2"/>
  <c r="V1127" i="2"/>
  <c r="U1127" i="2"/>
  <c r="T1127" i="2"/>
  <c r="S1127" i="2"/>
  <c r="AG1078" i="2"/>
  <c r="AD1078" i="2"/>
  <c r="AC1078" i="2"/>
  <c r="AB1078" i="2"/>
  <c r="AA1078" i="2"/>
  <c r="Z1078" i="2"/>
  <c r="Y1078" i="2"/>
  <c r="X1078" i="2"/>
  <c r="W1078" i="2"/>
  <c r="V1078" i="2"/>
  <c r="U1078" i="2"/>
  <c r="T1078" i="2"/>
  <c r="S1078" i="2"/>
  <c r="AG1029" i="2"/>
  <c r="AD1029" i="2"/>
  <c r="AC1029" i="2"/>
  <c r="AB1029" i="2"/>
  <c r="AA1029" i="2"/>
  <c r="Z1029" i="2"/>
  <c r="Y1029" i="2"/>
  <c r="X1029" i="2"/>
  <c r="W1029" i="2"/>
  <c r="V1029" i="2"/>
  <c r="U1029" i="2"/>
  <c r="T1029" i="2"/>
  <c r="S1029" i="2"/>
  <c r="AG980" i="2"/>
  <c r="AD980" i="2"/>
  <c r="AC980" i="2"/>
  <c r="AB980" i="2"/>
  <c r="AA980" i="2"/>
  <c r="Z980" i="2"/>
  <c r="Y980" i="2"/>
  <c r="X980" i="2"/>
  <c r="W980" i="2"/>
  <c r="V980" i="2"/>
  <c r="U980" i="2"/>
  <c r="T980" i="2"/>
  <c r="S980" i="2"/>
  <c r="AG931" i="2"/>
  <c r="AD931" i="2"/>
  <c r="AC931" i="2"/>
  <c r="AB931" i="2"/>
  <c r="AA931" i="2"/>
  <c r="Z931" i="2"/>
  <c r="Y931" i="2"/>
  <c r="X931" i="2"/>
  <c r="W931" i="2"/>
  <c r="V931" i="2"/>
  <c r="U931" i="2"/>
  <c r="T931" i="2"/>
  <c r="S931" i="2"/>
  <c r="AG882" i="2"/>
  <c r="AD882" i="2"/>
  <c r="AC882" i="2"/>
  <c r="AB882" i="2"/>
  <c r="AA882" i="2"/>
  <c r="Z882" i="2"/>
  <c r="Y882" i="2"/>
  <c r="X882" i="2"/>
  <c r="W882" i="2"/>
  <c r="V882" i="2"/>
  <c r="U882" i="2"/>
  <c r="T882" i="2"/>
  <c r="S882" i="2"/>
  <c r="AG833" i="2"/>
  <c r="AD833" i="2"/>
  <c r="AC833" i="2"/>
  <c r="AB833" i="2"/>
  <c r="AA833" i="2"/>
  <c r="Z833" i="2"/>
  <c r="Y833" i="2"/>
  <c r="X833" i="2"/>
  <c r="W833" i="2"/>
  <c r="V833" i="2"/>
  <c r="U833" i="2"/>
  <c r="T833" i="2"/>
  <c r="S833" i="2"/>
  <c r="AG784" i="2"/>
  <c r="AD784" i="2"/>
  <c r="AC784" i="2"/>
  <c r="AB784" i="2"/>
  <c r="AA784" i="2"/>
  <c r="Z784" i="2"/>
  <c r="Y784" i="2"/>
  <c r="X784" i="2"/>
  <c r="W784" i="2"/>
  <c r="V784" i="2"/>
  <c r="U784" i="2"/>
  <c r="T784" i="2"/>
  <c r="S784" i="2"/>
  <c r="AG735" i="2"/>
  <c r="AD735" i="2"/>
  <c r="AC735" i="2"/>
  <c r="AB735" i="2"/>
  <c r="AA735" i="2"/>
  <c r="Z735" i="2"/>
  <c r="Y735" i="2"/>
  <c r="X735" i="2"/>
  <c r="W735" i="2"/>
  <c r="V735" i="2"/>
  <c r="U735" i="2"/>
  <c r="T735" i="2"/>
  <c r="S735" i="2"/>
  <c r="AG686" i="2"/>
  <c r="AD686" i="2"/>
  <c r="AC686" i="2"/>
  <c r="AB686" i="2"/>
  <c r="AA686" i="2"/>
  <c r="Z686" i="2"/>
  <c r="Y686" i="2"/>
  <c r="X686" i="2"/>
  <c r="W686" i="2"/>
  <c r="V686" i="2"/>
  <c r="U686" i="2"/>
  <c r="T686" i="2"/>
  <c r="S686" i="2"/>
  <c r="AG637" i="2"/>
  <c r="AD637" i="2"/>
  <c r="AC637" i="2"/>
  <c r="AB637" i="2"/>
  <c r="AA637" i="2"/>
  <c r="Z637" i="2"/>
  <c r="Y637" i="2"/>
  <c r="X637" i="2"/>
  <c r="W637" i="2"/>
  <c r="V637" i="2"/>
  <c r="U637" i="2"/>
  <c r="T637" i="2"/>
  <c r="S637" i="2"/>
  <c r="AG588" i="2"/>
  <c r="AD588" i="2"/>
  <c r="AC588" i="2"/>
  <c r="AB588" i="2"/>
  <c r="AA588" i="2"/>
  <c r="Z588" i="2"/>
  <c r="Y588" i="2"/>
  <c r="X588" i="2"/>
  <c r="W588" i="2"/>
  <c r="V588" i="2"/>
  <c r="U588" i="2"/>
  <c r="T588" i="2"/>
  <c r="S588" i="2"/>
  <c r="AG539" i="2"/>
  <c r="AD539" i="2"/>
  <c r="AC539" i="2"/>
  <c r="AB539" i="2"/>
  <c r="AA539" i="2"/>
  <c r="Z539" i="2"/>
  <c r="Y539" i="2"/>
  <c r="X539" i="2"/>
  <c r="W539" i="2"/>
  <c r="V539" i="2"/>
  <c r="U539" i="2"/>
  <c r="T539" i="2"/>
  <c r="S539" i="2"/>
  <c r="AG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AG439" i="2"/>
  <c r="AD439" i="2"/>
  <c r="AC439" i="2"/>
  <c r="AB439" i="2"/>
  <c r="AA439" i="2"/>
  <c r="Z439" i="2"/>
  <c r="Y439" i="2"/>
  <c r="X439" i="2"/>
  <c r="W439" i="2"/>
  <c r="V439" i="2"/>
  <c r="U439" i="2"/>
  <c r="T439" i="2"/>
  <c r="S439" i="2"/>
  <c r="AG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AG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AG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AG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AG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AG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AG89" i="2"/>
  <c r="AD89" i="2"/>
  <c r="AC89" i="2"/>
  <c r="AB89" i="2"/>
  <c r="AA89" i="2"/>
  <c r="Z89" i="2"/>
  <c r="Y89" i="2"/>
  <c r="X89" i="2"/>
  <c r="W89" i="2"/>
  <c r="V89" i="2"/>
  <c r="U89" i="2"/>
  <c r="T89" i="2"/>
  <c r="S89" i="2"/>
  <c r="F1565" i="2"/>
  <c r="F1516" i="2"/>
  <c r="F1467" i="2"/>
  <c r="F1418" i="2"/>
  <c r="F1369" i="2"/>
  <c r="F1320" i="2"/>
  <c r="F1271" i="2"/>
  <c r="F1222" i="2"/>
  <c r="F1173" i="2"/>
  <c r="F1124" i="2"/>
  <c r="F1075" i="2"/>
  <c r="F1026" i="2"/>
  <c r="F977" i="2"/>
  <c r="F928" i="2"/>
  <c r="F879" i="2"/>
  <c r="F830" i="2"/>
  <c r="F781" i="2"/>
  <c r="F732" i="2"/>
  <c r="F683" i="2"/>
  <c r="F634" i="2"/>
  <c r="F585" i="2"/>
  <c r="F536" i="2"/>
  <c r="F486" i="2"/>
  <c r="F436" i="2"/>
  <c r="F386" i="2"/>
  <c r="F336" i="2"/>
  <c r="F286" i="2"/>
  <c r="F236" i="2"/>
  <c r="F186" i="2"/>
  <c r="F86" i="2"/>
  <c r="F1562" i="2"/>
  <c r="F1513" i="2"/>
  <c r="F1464" i="2"/>
  <c r="F1415" i="2"/>
  <c r="F1366" i="2"/>
  <c r="F1317" i="2"/>
  <c r="F1268" i="2"/>
  <c r="F1219" i="2"/>
  <c r="F1170" i="2"/>
  <c r="F1121" i="2"/>
  <c r="F1072" i="2"/>
  <c r="F1023" i="2"/>
  <c r="F974" i="2"/>
  <c r="F925" i="2"/>
  <c r="F876" i="2"/>
  <c r="F827" i="2"/>
  <c r="F778" i="2"/>
  <c r="F729" i="2"/>
  <c r="F680" i="2"/>
  <c r="F631" i="2"/>
  <c r="F582" i="2"/>
  <c r="F533" i="2"/>
  <c r="F483" i="2"/>
  <c r="F433" i="2"/>
  <c r="F383" i="2"/>
  <c r="F333" i="2"/>
  <c r="F283" i="2"/>
  <c r="F233" i="2"/>
  <c r="F183" i="2"/>
  <c r="F83" i="2"/>
  <c r="F1559" i="2"/>
  <c r="F1510" i="2"/>
  <c r="F1461" i="2"/>
  <c r="F1412" i="2"/>
  <c r="F1363" i="2"/>
  <c r="F1314" i="2"/>
  <c r="F1265" i="2"/>
  <c r="F1216" i="2"/>
  <c r="F1167" i="2"/>
  <c r="F1118" i="2"/>
  <c r="F1069" i="2"/>
  <c r="F1020" i="2"/>
  <c r="F971" i="2"/>
  <c r="F922" i="2"/>
  <c r="F873" i="2"/>
  <c r="F824" i="2"/>
  <c r="F775" i="2"/>
  <c r="F726" i="2"/>
  <c r="F677" i="2"/>
  <c r="F628" i="2"/>
  <c r="F579" i="2"/>
  <c r="F530" i="2"/>
  <c r="F480" i="2"/>
  <c r="F430" i="2"/>
  <c r="F380" i="2"/>
  <c r="F330" i="2"/>
  <c r="F280" i="2"/>
  <c r="F230" i="2"/>
  <c r="F180" i="2"/>
  <c r="F80" i="2"/>
  <c r="F1556" i="2"/>
  <c r="F1507" i="2"/>
  <c r="F1458" i="2"/>
  <c r="F1409" i="2"/>
  <c r="F1360" i="2"/>
  <c r="F1311" i="2"/>
  <c r="F1262" i="2"/>
  <c r="F1213" i="2"/>
  <c r="F1164" i="2"/>
  <c r="F1115" i="2"/>
  <c r="F1066" i="2"/>
  <c r="F1017" i="2"/>
  <c r="F968" i="2"/>
  <c r="F919" i="2"/>
  <c r="F870" i="2"/>
  <c r="F821" i="2"/>
  <c r="F772" i="2"/>
  <c r="F723" i="2"/>
  <c r="F674" i="2"/>
  <c r="F625" i="2"/>
  <c r="F576" i="2"/>
  <c r="F527" i="2"/>
  <c r="F477" i="2"/>
  <c r="F427" i="2"/>
  <c r="F377" i="2"/>
  <c r="F327" i="2"/>
  <c r="F277" i="2"/>
  <c r="F227" i="2"/>
  <c r="F177" i="2"/>
  <c r="F77" i="2"/>
  <c r="F1553" i="2"/>
  <c r="F1504" i="2"/>
  <c r="F1455" i="2"/>
  <c r="F1406" i="2"/>
  <c r="F1357" i="2"/>
  <c r="F1308" i="2"/>
  <c r="F1259" i="2"/>
  <c r="F1210" i="2"/>
  <c r="F1161" i="2"/>
  <c r="F1112" i="2"/>
  <c r="F1063" i="2"/>
  <c r="F1014" i="2"/>
  <c r="F965" i="2"/>
  <c r="F916" i="2"/>
  <c r="F867" i="2"/>
  <c r="F818" i="2"/>
  <c r="F769" i="2"/>
  <c r="F720" i="2"/>
  <c r="F671" i="2"/>
  <c r="F622" i="2"/>
  <c r="F573" i="2"/>
  <c r="F524" i="2"/>
  <c r="F474" i="2"/>
  <c r="F424" i="2"/>
  <c r="F374" i="2"/>
  <c r="F324" i="2"/>
  <c r="F274" i="2"/>
  <c r="F224" i="2"/>
  <c r="F174" i="2"/>
  <c r="F74" i="2"/>
  <c r="F1550" i="2"/>
  <c r="F1501" i="2"/>
  <c r="F1452" i="2"/>
  <c r="F1403" i="2"/>
  <c r="F1354" i="2"/>
  <c r="F1305" i="2"/>
  <c r="F1256" i="2"/>
  <c r="F1207" i="2"/>
  <c r="F1158" i="2"/>
  <c r="F1109" i="2"/>
  <c r="F1060" i="2"/>
  <c r="F1011" i="2"/>
  <c r="F962" i="2"/>
  <c r="F913" i="2"/>
  <c r="F864" i="2"/>
  <c r="F815" i="2"/>
  <c r="F766" i="2"/>
  <c r="F717" i="2"/>
  <c r="F668" i="2"/>
  <c r="F619" i="2"/>
  <c r="F570" i="2"/>
  <c r="F521" i="2"/>
  <c r="F471" i="2"/>
  <c r="F421" i="2"/>
  <c r="F371" i="2"/>
  <c r="F321" i="2"/>
  <c r="F271" i="2"/>
  <c r="F221" i="2"/>
  <c r="F171" i="2"/>
  <c r="F71" i="2"/>
  <c r="AD215" i="2"/>
  <c r="AD245" i="2" s="1"/>
  <c r="AC215" i="2"/>
  <c r="AC217" i="2" s="1"/>
  <c r="AB215" i="2"/>
  <c r="AB245" i="2" s="1"/>
  <c r="AA215" i="2"/>
  <c r="AA217" i="2" s="1"/>
  <c r="Z215" i="2"/>
  <c r="Z217" i="2" s="1"/>
  <c r="Y215" i="2"/>
  <c r="Y245" i="2" s="1"/>
  <c r="X215" i="2"/>
  <c r="X217" i="2" s="1"/>
  <c r="X221" i="2" s="1"/>
  <c r="W215" i="2"/>
  <c r="W217" i="2" s="1"/>
  <c r="W224" i="2" s="1"/>
  <c r="V215" i="2"/>
  <c r="V245" i="2" s="1"/>
  <c r="U215" i="2"/>
  <c r="U217" i="2" s="1"/>
  <c r="T215" i="2"/>
  <c r="T217" i="2" s="1"/>
  <c r="S215" i="2"/>
  <c r="S217" i="2" s="1"/>
  <c r="R215" i="2"/>
  <c r="R245" i="2" s="1"/>
  <c r="Q215" i="2"/>
  <c r="Q217" i="2" s="1"/>
  <c r="Q224" i="2" s="1"/>
  <c r="P215" i="2"/>
  <c r="P245" i="2" s="1"/>
  <c r="O215" i="2"/>
  <c r="O217" i="2" s="1"/>
  <c r="O224" i="2" s="1"/>
  <c r="N215" i="2"/>
  <c r="N217" i="2" s="1"/>
  <c r="M215" i="2"/>
  <c r="M245" i="2" s="1"/>
  <c r="L215" i="2"/>
  <c r="L217" i="2" s="1"/>
  <c r="K215" i="2"/>
  <c r="K245" i="2" s="1"/>
  <c r="J215" i="2"/>
  <c r="J245" i="2" s="1"/>
  <c r="I215" i="2"/>
  <c r="I217" i="2" s="1"/>
  <c r="I221" i="2" s="1"/>
  <c r="H215" i="2"/>
  <c r="H245" i="2" s="1"/>
  <c r="G215" i="2"/>
  <c r="G217" i="2" s="1"/>
  <c r="F42" i="2"/>
  <c r="F36" i="2"/>
  <c r="F33" i="2"/>
  <c r="F30" i="2"/>
  <c r="F27" i="2"/>
  <c r="F24" i="2"/>
  <c r="F21" i="2"/>
  <c r="G1542" i="2"/>
  <c r="G1544" i="2" s="1"/>
  <c r="G1546" i="2" s="1"/>
  <c r="G1493" i="2"/>
  <c r="G1495" i="2" s="1"/>
  <c r="G1525" i="2" s="1"/>
  <c r="G1444" i="2"/>
  <c r="G1446" i="2" s="1"/>
  <c r="G1448" i="2" s="1"/>
  <c r="G1452" i="2" s="1"/>
  <c r="AD1395" i="2"/>
  <c r="AC1395" i="2"/>
  <c r="AC1397" i="2" s="1"/>
  <c r="AC1427" i="2" s="1"/>
  <c r="AB1395" i="2"/>
  <c r="AB1397" i="2" s="1"/>
  <c r="AB1399" i="2" s="1"/>
  <c r="AA1395" i="2"/>
  <c r="AA1397" i="2" s="1"/>
  <c r="AA1427" i="2" s="1"/>
  <c r="Z1395" i="2"/>
  <c r="Z1397" i="2" s="1"/>
  <c r="Z1427" i="2" s="1"/>
  <c r="Y1395" i="2"/>
  <c r="Y1397" i="2" s="1"/>
  <c r="Y1399" i="2" s="1"/>
  <c r="X1395" i="2"/>
  <c r="X1397" i="2" s="1"/>
  <c r="X1427" i="2" s="1"/>
  <c r="W1395" i="2"/>
  <c r="W1397" i="2" s="1"/>
  <c r="W1427" i="2" s="1"/>
  <c r="V1395" i="2"/>
  <c r="V1397" i="2" s="1"/>
  <c r="V1427" i="2" s="1"/>
  <c r="U1395" i="2"/>
  <c r="U1397" i="2" s="1"/>
  <c r="U1427" i="2" s="1"/>
  <c r="T1395" i="2"/>
  <c r="T1397" i="2" s="1"/>
  <c r="T1427" i="2" s="1"/>
  <c r="S1395" i="2"/>
  <c r="S1397" i="2" s="1"/>
  <c r="S1427" i="2" s="1"/>
  <c r="R1395" i="2"/>
  <c r="R1397" i="2" s="1"/>
  <c r="R1399" i="2" s="1"/>
  <c r="R1403" i="2" s="1"/>
  <c r="Q1395" i="2"/>
  <c r="Q1397" i="2" s="1"/>
  <c r="Q1399" i="2" s="1"/>
  <c r="Q1403" i="2" s="1"/>
  <c r="P1395" i="2"/>
  <c r="P1397" i="2" s="1"/>
  <c r="P1427" i="2" s="1"/>
  <c r="O1395" i="2"/>
  <c r="O1397" i="2" s="1"/>
  <c r="O1399" i="2" s="1"/>
  <c r="N1395" i="2"/>
  <c r="N1397" i="2" s="1"/>
  <c r="N1399" i="2" s="1"/>
  <c r="N1418" i="2" s="1"/>
  <c r="M1395" i="2"/>
  <c r="M1397" i="2" s="1"/>
  <c r="M1427" i="2" s="1"/>
  <c r="L1395" i="2"/>
  <c r="L1397" i="2" s="1"/>
  <c r="L1427" i="2" s="1"/>
  <c r="K1395" i="2"/>
  <c r="K1397" i="2" s="1"/>
  <c r="K1399" i="2" s="1"/>
  <c r="K1403" i="2" s="1"/>
  <c r="J1395" i="2"/>
  <c r="J1397" i="2" s="1"/>
  <c r="J1427" i="2" s="1"/>
  <c r="I1395" i="2"/>
  <c r="I1397" i="2" s="1"/>
  <c r="I1427" i="2" s="1"/>
  <c r="H1395" i="2"/>
  <c r="H1397" i="2" s="1"/>
  <c r="H1399" i="2" s="1"/>
  <c r="H1403" i="2" s="1"/>
  <c r="G1395" i="2"/>
  <c r="G1397" i="2" s="1"/>
  <c r="G1427" i="2" s="1"/>
  <c r="G1346" i="2"/>
  <c r="G1348" i="2" s="1"/>
  <c r="G1378" i="2" s="1"/>
  <c r="G1297" i="2"/>
  <c r="G1299" i="2" s="1"/>
  <c r="G1301" i="2" s="1"/>
  <c r="G1248" i="2"/>
  <c r="G1250" i="2" s="1"/>
  <c r="G1280" i="2" s="1"/>
  <c r="G1199" i="2"/>
  <c r="G1201" i="2" s="1"/>
  <c r="G1231" i="2" s="1"/>
  <c r="G1150" i="2"/>
  <c r="G1152" i="2" s="1"/>
  <c r="G1182" i="2" s="1"/>
  <c r="G1101" i="2"/>
  <c r="G1103" i="2" s="1"/>
  <c r="G1105" i="2" s="1"/>
  <c r="G1052" i="2"/>
  <c r="G1054" i="2" s="1"/>
  <c r="G1056" i="2" s="1"/>
  <c r="G1003" i="2"/>
  <c r="G1005" i="2" s="1"/>
  <c r="G1035" i="2" s="1"/>
  <c r="G954" i="2"/>
  <c r="G956" i="2" s="1"/>
  <c r="G958" i="2" s="1"/>
  <c r="G905" i="2"/>
  <c r="G907" i="2" s="1"/>
  <c r="G909" i="2" s="1"/>
  <c r="G913" i="2" s="1"/>
  <c r="G856" i="2"/>
  <c r="G858" i="2" s="1"/>
  <c r="G888" i="2" s="1"/>
  <c r="G807" i="2"/>
  <c r="G809" i="2" s="1"/>
  <c r="G811" i="2" s="1"/>
  <c r="G758" i="2"/>
  <c r="G760" i="2" s="1"/>
  <c r="G762" i="2" s="1"/>
  <c r="G709" i="2"/>
  <c r="G711" i="2" s="1"/>
  <c r="G741" i="2" s="1"/>
  <c r="G660" i="2"/>
  <c r="G662" i="2" s="1"/>
  <c r="G692" i="2" s="1"/>
  <c r="G611" i="2"/>
  <c r="G613" i="2" s="1"/>
  <c r="G615" i="2" s="1"/>
  <c r="G619" i="2" s="1"/>
  <c r="AD562" i="2"/>
  <c r="AD564" i="2" s="1"/>
  <c r="AD566" i="2" s="1"/>
  <c r="AC562" i="2"/>
  <c r="AC564" i="2" s="1"/>
  <c r="AC594" i="2" s="1"/>
  <c r="AB562" i="2"/>
  <c r="AB564" i="2" s="1"/>
  <c r="AB566" i="2" s="1"/>
  <c r="AA562" i="2"/>
  <c r="AA564" i="2" s="1"/>
  <c r="AA566" i="2" s="1"/>
  <c r="Z562" i="2"/>
  <c r="Z564" i="2" s="1"/>
  <c r="Z594" i="2" s="1"/>
  <c r="Y562" i="2"/>
  <c r="Y564" i="2" s="1"/>
  <c r="Y594" i="2" s="1"/>
  <c r="X562" i="2"/>
  <c r="X564" i="2" s="1"/>
  <c r="X594" i="2" s="1"/>
  <c r="W562" i="2"/>
  <c r="W564" i="2" s="1"/>
  <c r="W594" i="2" s="1"/>
  <c r="V562" i="2"/>
  <c r="V564" i="2" s="1"/>
  <c r="V594" i="2" s="1"/>
  <c r="U562" i="2"/>
  <c r="U564" i="2" s="1"/>
  <c r="U594" i="2" s="1"/>
  <c r="T562" i="2"/>
  <c r="T564" i="2" s="1"/>
  <c r="T594" i="2" s="1"/>
  <c r="S562" i="2"/>
  <c r="S564" i="2" s="1"/>
  <c r="S594" i="2" s="1"/>
  <c r="R562" i="2"/>
  <c r="R564" i="2" s="1"/>
  <c r="R566" i="2" s="1"/>
  <c r="R570" i="2" s="1"/>
  <c r="Q562" i="2"/>
  <c r="Q564" i="2" s="1"/>
  <c r="Q566" i="2" s="1"/>
  <c r="Q576" i="2" s="1"/>
  <c r="P562" i="2"/>
  <c r="P564" i="2" s="1"/>
  <c r="P594" i="2" s="1"/>
  <c r="O562" i="2"/>
  <c r="O564" i="2" s="1"/>
  <c r="O566" i="2" s="1"/>
  <c r="N562" i="2"/>
  <c r="N564" i="2" s="1"/>
  <c r="N566" i="2" s="1"/>
  <c r="N570" i="2" s="1"/>
  <c r="M562" i="2"/>
  <c r="M564" i="2" s="1"/>
  <c r="M566" i="2" s="1"/>
  <c r="L562" i="2"/>
  <c r="L564" i="2" s="1"/>
  <c r="L594" i="2" s="1"/>
  <c r="K562" i="2"/>
  <c r="K564" i="2" s="1"/>
  <c r="K566" i="2" s="1"/>
  <c r="K570" i="2" s="1"/>
  <c r="J562" i="2"/>
  <c r="J564" i="2" s="1"/>
  <c r="J566" i="2" s="1"/>
  <c r="I562" i="2"/>
  <c r="I564" i="2" s="1"/>
  <c r="I594" i="2" s="1"/>
  <c r="H562" i="2"/>
  <c r="H564" i="2" s="1"/>
  <c r="H566" i="2" s="1"/>
  <c r="H570" i="2" s="1"/>
  <c r="G562" i="2"/>
  <c r="G564" i="2" s="1"/>
  <c r="G566" i="2" s="1"/>
  <c r="G570" i="2" s="1"/>
  <c r="G513" i="2"/>
  <c r="G515" i="2" s="1"/>
  <c r="G545" i="2" s="1"/>
  <c r="G463" i="2"/>
  <c r="G465" i="2" s="1"/>
  <c r="G495" i="2" s="1"/>
  <c r="G413" i="2"/>
  <c r="G415" i="2" s="1"/>
  <c r="G445" i="2" s="1"/>
  <c r="G363" i="2"/>
  <c r="G365" i="2" s="1"/>
  <c r="G395" i="2" s="1"/>
  <c r="G313" i="2"/>
  <c r="G315" i="2" s="1"/>
  <c r="G317" i="2" s="1"/>
  <c r="G321" i="2" s="1"/>
  <c r="G263" i="2"/>
  <c r="G265" i="2" s="1"/>
  <c r="G295" i="2" s="1"/>
  <c r="B263" i="2"/>
  <c r="C263" i="2" s="1"/>
  <c r="G163" i="2"/>
  <c r="G165" i="2" s="1"/>
  <c r="G195" i="2" s="1"/>
  <c r="B163" i="2"/>
  <c r="C163" i="2" s="1"/>
  <c r="G113" i="2"/>
  <c r="G115" i="2" s="1"/>
  <c r="G117" i="2" s="1"/>
  <c r="G129" i="2" s="1"/>
  <c r="G141" i="2" s="1"/>
  <c r="B113" i="2"/>
  <c r="C113" i="2" s="1"/>
  <c r="G63" i="2"/>
  <c r="G65" i="2" s="1"/>
  <c r="G67" i="2" s="1"/>
  <c r="B63" i="2"/>
  <c r="C63" i="2" s="1"/>
  <c r="AG38" i="2"/>
  <c r="AF38" i="2"/>
  <c r="AG35" i="2"/>
  <c r="AF35" i="2"/>
  <c r="AG32" i="2"/>
  <c r="AF32" i="2"/>
  <c r="AG26" i="2"/>
  <c r="AF26" i="2"/>
  <c r="AG23" i="2"/>
  <c r="AF23" i="2"/>
  <c r="AG20" i="2"/>
  <c r="AF20" i="2"/>
  <c r="AD48" i="2"/>
  <c r="AC48" i="2"/>
  <c r="AB48" i="2"/>
  <c r="AA48" i="2"/>
  <c r="Z48" i="2"/>
  <c r="Y48" i="2"/>
  <c r="X48" i="2"/>
  <c r="W48" i="2"/>
  <c r="V48" i="2"/>
  <c r="U48" i="2"/>
  <c r="T48" i="2"/>
  <c r="S48" i="2"/>
  <c r="AD39" i="2"/>
  <c r="AC39" i="2"/>
  <c r="AB39" i="2"/>
  <c r="AA39" i="2"/>
  <c r="Z39" i="2"/>
  <c r="Y39" i="2"/>
  <c r="X39" i="2"/>
  <c r="W39" i="2"/>
  <c r="V39" i="2"/>
  <c r="U39" i="2"/>
  <c r="T39" i="2"/>
  <c r="S39" i="2"/>
  <c r="AG12" i="2"/>
  <c r="AF12" i="2"/>
  <c r="J15" i="2"/>
  <c r="J17" i="2" s="1"/>
  <c r="H15" i="2"/>
  <c r="H45" i="2" s="1"/>
  <c r="AD13" i="2"/>
  <c r="R13" i="9" s="1"/>
  <c r="AG13" i="9" s="1"/>
  <c r="AC13" i="2"/>
  <c r="AC15" i="2" s="1"/>
  <c r="AB13" i="2"/>
  <c r="AB15" i="2" s="1"/>
  <c r="AB45" i="2" s="1"/>
  <c r="AA13" i="2"/>
  <c r="AA15" i="2" s="1"/>
  <c r="AA45" i="2" s="1"/>
  <c r="Z13" i="2"/>
  <c r="Z15" i="2" s="1"/>
  <c r="Z45" i="2" s="1"/>
  <c r="Y13" i="2"/>
  <c r="Y15" i="2" s="1"/>
  <c r="Y45" i="2" s="1"/>
  <c r="X13" i="2"/>
  <c r="X15" i="2" s="1"/>
  <c r="W13" i="2"/>
  <c r="W15" i="2" s="1"/>
  <c r="V13" i="2"/>
  <c r="V15" i="2" s="1"/>
  <c r="V45" i="2" s="1"/>
  <c r="U13" i="2"/>
  <c r="U15" i="2" s="1"/>
  <c r="T13" i="2"/>
  <c r="T15" i="2" s="1"/>
  <c r="T45" i="2" s="1"/>
  <c r="S13" i="2"/>
  <c r="R13" i="2"/>
  <c r="R15" i="2" s="1"/>
  <c r="R45" i="2" s="1"/>
  <c r="Q13" i="2"/>
  <c r="Q15" i="2" s="1"/>
  <c r="Q45" i="2" s="1"/>
  <c r="P13" i="2"/>
  <c r="P15" i="2" s="1"/>
  <c r="P45" i="2" s="1"/>
  <c r="O13" i="2"/>
  <c r="O15" i="2" s="1"/>
  <c r="O45" i="2" s="1"/>
  <c r="N13" i="2"/>
  <c r="N15" i="2" s="1"/>
  <c r="N45" i="2" s="1"/>
  <c r="M13" i="2"/>
  <c r="M15" i="2" s="1"/>
  <c r="M45" i="2" s="1"/>
  <c r="L13" i="2"/>
  <c r="K13" i="2"/>
  <c r="K15" i="2" s="1"/>
  <c r="J13" i="2"/>
  <c r="I13" i="2"/>
  <c r="I15" i="2" s="1"/>
  <c r="H13" i="2"/>
  <c r="G13" i="2"/>
  <c r="G15" i="2" s="1"/>
  <c r="G45" i="2" s="1"/>
  <c r="AG1393" i="2"/>
  <c r="AF1393" i="2"/>
  <c r="AG560" i="2"/>
  <c r="AF560" i="2"/>
  <c r="H1540" i="2"/>
  <c r="I1540" i="2" s="1"/>
  <c r="J1540" i="2" s="1"/>
  <c r="K1540" i="2" s="1"/>
  <c r="L1540" i="2" s="1"/>
  <c r="M1540" i="2" s="1"/>
  <c r="N1540" i="2" s="1"/>
  <c r="O1540" i="2" s="1"/>
  <c r="P1540" i="2" s="1"/>
  <c r="Q1540" i="2" s="1"/>
  <c r="R1540" i="2" s="1"/>
  <c r="S1540" i="2" s="1"/>
  <c r="H1491" i="2"/>
  <c r="I1491" i="2" s="1"/>
  <c r="J1491" i="2" s="1"/>
  <c r="K1491" i="2" s="1"/>
  <c r="L1491" i="2" s="1"/>
  <c r="M1491" i="2" s="1"/>
  <c r="N1491" i="2" s="1"/>
  <c r="O1491" i="2" s="1"/>
  <c r="P1491" i="2" s="1"/>
  <c r="Q1491" i="2" s="1"/>
  <c r="R1491" i="2" s="1"/>
  <c r="S1491" i="2" s="1"/>
  <c r="H1442" i="2"/>
  <c r="I1442" i="2" s="1"/>
  <c r="J1442" i="2" s="1"/>
  <c r="K1442" i="2" s="1"/>
  <c r="L1442" i="2" s="1"/>
  <c r="M1442" i="2" s="1"/>
  <c r="N1442" i="2" s="1"/>
  <c r="O1442" i="2" s="1"/>
  <c r="P1442" i="2" s="1"/>
  <c r="Q1442" i="2" s="1"/>
  <c r="R1442" i="2" s="1"/>
  <c r="S1442" i="2" s="1"/>
  <c r="H1344" i="2"/>
  <c r="I1344" i="2" s="1"/>
  <c r="J1344" i="2" s="1"/>
  <c r="K1344" i="2" s="1"/>
  <c r="L1344" i="2" s="1"/>
  <c r="M1344" i="2" s="1"/>
  <c r="N1344" i="2" s="1"/>
  <c r="O1344" i="2" s="1"/>
  <c r="P1344" i="2" s="1"/>
  <c r="Q1344" i="2" s="1"/>
  <c r="R1344" i="2" s="1"/>
  <c r="S1344" i="2" s="1"/>
  <c r="H1295" i="2"/>
  <c r="I1295" i="2" s="1"/>
  <c r="J1295" i="2" s="1"/>
  <c r="K1295" i="2" s="1"/>
  <c r="L1295" i="2" s="1"/>
  <c r="M1295" i="2" s="1"/>
  <c r="N1295" i="2" s="1"/>
  <c r="O1295" i="2" s="1"/>
  <c r="P1295" i="2" s="1"/>
  <c r="Q1295" i="2" s="1"/>
  <c r="R1295" i="2" s="1"/>
  <c r="S1295" i="2" s="1"/>
  <c r="H1246" i="2"/>
  <c r="I1246" i="2" s="1"/>
  <c r="J1246" i="2" s="1"/>
  <c r="K1246" i="2" s="1"/>
  <c r="L1246" i="2" s="1"/>
  <c r="M1246" i="2" s="1"/>
  <c r="N1246" i="2" s="1"/>
  <c r="O1246" i="2" s="1"/>
  <c r="P1246" i="2" s="1"/>
  <c r="Q1246" i="2" s="1"/>
  <c r="R1246" i="2" s="1"/>
  <c r="S1246" i="2" s="1"/>
  <c r="T1246" i="2" s="1"/>
  <c r="U1246" i="2" s="1"/>
  <c r="V1246" i="2" s="1"/>
  <c r="W1246" i="2" s="1"/>
  <c r="X1246" i="2" s="1"/>
  <c r="Y1246" i="2" s="1"/>
  <c r="Z1246" i="2" s="1"/>
  <c r="AA1246" i="2" s="1"/>
  <c r="AB1246" i="2" s="1"/>
  <c r="AC1246" i="2" s="1"/>
  <c r="H1197" i="2"/>
  <c r="I1197" i="2" s="1"/>
  <c r="J1197" i="2" s="1"/>
  <c r="K1197" i="2" s="1"/>
  <c r="L1197" i="2" s="1"/>
  <c r="M1197" i="2" s="1"/>
  <c r="N1197" i="2" s="1"/>
  <c r="O1197" i="2" s="1"/>
  <c r="P1197" i="2" s="1"/>
  <c r="Q1197" i="2" s="1"/>
  <c r="R1197" i="2" s="1"/>
  <c r="S1197" i="2" s="1"/>
  <c r="T1197" i="2" s="1"/>
  <c r="U1197" i="2" s="1"/>
  <c r="V1197" i="2" s="1"/>
  <c r="W1197" i="2" s="1"/>
  <c r="X1197" i="2" s="1"/>
  <c r="Y1197" i="2" s="1"/>
  <c r="Z1197" i="2" s="1"/>
  <c r="AA1197" i="2" s="1"/>
  <c r="AB1197" i="2" s="1"/>
  <c r="AC1197" i="2" s="1"/>
  <c r="H1148" i="2"/>
  <c r="I1148" i="2" s="1"/>
  <c r="J1148" i="2" s="1"/>
  <c r="K1148" i="2" s="1"/>
  <c r="L1148" i="2" s="1"/>
  <c r="M1148" i="2" s="1"/>
  <c r="N1148" i="2" s="1"/>
  <c r="O1148" i="2" s="1"/>
  <c r="P1148" i="2" s="1"/>
  <c r="Q1148" i="2" s="1"/>
  <c r="R1148" i="2" s="1"/>
  <c r="S1148" i="2" s="1"/>
  <c r="T1148" i="2" s="1"/>
  <c r="U1148" i="2" s="1"/>
  <c r="V1148" i="2" s="1"/>
  <c r="W1148" i="2" s="1"/>
  <c r="X1148" i="2" s="1"/>
  <c r="Y1148" i="2" s="1"/>
  <c r="Z1148" i="2" s="1"/>
  <c r="AA1148" i="2" s="1"/>
  <c r="AB1148" i="2" s="1"/>
  <c r="AC1148" i="2" s="1"/>
  <c r="H1099" i="2"/>
  <c r="H1101" i="2" s="1"/>
  <c r="H1103" i="2" s="1"/>
  <c r="H1105" i="2" s="1"/>
  <c r="H1050" i="2"/>
  <c r="I1050" i="2" s="1"/>
  <c r="J1050" i="2" s="1"/>
  <c r="K1050" i="2" s="1"/>
  <c r="L1050" i="2" s="1"/>
  <c r="M1050" i="2" s="1"/>
  <c r="N1050" i="2" s="1"/>
  <c r="O1050" i="2" s="1"/>
  <c r="P1050" i="2" s="1"/>
  <c r="Q1050" i="2" s="1"/>
  <c r="R1050" i="2" s="1"/>
  <c r="S1050" i="2" s="1"/>
  <c r="T1050" i="2" s="1"/>
  <c r="U1050" i="2" s="1"/>
  <c r="V1050" i="2" s="1"/>
  <c r="W1050" i="2" s="1"/>
  <c r="X1050" i="2" s="1"/>
  <c r="Y1050" i="2" s="1"/>
  <c r="Z1050" i="2" s="1"/>
  <c r="AA1050" i="2" s="1"/>
  <c r="AB1050" i="2" s="1"/>
  <c r="AC1050" i="2" s="1"/>
  <c r="AD1050" i="2" s="1"/>
  <c r="AD1052" i="2" s="1"/>
  <c r="AD1054" i="2" s="1"/>
  <c r="AD1056" i="2" s="1"/>
  <c r="H1001" i="2"/>
  <c r="I1001" i="2" s="1"/>
  <c r="J1001" i="2" s="1"/>
  <c r="K1001" i="2" s="1"/>
  <c r="L1001" i="2" s="1"/>
  <c r="M1001" i="2" s="1"/>
  <c r="N1001" i="2" s="1"/>
  <c r="O1001" i="2" s="1"/>
  <c r="P1001" i="2" s="1"/>
  <c r="Q1001" i="2" s="1"/>
  <c r="R1001" i="2" s="1"/>
  <c r="S1001" i="2" s="1"/>
  <c r="T1001" i="2" s="1"/>
  <c r="U1001" i="2" s="1"/>
  <c r="V1001" i="2" s="1"/>
  <c r="W1001" i="2" s="1"/>
  <c r="X1001" i="2" s="1"/>
  <c r="Y1001" i="2" s="1"/>
  <c r="Z1001" i="2" s="1"/>
  <c r="AA1001" i="2" s="1"/>
  <c r="AB1001" i="2" s="1"/>
  <c r="AC1001" i="2" s="1"/>
  <c r="AD1001" i="2" s="1"/>
  <c r="AD1003" i="2" s="1"/>
  <c r="AD1005" i="2" s="1"/>
  <c r="AD1035" i="2" s="1"/>
  <c r="H952" i="2"/>
  <c r="H903" i="2"/>
  <c r="I903" i="2" s="1"/>
  <c r="J903" i="2" s="1"/>
  <c r="K903" i="2" s="1"/>
  <c r="L903" i="2" s="1"/>
  <c r="M903" i="2" s="1"/>
  <c r="N903" i="2" s="1"/>
  <c r="O903" i="2" s="1"/>
  <c r="P903" i="2" s="1"/>
  <c r="Q903" i="2" s="1"/>
  <c r="R903" i="2" s="1"/>
  <c r="S903" i="2" s="1"/>
  <c r="T903" i="2" s="1"/>
  <c r="U903" i="2" s="1"/>
  <c r="V903" i="2" s="1"/>
  <c r="W903" i="2" s="1"/>
  <c r="X903" i="2" s="1"/>
  <c r="Y903" i="2" s="1"/>
  <c r="Z903" i="2" s="1"/>
  <c r="AA903" i="2" s="1"/>
  <c r="AB903" i="2" s="1"/>
  <c r="AC903" i="2" s="1"/>
  <c r="AD903" i="2" s="1"/>
  <c r="AD905" i="2" s="1"/>
  <c r="AD907" i="2" s="1"/>
  <c r="AD937" i="2" s="1"/>
  <c r="H854" i="2"/>
  <c r="I854" i="2" s="1"/>
  <c r="J854" i="2" s="1"/>
  <c r="K854" i="2" s="1"/>
  <c r="L854" i="2" s="1"/>
  <c r="M854" i="2" s="1"/>
  <c r="N854" i="2" s="1"/>
  <c r="O854" i="2" s="1"/>
  <c r="P854" i="2" s="1"/>
  <c r="Q854" i="2" s="1"/>
  <c r="R854" i="2" s="1"/>
  <c r="S854" i="2" s="1"/>
  <c r="T854" i="2" s="1"/>
  <c r="U854" i="2" s="1"/>
  <c r="V854" i="2" s="1"/>
  <c r="W854" i="2" s="1"/>
  <c r="X854" i="2" s="1"/>
  <c r="Y854" i="2" s="1"/>
  <c r="Z854" i="2" s="1"/>
  <c r="AA854" i="2" s="1"/>
  <c r="AB854" i="2" s="1"/>
  <c r="AC854" i="2" s="1"/>
  <c r="AD854" i="2" s="1"/>
  <c r="AD856" i="2" s="1"/>
  <c r="AD858" i="2" s="1"/>
  <c r="AD888" i="2" s="1"/>
  <c r="H805" i="2"/>
  <c r="I805" i="2" s="1"/>
  <c r="J805" i="2" s="1"/>
  <c r="K805" i="2" s="1"/>
  <c r="L805" i="2" s="1"/>
  <c r="M805" i="2" s="1"/>
  <c r="N805" i="2" s="1"/>
  <c r="O805" i="2" s="1"/>
  <c r="P805" i="2" s="1"/>
  <c r="Q805" i="2" s="1"/>
  <c r="R805" i="2" s="1"/>
  <c r="S805" i="2" s="1"/>
  <c r="T805" i="2" s="1"/>
  <c r="U805" i="2" s="1"/>
  <c r="V805" i="2" s="1"/>
  <c r="W805" i="2" s="1"/>
  <c r="X805" i="2" s="1"/>
  <c r="Y805" i="2" s="1"/>
  <c r="Z805" i="2" s="1"/>
  <c r="AA805" i="2" s="1"/>
  <c r="AB805" i="2" s="1"/>
  <c r="H756" i="2"/>
  <c r="I756" i="2" s="1"/>
  <c r="J756" i="2" s="1"/>
  <c r="K756" i="2" s="1"/>
  <c r="L756" i="2" s="1"/>
  <c r="M756" i="2" s="1"/>
  <c r="N756" i="2" s="1"/>
  <c r="O756" i="2" s="1"/>
  <c r="P756" i="2" s="1"/>
  <c r="Q756" i="2" s="1"/>
  <c r="R756" i="2" s="1"/>
  <c r="S756" i="2" s="1"/>
  <c r="T756" i="2" s="1"/>
  <c r="U756" i="2" s="1"/>
  <c r="V756" i="2" s="1"/>
  <c r="W756" i="2" s="1"/>
  <c r="X756" i="2" s="1"/>
  <c r="Y756" i="2" s="1"/>
  <c r="Z756" i="2" s="1"/>
  <c r="AA756" i="2" s="1"/>
  <c r="AB756" i="2" s="1"/>
  <c r="AC756" i="2" s="1"/>
  <c r="AD756" i="2" s="1"/>
  <c r="AD758" i="2" s="1"/>
  <c r="AD760" i="2" s="1"/>
  <c r="AD790" i="2" s="1"/>
  <c r="H707" i="2"/>
  <c r="H709" i="2" s="1"/>
  <c r="H711" i="2" s="1"/>
  <c r="H741" i="2" s="1"/>
  <c r="H658" i="2"/>
  <c r="H660" i="2" s="1"/>
  <c r="H662" i="2" s="1"/>
  <c r="H692" i="2" s="1"/>
  <c r="H609" i="2"/>
  <c r="I609" i="2" s="1"/>
  <c r="J609" i="2" s="1"/>
  <c r="K609" i="2" s="1"/>
  <c r="L609" i="2" s="1"/>
  <c r="M609" i="2" s="1"/>
  <c r="N609" i="2" s="1"/>
  <c r="O609" i="2" s="1"/>
  <c r="P609" i="2" s="1"/>
  <c r="Q609" i="2" s="1"/>
  <c r="R609" i="2" s="1"/>
  <c r="S609" i="2" s="1"/>
  <c r="T609" i="2" s="1"/>
  <c r="U609" i="2" s="1"/>
  <c r="V609" i="2" s="1"/>
  <c r="W609" i="2" s="1"/>
  <c r="X609" i="2" s="1"/>
  <c r="Y609" i="2" s="1"/>
  <c r="Z609" i="2" s="1"/>
  <c r="AA609" i="2" s="1"/>
  <c r="AB609" i="2" s="1"/>
  <c r="AC609" i="2" s="1"/>
  <c r="AD609" i="2" s="1"/>
  <c r="AD611" i="2" s="1"/>
  <c r="AD613" i="2" s="1"/>
  <c r="AD615" i="2" s="1"/>
  <c r="AD619" i="2" s="1"/>
  <c r="H511" i="2"/>
  <c r="I511" i="2" s="1"/>
  <c r="H461" i="2"/>
  <c r="I461" i="2" s="1"/>
  <c r="J461" i="2" s="1"/>
  <c r="K461" i="2" s="1"/>
  <c r="L461" i="2" s="1"/>
  <c r="M461" i="2" s="1"/>
  <c r="N461" i="2" s="1"/>
  <c r="O461" i="2" s="1"/>
  <c r="P461" i="2" s="1"/>
  <c r="Q461" i="2" s="1"/>
  <c r="R461" i="2" s="1"/>
  <c r="S461" i="2" s="1"/>
  <c r="T461" i="2" s="1"/>
  <c r="U461" i="2" s="1"/>
  <c r="V461" i="2" s="1"/>
  <c r="W461" i="2" s="1"/>
  <c r="X461" i="2" s="1"/>
  <c r="Y461" i="2" s="1"/>
  <c r="Z461" i="2" s="1"/>
  <c r="AA461" i="2" s="1"/>
  <c r="AB461" i="2" s="1"/>
  <c r="AC461" i="2" s="1"/>
  <c r="AD461" i="2" s="1"/>
  <c r="AD463" i="2" s="1"/>
  <c r="AD465" i="2" s="1"/>
  <c r="AD495" i="2" s="1"/>
  <c r="H411" i="2"/>
  <c r="I411" i="2" s="1"/>
  <c r="J411" i="2" s="1"/>
  <c r="K411" i="2" s="1"/>
  <c r="L411" i="2" s="1"/>
  <c r="M411" i="2" s="1"/>
  <c r="N411" i="2" s="1"/>
  <c r="O411" i="2" s="1"/>
  <c r="P411" i="2" s="1"/>
  <c r="Q411" i="2" s="1"/>
  <c r="R411" i="2" s="1"/>
  <c r="S411" i="2" s="1"/>
  <c r="T411" i="2" s="1"/>
  <c r="U411" i="2" s="1"/>
  <c r="V411" i="2" s="1"/>
  <c r="W411" i="2" s="1"/>
  <c r="X411" i="2" s="1"/>
  <c r="Y411" i="2" s="1"/>
  <c r="Z411" i="2" s="1"/>
  <c r="AA411" i="2" s="1"/>
  <c r="AB411" i="2" s="1"/>
  <c r="H361" i="2"/>
  <c r="I361" i="2" s="1"/>
  <c r="J361" i="2" s="1"/>
  <c r="K361" i="2" s="1"/>
  <c r="L361" i="2" s="1"/>
  <c r="M361" i="2" s="1"/>
  <c r="N361" i="2" s="1"/>
  <c r="O361" i="2" s="1"/>
  <c r="P361" i="2" s="1"/>
  <c r="Q361" i="2" s="1"/>
  <c r="R361" i="2" s="1"/>
  <c r="S361" i="2" s="1"/>
  <c r="T361" i="2" s="1"/>
  <c r="U361" i="2" s="1"/>
  <c r="V361" i="2" s="1"/>
  <c r="W361" i="2" s="1"/>
  <c r="X361" i="2" s="1"/>
  <c r="Y361" i="2" s="1"/>
  <c r="Z361" i="2" s="1"/>
  <c r="AA361" i="2" s="1"/>
  <c r="AB361" i="2" s="1"/>
  <c r="AC361" i="2" s="1"/>
  <c r="AD361" i="2" s="1"/>
  <c r="AD363" i="2" s="1"/>
  <c r="AD365" i="2" s="1"/>
  <c r="AD395" i="2" s="1"/>
  <c r="H311" i="2"/>
  <c r="I311" i="2" s="1"/>
  <c r="J311" i="2" s="1"/>
  <c r="K311" i="2" s="1"/>
  <c r="L311" i="2" s="1"/>
  <c r="M311" i="2" s="1"/>
  <c r="N311" i="2" s="1"/>
  <c r="O311" i="2" s="1"/>
  <c r="P311" i="2" s="1"/>
  <c r="Q311" i="2" s="1"/>
  <c r="R311" i="2" s="1"/>
  <c r="S311" i="2" s="1"/>
  <c r="H261" i="2"/>
  <c r="I261" i="2" s="1"/>
  <c r="J261" i="2" s="1"/>
  <c r="K261" i="2" s="1"/>
  <c r="L261" i="2" s="1"/>
  <c r="M261" i="2" s="1"/>
  <c r="N261" i="2" s="1"/>
  <c r="O261" i="2" s="1"/>
  <c r="P261" i="2" s="1"/>
  <c r="Q261" i="2" s="1"/>
  <c r="R261" i="2" s="1"/>
  <c r="S261" i="2" s="1"/>
  <c r="H211" i="2"/>
  <c r="I211" i="2" s="1"/>
  <c r="J211" i="2" s="1"/>
  <c r="K211" i="2" s="1"/>
  <c r="L211" i="2" s="1"/>
  <c r="M211" i="2" s="1"/>
  <c r="N211" i="2" s="1"/>
  <c r="O211" i="2" s="1"/>
  <c r="P211" i="2" s="1"/>
  <c r="Q211" i="2" s="1"/>
  <c r="R211" i="2" s="1"/>
  <c r="S211" i="2" s="1"/>
  <c r="H161" i="2"/>
  <c r="I161" i="2" s="1"/>
  <c r="J161" i="2" s="1"/>
  <c r="K161" i="2" s="1"/>
  <c r="L161" i="2" s="1"/>
  <c r="M161" i="2" s="1"/>
  <c r="N161" i="2" s="1"/>
  <c r="O161" i="2" s="1"/>
  <c r="P161" i="2" s="1"/>
  <c r="Q161" i="2" s="1"/>
  <c r="R161" i="2" s="1"/>
  <c r="S161" i="2" s="1"/>
  <c r="T161" i="2" s="1"/>
  <c r="U161" i="2" s="1"/>
  <c r="V161" i="2" s="1"/>
  <c r="W161" i="2" s="1"/>
  <c r="X161" i="2" s="1"/>
  <c r="Y161" i="2" s="1"/>
  <c r="Z161" i="2" s="1"/>
  <c r="AA161" i="2" s="1"/>
  <c r="AB161" i="2" s="1"/>
  <c r="AC161" i="2" s="1"/>
  <c r="AD161" i="2" s="1"/>
  <c r="AD163" i="2" s="1"/>
  <c r="AD165" i="2" s="1"/>
  <c r="AD195" i="2" s="1"/>
  <c r="H111" i="2"/>
  <c r="I111" i="2" s="1"/>
  <c r="J111" i="2" s="1"/>
  <c r="K111" i="2" s="1"/>
  <c r="L111" i="2" s="1"/>
  <c r="M111" i="2" s="1"/>
  <c r="N111" i="2" s="1"/>
  <c r="O111" i="2" s="1"/>
  <c r="P111" i="2" s="1"/>
  <c r="Q111" i="2" s="1"/>
  <c r="R111" i="2" s="1"/>
  <c r="S111" i="2" s="1"/>
  <c r="T111" i="2" s="1"/>
  <c r="U111" i="2" s="1"/>
  <c r="V111" i="2" s="1"/>
  <c r="W111" i="2" s="1"/>
  <c r="X111" i="2" s="1"/>
  <c r="Y111" i="2" s="1"/>
  <c r="Z111" i="2" s="1"/>
  <c r="AA111" i="2" s="1"/>
  <c r="AB111" i="2" s="1"/>
  <c r="H61" i="2"/>
  <c r="AD69" i="1"/>
  <c r="AC69" i="1"/>
  <c r="AC69" i="8" s="1"/>
  <c r="AA48" i="1"/>
  <c r="Z48" i="1"/>
  <c r="Y48" i="1"/>
  <c r="X48" i="1"/>
  <c r="W48" i="1"/>
  <c r="V48" i="1"/>
  <c r="U48" i="1"/>
  <c r="T48" i="1"/>
  <c r="S48" i="1"/>
  <c r="R48" i="1"/>
  <c r="Q48" i="1"/>
  <c r="P48" i="1"/>
  <c r="AD47" i="1"/>
  <c r="AC47" i="1"/>
  <c r="AC47" i="8" s="1"/>
  <c r="AD48" i="8" s="1"/>
  <c r="J326" i="11" l="1"/>
  <c r="V11" i="9"/>
  <c r="I348" i="11"/>
  <c r="J351" i="11"/>
  <c r="J325" i="11"/>
  <c r="T352" i="11"/>
  <c r="I223" i="11"/>
  <c r="I221" i="11"/>
  <c r="AG11" i="9"/>
  <c r="T96" i="8"/>
  <c r="J221" i="11"/>
  <c r="G345" i="11"/>
  <c r="G227" i="11"/>
  <c r="K283" i="11"/>
  <c r="I337" i="11"/>
  <c r="J334" i="11"/>
  <c r="I344" i="11"/>
  <c r="J341" i="11"/>
  <c r="G194" i="11"/>
  <c r="G312" i="11"/>
  <c r="J330" i="11"/>
  <c r="I323" i="11"/>
  <c r="J345" i="11"/>
  <c r="I219" i="11"/>
  <c r="J335" i="11"/>
  <c r="I345" i="11"/>
  <c r="J223" i="11"/>
  <c r="G330" i="11"/>
  <c r="G212" i="11"/>
  <c r="K278" i="11"/>
  <c r="J340" i="11"/>
  <c r="I343" i="11"/>
  <c r="G214" i="11"/>
  <c r="G332" i="11"/>
  <c r="G201" i="11"/>
  <c r="G319" i="11"/>
  <c r="J222" i="11"/>
  <c r="I225" i="11"/>
  <c r="G306" i="11"/>
  <c r="G188" i="11"/>
  <c r="R352" i="11"/>
  <c r="I335" i="11"/>
  <c r="I336" i="11"/>
  <c r="G307" i="11"/>
  <c r="G189" i="11"/>
  <c r="J225" i="11"/>
  <c r="G213" i="11"/>
  <c r="G331" i="11"/>
  <c r="G219" i="11"/>
  <c r="G337" i="11"/>
  <c r="G199" i="11"/>
  <c r="G317" i="11"/>
  <c r="G326" i="11"/>
  <c r="G208" i="11"/>
  <c r="K284" i="11"/>
  <c r="J348" i="11"/>
  <c r="I340" i="11"/>
  <c r="J344" i="11"/>
  <c r="J347" i="11"/>
  <c r="J336" i="11"/>
  <c r="G226" i="11"/>
  <c r="G344" i="11"/>
  <c r="G186" i="11"/>
  <c r="G304" i="11"/>
  <c r="K291" i="11"/>
  <c r="K173" i="11"/>
  <c r="I347" i="11"/>
  <c r="J338" i="11"/>
  <c r="Q352" i="11"/>
  <c r="J220" i="11"/>
  <c r="J235" i="11" s="1"/>
  <c r="G302" i="11"/>
  <c r="G184" i="11"/>
  <c r="G193" i="11"/>
  <c r="G311" i="11"/>
  <c r="J333" i="11"/>
  <c r="J331" i="11"/>
  <c r="K287" i="11"/>
  <c r="K169" i="11"/>
  <c r="I324" i="11"/>
  <c r="I333" i="11"/>
  <c r="J219" i="11"/>
  <c r="G211" i="11"/>
  <c r="G329" i="11"/>
  <c r="G203" i="11"/>
  <c r="G321" i="11"/>
  <c r="G325" i="11"/>
  <c r="G207" i="11"/>
  <c r="K286" i="11"/>
  <c r="K168" i="11"/>
  <c r="K289" i="11"/>
  <c r="K171" i="11"/>
  <c r="J337" i="11"/>
  <c r="G310" i="11"/>
  <c r="G192" i="11"/>
  <c r="G336" i="11"/>
  <c r="G218" i="11"/>
  <c r="K280" i="11"/>
  <c r="K172" i="11"/>
  <c r="K290" i="11"/>
  <c r="I349" i="11"/>
  <c r="I339" i="11"/>
  <c r="G191" i="11"/>
  <c r="G309" i="11"/>
  <c r="G340" i="11"/>
  <c r="G222" i="11"/>
  <c r="K218" i="11"/>
  <c r="K277" i="11"/>
  <c r="I334" i="11"/>
  <c r="K292" i="11"/>
  <c r="K174" i="11"/>
  <c r="G316" i="11"/>
  <c r="G198" i="11"/>
  <c r="J332" i="11"/>
  <c r="J328" i="11"/>
  <c r="K282" i="11"/>
  <c r="K163" i="11"/>
  <c r="K229" i="11" s="1"/>
  <c r="K281" i="11"/>
  <c r="S352" i="11"/>
  <c r="J346" i="11"/>
  <c r="G335" i="11"/>
  <c r="G217" i="11"/>
  <c r="G333" i="11"/>
  <c r="G215" i="11"/>
  <c r="I328" i="11"/>
  <c r="G305" i="11"/>
  <c r="G187" i="11"/>
  <c r="J329" i="11"/>
  <c r="I326" i="11"/>
  <c r="G313" i="11"/>
  <c r="G195" i="11"/>
  <c r="G223" i="11"/>
  <c r="G341" i="11"/>
  <c r="I332" i="11"/>
  <c r="K279" i="11"/>
  <c r="I338" i="11"/>
  <c r="P352" i="11"/>
  <c r="J224" i="11"/>
  <c r="I351" i="11"/>
  <c r="I350" i="11"/>
  <c r="I346" i="11"/>
  <c r="G327" i="11"/>
  <c r="G209" i="11"/>
  <c r="K170" i="11"/>
  <c r="K288" i="11"/>
  <c r="I220" i="11"/>
  <c r="J343" i="11"/>
  <c r="J323" i="11"/>
  <c r="U56" i="8"/>
  <c r="T159" i="8"/>
  <c r="AD162" i="8"/>
  <c r="AD165" i="8"/>
  <c r="AD164" i="8"/>
  <c r="AD168" i="8"/>
  <c r="AD176" i="8"/>
  <c r="AD171" i="8"/>
  <c r="AD172" i="8" s="1"/>
  <c r="AD167" i="8"/>
  <c r="AD166" i="8"/>
  <c r="AA176" i="8"/>
  <c r="AA177" i="8" s="1"/>
  <c r="X176" i="8"/>
  <c r="X177" i="8" s="1"/>
  <c r="U176" i="8"/>
  <c r="U177" i="8" s="1"/>
  <c r="R176" i="8"/>
  <c r="R177" i="8" s="1"/>
  <c r="AD175" i="8"/>
  <c r="L53" i="8"/>
  <c r="L54" i="8" s="1"/>
  <c r="AD174" i="8"/>
  <c r="AC171" i="8"/>
  <c r="AC172" i="1"/>
  <c r="AC172" i="8" s="1"/>
  <c r="AD161" i="8"/>
  <c r="H53" i="8"/>
  <c r="H54" i="8" s="1"/>
  <c r="W11" i="9"/>
  <c r="N61" i="8"/>
  <c r="N66" i="8" s="1"/>
  <c r="AD38" i="8"/>
  <c r="AD39" i="8" s="1"/>
  <c r="N39" i="8"/>
  <c r="I61" i="8"/>
  <c r="I62" i="8" s="1"/>
  <c r="E54" i="8"/>
  <c r="D39" i="8"/>
  <c r="D53" i="8"/>
  <c r="M61" i="8"/>
  <c r="M54" i="8"/>
  <c r="T705" i="9"/>
  <c r="T708" i="9" s="1"/>
  <c r="T1048" i="9"/>
  <c r="T1051" i="9" s="1"/>
  <c r="T259" i="9"/>
  <c r="T262" i="9" s="1"/>
  <c r="T1244" i="9"/>
  <c r="T1247" i="9"/>
  <c r="T852" i="9"/>
  <c r="T855" i="9" s="1"/>
  <c r="T1097" i="9"/>
  <c r="T1100" i="9" s="1"/>
  <c r="T803" i="9"/>
  <c r="T806" i="9" s="1"/>
  <c r="T209" i="9"/>
  <c r="T212" i="9" s="1"/>
  <c r="T459" i="9"/>
  <c r="T462" i="9" s="1"/>
  <c r="T1538" i="9"/>
  <c r="T1541" i="9" s="1"/>
  <c r="S1541" i="9"/>
  <c r="T999" i="9"/>
  <c r="T1002" i="9"/>
  <c r="T409" i="9"/>
  <c r="T412" i="9" s="1"/>
  <c r="T656" i="9"/>
  <c r="T659" i="9" s="1"/>
  <c r="S659" i="9"/>
  <c r="T159" i="9"/>
  <c r="T162" i="9" s="1"/>
  <c r="T359" i="9"/>
  <c r="T362" i="9" s="1"/>
  <c r="T754" i="9"/>
  <c r="T757" i="9"/>
  <c r="T950" i="9"/>
  <c r="T953" i="9" s="1"/>
  <c r="T1146" i="9"/>
  <c r="T1149" i="9" s="1"/>
  <c r="T509" i="9"/>
  <c r="T512" i="9" s="1"/>
  <c r="T109" i="9"/>
  <c r="T112" i="9"/>
  <c r="T309" i="9"/>
  <c r="T312" i="9"/>
  <c r="T1293" i="9"/>
  <c r="T1296" i="9" s="1"/>
  <c r="T59" i="9"/>
  <c r="T62" i="9"/>
  <c r="T1342" i="9"/>
  <c r="T1440" i="9"/>
  <c r="T1443" i="9" s="1"/>
  <c r="T558" i="9"/>
  <c r="T561" i="9" s="1"/>
  <c r="T901" i="9"/>
  <c r="T904" i="9" s="1"/>
  <c r="T1195" i="9"/>
  <c r="T1198" i="9" s="1"/>
  <c r="T1489" i="9"/>
  <c r="T1492" i="9"/>
  <c r="T1391" i="9"/>
  <c r="T1394" i="9" s="1"/>
  <c r="T607" i="9"/>
  <c r="T610" i="9" s="1"/>
  <c r="AC411" i="2"/>
  <c r="AD411" i="2" s="1"/>
  <c r="AD413" i="2" s="1"/>
  <c r="AD415" i="2" s="1"/>
  <c r="AC805" i="2"/>
  <c r="AD805" i="2" s="1"/>
  <c r="AD807" i="2" s="1"/>
  <c r="AD809" i="2" s="1"/>
  <c r="AC111" i="2"/>
  <c r="AD111" i="2" s="1"/>
  <c r="AD113" i="2" s="1"/>
  <c r="AD115" i="2" s="1"/>
  <c r="AD145" i="2" s="1"/>
  <c r="AD1246" i="2"/>
  <c r="AD1248" i="2" s="1"/>
  <c r="AD1250" i="2" s="1"/>
  <c r="T211" i="2"/>
  <c r="U211" i="2" s="1"/>
  <c r="V211" i="2" s="1"/>
  <c r="W211" i="2" s="1"/>
  <c r="X211" i="2" s="1"/>
  <c r="Y211" i="2" s="1"/>
  <c r="Z211" i="2" s="1"/>
  <c r="AA211" i="2" s="1"/>
  <c r="AB211" i="2" s="1"/>
  <c r="AC211" i="2" s="1"/>
  <c r="AD211" i="2" s="1"/>
  <c r="T261" i="2"/>
  <c r="U261" i="2" s="1"/>
  <c r="V261" i="2" s="1"/>
  <c r="W261" i="2" s="1"/>
  <c r="X261" i="2" s="1"/>
  <c r="Y261" i="2" s="1"/>
  <c r="Z261" i="2" s="1"/>
  <c r="AA261" i="2" s="1"/>
  <c r="AB261" i="2" s="1"/>
  <c r="AC261" i="2" s="1"/>
  <c r="AC263" i="2" s="1"/>
  <c r="AC265" i="2" s="1"/>
  <c r="AC295" i="2" s="1"/>
  <c r="T1295" i="2"/>
  <c r="U1295" i="2" s="1"/>
  <c r="V1295" i="2" s="1"/>
  <c r="W1295" i="2" s="1"/>
  <c r="X1295" i="2" s="1"/>
  <c r="Y1295" i="2" s="1"/>
  <c r="Z1295" i="2" s="1"/>
  <c r="AA1295" i="2" s="1"/>
  <c r="AB1295" i="2" s="1"/>
  <c r="AC1295" i="2" s="1"/>
  <c r="AD1197" i="2"/>
  <c r="AD1199" i="2" s="1"/>
  <c r="AD1201" i="2" s="1"/>
  <c r="AD1203" i="2" s="1"/>
  <c r="T1491" i="2"/>
  <c r="U1491" i="2" s="1"/>
  <c r="V1491" i="2" s="1"/>
  <c r="W1491" i="2" s="1"/>
  <c r="X1491" i="2" s="1"/>
  <c r="Y1491" i="2" s="1"/>
  <c r="Z1491" i="2" s="1"/>
  <c r="AA1491" i="2" s="1"/>
  <c r="AB1491" i="2" s="1"/>
  <c r="AC1491" i="2" s="1"/>
  <c r="AC1493" i="2" s="1"/>
  <c r="AC1495" i="2" s="1"/>
  <c r="AC1525" i="2" s="1"/>
  <c r="T1540" i="2"/>
  <c r="U1540" i="2" s="1"/>
  <c r="V1540" i="2" s="1"/>
  <c r="W1540" i="2" s="1"/>
  <c r="X1540" i="2" s="1"/>
  <c r="Y1540" i="2" s="1"/>
  <c r="Z1540" i="2" s="1"/>
  <c r="AA1540" i="2" s="1"/>
  <c r="AB1540" i="2" s="1"/>
  <c r="AC1540" i="2" s="1"/>
  <c r="AC1542" i="2" s="1"/>
  <c r="AC1544" i="2" s="1"/>
  <c r="AC1574" i="2" s="1"/>
  <c r="T1442" i="2"/>
  <c r="U1442" i="2" s="1"/>
  <c r="V1442" i="2" s="1"/>
  <c r="W1442" i="2" s="1"/>
  <c r="X1442" i="2" s="1"/>
  <c r="Y1442" i="2" s="1"/>
  <c r="Z1442" i="2" s="1"/>
  <c r="AA1442" i="2" s="1"/>
  <c r="AB1442" i="2" s="1"/>
  <c r="AC1442" i="2" s="1"/>
  <c r="T1344" i="2"/>
  <c r="U1344" i="2" s="1"/>
  <c r="V1344" i="2" s="1"/>
  <c r="W1344" i="2" s="1"/>
  <c r="X1344" i="2" s="1"/>
  <c r="Y1344" i="2" s="1"/>
  <c r="Z1344" i="2" s="1"/>
  <c r="AA1344" i="2" s="1"/>
  <c r="AB1344" i="2" s="1"/>
  <c r="AC1344" i="2" s="1"/>
  <c r="AD1148" i="2"/>
  <c r="AD1150" i="2" s="1"/>
  <c r="AD1152" i="2" s="1"/>
  <c r="AD1154" i="2" s="1"/>
  <c r="T311" i="2"/>
  <c r="U311" i="2" s="1"/>
  <c r="V311" i="2" s="1"/>
  <c r="W311" i="2" s="1"/>
  <c r="X311" i="2" s="1"/>
  <c r="Y311" i="2" s="1"/>
  <c r="Z311" i="2" s="1"/>
  <c r="AA311" i="2" s="1"/>
  <c r="AB311" i="2" s="1"/>
  <c r="AC311" i="2" s="1"/>
  <c r="AC313" i="2" s="1"/>
  <c r="AC315" i="2" s="1"/>
  <c r="AC345" i="2" s="1"/>
  <c r="AD15" i="2"/>
  <c r="AD1397" i="2"/>
  <c r="AD1399" i="2" s="1"/>
  <c r="AH39" i="9"/>
  <c r="J303" i="11"/>
  <c r="J302" i="11"/>
  <c r="I322" i="11"/>
  <c r="K273" i="11"/>
  <c r="K332" i="11" s="1"/>
  <c r="K246" i="11"/>
  <c r="K305" i="11" s="1"/>
  <c r="K245" i="11"/>
  <c r="K304" i="11" s="1"/>
  <c r="I312" i="11"/>
  <c r="K138" i="11"/>
  <c r="K197" i="11" s="1"/>
  <c r="K148" i="11"/>
  <c r="K207" i="11" s="1"/>
  <c r="K144" i="11"/>
  <c r="K203" i="11" s="1"/>
  <c r="K133" i="11"/>
  <c r="K192" i="11" s="1"/>
  <c r="K162" i="11"/>
  <c r="K228" i="11" s="1"/>
  <c r="K149" i="11"/>
  <c r="K208" i="11" s="1"/>
  <c r="I212" i="11"/>
  <c r="K145" i="11"/>
  <c r="K204" i="11" s="1"/>
  <c r="K165" i="11"/>
  <c r="K231" i="11" s="1"/>
  <c r="K158" i="11"/>
  <c r="K217" i="11" s="1"/>
  <c r="L46" i="11"/>
  <c r="K125" i="11"/>
  <c r="K184" i="11" s="1"/>
  <c r="K252" i="11"/>
  <c r="K311" i="11" s="1"/>
  <c r="K156" i="11"/>
  <c r="K215" i="11" s="1"/>
  <c r="K150" i="11"/>
  <c r="K209" i="11" s="1"/>
  <c r="J315" i="11"/>
  <c r="J308" i="11"/>
  <c r="J305" i="11"/>
  <c r="K272" i="11"/>
  <c r="K331" i="11" s="1"/>
  <c r="L53" i="11"/>
  <c r="L29" i="11"/>
  <c r="L265" i="11" s="1"/>
  <c r="L25" i="11"/>
  <c r="L261" i="11" s="1"/>
  <c r="L14" i="11"/>
  <c r="L250" i="11" s="1"/>
  <c r="K139" i="11"/>
  <c r="K198" i="11" s="1"/>
  <c r="K132" i="11"/>
  <c r="K191" i="11" s="1"/>
  <c r="K130" i="11"/>
  <c r="K189" i="11" s="1"/>
  <c r="K142" i="11"/>
  <c r="K201" i="11" s="1"/>
  <c r="K261" i="11"/>
  <c r="K320" i="11" s="1"/>
  <c r="K160" i="11"/>
  <c r="K226" i="11" s="1"/>
  <c r="K58" i="11"/>
  <c r="L15" i="11"/>
  <c r="L251" i="11" s="1"/>
  <c r="K131" i="11"/>
  <c r="K190" i="11" s="1"/>
  <c r="M6" i="11"/>
  <c r="M55" i="11" s="1"/>
  <c r="K137" i="11"/>
  <c r="K196" i="11" s="1"/>
  <c r="I305" i="11"/>
  <c r="I308" i="11"/>
  <c r="J314" i="11"/>
  <c r="J306" i="11"/>
  <c r="K234" i="11"/>
  <c r="L28" i="11"/>
  <c r="L264" i="11" s="1"/>
  <c r="L52" i="11"/>
  <c r="K136" i="11"/>
  <c r="K195" i="11" s="1"/>
  <c r="L19" i="11"/>
  <c r="L255" i="11" s="1"/>
  <c r="L36" i="11"/>
  <c r="L272" i="11" s="1"/>
  <c r="L48" i="11"/>
  <c r="L7" i="11"/>
  <c r="L243" i="11" s="1"/>
  <c r="L50" i="11"/>
  <c r="L22" i="11"/>
  <c r="L258" i="11" s="1"/>
  <c r="L51" i="11"/>
  <c r="L40" i="11"/>
  <c r="K153" i="11"/>
  <c r="K330" i="11" s="1"/>
  <c r="J322" i="11"/>
  <c r="L47" i="11"/>
  <c r="L54" i="11"/>
  <c r="L16" i="11"/>
  <c r="L252" i="11" s="1"/>
  <c r="L18" i="11"/>
  <c r="L136" i="11" s="1"/>
  <c r="L195" i="11" s="1"/>
  <c r="K147" i="11"/>
  <c r="K324" i="11" s="1"/>
  <c r="L8" i="11"/>
  <c r="L244" i="11" s="1"/>
  <c r="J312" i="11"/>
  <c r="L39" i="11"/>
  <c r="L275" i="11" s="1"/>
  <c r="L43" i="11"/>
  <c r="L37" i="11"/>
  <c r="L155" i="11" s="1"/>
  <c r="L214" i="11" s="1"/>
  <c r="L30" i="11"/>
  <c r="L266" i="11" s="1"/>
  <c r="J320" i="11"/>
  <c r="L32" i="11"/>
  <c r="L268" i="11" s="1"/>
  <c r="L33" i="11"/>
  <c r="L151" i="11" s="1"/>
  <c r="L210" i="11" s="1"/>
  <c r="K135" i="11"/>
  <c r="K312" i="11" s="1"/>
  <c r="I311" i="11"/>
  <c r="L42" i="11"/>
  <c r="L35" i="11"/>
  <c r="L271" i="11" s="1"/>
  <c r="L44" i="11"/>
  <c r="L13" i="11"/>
  <c r="L131" i="11" s="1"/>
  <c r="L190" i="11" s="1"/>
  <c r="K151" i="11"/>
  <c r="K210" i="11" s="1"/>
  <c r="K269" i="11"/>
  <c r="K328" i="11" s="1"/>
  <c r="L21" i="11"/>
  <c r="L257" i="11" s="1"/>
  <c r="L45" i="11"/>
  <c r="L10" i="11"/>
  <c r="L246" i="11" s="1"/>
  <c r="K247" i="11"/>
  <c r="K129" i="11"/>
  <c r="K188" i="11" s="1"/>
  <c r="K161" i="11"/>
  <c r="K227" i="11" s="1"/>
  <c r="K159" i="11"/>
  <c r="K259" i="11"/>
  <c r="K141" i="11"/>
  <c r="K200" i="11" s="1"/>
  <c r="L12" i="11"/>
  <c r="L130" i="11" s="1"/>
  <c r="L189" i="11" s="1"/>
  <c r="L55" i="11"/>
  <c r="K167" i="11"/>
  <c r="K233" i="11" s="1"/>
  <c r="L34" i="11"/>
  <c r="K152" i="11"/>
  <c r="K211" i="11" s="1"/>
  <c r="L49" i="11"/>
  <c r="L285" i="11" s="1"/>
  <c r="L26" i="11"/>
  <c r="L262" i="11" s="1"/>
  <c r="K264" i="11"/>
  <c r="K146" i="11"/>
  <c r="K205" i="11" s="1"/>
  <c r="L9" i="11"/>
  <c r="L127" i="11" s="1"/>
  <c r="L186" i="11" s="1"/>
  <c r="L41" i="11"/>
  <c r="I307" i="11"/>
  <c r="L38" i="11"/>
  <c r="L274" i="11" s="1"/>
  <c r="L20" i="11"/>
  <c r="L256" i="11" s="1"/>
  <c r="L17" i="11"/>
  <c r="L253" i="11" s="1"/>
  <c r="L23" i="11"/>
  <c r="L259" i="11" s="1"/>
  <c r="L56" i="11"/>
  <c r="L31" i="11"/>
  <c r="L267" i="11" s="1"/>
  <c r="K270" i="11"/>
  <c r="K329" i="11" s="1"/>
  <c r="K164" i="11"/>
  <c r="K223" i="11" s="1"/>
  <c r="I313" i="11"/>
  <c r="K166" i="11"/>
  <c r="K232" i="11" s="1"/>
  <c r="L24" i="11"/>
  <c r="L260" i="11" s="1"/>
  <c r="L11" i="11"/>
  <c r="L129" i="11" s="1"/>
  <c r="L188" i="11" s="1"/>
  <c r="I314" i="11"/>
  <c r="K244" i="11"/>
  <c r="K126" i="11"/>
  <c r="K185" i="11" s="1"/>
  <c r="K157" i="11"/>
  <c r="K216" i="11" s="1"/>
  <c r="J176" i="11"/>
  <c r="I309" i="11"/>
  <c r="K317" i="11"/>
  <c r="J316" i="11"/>
  <c r="J317" i="11"/>
  <c r="I315" i="11"/>
  <c r="J309" i="11"/>
  <c r="J307" i="11"/>
  <c r="J294" i="11"/>
  <c r="J319" i="11"/>
  <c r="J311" i="11"/>
  <c r="L263" i="11"/>
  <c r="L145" i="11"/>
  <c r="L204" i="11" s="1"/>
  <c r="I316" i="11"/>
  <c r="J304" i="11"/>
  <c r="I176" i="11"/>
  <c r="I184" i="11"/>
  <c r="J318" i="11"/>
  <c r="I319" i="11"/>
  <c r="I302" i="11"/>
  <c r="I294" i="11"/>
  <c r="P92" i="8" s="1"/>
  <c r="I320" i="11"/>
  <c r="J321" i="11"/>
  <c r="K42" i="9"/>
  <c r="X17" i="2"/>
  <c r="X29" i="2" s="1"/>
  <c r="X45" i="2"/>
  <c r="W17" i="2"/>
  <c r="W36" i="2" s="1"/>
  <c r="W45" i="2"/>
  <c r="K17" i="2"/>
  <c r="K45" i="2"/>
  <c r="AC17" i="2"/>
  <c r="AC21" i="2" s="1"/>
  <c r="AC45" i="2"/>
  <c r="I17" i="2"/>
  <c r="I36" i="2" s="1"/>
  <c r="I45" i="2"/>
  <c r="U17" i="2"/>
  <c r="U18" i="2" s="1"/>
  <c r="U45" i="2"/>
  <c r="C142" i="2"/>
  <c r="AG13" i="2"/>
  <c r="AG11" i="2" s="1"/>
  <c r="J45" i="2"/>
  <c r="AD45" i="2"/>
  <c r="R45" i="9" s="1"/>
  <c r="AF13" i="2"/>
  <c r="AF11" i="2" s="1"/>
  <c r="J21" i="9"/>
  <c r="V21" i="9" s="1"/>
  <c r="J27" i="9"/>
  <c r="V27" i="9" s="1"/>
  <c r="J36" i="9"/>
  <c r="V36" i="9" s="1"/>
  <c r="J24" i="9"/>
  <c r="V24" i="9" s="1"/>
  <c r="J42" i="9"/>
  <c r="M36" i="9"/>
  <c r="Y36" i="9" s="1"/>
  <c r="M27" i="9"/>
  <c r="Y27" i="9" s="1"/>
  <c r="M21" i="9"/>
  <c r="Y21" i="9" s="1"/>
  <c r="M33" i="9"/>
  <c r="Y33" i="9" s="1"/>
  <c r="M24" i="9"/>
  <c r="Y24" i="9" s="1"/>
  <c r="G30" i="9"/>
  <c r="L36" i="9"/>
  <c r="X36" i="9" s="1"/>
  <c r="L27" i="9"/>
  <c r="X27" i="9" s="1"/>
  <c r="L21" i="9"/>
  <c r="X21" i="9" s="1"/>
  <c r="L24" i="9"/>
  <c r="X24" i="9" s="1"/>
  <c r="L33" i="9"/>
  <c r="X33" i="9" s="1"/>
  <c r="O30" i="9"/>
  <c r="O42" i="9"/>
  <c r="P36" i="9"/>
  <c r="AB36" i="9" s="1"/>
  <c r="P27" i="9"/>
  <c r="AB27" i="9" s="1"/>
  <c r="P21" i="9"/>
  <c r="AB21" i="9" s="1"/>
  <c r="P33" i="9"/>
  <c r="AB33" i="9" s="1"/>
  <c r="P24" i="9"/>
  <c r="AB24" i="9" s="1"/>
  <c r="Q36" i="9"/>
  <c r="AC36" i="9" s="1"/>
  <c r="Q27" i="9"/>
  <c r="AC27" i="9" s="1"/>
  <c r="Q21" i="9"/>
  <c r="AC21" i="9" s="1"/>
  <c r="Q33" i="9"/>
  <c r="AC33" i="9" s="1"/>
  <c r="Q24" i="9"/>
  <c r="AC24" i="9" s="1"/>
  <c r="N36" i="9"/>
  <c r="Z36" i="9" s="1"/>
  <c r="N27" i="9"/>
  <c r="Z27" i="9" s="1"/>
  <c r="N21" i="9"/>
  <c r="Z21" i="9" s="1"/>
  <c r="N24" i="9"/>
  <c r="Z24" i="9" s="1"/>
  <c r="N33" i="9"/>
  <c r="Z33" i="9" s="1"/>
  <c r="I33" i="9"/>
  <c r="U33" i="9" s="1"/>
  <c r="I24" i="9"/>
  <c r="U24" i="9" s="1"/>
  <c r="I36" i="9"/>
  <c r="U36" i="9" s="1"/>
  <c r="I27" i="9"/>
  <c r="U27" i="9" s="1"/>
  <c r="I21" i="9"/>
  <c r="U21" i="9" s="1"/>
  <c r="H33" i="9"/>
  <c r="T33" i="9" s="1"/>
  <c r="H24" i="9"/>
  <c r="T24" i="9" s="1"/>
  <c r="H36" i="9"/>
  <c r="T36" i="9" s="1"/>
  <c r="H27" i="9"/>
  <c r="T27" i="9" s="1"/>
  <c r="H21" i="9"/>
  <c r="T21" i="9" s="1"/>
  <c r="K61" i="8"/>
  <c r="K54" i="8"/>
  <c r="E62" i="8"/>
  <c r="F39" i="8"/>
  <c r="F53" i="8"/>
  <c r="O54" i="8"/>
  <c r="O61" i="8"/>
  <c r="J54" i="8"/>
  <c r="J61" i="8"/>
  <c r="G39" i="8"/>
  <c r="G53" i="8"/>
  <c r="Q64" i="1"/>
  <c r="E64" i="8" s="1"/>
  <c r="E66" i="8" s="1"/>
  <c r="P110" i="1"/>
  <c r="P64" i="1"/>
  <c r="D64" i="8" s="1"/>
  <c r="Q110" i="1"/>
  <c r="K64" i="1"/>
  <c r="V110" i="1"/>
  <c r="AA64" i="1"/>
  <c r="O64" i="8" s="1"/>
  <c r="S110" i="1"/>
  <c r="L64" i="1"/>
  <c r="U110" i="1"/>
  <c r="J64" i="1"/>
  <c r="AC64" i="1" s="1"/>
  <c r="AC64" i="8" s="1"/>
  <c r="W110" i="1"/>
  <c r="N64" i="1"/>
  <c r="R110" i="1"/>
  <c r="W64" i="1"/>
  <c r="K64" i="8" s="1"/>
  <c r="H110" i="1"/>
  <c r="V64" i="1"/>
  <c r="J64" i="8" s="1"/>
  <c r="I110" i="1"/>
  <c r="S64" i="1"/>
  <c r="G64" i="8" s="1"/>
  <c r="U64" i="1"/>
  <c r="I64" i="8" s="1"/>
  <c r="M110" i="1"/>
  <c r="R64" i="1"/>
  <c r="F64" i="8" s="1"/>
  <c r="G124" i="2"/>
  <c r="G136" i="2"/>
  <c r="G127" i="2"/>
  <c r="G121" i="2"/>
  <c r="AA245" i="2"/>
  <c r="G142" i="2"/>
  <c r="Q1427" i="2"/>
  <c r="O1427" i="2"/>
  <c r="Y1427" i="2"/>
  <c r="G245" i="2"/>
  <c r="O245" i="2"/>
  <c r="O594" i="2"/>
  <c r="Q245" i="2"/>
  <c r="G937" i="2"/>
  <c r="H1427" i="2"/>
  <c r="AB1427" i="2"/>
  <c r="S245" i="2"/>
  <c r="T245" i="2"/>
  <c r="G986" i="2"/>
  <c r="U245" i="2"/>
  <c r="K1427" i="2"/>
  <c r="G95" i="2"/>
  <c r="G594" i="2"/>
  <c r="AA594" i="2"/>
  <c r="G1476" i="2"/>
  <c r="G145" i="2"/>
  <c r="W245" i="2"/>
  <c r="H594" i="2"/>
  <c r="AB594" i="2"/>
  <c r="G1084" i="2"/>
  <c r="X245" i="2"/>
  <c r="AD1084" i="2"/>
  <c r="N1427" i="2"/>
  <c r="J594" i="2"/>
  <c r="AD594" i="2"/>
  <c r="G1133" i="2"/>
  <c r="Z245" i="2"/>
  <c r="K594" i="2"/>
  <c r="G643" i="2"/>
  <c r="H1133" i="2"/>
  <c r="G1574" i="2"/>
  <c r="M594" i="2"/>
  <c r="R1427" i="2"/>
  <c r="I245" i="2"/>
  <c r="AC245" i="2"/>
  <c r="N594" i="2"/>
  <c r="L245" i="2"/>
  <c r="Q594" i="2"/>
  <c r="G790" i="2"/>
  <c r="AD643" i="2"/>
  <c r="G345" i="2"/>
  <c r="R594" i="2"/>
  <c r="G1329" i="2"/>
  <c r="N245" i="2"/>
  <c r="G839" i="2"/>
  <c r="AA17" i="2"/>
  <c r="I29" i="2"/>
  <c r="I21" i="2"/>
  <c r="M17" i="2"/>
  <c r="Q17" i="2"/>
  <c r="Z17" i="2"/>
  <c r="G17" i="2"/>
  <c r="R17" i="2"/>
  <c r="Y17" i="2"/>
  <c r="T17" i="2"/>
  <c r="V17" i="2"/>
  <c r="AC36" i="2"/>
  <c r="AC18" i="2"/>
  <c r="AC24" i="2"/>
  <c r="AC29" i="2"/>
  <c r="AC27" i="2"/>
  <c r="AC33" i="2"/>
  <c r="J24" i="2"/>
  <c r="J27" i="2"/>
  <c r="J29" i="2"/>
  <c r="J21" i="2"/>
  <c r="J36" i="2"/>
  <c r="J33" i="2"/>
  <c r="N17" i="2"/>
  <c r="K27" i="2"/>
  <c r="K33" i="2"/>
  <c r="K21" i="2"/>
  <c r="K29" i="2"/>
  <c r="K30" i="2" s="1"/>
  <c r="K24" i="2"/>
  <c r="K36" i="2"/>
  <c r="O17" i="2"/>
  <c r="P17" i="2"/>
  <c r="W18" i="2"/>
  <c r="W27" i="2"/>
  <c r="W33" i="2"/>
  <c r="W24" i="2"/>
  <c r="W29" i="2"/>
  <c r="W30" i="2" s="1"/>
  <c r="W21" i="2"/>
  <c r="AB17" i="2"/>
  <c r="S15" i="2"/>
  <c r="S45" i="2" s="1"/>
  <c r="X33" i="2"/>
  <c r="X21" i="2"/>
  <c r="H17" i="2"/>
  <c r="L15" i="2"/>
  <c r="X24" i="2"/>
  <c r="AG39" i="2"/>
  <c r="AD762" i="2"/>
  <c r="AD772" i="2" s="1"/>
  <c r="U1399" i="2"/>
  <c r="U1403" i="2" s="1"/>
  <c r="AD909" i="2"/>
  <c r="AD925" i="2" s="1"/>
  <c r="X566" i="2"/>
  <c r="X573" i="2" s="1"/>
  <c r="G1252" i="2"/>
  <c r="G1256" i="2" s="1"/>
  <c r="J217" i="2"/>
  <c r="J236" i="2" s="1"/>
  <c r="AD217" i="2"/>
  <c r="AD236" i="2" s="1"/>
  <c r="G467" i="2"/>
  <c r="G483" i="2" s="1"/>
  <c r="Y566" i="2"/>
  <c r="K217" i="2"/>
  <c r="AD467" i="2"/>
  <c r="AD471" i="2" s="1"/>
  <c r="U566" i="2"/>
  <c r="U573" i="2" s="1"/>
  <c r="G1154" i="2"/>
  <c r="G1158" i="2" s="1"/>
  <c r="AD1007" i="2"/>
  <c r="G517" i="2"/>
  <c r="G521" i="2" s="1"/>
  <c r="Z566" i="2"/>
  <c r="Z573" i="2" s="1"/>
  <c r="Z1399" i="2"/>
  <c r="Z1418" i="2" s="1"/>
  <c r="G1399" i="2"/>
  <c r="G1403" i="2" s="1"/>
  <c r="AA1399" i="2"/>
  <c r="AA1406" i="2" s="1"/>
  <c r="M217" i="2"/>
  <c r="M221" i="2" s="1"/>
  <c r="V217" i="2"/>
  <c r="V233" i="2" s="1"/>
  <c r="V566" i="2"/>
  <c r="V585" i="2" s="1"/>
  <c r="H217" i="2"/>
  <c r="H236" i="2" s="1"/>
  <c r="G417" i="2"/>
  <c r="G424" i="2" s="1"/>
  <c r="X1399" i="2"/>
  <c r="X1409" i="2" s="1"/>
  <c r="G1350" i="2"/>
  <c r="G1362" i="2" s="1"/>
  <c r="I1399" i="2"/>
  <c r="I1418" i="2" s="1"/>
  <c r="AD367" i="2"/>
  <c r="AD371" i="2" s="1"/>
  <c r="I566" i="2"/>
  <c r="I573" i="2" s="1"/>
  <c r="J570" i="2"/>
  <c r="AD573" i="2"/>
  <c r="J1399" i="2"/>
  <c r="J1406" i="2" s="1"/>
  <c r="P217" i="2"/>
  <c r="P233" i="2" s="1"/>
  <c r="AC566" i="2"/>
  <c r="AC570" i="2" s="1"/>
  <c r="AC1399" i="2"/>
  <c r="AC1415" i="2" s="1"/>
  <c r="AD167" i="2"/>
  <c r="AD177" i="2" s="1"/>
  <c r="L566" i="2"/>
  <c r="L576" i="2" s="1"/>
  <c r="G664" i="2"/>
  <c r="G671" i="2" s="1"/>
  <c r="L1399" i="2"/>
  <c r="L1415" i="2" s="1"/>
  <c r="G1497" i="2"/>
  <c r="G1501" i="2" s="1"/>
  <c r="R217" i="2"/>
  <c r="R229" i="2" s="1"/>
  <c r="M570" i="2"/>
  <c r="G713" i="2"/>
  <c r="G717" i="2" s="1"/>
  <c r="M1399" i="2"/>
  <c r="M1403" i="2" s="1"/>
  <c r="G1550" i="2"/>
  <c r="P566" i="2"/>
  <c r="P582" i="2" s="1"/>
  <c r="H664" i="2"/>
  <c r="H680" i="2" s="1"/>
  <c r="G167" i="2"/>
  <c r="G183" i="2" s="1"/>
  <c r="G1007" i="2"/>
  <c r="G1014" i="2" s="1"/>
  <c r="S1399" i="2"/>
  <c r="S1409" i="2" s="1"/>
  <c r="Y217" i="2"/>
  <c r="Y236" i="2" s="1"/>
  <c r="H713" i="2"/>
  <c r="H732" i="2" s="1"/>
  <c r="T566" i="2"/>
  <c r="T582" i="2" s="1"/>
  <c r="G1060" i="2"/>
  <c r="T1399" i="2"/>
  <c r="T1418" i="2" s="1"/>
  <c r="Z221" i="2"/>
  <c r="P1399" i="2"/>
  <c r="P1411" i="2" s="1"/>
  <c r="G860" i="2"/>
  <c r="G867" i="2" s="1"/>
  <c r="G267" i="2"/>
  <c r="G274" i="2" s="1"/>
  <c r="V1399" i="2"/>
  <c r="V1415" i="2" s="1"/>
  <c r="AB217" i="2"/>
  <c r="AB227" i="2" s="1"/>
  <c r="AD860" i="2"/>
  <c r="AD864" i="2" s="1"/>
  <c r="G367" i="2"/>
  <c r="G386" i="2" s="1"/>
  <c r="W566" i="2"/>
  <c r="W578" i="2" s="1"/>
  <c r="G1203" i="2"/>
  <c r="G1215" i="2" s="1"/>
  <c r="W1399" i="2"/>
  <c r="W1411" i="2" s="1"/>
  <c r="AC224" i="2"/>
  <c r="AA570" i="2"/>
  <c r="AB578" i="2"/>
  <c r="AD1060" i="2"/>
  <c r="H1112" i="2"/>
  <c r="AB1409" i="2"/>
  <c r="N224" i="2"/>
  <c r="G766" i="2"/>
  <c r="N1403" i="2"/>
  <c r="T224" i="2"/>
  <c r="G71" i="2"/>
  <c r="G815" i="2"/>
  <c r="U224" i="2"/>
  <c r="G1112" i="2"/>
  <c r="G221" i="2"/>
  <c r="AA236" i="2"/>
  <c r="G1308" i="2"/>
  <c r="Y1406" i="2"/>
  <c r="O578" i="2"/>
  <c r="O1403" i="2"/>
  <c r="L229" i="2"/>
  <c r="S227" i="2"/>
  <c r="G962" i="2"/>
  <c r="N1415" i="2"/>
  <c r="M585" i="2"/>
  <c r="N585" i="2"/>
  <c r="G634" i="2"/>
  <c r="O236" i="2"/>
  <c r="N236" i="2"/>
  <c r="W236" i="2"/>
  <c r="W233" i="2"/>
  <c r="O1415" i="2"/>
  <c r="O1418" i="2"/>
  <c r="G1467" i="2"/>
  <c r="X233" i="2"/>
  <c r="X236" i="2"/>
  <c r="O585" i="2"/>
  <c r="G781" i="2"/>
  <c r="R1415" i="2"/>
  <c r="G928" i="2"/>
  <c r="Q1418" i="2"/>
  <c r="Z233" i="2"/>
  <c r="Y1415" i="2"/>
  <c r="Z236" i="2"/>
  <c r="Q585" i="2"/>
  <c r="AD634" i="2"/>
  <c r="G1075" i="2"/>
  <c r="R1418" i="2"/>
  <c r="AA233" i="2"/>
  <c r="G236" i="2"/>
  <c r="R585" i="2"/>
  <c r="AC233" i="2"/>
  <c r="G1464" i="2"/>
  <c r="I236" i="2"/>
  <c r="AC236" i="2"/>
  <c r="AD1075" i="2"/>
  <c r="G1072" i="2"/>
  <c r="G830" i="2"/>
  <c r="G1121" i="2"/>
  <c r="L236" i="2"/>
  <c r="G977" i="2"/>
  <c r="G86" i="2"/>
  <c r="G1124" i="2"/>
  <c r="Y1418" i="2"/>
  <c r="H1124" i="2"/>
  <c r="H1409" i="2"/>
  <c r="G233" i="2"/>
  <c r="G585" i="2"/>
  <c r="AA585" i="2"/>
  <c r="H1418" i="2"/>
  <c r="AB1418" i="2"/>
  <c r="G1565" i="2"/>
  <c r="I233" i="2"/>
  <c r="Q236" i="2"/>
  <c r="H585" i="2"/>
  <c r="AB585" i="2"/>
  <c r="G631" i="2"/>
  <c r="S236" i="2"/>
  <c r="J585" i="2"/>
  <c r="AD585" i="2"/>
  <c r="K1418" i="2"/>
  <c r="Q233" i="2"/>
  <c r="T236" i="2"/>
  <c r="K585" i="2"/>
  <c r="U236" i="2"/>
  <c r="G336" i="2"/>
  <c r="G1320" i="2"/>
  <c r="G925" i="2"/>
  <c r="Q1415" i="2"/>
  <c r="AD631" i="2"/>
  <c r="N582" i="2"/>
  <c r="Q582" i="2"/>
  <c r="R582" i="2"/>
  <c r="M582" i="2"/>
  <c r="AD1072" i="2"/>
  <c r="O582" i="2"/>
  <c r="G778" i="2"/>
  <c r="G827" i="2"/>
  <c r="L233" i="2"/>
  <c r="G974" i="2"/>
  <c r="G83" i="2"/>
  <c r="N233" i="2"/>
  <c r="H1121" i="2"/>
  <c r="O233" i="2"/>
  <c r="M576" i="2"/>
  <c r="G582" i="2"/>
  <c r="AA582" i="2"/>
  <c r="H1415" i="2"/>
  <c r="AB1415" i="2"/>
  <c r="G1562" i="2"/>
  <c r="H582" i="2"/>
  <c r="AB582" i="2"/>
  <c r="S233" i="2"/>
  <c r="J582" i="2"/>
  <c r="AD582" i="2"/>
  <c r="K1415" i="2"/>
  <c r="T233" i="2"/>
  <c r="K582" i="2"/>
  <c r="U233" i="2"/>
  <c r="G333" i="2"/>
  <c r="G1317" i="2"/>
  <c r="O221" i="2"/>
  <c r="AA218" i="2"/>
  <c r="O1411" i="2"/>
  <c r="G79" i="2"/>
  <c r="O229" i="2"/>
  <c r="Q229" i="2"/>
  <c r="X229" i="2"/>
  <c r="M578" i="2"/>
  <c r="M573" i="2"/>
  <c r="G823" i="2"/>
  <c r="O227" i="2"/>
  <c r="G921" i="2"/>
  <c r="U227" i="2"/>
  <c r="N229" i="2"/>
  <c r="W227" i="2"/>
  <c r="K1411" i="2"/>
  <c r="S229" i="2"/>
  <c r="H1115" i="2"/>
  <c r="U229" i="2"/>
  <c r="W229" i="2"/>
  <c r="Y1411" i="2"/>
  <c r="S224" i="2"/>
  <c r="K578" i="2"/>
  <c r="N578" i="2"/>
  <c r="N221" i="2"/>
  <c r="H1109" i="2"/>
  <c r="G77" i="2"/>
  <c r="G1556" i="2"/>
  <c r="G627" i="2"/>
  <c r="G573" i="2"/>
  <c r="G821" i="2"/>
  <c r="N1409" i="2"/>
  <c r="Z229" i="2"/>
  <c r="AD627" i="2"/>
  <c r="H573" i="2"/>
  <c r="O1409" i="2"/>
  <c r="G229" i="2"/>
  <c r="G241" i="2" s="1"/>
  <c r="G242" i="2" s="1"/>
  <c r="AA229" i="2"/>
  <c r="Q578" i="2"/>
  <c r="H1411" i="2"/>
  <c r="AB1411" i="2"/>
  <c r="R578" i="2"/>
  <c r="Q573" i="2"/>
  <c r="AB1406" i="2"/>
  <c r="I229" i="2"/>
  <c r="AC229" i="2"/>
  <c r="AA573" i="2"/>
  <c r="G970" i="2"/>
  <c r="AB573" i="2"/>
  <c r="G968" i="2"/>
  <c r="G1458" i="2"/>
  <c r="G576" i="2"/>
  <c r="G1460" i="2"/>
  <c r="AA567" i="2"/>
  <c r="G74" i="2"/>
  <c r="H576" i="2"/>
  <c r="G774" i="2"/>
  <c r="N1411" i="2"/>
  <c r="G329" i="2"/>
  <c r="N576" i="2"/>
  <c r="Q1411" i="2"/>
  <c r="AA576" i="2"/>
  <c r="AA578" i="2"/>
  <c r="R1411" i="2"/>
  <c r="G578" i="2"/>
  <c r="N227" i="2"/>
  <c r="AB576" i="2"/>
  <c r="H578" i="2"/>
  <c r="H590" i="2" s="1"/>
  <c r="H591" i="2" s="1"/>
  <c r="G1068" i="2"/>
  <c r="G1313" i="2"/>
  <c r="T229" i="2"/>
  <c r="J578" i="2"/>
  <c r="AD578" i="2"/>
  <c r="G1558" i="2"/>
  <c r="G1109" i="2"/>
  <c r="AD1068" i="2"/>
  <c r="G1117" i="2"/>
  <c r="H1117" i="2"/>
  <c r="L221" i="2"/>
  <c r="L227" i="2"/>
  <c r="X227" i="2"/>
  <c r="O576" i="2"/>
  <c r="G772" i="2"/>
  <c r="H1406" i="2"/>
  <c r="G919" i="2"/>
  <c r="Q1409" i="2"/>
  <c r="Z227" i="2"/>
  <c r="AD625" i="2"/>
  <c r="G1066" i="2"/>
  <c r="R1409" i="2"/>
  <c r="G227" i="2"/>
  <c r="AA227" i="2"/>
  <c r="R576" i="2"/>
  <c r="G625" i="2"/>
  <c r="I227" i="2"/>
  <c r="AC227" i="2"/>
  <c r="AD1066" i="2"/>
  <c r="G1115" i="2"/>
  <c r="Y1409" i="2"/>
  <c r="G1063" i="2"/>
  <c r="Q227" i="2"/>
  <c r="Q221" i="2"/>
  <c r="J576" i="2"/>
  <c r="AD576" i="2"/>
  <c r="K1409" i="2"/>
  <c r="T227" i="2"/>
  <c r="K576" i="2"/>
  <c r="G327" i="2"/>
  <c r="G1311" i="2"/>
  <c r="N573" i="2"/>
  <c r="G622" i="2"/>
  <c r="O1406" i="2"/>
  <c r="X224" i="2"/>
  <c r="O573" i="2"/>
  <c r="G769" i="2"/>
  <c r="S218" i="2"/>
  <c r="Y1403" i="2"/>
  <c r="G916" i="2"/>
  <c r="Q1406" i="2"/>
  <c r="N1406" i="2"/>
  <c r="Z224" i="2"/>
  <c r="AD622" i="2"/>
  <c r="R1406" i="2"/>
  <c r="G1455" i="2"/>
  <c r="G224" i="2"/>
  <c r="AA224" i="2"/>
  <c r="R573" i="2"/>
  <c r="I224" i="2"/>
  <c r="AD1063" i="2"/>
  <c r="G818" i="2"/>
  <c r="L224" i="2"/>
  <c r="G965" i="2"/>
  <c r="V1493" i="2"/>
  <c r="V1495" i="2" s="1"/>
  <c r="V1525" i="2" s="1"/>
  <c r="G1553" i="2"/>
  <c r="J573" i="2"/>
  <c r="K1406" i="2"/>
  <c r="Z218" i="2"/>
  <c r="G1305" i="2"/>
  <c r="K573" i="2"/>
  <c r="G324" i="2"/>
  <c r="AC218" i="2"/>
  <c r="AC221" i="2"/>
  <c r="U218" i="2"/>
  <c r="U221" i="2"/>
  <c r="W221" i="2"/>
  <c r="O570" i="2"/>
  <c r="AD567" i="2"/>
  <c r="Q570" i="2"/>
  <c r="AA221" i="2"/>
  <c r="X611" i="2"/>
  <c r="X613" i="2" s="1"/>
  <c r="X643" i="2" s="1"/>
  <c r="Z611" i="2"/>
  <c r="Z613" i="2" s="1"/>
  <c r="Z643" i="2" s="1"/>
  <c r="AB1403" i="2"/>
  <c r="X218" i="2"/>
  <c r="AB570" i="2"/>
  <c r="S221" i="2"/>
  <c r="AD570" i="2"/>
  <c r="T221" i="2"/>
  <c r="AB463" i="2"/>
  <c r="AB465" i="2" s="1"/>
  <c r="AB495" i="2" s="1"/>
  <c r="R463" i="2"/>
  <c r="R465" i="2" s="1"/>
  <c r="R495" i="2" s="1"/>
  <c r="Z463" i="2"/>
  <c r="Z465" i="2" s="1"/>
  <c r="Z495" i="2" s="1"/>
  <c r="H1150" i="2"/>
  <c r="H1152" i="2" s="1"/>
  <c r="H1182" i="2" s="1"/>
  <c r="T1150" i="2"/>
  <c r="T1152" i="2" s="1"/>
  <c r="T1182" i="2" s="1"/>
  <c r="Y611" i="2"/>
  <c r="Y613" i="2" s="1"/>
  <c r="Y643" i="2" s="1"/>
  <c r="X1248" i="2"/>
  <c r="X1250" i="2" s="1"/>
  <c r="X1280" i="2" s="1"/>
  <c r="I758" i="2"/>
  <c r="I760" i="2" s="1"/>
  <c r="I790" i="2" s="1"/>
  <c r="L413" i="2"/>
  <c r="L415" i="2" s="1"/>
  <c r="L445" i="2" s="1"/>
  <c r="L758" i="2"/>
  <c r="L760" i="2" s="1"/>
  <c r="L790" i="2" s="1"/>
  <c r="AA413" i="2"/>
  <c r="AA415" i="2" s="1"/>
  <c r="AA445" i="2" s="1"/>
  <c r="R1199" i="2"/>
  <c r="R1201" i="2" s="1"/>
  <c r="R1231" i="2" s="1"/>
  <c r="R807" i="2"/>
  <c r="R809" i="2" s="1"/>
  <c r="R839" i="2" s="1"/>
  <c r="W1199" i="2"/>
  <c r="W1201" i="2" s="1"/>
  <c r="W1231" i="2" s="1"/>
  <c r="P1542" i="2"/>
  <c r="P1544" i="2" s="1"/>
  <c r="P1574" i="2" s="1"/>
  <c r="S1199" i="2"/>
  <c r="S1201" i="2" s="1"/>
  <c r="S1231" i="2" s="1"/>
  <c r="T807" i="2"/>
  <c r="T809" i="2" s="1"/>
  <c r="T839" i="2" s="1"/>
  <c r="AB1199" i="2"/>
  <c r="AB1201" i="2" s="1"/>
  <c r="AB1231" i="2" s="1"/>
  <c r="AC1199" i="2"/>
  <c r="AC1201" i="2" s="1"/>
  <c r="AC1231" i="2" s="1"/>
  <c r="I807" i="2"/>
  <c r="I809" i="2" s="1"/>
  <c r="I839" i="2" s="1"/>
  <c r="AF1246" i="2"/>
  <c r="U1248" i="2"/>
  <c r="U1250" i="2" s="1"/>
  <c r="U1280" i="2" s="1"/>
  <c r="V1248" i="2"/>
  <c r="V1250" i="2" s="1"/>
  <c r="V1280" i="2" s="1"/>
  <c r="U1003" i="2"/>
  <c r="U1005" i="2" s="1"/>
  <c r="U1035" i="2" s="1"/>
  <c r="W413" i="2"/>
  <c r="W415" i="2" s="1"/>
  <c r="W445" i="2" s="1"/>
  <c r="M1150" i="2"/>
  <c r="M1152" i="2" s="1"/>
  <c r="M1182" i="2" s="1"/>
  <c r="AG564" i="2"/>
  <c r="U1150" i="2"/>
  <c r="U1152" i="2" s="1"/>
  <c r="U1182" i="2" s="1"/>
  <c r="S566" i="2"/>
  <c r="I1444" i="2"/>
  <c r="I1446" i="2" s="1"/>
  <c r="I1476" i="2" s="1"/>
  <c r="S463" i="2"/>
  <c r="S465" i="2" s="1"/>
  <c r="S495" i="2" s="1"/>
  <c r="V758" i="2"/>
  <c r="V760" i="2" s="1"/>
  <c r="V790" i="2" s="1"/>
  <c r="H1199" i="2"/>
  <c r="H1201" i="2" s="1"/>
  <c r="H1231" i="2" s="1"/>
  <c r="P1444" i="2"/>
  <c r="P1446" i="2" s="1"/>
  <c r="P1476" i="2" s="1"/>
  <c r="W463" i="2"/>
  <c r="W465" i="2" s="1"/>
  <c r="W495" i="2" s="1"/>
  <c r="X758" i="2"/>
  <c r="X760" i="2" s="1"/>
  <c r="X790" i="2" s="1"/>
  <c r="I1199" i="2"/>
  <c r="I1201" i="2" s="1"/>
  <c r="I1231" i="2" s="1"/>
  <c r="Y463" i="2"/>
  <c r="Y465" i="2" s="1"/>
  <c r="Y495" i="2" s="1"/>
  <c r="Y758" i="2"/>
  <c r="Y760" i="2" s="1"/>
  <c r="Y790" i="2" s="1"/>
  <c r="P1199" i="2"/>
  <c r="P1201" i="2" s="1"/>
  <c r="P1231" i="2" s="1"/>
  <c r="AF564" i="2"/>
  <c r="AF1397" i="2"/>
  <c r="M363" i="2"/>
  <c r="M365" i="2" s="1"/>
  <c r="M395" i="2" s="1"/>
  <c r="M758" i="2"/>
  <c r="M760" i="2" s="1"/>
  <c r="M790" i="2" s="1"/>
  <c r="I1052" i="2"/>
  <c r="I1054" i="2" s="1"/>
  <c r="I1084" i="2" s="1"/>
  <c r="V1150" i="2"/>
  <c r="V1152" i="2" s="1"/>
  <c r="V1182" i="2" s="1"/>
  <c r="I1248" i="2"/>
  <c r="I1250" i="2" s="1"/>
  <c r="I1280" i="2" s="1"/>
  <c r="R1444" i="2"/>
  <c r="R1446" i="2" s="1"/>
  <c r="R1476" i="2" s="1"/>
  <c r="Q1444" i="2"/>
  <c r="Q1446" i="2" s="1"/>
  <c r="Q1476" i="2" s="1"/>
  <c r="N363" i="2"/>
  <c r="N365" i="2" s="1"/>
  <c r="N395" i="2" s="1"/>
  <c r="K611" i="2"/>
  <c r="K613" i="2" s="1"/>
  <c r="K643" i="2" s="1"/>
  <c r="N758" i="2"/>
  <c r="N760" i="2" s="1"/>
  <c r="N790" i="2" s="1"/>
  <c r="I856" i="2"/>
  <c r="I858" i="2" s="1"/>
  <c r="I888" i="2" s="1"/>
  <c r="J1052" i="2"/>
  <c r="J1054" i="2" s="1"/>
  <c r="J1084" i="2" s="1"/>
  <c r="W1150" i="2"/>
  <c r="W1152" i="2" s="1"/>
  <c r="W1182" i="2" s="1"/>
  <c r="L1248" i="2"/>
  <c r="L1250" i="2" s="1"/>
  <c r="L1280" i="2" s="1"/>
  <c r="K1346" i="2"/>
  <c r="K1348" i="2" s="1"/>
  <c r="K1378" i="2" s="1"/>
  <c r="S1444" i="2"/>
  <c r="S1446" i="2" s="1"/>
  <c r="S1476" i="2" s="1"/>
  <c r="AF215" i="2"/>
  <c r="L363" i="2"/>
  <c r="L365" i="2" s="1"/>
  <c r="L395" i="2" s="1"/>
  <c r="H1052" i="2"/>
  <c r="H1054" i="2" s="1"/>
  <c r="H1084" i="2" s="1"/>
  <c r="AF211" i="2"/>
  <c r="H163" i="2"/>
  <c r="H165" i="2" s="1"/>
  <c r="H195" i="2" s="1"/>
  <c r="P363" i="2"/>
  <c r="P365" i="2" s="1"/>
  <c r="P395" i="2" s="1"/>
  <c r="L611" i="2"/>
  <c r="L613" i="2" s="1"/>
  <c r="L643" i="2" s="1"/>
  <c r="O758" i="2"/>
  <c r="O760" i="2" s="1"/>
  <c r="O790" i="2" s="1"/>
  <c r="K856" i="2"/>
  <c r="K858" i="2" s="1"/>
  <c r="K888" i="2" s="1"/>
  <c r="K1052" i="2"/>
  <c r="K1054" i="2" s="1"/>
  <c r="K1084" i="2" s="1"/>
  <c r="AA1150" i="2"/>
  <c r="AA1152" i="2" s="1"/>
  <c r="AA1182" i="2" s="1"/>
  <c r="M1248" i="2"/>
  <c r="M1250" i="2" s="1"/>
  <c r="M1280" i="2" s="1"/>
  <c r="L1346" i="2"/>
  <c r="L1348" i="2" s="1"/>
  <c r="L1378" i="2" s="1"/>
  <c r="W1444" i="2"/>
  <c r="W1446" i="2" s="1"/>
  <c r="W1476" i="2" s="1"/>
  <c r="AF1295" i="2"/>
  <c r="R1297" i="2"/>
  <c r="R1299" i="2" s="1"/>
  <c r="R1329" i="2" s="1"/>
  <c r="AA163" i="2"/>
  <c r="AA165" i="2" s="1"/>
  <c r="AA195" i="2" s="1"/>
  <c r="Q363" i="2"/>
  <c r="Q365" i="2" s="1"/>
  <c r="Q395" i="2" s="1"/>
  <c r="H463" i="2"/>
  <c r="H465" i="2" s="1"/>
  <c r="H495" i="2" s="1"/>
  <c r="M611" i="2"/>
  <c r="M613" i="2" s="1"/>
  <c r="M643" i="2" s="1"/>
  <c r="Q758" i="2"/>
  <c r="Q760" i="2" s="1"/>
  <c r="Q790" i="2" s="1"/>
  <c r="L856" i="2"/>
  <c r="L858" i="2" s="1"/>
  <c r="L888" i="2" s="1"/>
  <c r="O1052" i="2"/>
  <c r="O1054" i="2" s="1"/>
  <c r="O1084" i="2" s="1"/>
  <c r="AB1150" i="2"/>
  <c r="AB1152" i="2" s="1"/>
  <c r="AB1182" i="2" s="1"/>
  <c r="N1248" i="2"/>
  <c r="N1250" i="2" s="1"/>
  <c r="N1280" i="2" s="1"/>
  <c r="M1346" i="2"/>
  <c r="M1348" i="2" s="1"/>
  <c r="M1378" i="2" s="1"/>
  <c r="X1444" i="2"/>
  <c r="X1446" i="2" s="1"/>
  <c r="X1476" i="2" s="1"/>
  <c r="K363" i="2"/>
  <c r="K365" i="2" s="1"/>
  <c r="K395" i="2" s="1"/>
  <c r="L113" i="2"/>
  <c r="L115" i="2" s="1"/>
  <c r="L145" i="2" s="1"/>
  <c r="T1297" i="2"/>
  <c r="T1299" i="2" s="1"/>
  <c r="T1329" i="2" s="1"/>
  <c r="AF261" i="2"/>
  <c r="X363" i="2"/>
  <c r="X365" i="2" s="1"/>
  <c r="X395" i="2" s="1"/>
  <c r="I463" i="2"/>
  <c r="I465" i="2" s="1"/>
  <c r="I495" i="2" s="1"/>
  <c r="N611" i="2"/>
  <c r="N613" i="2" s="1"/>
  <c r="N643" i="2" s="1"/>
  <c r="S758" i="2"/>
  <c r="S760" i="2" s="1"/>
  <c r="S790" i="2" s="1"/>
  <c r="M856" i="2"/>
  <c r="M858" i="2" s="1"/>
  <c r="M888" i="2" s="1"/>
  <c r="P1052" i="2"/>
  <c r="P1054" i="2" s="1"/>
  <c r="P1084" i="2" s="1"/>
  <c r="AC1150" i="2"/>
  <c r="AC1152" i="2" s="1"/>
  <c r="AC1182" i="2" s="1"/>
  <c r="O1248" i="2"/>
  <c r="O1250" i="2" s="1"/>
  <c r="O1280" i="2" s="1"/>
  <c r="N1346" i="2"/>
  <c r="N1348" i="2" s="1"/>
  <c r="N1378" i="2" s="1"/>
  <c r="Y1444" i="2"/>
  <c r="Y1446" i="2" s="1"/>
  <c r="Y1476" i="2" s="1"/>
  <c r="AB413" i="2"/>
  <c r="AB415" i="2" s="1"/>
  <c r="AB445" i="2" s="1"/>
  <c r="I707" i="2"/>
  <c r="I709" i="2" s="1"/>
  <c r="AF311" i="2"/>
  <c r="Y363" i="2"/>
  <c r="Y365" i="2" s="1"/>
  <c r="Y395" i="2" s="1"/>
  <c r="P463" i="2"/>
  <c r="P465" i="2" s="1"/>
  <c r="P495" i="2" s="1"/>
  <c r="P611" i="2"/>
  <c r="P613" i="2" s="1"/>
  <c r="P643" i="2" s="1"/>
  <c r="T758" i="2"/>
  <c r="T760" i="2" s="1"/>
  <c r="T790" i="2" s="1"/>
  <c r="N856" i="2"/>
  <c r="N858" i="2" s="1"/>
  <c r="N888" i="2" s="1"/>
  <c r="Q1052" i="2"/>
  <c r="Q1054" i="2" s="1"/>
  <c r="Q1084" i="2" s="1"/>
  <c r="S1248" i="2"/>
  <c r="S1250" i="2" s="1"/>
  <c r="S1280" i="2" s="1"/>
  <c r="P1346" i="2"/>
  <c r="P1348" i="2" s="1"/>
  <c r="P1378" i="2" s="1"/>
  <c r="Z1444" i="2"/>
  <c r="Z1446" i="2" s="1"/>
  <c r="Z1476" i="2" s="1"/>
  <c r="Z363" i="2"/>
  <c r="Z365" i="2" s="1"/>
  <c r="Z395" i="2" s="1"/>
  <c r="Q463" i="2"/>
  <c r="Q465" i="2" s="1"/>
  <c r="Q495" i="2" s="1"/>
  <c r="Q611" i="2"/>
  <c r="Q613" i="2" s="1"/>
  <c r="Q643" i="2" s="1"/>
  <c r="U758" i="2"/>
  <c r="U760" i="2" s="1"/>
  <c r="U790" i="2" s="1"/>
  <c r="P856" i="2"/>
  <c r="P858" i="2" s="1"/>
  <c r="P888" i="2" s="1"/>
  <c r="R1052" i="2"/>
  <c r="R1054" i="2" s="1"/>
  <c r="R1084" i="2" s="1"/>
  <c r="T1248" i="2"/>
  <c r="T1250" i="2" s="1"/>
  <c r="T1280" i="2" s="1"/>
  <c r="Q1346" i="2"/>
  <c r="Q1348" i="2" s="1"/>
  <c r="Q1378" i="2" s="1"/>
  <c r="AB1444" i="2"/>
  <c r="AB1446" i="2" s="1"/>
  <c r="AB1476" i="2" s="1"/>
  <c r="AA363" i="2"/>
  <c r="AA365" i="2" s="1"/>
  <c r="AA395" i="2" s="1"/>
  <c r="Q856" i="2"/>
  <c r="Q858" i="2" s="1"/>
  <c r="Q888" i="2" s="1"/>
  <c r="T1052" i="2"/>
  <c r="T1054" i="2" s="1"/>
  <c r="T1084" i="2" s="1"/>
  <c r="X1346" i="2"/>
  <c r="X1348" i="2" s="1"/>
  <c r="X1378" i="2" s="1"/>
  <c r="AC1444" i="2"/>
  <c r="AC1446" i="2" s="1"/>
  <c r="AC1476" i="2" s="1"/>
  <c r="X856" i="2"/>
  <c r="X858" i="2" s="1"/>
  <c r="X888" i="2" s="1"/>
  <c r="U1052" i="2"/>
  <c r="U1054" i="2" s="1"/>
  <c r="U1084" i="2" s="1"/>
  <c r="Y1346" i="2"/>
  <c r="Y1348" i="2" s="1"/>
  <c r="Y1378" i="2" s="1"/>
  <c r="I313" i="2"/>
  <c r="I315" i="2" s="1"/>
  <c r="I345" i="2" s="1"/>
  <c r="Y856" i="2"/>
  <c r="Y858" i="2" s="1"/>
  <c r="Y888" i="2" s="1"/>
  <c r="Z1346" i="2"/>
  <c r="Z1348" i="2" s="1"/>
  <c r="Z1378" i="2" s="1"/>
  <c r="H413" i="2"/>
  <c r="H415" i="2" s="1"/>
  <c r="H445" i="2" s="1"/>
  <c r="AB1052" i="2"/>
  <c r="AB1054" i="2" s="1"/>
  <c r="AB1084" i="2" s="1"/>
  <c r="AF756" i="2"/>
  <c r="K313" i="2"/>
  <c r="K315" i="2" s="1"/>
  <c r="K345" i="2" s="1"/>
  <c r="I413" i="2"/>
  <c r="I415" i="2" s="1"/>
  <c r="I445" i="2" s="1"/>
  <c r="X463" i="2"/>
  <c r="X465" i="2" s="1"/>
  <c r="X495" i="2" s="1"/>
  <c r="AA611" i="2"/>
  <c r="AA613" i="2" s="1"/>
  <c r="AA643" i="2" s="1"/>
  <c r="Z856" i="2"/>
  <c r="Z858" i="2" s="1"/>
  <c r="Z888" i="2" s="1"/>
  <c r="AC1052" i="2"/>
  <c r="AC1054" i="2" s="1"/>
  <c r="AC1084" i="2" s="1"/>
  <c r="Q1199" i="2"/>
  <c r="Q1201" i="2" s="1"/>
  <c r="Q1231" i="2" s="1"/>
  <c r="Y1248" i="2"/>
  <c r="Y1250" i="2" s="1"/>
  <c r="Y1280" i="2" s="1"/>
  <c r="AA1346" i="2"/>
  <c r="AA1348" i="2" s="1"/>
  <c r="AA1378" i="2" s="1"/>
  <c r="AF805" i="2"/>
  <c r="O313" i="2"/>
  <c r="O315" i="2" s="1"/>
  <c r="O345" i="2" s="1"/>
  <c r="J413" i="2"/>
  <c r="J415" i="2" s="1"/>
  <c r="J445" i="2" s="1"/>
  <c r="H807" i="2"/>
  <c r="H809" i="2" s="1"/>
  <c r="H839" i="2" s="1"/>
  <c r="AA856" i="2"/>
  <c r="AA858" i="2" s="1"/>
  <c r="AA888" i="2" s="1"/>
  <c r="AG1397" i="2"/>
  <c r="Q1297" i="2"/>
  <c r="Q1299" i="2" s="1"/>
  <c r="Q1329" i="2" s="1"/>
  <c r="H1297" i="2"/>
  <c r="H1299" i="2" s="1"/>
  <c r="H1329" i="2" s="1"/>
  <c r="P313" i="2"/>
  <c r="P315" i="2" s="1"/>
  <c r="P345" i="2" s="1"/>
  <c r="AG1050" i="2"/>
  <c r="Q313" i="2"/>
  <c r="Q315" i="2" s="1"/>
  <c r="Q345" i="2" s="1"/>
  <c r="M413" i="2"/>
  <c r="M415" i="2" s="1"/>
  <c r="M445" i="2" s="1"/>
  <c r="K807" i="2"/>
  <c r="K809" i="2" s="1"/>
  <c r="K839" i="2" s="1"/>
  <c r="H905" i="2"/>
  <c r="H907" i="2" s="1"/>
  <c r="H937" i="2" s="1"/>
  <c r="I1297" i="2"/>
  <c r="I1299" i="2" s="1"/>
  <c r="I1329" i="2" s="1"/>
  <c r="AG215" i="2"/>
  <c r="I61" i="2"/>
  <c r="J61" i="2" s="1"/>
  <c r="K61" i="2" s="1"/>
  <c r="L61" i="2" s="1"/>
  <c r="M61" i="2" s="1"/>
  <c r="N61" i="2" s="1"/>
  <c r="O61" i="2" s="1"/>
  <c r="P61" i="2" s="1"/>
  <c r="Q61" i="2" s="1"/>
  <c r="R61" i="2" s="1"/>
  <c r="S61" i="2" s="1"/>
  <c r="AG1148" i="2"/>
  <c r="R313" i="2"/>
  <c r="R315" i="2" s="1"/>
  <c r="R345" i="2" s="1"/>
  <c r="T413" i="2"/>
  <c r="T415" i="2" s="1"/>
  <c r="T445" i="2" s="1"/>
  <c r="AC463" i="2"/>
  <c r="AC465" i="2" s="1"/>
  <c r="AC495" i="2" s="1"/>
  <c r="O807" i="2"/>
  <c r="O809" i="2" s="1"/>
  <c r="O839" i="2" s="1"/>
  <c r="I1150" i="2"/>
  <c r="I1152" i="2" s="1"/>
  <c r="I1182" i="2" s="1"/>
  <c r="X1199" i="2"/>
  <c r="X1201" i="2" s="1"/>
  <c r="X1231" i="2" s="1"/>
  <c r="K1297" i="2"/>
  <c r="K1299" i="2" s="1"/>
  <c r="K1329" i="2" s="1"/>
  <c r="Q1542" i="2"/>
  <c r="Q1544" i="2" s="1"/>
  <c r="Q1574" i="2" s="1"/>
  <c r="AF1050" i="2"/>
  <c r="AF1197" i="2"/>
  <c r="U413" i="2"/>
  <c r="U415" i="2" s="1"/>
  <c r="U445" i="2" s="1"/>
  <c r="P807" i="2"/>
  <c r="P809" i="2" s="1"/>
  <c r="P839" i="2" s="1"/>
  <c r="J1150" i="2"/>
  <c r="J1152" i="2" s="1"/>
  <c r="J1182" i="2" s="1"/>
  <c r="Y1199" i="2"/>
  <c r="Y1201" i="2" s="1"/>
  <c r="Y1231" i="2" s="1"/>
  <c r="O1297" i="2"/>
  <c r="O1299" i="2" s="1"/>
  <c r="O1329" i="2" s="1"/>
  <c r="V413" i="2"/>
  <c r="V415" i="2" s="1"/>
  <c r="V445" i="2" s="1"/>
  <c r="Q807" i="2"/>
  <c r="Q809" i="2" s="1"/>
  <c r="Q839" i="2" s="1"/>
  <c r="T1003" i="2"/>
  <c r="T1005" i="2" s="1"/>
  <c r="T1035" i="2" s="1"/>
  <c r="L1150" i="2"/>
  <c r="L1152" i="2" s="1"/>
  <c r="L1182" i="2" s="1"/>
  <c r="Z1199" i="2"/>
  <c r="Z1201" i="2" s="1"/>
  <c r="Z1231" i="2" s="1"/>
  <c r="P1297" i="2"/>
  <c r="P1299" i="2" s="1"/>
  <c r="P1329" i="2" s="1"/>
  <c r="H1444" i="2"/>
  <c r="H1446" i="2" s="1"/>
  <c r="H1476" i="2" s="1"/>
  <c r="J511" i="2"/>
  <c r="I513" i="2"/>
  <c r="I515" i="2" s="1"/>
  <c r="I545" i="2" s="1"/>
  <c r="N113" i="2"/>
  <c r="N115" i="2" s="1"/>
  <c r="N145" i="2" s="1"/>
  <c r="J905" i="2"/>
  <c r="J907" i="2" s="1"/>
  <c r="J937" i="2" s="1"/>
  <c r="AG756" i="2"/>
  <c r="O113" i="2"/>
  <c r="O115" i="2" s="1"/>
  <c r="O145" i="2" s="1"/>
  <c r="J163" i="2"/>
  <c r="J165" i="2" s="1"/>
  <c r="J195" i="2" s="1"/>
  <c r="S313" i="2"/>
  <c r="S315" i="2" s="1"/>
  <c r="S345" i="2" s="1"/>
  <c r="O363" i="2"/>
  <c r="O365" i="2" s="1"/>
  <c r="O395" i="2" s="1"/>
  <c r="K413" i="2"/>
  <c r="K415" i="2" s="1"/>
  <c r="K445" i="2" s="1"/>
  <c r="AA463" i="2"/>
  <c r="AA465" i="2" s="1"/>
  <c r="AA495" i="2" s="1"/>
  <c r="O611" i="2"/>
  <c r="O613" i="2" s="1"/>
  <c r="O643" i="2" s="1"/>
  <c r="W758" i="2"/>
  <c r="W760" i="2" s="1"/>
  <c r="W790" i="2" s="1"/>
  <c r="S807" i="2"/>
  <c r="S809" i="2" s="1"/>
  <c r="S839" i="2" s="1"/>
  <c r="O856" i="2"/>
  <c r="O858" i="2" s="1"/>
  <c r="O888" i="2" s="1"/>
  <c r="K905" i="2"/>
  <c r="K907" i="2" s="1"/>
  <c r="K937" i="2" s="1"/>
  <c r="W1003" i="2"/>
  <c r="W1005" i="2" s="1"/>
  <c r="W1035" i="2" s="1"/>
  <c r="S1052" i="2"/>
  <c r="S1054" i="2" s="1"/>
  <c r="S1084" i="2" s="1"/>
  <c r="K1150" i="2"/>
  <c r="K1152" i="2" s="1"/>
  <c r="K1182" i="2" s="1"/>
  <c r="AA1199" i="2"/>
  <c r="AA1201" i="2" s="1"/>
  <c r="AA1231" i="2" s="1"/>
  <c r="W1248" i="2"/>
  <c r="S1297" i="2"/>
  <c r="S1299" i="2" s="1"/>
  <c r="S1329" i="2" s="1"/>
  <c r="O1346" i="2"/>
  <c r="O1348" i="2" s="1"/>
  <c r="O1378" i="2" s="1"/>
  <c r="AA1444" i="2"/>
  <c r="AA1446" i="2" s="1"/>
  <c r="AA1476" i="2" s="1"/>
  <c r="W1493" i="2"/>
  <c r="W1495" i="2" s="1"/>
  <c r="W1525" i="2" s="1"/>
  <c r="S1542" i="2"/>
  <c r="S1544" i="2" s="1"/>
  <c r="S1574" i="2" s="1"/>
  <c r="M113" i="2"/>
  <c r="M115" i="2" s="1"/>
  <c r="M145" i="2" s="1"/>
  <c r="R1542" i="2"/>
  <c r="R1544" i="2" s="1"/>
  <c r="R1574" i="2" s="1"/>
  <c r="K163" i="2"/>
  <c r="K165" i="2" s="1"/>
  <c r="K195" i="2" s="1"/>
  <c r="H954" i="2"/>
  <c r="H956" i="2" s="1"/>
  <c r="H986" i="2" s="1"/>
  <c r="T1542" i="2"/>
  <c r="T1544" i="2" s="1"/>
  <c r="T1574" i="2" s="1"/>
  <c r="I1099" i="2"/>
  <c r="L163" i="2"/>
  <c r="L165" i="2" s="1"/>
  <c r="L195" i="2" s="1"/>
  <c r="M905" i="2"/>
  <c r="U1297" i="2"/>
  <c r="U1299" i="2" s="1"/>
  <c r="U1329" i="2" s="1"/>
  <c r="AF361" i="2"/>
  <c r="AF854" i="2"/>
  <c r="AF1344" i="2"/>
  <c r="R113" i="2"/>
  <c r="R115" i="2" s="1"/>
  <c r="R145" i="2" s="1"/>
  <c r="M163" i="2"/>
  <c r="H263" i="2"/>
  <c r="R363" i="2"/>
  <c r="R365" i="2" s="1"/>
  <c r="R395" i="2" s="1"/>
  <c r="N413" i="2"/>
  <c r="N415" i="2" s="1"/>
  <c r="N445" i="2" s="1"/>
  <c r="J463" i="2"/>
  <c r="J465" i="2" s="1"/>
  <c r="J495" i="2" s="1"/>
  <c r="R611" i="2"/>
  <c r="R613" i="2" s="1"/>
  <c r="R643" i="2" s="1"/>
  <c r="Z758" i="2"/>
  <c r="Z760" i="2" s="1"/>
  <c r="Z790" i="2" s="1"/>
  <c r="V807" i="2"/>
  <c r="V809" i="2" s="1"/>
  <c r="V839" i="2" s="1"/>
  <c r="R856" i="2"/>
  <c r="R858" i="2" s="1"/>
  <c r="R888" i="2" s="1"/>
  <c r="N905" i="2"/>
  <c r="N907" i="2" s="1"/>
  <c r="N937" i="2" s="1"/>
  <c r="Z1003" i="2"/>
  <c r="Z1005" i="2" s="1"/>
  <c r="Z1035" i="2" s="1"/>
  <c r="V1052" i="2"/>
  <c r="V1054" i="2" s="1"/>
  <c r="V1084" i="2" s="1"/>
  <c r="N1150" i="2"/>
  <c r="N1152" i="2" s="1"/>
  <c r="N1182" i="2" s="1"/>
  <c r="J1199" i="2"/>
  <c r="J1201" i="2" s="1"/>
  <c r="J1231" i="2" s="1"/>
  <c r="Z1248" i="2"/>
  <c r="Z1250" i="2" s="1"/>
  <c r="Z1280" i="2" s="1"/>
  <c r="V1297" i="2"/>
  <c r="V1299" i="2" s="1"/>
  <c r="V1329" i="2" s="1"/>
  <c r="R1346" i="2"/>
  <c r="R1348" i="2" s="1"/>
  <c r="R1378" i="2" s="1"/>
  <c r="J1444" i="2"/>
  <c r="J1446" i="2" s="1"/>
  <c r="J1476" i="2" s="1"/>
  <c r="AB905" i="2"/>
  <c r="AB907" i="2" s="1"/>
  <c r="AB937" i="2" s="1"/>
  <c r="I952" i="2"/>
  <c r="AB163" i="2"/>
  <c r="AB165" i="2" s="1"/>
  <c r="AB195" i="2" s="1"/>
  <c r="I905" i="2"/>
  <c r="I907" i="2" s="1"/>
  <c r="I937" i="2" s="1"/>
  <c r="AC163" i="2"/>
  <c r="AC165" i="2" s="1"/>
  <c r="AC195" i="2" s="1"/>
  <c r="AG361" i="2"/>
  <c r="AG854" i="2"/>
  <c r="S113" i="2"/>
  <c r="S115" i="2" s="1"/>
  <c r="S145" i="2" s="1"/>
  <c r="N163" i="2"/>
  <c r="N165" i="2" s="1"/>
  <c r="N195" i="2" s="1"/>
  <c r="I263" i="2"/>
  <c r="I265" i="2" s="1"/>
  <c r="I295" i="2" s="1"/>
  <c r="S363" i="2"/>
  <c r="S365" i="2" s="1"/>
  <c r="S395" i="2" s="1"/>
  <c r="O413" i="2"/>
  <c r="O415" i="2" s="1"/>
  <c r="O445" i="2" s="1"/>
  <c r="K463" i="2"/>
  <c r="K465" i="2" s="1"/>
  <c r="K495" i="2" s="1"/>
  <c r="S611" i="2"/>
  <c r="S613" i="2" s="1"/>
  <c r="S643" i="2" s="1"/>
  <c r="AA758" i="2"/>
  <c r="AA760" i="2" s="1"/>
  <c r="AA790" i="2" s="1"/>
  <c r="W807" i="2"/>
  <c r="W809" i="2" s="1"/>
  <c r="W839" i="2" s="1"/>
  <c r="S856" i="2"/>
  <c r="S858" i="2" s="1"/>
  <c r="S888" i="2" s="1"/>
  <c r="O905" i="2"/>
  <c r="O907" i="2" s="1"/>
  <c r="O937" i="2" s="1"/>
  <c r="AA1003" i="2"/>
  <c r="AA1005" i="2" s="1"/>
  <c r="AA1035" i="2" s="1"/>
  <c r="W1052" i="2"/>
  <c r="W1054" i="2" s="1"/>
  <c r="W1084" i="2" s="1"/>
  <c r="O1150" i="2"/>
  <c r="K1199" i="2"/>
  <c r="K1201" i="2" s="1"/>
  <c r="K1231" i="2" s="1"/>
  <c r="AA1248" i="2"/>
  <c r="AA1250" i="2" s="1"/>
  <c r="AA1280" i="2" s="1"/>
  <c r="W1297" i="2"/>
  <c r="W1299" i="2" s="1"/>
  <c r="W1329" i="2" s="1"/>
  <c r="S1346" i="2"/>
  <c r="S1348" i="2" s="1"/>
  <c r="S1378" i="2" s="1"/>
  <c r="K1444" i="2"/>
  <c r="K1446" i="2" s="1"/>
  <c r="K1476" i="2" s="1"/>
  <c r="AA1493" i="2"/>
  <c r="AA1495" i="2" s="1"/>
  <c r="AA1525" i="2" s="1"/>
  <c r="W1542" i="2"/>
  <c r="W1544" i="2" s="1"/>
  <c r="W1574" i="2" s="1"/>
  <c r="AC905" i="2"/>
  <c r="AC907" i="2" s="1"/>
  <c r="AC937" i="2" s="1"/>
  <c r="I163" i="2"/>
  <c r="I165" i="2" s="1"/>
  <c r="I195" i="2" s="1"/>
  <c r="V1003" i="2"/>
  <c r="V1005" i="2" s="1"/>
  <c r="V1035" i="2" s="1"/>
  <c r="X1493" i="2"/>
  <c r="X1495" i="2" s="1"/>
  <c r="X1525" i="2" s="1"/>
  <c r="Q113" i="2"/>
  <c r="Q115" i="2" s="1"/>
  <c r="Q145" i="2" s="1"/>
  <c r="AF411" i="2"/>
  <c r="AF903" i="2"/>
  <c r="T113" i="2"/>
  <c r="T115" i="2" s="1"/>
  <c r="T145" i="2" s="1"/>
  <c r="O163" i="2"/>
  <c r="O165" i="2" s="1"/>
  <c r="O195" i="2" s="1"/>
  <c r="J263" i="2"/>
  <c r="J265" i="2" s="1"/>
  <c r="J295" i="2" s="1"/>
  <c r="T363" i="2"/>
  <c r="T365" i="2" s="1"/>
  <c r="T395" i="2" s="1"/>
  <c r="P413" i="2"/>
  <c r="P415" i="2" s="1"/>
  <c r="P445" i="2" s="1"/>
  <c r="L463" i="2"/>
  <c r="L465" i="2" s="1"/>
  <c r="L495" i="2" s="1"/>
  <c r="H513" i="2"/>
  <c r="H515" i="2" s="1"/>
  <c r="H545" i="2" s="1"/>
  <c r="T611" i="2"/>
  <c r="T613" i="2" s="1"/>
  <c r="T643" i="2" s="1"/>
  <c r="H758" i="2"/>
  <c r="AB758" i="2"/>
  <c r="AB760" i="2" s="1"/>
  <c r="AB790" i="2" s="1"/>
  <c r="X807" i="2"/>
  <c r="X809" i="2" s="1"/>
  <c r="X839" i="2" s="1"/>
  <c r="T856" i="2"/>
  <c r="T858" i="2" s="1"/>
  <c r="T888" i="2" s="1"/>
  <c r="P905" i="2"/>
  <c r="P907" i="2" s="1"/>
  <c r="P937" i="2" s="1"/>
  <c r="H1003" i="2"/>
  <c r="AB1003" i="2"/>
  <c r="AB1005" i="2" s="1"/>
  <c r="AB1035" i="2" s="1"/>
  <c r="X1052" i="2"/>
  <c r="X1054" i="2" s="1"/>
  <c r="X1084" i="2" s="1"/>
  <c r="P1150" i="2"/>
  <c r="P1152" i="2" s="1"/>
  <c r="P1182" i="2" s="1"/>
  <c r="L1199" i="2"/>
  <c r="L1201" i="2" s="1"/>
  <c r="L1231" i="2" s="1"/>
  <c r="H1248" i="2"/>
  <c r="H1250" i="2" s="1"/>
  <c r="H1280" i="2" s="1"/>
  <c r="AB1248" i="2"/>
  <c r="AB1250" i="2" s="1"/>
  <c r="AB1280" i="2" s="1"/>
  <c r="T1346" i="2"/>
  <c r="T1348" i="2" s="1"/>
  <c r="T1378" i="2" s="1"/>
  <c r="L1444" i="2"/>
  <c r="L1446" i="2" s="1"/>
  <c r="L1476" i="2" s="1"/>
  <c r="H1493" i="2"/>
  <c r="H1495" i="2" s="1"/>
  <c r="H1525" i="2" s="1"/>
  <c r="P113" i="2"/>
  <c r="P115" i="2" s="1"/>
  <c r="P145" i="2" s="1"/>
  <c r="L905" i="2"/>
  <c r="L907" i="2" s="1"/>
  <c r="L937" i="2" s="1"/>
  <c r="U113" i="2"/>
  <c r="U115" i="2" s="1"/>
  <c r="U145" i="2" s="1"/>
  <c r="P163" i="2"/>
  <c r="P165" i="2" s="1"/>
  <c r="P195" i="2" s="1"/>
  <c r="K263" i="2"/>
  <c r="K265" i="2" s="1"/>
  <c r="K295" i="2" s="1"/>
  <c r="U363" i="2"/>
  <c r="U365" i="2" s="1"/>
  <c r="U395" i="2" s="1"/>
  <c r="Q413" i="2"/>
  <c r="M463" i="2"/>
  <c r="U611" i="2"/>
  <c r="U613" i="2" s="1"/>
  <c r="U643" i="2" s="1"/>
  <c r="AC758" i="2"/>
  <c r="AC760" i="2" s="1"/>
  <c r="AC790" i="2" s="1"/>
  <c r="Y807" i="2"/>
  <c r="Y809" i="2" s="1"/>
  <c r="Y839" i="2" s="1"/>
  <c r="U856" i="2"/>
  <c r="U858" i="2" s="1"/>
  <c r="U888" i="2" s="1"/>
  <c r="Q905" i="2"/>
  <c r="Q907" i="2" s="1"/>
  <c r="Q937" i="2" s="1"/>
  <c r="I1003" i="2"/>
  <c r="I1005" i="2" s="1"/>
  <c r="I1035" i="2" s="1"/>
  <c r="AC1003" i="2"/>
  <c r="AC1005" i="2" s="1"/>
  <c r="AC1035" i="2" s="1"/>
  <c r="Y1052" i="2"/>
  <c r="Y1054" i="2" s="1"/>
  <c r="Y1084" i="2" s="1"/>
  <c r="Q1150" i="2"/>
  <c r="Q1152" i="2" s="1"/>
  <c r="Q1182" i="2" s="1"/>
  <c r="M1199" i="2"/>
  <c r="M1201" i="2" s="1"/>
  <c r="M1231" i="2" s="1"/>
  <c r="AC1248" i="2"/>
  <c r="AC1250" i="2" s="1"/>
  <c r="AC1280" i="2" s="1"/>
  <c r="Y1297" i="2"/>
  <c r="Y1299" i="2" s="1"/>
  <c r="Y1329" i="2" s="1"/>
  <c r="U1346" i="2"/>
  <c r="U1348" i="2" s="1"/>
  <c r="U1378" i="2" s="1"/>
  <c r="M1444" i="2"/>
  <c r="M1446" i="2" s="1"/>
  <c r="M1476" i="2" s="1"/>
  <c r="I1493" i="2"/>
  <c r="I1495" i="2" s="1"/>
  <c r="I1525" i="2" s="1"/>
  <c r="Y1542" i="2"/>
  <c r="Y1544" i="2" s="1"/>
  <c r="Y1574" i="2" s="1"/>
  <c r="X1003" i="2"/>
  <c r="U807" i="2"/>
  <c r="U809" i="2" s="1"/>
  <c r="U839" i="2" s="1"/>
  <c r="Y1003" i="2"/>
  <c r="Y1005" i="2" s="1"/>
  <c r="Y1035" i="2" s="1"/>
  <c r="AG903" i="2"/>
  <c r="AF461" i="2"/>
  <c r="AF1442" i="2"/>
  <c r="V113" i="2"/>
  <c r="V115" i="2" s="1"/>
  <c r="V145" i="2" s="1"/>
  <c r="Q163" i="2"/>
  <c r="Q165" i="2" s="1"/>
  <c r="Q195" i="2" s="1"/>
  <c r="L263" i="2"/>
  <c r="L265" i="2" s="1"/>
  <c r="L295" i="2" s="1"/>
  <c r="V363" i="2"/>
  <c r="V365" i="2" s="1"/>
  <c r="V395" i="2" s="1"/>
  <c r="R413" i="2"/>
  <c r="R415" i="2" s="1"/>
  <c r="R445" i="2" s="1"/>
  <c r="N463" i="2"/>
  <c r="N465" i="2" s="1"/>
  <c r="N495" i="2" s="1"/>
  <c r="V611" i="2"/>
  <c r="V613" i="2" s="1"/>
  <c r="V643" i="2" s="1"/>
  <c r="J758" i="2"/>
  <c r="J760" i="2" s="1"/>
  <c r="J790" i="2" s="1"/>
  <c r="Z807" i="2"/>
  <c r="Z809" i="2" s="1"/>
  <c r="Z839" i="2" s="1"/>
  <c r="V856" i="2"/>
  <c r="R905" i="2"/>
  <c r="R907" i="2" s="1"/>
  <c r="R937" i="2" s="1"/>
  <c r="J1003" i="2"/>
  <c r="J1005" i="2" s="1"/>
  <c r="J1035" i="2" s="1"/>
  <c r="Z1052" i="2"/>
  <c r="Z1054" i="2" s="1"/>
  <c r="Z1084" i="2" s="1"/>
  <c r="R1150" i="2"/>
  <c r="R1152" i="2" s="1"/>
  <c r="R1182" i="2" s="1"/>
  <c r="N1199" i="2"/>
  <c r="N1201" i="2" s="1"/>
  <c r="N1231" i="2" s="1"/>
  <c r="J1248" i="2"/>
  <c r="Z1297" i="2"/>
  <c r="Z1299" i="2" s="1"/>
  <c r="Z1329" i="2" s="1"/>
  <c r="V1346" i="2"/>
  <c r="V1348" i="2" s="1"/>
  <c r="V1378" i="2" s="1"/>
  <c r="N1444" i="2"/>
  <c r="N1446" i="2" s="1"/>
  <c r="N1476" i="2" s="1"/>
  <c r="J1493" i="2"/>
  <c r="J1495" i="2" s="1"/>
  <c r="J1525" i="2" s="1"/>
  <c r="AG461" i="2"/>
  <c r="H63" i="2"/>
  <c r="H65" i="2" s="1"/>
  <c r="H95" i="2" s="1"/>
  <c r="W113" i="2"/>
  <c r="W115" i="2" s="1"/>
  <c r="W145" i="2" s="1"/>
  <c r="R163" i="2"/>
  <c r="R165" i="2" s="1"/>
  <c r="R195" i="2" s="1"/>
  <c r="M263" i="2"/>
  <c r="M265" i="2" s="1"/>
  <c r="M295" i="2" s="1"/>
  <c r="W363" i="2"/>
  <c r="W365" i="2" s="1"/>
  <c r="W395" i="2" s="1"/>
  <c r="S413" i="2"/>
  <c r="S415" i="2" s="1"/>
  <c r="S445" i="2" s="1"/>
  <c r="O463" i="2"/>
  <c r="O465" i="2" s="1"/>
  <c r="O495" i="2" s="1"/>
  <c r="W611" i="2"/>
  <c r="W613" i="2" s="1"/>
  <c r="W643" i="2" s="1"/>
  <c r="K758" i="2"/>
  <c r="K760" i="2" s="1"/>
  <c r="K790" i="2" s="1"/>
  <c r="AA807" i="2"/>
  <c r="AA809" i="2" s="1"/>
  <c r="AA839" i="2" s="1"/>
  <c r="W856" i="2"/>
  <c r="W858" i="2" s="1"/>
  <c r="W888" i="2" s="1"/>
  <c r="S905" i="2"/>
  <c r="S907" i="2" s="1"/>
  <c r="S937" i="2" s="1"/>
  <c r="K1003" i="2"/>
  <c r="K1005" i="2" s="1"/>
  <c r="K1035" i="2" s="1"/>
  <c r="AA1052" i="2"/>
  <c r="AA1054" i="2" s="1"/>
  <c r="AA1084" i="2" s="1"/>
  <c r="S1150" i="2"/>
  <c r="S1152" i="2" s="1"/>
  <c r="S1182" i="2" s="1"/>
  <c r="O1199" i="2"/>
  <c r="O1201" i="2" s="1"/>
  <c r="O1231" i="2" s="1"/>
  <c r="K1248" i="2"/>
  <c r="K1250" i="2" s="1"/>
  <c r="K1280" i="2" s="1"/>
  <c r="W1346" i="2"/>
  <c r="W1348" i="2" s="1"/>
  <c r="W1378" i="2" s="1"/>
  <c r="O1444" i="2"/>
  <c r="K1493" i="2"/>
  <c r="K1495" i="2" s="1"/>
  <c r="K1525" i="2" s="1"/>
  <c r="AF1001" i="2"/>
  <c r="AF1491" i="2"/>
  <c r="X113" i="2"/>
  <c r="X115" i="2" s="1"/>
  <c r="X145" i="2" s="1"/>
  <c r="S163" i="2"/>
  <c r="S165" i="2" s="1"/>
  <c r="S195" i="2" s="1"/>
  <c r="N263" i="2"/>
  <c r="N265" i="2" s="1"/>
  <c r="N295" i="2" s="1"/>
  <c r="H313" i="2"/>
  <c r="H315" i="2" s="1"/>
  <c r="H345" i="2" s="1"/>
  <c r="AB807" i="2"/>
  <c r="AB809" i="2" s="1"/>
  <c r="AB839" i="2" s="1"/>
  <c r="T905" i="2"/>
  <c r="T907" i="2" s="1"/>
  <c r="T937" i="2" s="1"/>
  <c r="L1003" i="2"/>
  <c r="L1005" i="2" s="1"/>
  <c r="L1035" i="2" s="1"/>
  <c r="AB1297" i="2"/>
  <c r="AB1299" i="2" s="1"/>
  <c r="AB1329" i="2" s="1"/>
  <c r="L1493" i="2"/>
  <c r="L1495" i="2" s="1"/>
  <c r="L1525" i="2" s="1"/>
  <c r="H1542" i="2"/>
  <c r="H1544" i="2" s="1"/>
  <c r="H1574" i="2" s="1"/>
  <c r="AG1001" i="2"/>
  <c r="Y113" i="2"/>
  <c r="Y115" i="2" s="1"/>
  <c r="Y145" i="2" s="1"/>
  <c r="T163" i="2"/>
  <c r="T165" i="2" s="1"/>
  <c r="T195" i="2" s="1"/>
  <c r="O263" i="2"/>
  <c r="O265" i="2" s="1"/>
  <c r="O295" i="2" s="1"/>
  <c r="AF562" i="2"/>
  <c r="U905" i="2"/>
  <c r="U907" i="2" s="1"/>
  <c r="U937" i="2" s="1"/>
  <c r="M1003" i="2"/>
  <c r="M1005" i="2" s="1"/>
  <c r="M1035" i="2" s="1"/>
  <c r="AC1297" i="2"/>
  <c r="AC1299" i="2" s="1"/>
  <c r="AC1329" i="2" s="1"/>
  <c r="AG1395" i="2"/>
  <c r="M1493" i="2"/>
  <c r="M1495" i="2" s="1"/>
  <c r="M1525" i="2" s="1"/>
  <c r="I1542" i="2"/>
  <c r="I1544" i="2" s="1"/>
  <c r="I1574" i="2" s="1"/>
  <c r="AF1540" i="2"/>
  <c r="Z113" i="2"/>
  <c r="Z115" i="2" s="1"/>
  <c r="Z145" i="2" s="1"/>
  <c r="U163" i="2"/>
  <c r="U165" i="2" s="1"/>
  <c r="U195" i="2" s="1"/>
  <c r="P263" i="2"/>
  <c r="P265" i="2" s="1"/>
  <c r="P295" i="2" s="1"/>
  <c r="J313" i="2"/>
  <c r="J315" i="2" s="1"/>
  <c r="J345" i="2" s="1"/>
  <c r="AG562" i="2"/>
  <c r="J807" i="2"/>
  <c r="J809" i="2" s="1"/>
  <c r="J839" i="2" s="1"/>
  <c r="V905" i="2"/>
  <c r="V907" i="2" s="1"/>
  <c r="V937" i="2" s="1"/>
  <c r="N1003" i="2"/>
  <c r="N1005" i="2" s="1"/>
  <c r="N1035" i="2" s="1"/>
  <c r="J1297" i="2"/>
  <c r="N1493" i="2"/>
  <c r="N1495" i="2" s="1"/>
  <c r="N1525" i="2" s="1"/>
  <c r="J1542" i="2"/>
  <c r="J1544" i="2" s="1"/>
  <c r="J1574" i="2" s="1"/>
  <c r="I658" i="2"/>
  <c r="AA113" i="2"/>
  <c r="AA115" i="2" s="1"/>
  <c r="AA145" i="2" s="1"/>
  <c r="Q263" i="2"/>
  <c r="Q265" i="2" s="1"/>
  <c r="Q295" i="2" s="1"/>
  <c r="W905" i="2"/>
  <c r="W907" i="2" s="1"/>
  <c r="W937" i="2" s="1"/>
  <c r="O1003" i="2"/>
  <c r="O1005" i="2" s="1"/>
  <c r="O1035" i="2" s="1"/>
  <c r="O1493" i="2"/>
  <c r="O1495" i="2" s="1"/>
  <c r="O1525" i="2" s="1"/>
  <c r="K1542" i="2"/>
  <c r="K1544" i="2" s="1"/>
  <c r="K1574" i="2" s="1"/>
  <c r="AF111" i="2"/>
  <c r="AF609" i="2"/>
  <c r="H113" i="2"/>
  <c r="H115" i="2" s="1"/>
  <c r="H145" i="2" s="1"/>
  <c r="AB113" i="2"/>
  <c r="AB115" i="2" s="1"/>
  <c r="AB145" i="2" s="1"/>
  <c r="W163" i="2"/>
  <c r="W165" i="2" s="1"/>
  <c r="W195" i="2" s="1"/>
  <c r="R263" i="2"/>
  <c r="R265" i="2" s="1"/>
  <c r="R295" i="2" s="1"/>
  <c r="L313" i="2"/>
  <c r="L315" i="2" s="1"/>
  <c r="L345" i="2" s="1"/>
  <c r="H363" i="2"/>
  <c r="H365" i="2" s="1"/>
  <c r="H395" i="2" s="1"/>
  <c r="AB363" i="2"/>
  <c r="AB365" i="2" s="1"/>
  <c r="AB395" i="2" s="1"/>
  <c r="X413" i="2"/>
  <c r="X415" i="2" s="1"/>
  <c r="X445" i="2" s="1"/>
  <c r="T463" i="2"/>
  <c r="H611" i="2"/>
  <c r="AB611" i="2"/>
  <c r="AB613" i="2" s="1"/>
  <c r="AB643" i="2" s="1"/>
  <c r="P758" i="2"/>
  <c r="P760" i="2" s="1"/>
  <c r="P790" i="2" s="1"/>
  <c r="L807" i="2"/>
  <c r="H856" i="2"/>
  <c r="H858" i="2" s="1"/>
  <c r="H888" i="2" s="1"/>
  <c r="AB856" i="2"/>
  <c r="AB858" i="2" s="1"/>
  <c r="AB888" i="2" s="1"/>
  <c r="X905" i="2"/>
  <c r="X907" i="2" s="1"/>
  <c r="X937" i="2" s="1"/>
  <c r="P1003" i="2"/>
  <c r="P1005" i="2" s="1"/>
  <c r="P1035" i="2" s="1"/>
  <c r="L1052" i="2"/>
  <c r="X1150" i="2"/>
  <c r="X1152" i="2" s="1"/>
  <c r="X1182" i="2" s="1"/>
  <c r="T1199" i="2"/>
  <c r="T1201" i="2" s="1"/>
  <c r="T1231" i="2" s="1"/>
  <c r="P1248" i="2"/>
  <c r="P1250" i="2" s="1"/>
  <c r="P1280" i="2" s="1"/>
  <c r="L1297" i="2"/>
  <c r="L1299" i="2" s="1"/>
  <c r="L1329" i="2" s="1"/>
  <c r="H1346" i="2"/>
  <c r="H1348" i="2" s="1"/>
  <c r="H1378" i="2" s="1"/>
  <c r="AB1346" i="2"/>
  <c r="AB1348" i="2" s="1"/>
  <c r="AB1378" i="2" s="1"/>
  <c r="T1444" i="2"/>
  <c r="T1446" i="2" s="1"/>
  <c r="T1476" i="2" s="1"/>
  <c r="P1493" i="2"/>
  <c r="P1495" i="2" s="1"/>
  <c r="P1525" i="2" s="1"/>
  <c r="L1542" i="2"/>
  <c r="L1544" i="2" s="1"/>
  <c r="L1574" i="2" s="1"/>
  <c r="AG111" i="2"/>
  <c r="X163" i="2"/>
  <c r="X165" i="2" s="1"/>
  <c r="X195" i="2" s="1"/>
  <c r="M313" i="2"/>
  <c r="I363" i="2"/>
  <c r="I365" i="2" s="1"/>
  <c r="I395" i="2" s="1"/>
  <c r="Y413" i="2"/>
  <c r="Y415" i="2" s="1"/>
  <c r="Y445" i="2" s="1"/>
  <c r="U463" i="2"/>
  <c r="U465" i="2" s="1"/>
  <c r="U495" i="2" s="1"/>
  <c r="I611" i="2"/>
  <c r="I613" i="2" s="1"/>
  <c r="I643" i="2" s="1"/>
  <c r="AC611" i="2"/>
  <c r="AC613" i="2" s="1"/>
  <c r="AC643" i="2" s="1"/>
  <c r="M807" i="2"/>
  <c r="M809" i="2" s="1"/>
  <c r="M839" i="2" s="1"/>
  <c r="AC856" i="2"/>
  <c r="AC858" i="2" s="1"/>
  <c r="AC888" i="2" s="1"/>
  <c r="Y905" i="2"/>
  <c r="Y907" i="2" s="1"/>
  <c r="Y937" i="2" s="1"/>
  <c r="Q1003" i="2"/>
  <c r="Q1005" i="2" s="1"/>
  <c r="Q1035" i="2" s="1"/>
  <c r="M1052" i="2"/>
  <c r="M1054" i="2" s="1"/>
  <c r="M1084" i="2" s="1"/>
  <c r="Y1150" i="2"/>
  <c r="Y1152" i="2" s="1"/>
  <c r="Y1182" i="2" s="1"/>
  <c r="U1199" i="2"/>
  <c r="U1201" i="2" s="1"/>
  <c r="U1231" i="2" s="1"/>
  <c r="Q1248" i="2"/>
  <c r="Q1250" i="2" s="1"/>
  <c r="Q1280" i="2" s="1"/>
  <c r="M1297" i="2"/>
  <c r="M1299" i="2" s="1"/>
  <c r="M1329" i="2" s="1"/>
  <c r="I1346" i="2"/>
  <c r="AC1346" i="2"/>
  <c r="AC1348" i="2" s="1"/>
  <c r="AC1378" i="2" s="1"/>
  <c r="U1444" i="2"/>
  <c r="Q1493" i="2"/>
  <c r="Q1495" i="2" s="1"/>
  <c r="Q1525" i="2" s="1"/>
  <c r="M1542" i="2"/>
  <c r="V163" i="2"/>
  <c r="V165" i="2" s="1"/>
  <c r="V195" i="2" s="1"/>
  <c r="AG609" i="2"/>
  <c r="I113" i="2"/>
  <c r="I115" i="2" s="1"/>
  <c r="I145" i="2" s="1"/>
  <c r="AC113" i="2"/>
  <c r="AC115" i="2" s="1"/>
  <c r="AC145" i="2" s="1"/>
  <c r="S263" i="2"/>
  <c r="S265" i="2" s="1"/>
  <c r="S295" i="2" s="1"/>
  <c r="AC363" i="2"/>
  <c r="AC365" i="2" s="1"/>
  <c r="AC395" i="2" s="1"/>
  <c r="AF161" i="2"/>
  <c r="AF1148" i="2"/>
  <c r="J113" i="2"/>
  <c r="J115" i="2" s="1"/>
  <c r="J145" i="2" s="1"/>
  <c r="Y163" i="2"/>
  <c r="Y165" i="2" s="1"/>
  <c r="Y195" i="2" s="1"/>
  <c r="N313" i="2"/>
  <c r="N315" i="2" s="1"/>
  <c r="N345" i="2" s="1"/>
  <c r="J363" i="2"/>
  <c r="J365" i="2" s="1"/>
  <c r="J395" i="2" s="1"/>
  <c r="Z413" i="2"/>
  <c r="Z415" i="2" s="1"/>
  <c r="Z445" i="2" s="1"/>
  <c r="V463" i="2"/>
  <c r="V465" i="2" s="1"/>
  <c r="V495" i="2" s="1"/>
  <c r="J611" i="2"/>
  <c r="J613" i="2" s="1"/>
  <c r="J643" i="2" s="1"/>
  <c r="R758" i="2"/>
  <c r="R760" i="2" s="1"/>
  <c r="R790" i="2" s="1"/>
  <c r="N807" i="2"/>
  <c r="N809" i="2" s="1"/>
  <c r="N839" i="2" s="1"/>
  <c r="J856" i="2"/>
  <c r="J858" i="2" s="1"/>
  <c r="J888" i="2" s="1"/>
  <c r="Z905" i="2"/>
  <c r="Z907" i="2" s="1"/>
  <c r="Z937" i="2" s="1"/>
  <c r="R1003" i="2"/>
  <c r="R1005" i="2" s="1"/>
  <c r="R1035" i="2" s="1"/>
  <c r="N1052" i="2"/>
  <c r="N1054" i="2" s="1"/>
  <c r="N1084" i="2" s="1"/>
  <c r="Z1150" i="2"/>
  <c r="Z1152" i="2" s="1"/>
  <c r="Z1182" i="2" s="1"/>
  <c r="V1199" i="2"/>
  <c r="V1201" i="2" s="1"/>
  <c r="V1231" i="2" s="1"/>
  <c r="R1248" i="2"/>
  <c r="R1250" i="2" s="1"/>
  <c r="R1280" i="2" s="1"/>
  <c r="N1297" i="2"/>
  <c r="N1299" i="2" s="1"/>
  <c r="N1329" i="2" s="1"/>
  <c r="J1346" i="2"/>
  <c r="J1348" i="2" s="1"/>
  <c r="J1378" i="2" s="1"/>
  <c r="V1444" i="2"/>
  <c r="V1446" i="2" s="1"/>
  <c r="V1476" i="2" s="1"/>
  <c r="R1493" i="2"/>
  <c r="R1495" i="2" s="1"/>
  <c r="R1525" i="2" s="1"/>
  <c r="N1542" i="2"/>
  <c r="N1544" i="2" s="1"/>
  <c r="N1574" i="2" s="1"/>
  <c r="AG161" i="2"/>
  <c r="K113" i="2"/>
  <c r="K115" i="2" s="1"/>
  <c r="K145" i="2" s="1"/>
  <c r="Z163" i="2"/>
  <c r="Z165" i="2" s="1"/>
  <c r="Z195" i="2" s="1"/>
  <c r="U263" i="2"/>
  <c r="U265" i="2" s="1"/>
  <c r="U295" i="2" s="1"/>
  <c r="AA905" i="2"/>
  <c r="AA907" i="2" s="1"/>
  <c r="AA937" i="2" s="1"/>
  <c r="S1003" i="2"/>
  <c r="S1005" i="2" s="1"/>
  <c r="S1035" i="2" s="1"/>
  <c r="AF1395" i="2"/>
  <c r="S1493" i="2"/>
  <c r="S1495" i="2" s="1"/>
  <c r="S1525" i="2" s="1"/>
  <c r="O1542" i="2"/>
  <c r="O1544" i="2" s="1"/>
  <c r="O1574" i="2" s="1"/>
  <c r="W41" i="2"/>
  <c r="W42" i="2" s="1"/>
  <c r="K41" i="2"/>
  <c r="K42" i="2" s="1"/>
  <c r="AD44" i="1"/>
  <c r="AC44" i="1"/>
  <c r="AC44" i="8" s="1"/>
  <c r="AD48" i="1"/>
  <c r="AD2" i="1"/>
  <c r="E6" i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H250" i="4"/>
  <c r="G250" i="4"/>
  <c r="G249" i="4"/>
  <c r="H248" i="4"/>
  <c r="G248" i="4"/>
  <c r="H247" i="4"/>
  <c r="G247" i="4"/>
  <c r="H246" i="4"/>
  <c r="G246" i="4"/>
  <c r="H245" i="4"/>
  <c r="G245" i="4"/>
  <c r="H244" i="4"/>
  <c r="G244" i="4"/>
  <c r="H243" i="4"/>
  <c r="G243" i="4"/>
  <c r="H242" i="4"/>
  <c r="G242" i="4"/>
  <c r="H241" i="4"/>
  <c r="G241" i="4"/>
  <c r="H240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F376" i="4"/>
  <c r="E376" i="4"/>
  <c r="F375" i="4"/>
  <c r="E375" i="4"/>
  <c r="F374" i="4"/>
  <c r="E374" i="4"/>
  <c r="F373" i="4"/>
  <c r="E373" i="4"/>
  <c r="F372" i="4"/>
  <c r="E372" i="4"/>
  <c r="F371" i="4"/>
  <c r="E371" i="4"/>
  <c r="F370" i="4"/>
  <c r="E370" i="4"/>
  <c r="F369" i="4"/>
  <c r="E369" i="4"/>
  <c r="F368" i="4"/>
  <c r="E368" i="4"/>
  <c r="F367" i="4"/>
  <c r="E367" i="4"/>
  <c r="F366" i="4"/>
  <c r="E366" i="4"/>
  <c r="F365" i="4"/>
  <c r="E365" i="4"/>
  <c r="F364" i="4"/>
  <c r="E364" i="4"/>
  <c r="F363" i="4"/>
  <c r="E363" i="4"/>
  <c r="F362" i="4"/>
  <c r="E362" i="4"/>
  <c r="F361" i="4"/>
  <c r="E361" i="4"/>
  <c r="F360" i="4"/>
  <c r="E360" i="4"/>
  <c r="F359" i="4"/>
  <c r="E359" i="4"/>
  <c r="F358" i="4"/>
  <c r="E358" i="4"/>
  <c r="F357" i="4"/>
  <c r="E357" i="4"/>
  <c r="F356" i="4"/>
  <c r="E356" i="4"/>
  <c r="F355" i="4"/>
  <c r="E355" i="4"/>
  <c r="F354" i="4"/>
  <c r="E354" i="4"/>
  <c r="F353" i="4"/>
  <c r="E353" i="4"/>
  <c r="F352" i="4"/>
  <c r="E352" i="4"/>
  <c r="F351" i="4"/>
  <c r="E351" i="4"/>
  <c r="F350" i="4"/>
  <c r="E350" i="4"/>
  <c r="F349" i="4"/>
  <c r="E349" i="4"/>
  <c r="F348" i="4"/>
  <c r="E348" i="4"/>
  <c r="F347" i="4"/>
  <c r="E347" i="4"/>
  <c r="F346" i="4"/>
  <c r="E346" i="4"/>
  <c r="F345" i="4"/>
  <c r="E345" i="4"/>
  <c r="F344" i="4"/>
  <c r="E344" i="4"/>
  <c r="F343" i="4"/>
  <c r="E343" i="4"/>
  <c r="F342" i="4"/>
  <c r="E342" i="4"/>
  <c r="F341" i="4"/>
  <c r="E341" i="4"/>
  <c r="F340" i="4"/>
  <c r="E340" i="4"/>
  <c r="F339" i="4"/>
  <c r="E339" i="4"/>
  <c r="F338" i="4"/>
  <c r="E338" i="4"/>
  <c r="F337" i="4"/>
  <c r="E337" i="4"/>
  <c r="F336" i="4"/>
  <c r="E336" i="4"/>
  <c r="F335" i="4"/>
  <c r="E335" i="4"/>
  <c r="F334" i="4"/>
  <c r="E334" i="4"/>
  <c r="F333" i="4"/>
  <c r="E333" i="4"/>
  <c r="F332" i="4"/>
  <c r="E332" i="4"/>
  <c r="F331" i="4"/>
  <c r="E331" i="4"/>
  <c r="F330" i="4"/>
  <c r="E330" i="4"/>
  <c r="F329" i="4"/>
  <c r="E329" i="4"/>
  <c r="F328" i="4"/>
  <c r="E328" i="4"/>
  <c r="F327" i="4"/>
  <c r="E327" i="4"/>
  <c r="F326" i="4"/>
  <c r="E326" i="4"/>
  <c r="F325" i="4"/>
  <c r="E325" i="4"/>
  <c r="F324" i="4"/>
  <c r="E324" i="4"/>
  <c r="F323" i="4"/>
  <c r="E323" i="4"/>
  <c r="F322" i="4"/>
  <c r="E322" i="4"/>
  <c r="K321" i="4"/>
  <c r="L321" i="4" s="1"/>
  <c r="M321" i="4" s="1"/>
  <c r="N321" i="4" s="1"/>
  <c r="O321" i="4" s="1"/>
  <c r="P321" i="4" s="1"/>
  <c r="Q321" i="4" s="1"/>
  <c r="R321" i="4" s="1"/>
  <c r="S321" i="4" s="1"/>
  <c r="T321" i="4" s="1"/>
  <c r="U321" i="4" s="1"/>
  <c r="V321" i="4" s="1"/>
  <c r="W321" i="4" s="1"/>
  <c r="X321" i="4" s="1"/>
  <c r="Y321" i="4" s="1"/>
  <c r="Z321" i="4" s="1"/>
  <c r="AA321" i="4" s="1"/>
  <c r="AB321" i="4" s="1"/>
  <c r="AC321" i="4" s="1"/>
  <c r="AD321" i="4" s="1"/>
  <c r="AE321" i="4" s="1"/>
  <c r="AF321" i="4" s="1"/>
  <c r="AG321" i="4" s="1"/>
  <c r="AG317" i="4"/>
  <c r="H313" i="4"/>
  <c r="G313" i="4" s="1"/>
  <c r="F313" i="4"/>
  <c r="E313" i="4"/>
  <c r="H312" i="4"/>
  <c r="G312" i="4" s="1"/>
  <c r="F312" i="4"/>
  <c r="E312" i="4"/>
  <c r="H311" i="4"/>
  <c r="G311" i="4" s="1"/>
  <c r="F311" i="4"/>
  <c r="E311" i="4"/>
  <c r="H310" i="4"/>
  <c r="G310" i="4" s="1"/>
  <c r="F310" i="4"/>
  <c r="E310" i="4"/>
  <c r="H309" i="4"/>
  <c r="F309" i="4"/>
  <c r="E309" i="4"/>
  <c r="H308" i="4"/>
  <c r="G308" i="4" s="1"/>
  <c r="F308" i="4"/>
  <c r="E308" i="4"/>
  <c r="H307" i="4"/>
  <c r="G307" i="4" s="1"/>
  <c r="F307" i="4"/>
  <c r="E307" i="4"/>
  <c r="H306" i="4"/>
  <c r="G306" i="4" s="1"/>
  <c r="F306" i="4"/>
  <c r="E306" i="4"/>
  <c r="H305" i="4"/>
  <c r="G305" i="4" s="1"/>
  <c r="F305" i="4"/>
  <c r="E305" i="4"/>
  <c r="H304" i="4"/>
  <c r="F304" i="4"/>
  <c r="E304" i="4"/>
  <c r="H303" i="4"/>
  <c r="G303" i="4" s="1"/>
  <c r="F303" i="4"/>
  <c r="E303" i="4"/>
  <c r="H302" i="4"/>
  <c r="G302" i="4" s="1"/>
  <c r="F302" i="4"/>
  <c r="E302" i="4"/>
  <c r="H301" i="4"/>
  <c r="G301" i="4" s="1"/>
  <c r="F301" i="4"/>
  <c r="E301" i="4"/>
  <c r="H300" i="4"/>
  <c r="G300" i="4" s="1"/>
  <c r="F300" i="4"/>
  <c r="E300" i="4"/>
  <c r="H299" i="4"/>
  <c r="G299" i="4" s="1"/>
  <c r="F299" i="4"/>
  <c r="E299" i="4"/>
  <c r="H298" i="4"/>
  <c r="G298" i="4" s="1"/>
  <c r="F298" i="4"/>
  <c r="E298" i="4"/>
  <c r="H297" i="4"/>
  <c r="G297" i="4" s="1"/>
  <c r="F297" i="4"/>
  <c r="E297" i="4"/>
  <c r="H296" i="4"/>
  <c r="G296" i="4" s="1"/>
  <c r="F296" i="4"/>
  <c r="E296" i="4"/>
  <c r="H295" i="4"/>
  <c r="G295" i="4" s="1"/>
  <c r="F295" i="4"/>
  <c r="E295" i="4"/>
  <c r="H294" i="4"/>
  <c r="G294" i="4" s="1"/>
  <c r="F294" i="4"/>
  <c r="E294" i="4"/>
  <c r="H293" i="4"/>
  <c r="G293" i="4" s="1"/>
  <c r="F293" i="4"/>
  <c r="E293" i="4"/>
  <c r="H292" i="4"/>
  <c r="G292" i="4" s="1"/>
  <c r="F292" i="4"/>
  <c r="E292" i="4"/>
  <c r="H291" i="4"/>
  <c r="G291" i="4" s="1"/>
  <c r="F291" i="4"/>
  <c r="E291" i="4"/>
  <c r="H290" i="4"/>
  <c r="G290" i="4" s="1"/>
  <c r="F290" i="4"/>
  <c r="E290" i="4"/>
  <c r="H289" i="4"/>
  <c r="G289" i="4" s="1"/>
  <c r="F289" i="4"/>
  <c r="E289" i="4"/>
  <c r="H288" i="4"/>
  <c r="G288" i="4" s="1"/>
  <c r="F288" i="4"/>
  <c r="E288" i="4"/>
  <c r="H287" i="4"/>
  <c r="G287" i="4" s="1"/>
  <c r="F287" i="4"/>
  <c r="E287" i="4"/>
  <c r="H286" i="4"/>
  <c r="G286" i="4" s="1"/>
  <c r="F286" i="4"/>
  <c r="E286" i="4"/>
  <c r="H285" i="4"/>
  <c r="G285" i="4" s="1"/>
  <c r="F285" i="4"/>
  <c r="E285" i="4"/>
  <c r="H284" i="4"/>
  <c r="G284" i="4" s="1"/>
  <c r="F284" i="4"/>
  <c r="E284" i="4"/>
  <c r="H283" i="4"/>
  <c r="G283" i="4" s="1"/>
  <c r="F283" i="4"/>
  <c r="E283" i="4"/>
  <c r="H282" i="4"/>
  <c r="G282" i="4" s="1"/>
  <c r="F282" i="4"/>
  <c r="E282" i="4"/>
  <c r="H281" i="4"/>
  <c r="G281" i="4" s="1"/>
  <c r="F281" i="4"/>
  <c r="E281" i="4"/>
  <c r="H280" i="4"/>
  <c r="G280" i="4" s="1"/>
  <c r="F280" i="4"/>
  <c r="E280" i="4"/>
  <c r="H279" i="4"/>
  <c r="G279" i="4" s="1"/>
  <c r="F279" i="4"/>
  <c r="E279" i="4"/>
  <c r="H278" i="4"/>
  <c r="G278" i="4" s="1"/>
  <c r="F278" i="4"/>
  <c r="E278" i="4"/>
  <c r="H277" i="4"/>
  <c r="G277" i="4" s="1"/>
  <c r="F277" i="4"/>
  <c r="E277" i="4"/>
  <c r="H276" i="4"/>
  <c r="G276" i="4" s="1"/>
  <c r="F276" i="4"/>
  <c r="E276" i="4"/>
  <c r="H275" i="4"/>
  <c r="G275" i="4" s="1"/>
  <c r="F275" i="4"/>
  <c r="E275" i="4"/>
  <c r="H274" i="4"/>
  <c r="G274" i="4" s="1"/>
  <c r="F274" i="4"/>
  <c r="E274" i="4"/>
  <c r="H273" i="4"/>
  <c r="G273" i="4" s="1"/>
  <c r="F273" i="4"/>
  <c r="E273" i="4"/>
  <c r="H272" i="4"/>
  <c r="G272" i="4" s="1"/>
  <c r="F272" i="4"/>
  <c r="E272" i="4"/>
  <c r="H271" i="4"/>
  <c r="G271" i="4" s="1"/>
  <c r="F271" i="4"/>
  <c r="E271" i="4"/>
  <c r="H270" i="4"/>
  <c r="G270" i="4" s="1"/>
  <c r="F270" i="4"/>
  <c r="E270" i="4"/>
  <c r="H269" i="4"/>
  <c r="G269" i="4" s="1"/>
  <c r="F269" i="4"/>
  <c r="E269" i="4"/>
  <c r="H268" i="4"/>
  <c r="G268" i="4" s="1"/>
  <c r="T268" i="4" s="1"/>
  <c r="T331" i="4" s="1"/>
  <c r="F268" i="4"/>
  <c r="E268" i="4"/>
  <c r="H267" i="4"/>
  <c r="G267" i="4" s="1"/>
  <c r="F267" i="4"/>
  <c r="E267" i="4"/>
  <c r="H266" i="4"/>
  <c r="G266" i="4" s="1"/>
  <c r="F266" i="4"/>
  <c r="E266" i="4"/>
  <c r="H265" i="4"/>
  <c r="G265" i="4" s="1"/>
  <c r="F265" i="4"/>
  <c r="E265" i="4"/>
  <c r="H264" i="4"/>
  <c r="G264" i="4" s="1"/>
  <c r="F264" i="4"/>
  <c r="E264" i="4"/>
  <c r="H263" i="4"/>
  <c r="G263" i="4" s="1"/>
  <c r="F263" i="4"/>
  <c r="E263" i="4"/>
  <c r="H262" i="4"/>
  <c r="G262" i="4" s="1"/>
  <c r="F262" i="4"/>
  <c r="E262" i="4"/>
  <c r="H261" i="4"/>
  <c r="G261" i="4" s="1"/>
  <c r="F261" i="4"/>
  <c r="E261" i="4"/>
  <c r="H260" i="4"/>
  <c r="F260" i="4"/>
  <c r="E260" i="4"/>
  <c r="H259" i="4"/>
  <c r="G259" i="4" s="1"/>
  <c r="F259" i="4"/>
  <c r="E259" i="4"/>
  <c r="K258" i="4"/>
  <c r="L258" i="4" s="1"/>
  <c r="M258" i="4" s="1"/>
  <c r="N258" i="4" s="1"/>
  <c r="O258" i="4" s="1"/>
  <c r="P258" i="4" s="1"/>
  <c r="Q258" i="4" s="1"/>
  <c r="R258" i="4" s="1"/>
  <c r="S258" i="4" s="1"/>
  <c r="T258" i="4" s="1"/>
  <c r="U258" i="4" s="1"/>
  <c r="V258" i="4" s="1"/>
  <c r="W258" i="4" s="1"/>
  <c r="X258" i="4" s="1"/>
  <c r="Y258" i="4" s="1"/>
  <c r="Z258" i="4" s="1"/>
  <c r="AA258" i="4" s="1"/>
  <c r="AB258" i="4" s="1"/>
  <c r="AC258" i="4" s="1"/>
  <c r="AD258" i="4" s="1"/>
  <c r="AE258" i="4" s="1"/>
  <c r="AF258" i="4" s="1"/>
  <c r="AG258" i="4" s="1"/>
  <c r="AG254" i="4"/>
  <c r="F250" i="4"/>
  <c r="E250" i="4"/>
  <c r="F249" i="4"/>
  <c r="E249" i="4"/>
  <c r="F248" i="4"/>
  <c r="E248" i="4"/>
  <c r="F247" i="4"/>
  <c r="E247" i="4"/>
  <c r="F246" i="4"/>
  <c r="E246" i="4"/>
  <c r="F245" i="4"/>
  <c r="E245" i="4"/>
  <c r="F244" i="4"/>
  <c r="E244" i="4"/>
  <c r="F243" i="4"/>
  <c r="E243" i="4"/>
  <c r="F242" i="4"/>
  <c r="E242" i="4"/>
  <c r="F241" i="4"/>
  <c r="E241" i="4"/>
  <c r="F240" i="4"/>
  <c r="E240" i="4"/>
  <c r="F239" i="4"/>
  <c r="E239" i="4"/>
  <c r="F238" i="4"/>
  <c r="E238" i="4"/>
  <c r="F237" i="4"/>
  <c r="E237" i="4"/>
  <c r="F236" i="4"/>
  <c r="E236" i="4"/>
  <c r="F235" i="4"/>
  <c r="E235" i="4"/>
  <c r="F234" i="4"/>
  <c r="E234" i="4"/>
  <c r="F233" i="4"/>
  <c r="E233" i="4"/>
  <c r="F232" i="4"/>
  <c r="E232" i="4"/>
  <c r="F231" i="4"/>
  <c r="E231" i="4"/>
  <c r="F230" i="4"/>
  <c r="E230" i="4"/>
  <c r="F229" i="4"/>
  <c r="E229" i="4"/>
  <c r="F228" i="4"/>
  <c r="E228" i="4"/>
  <c r="F227" i="4"/>
  <c r="E227" i="4"/>
  <c r="F226" i="4"/>
  <c r="E226" i="4"/>
  <c r="F225" i="4"/>
  <c r="E225" i="4"/>
  <c r="F224" i="4"/>
  <c r="E224" i="4"/>
  <c r="F223" i="4"/>
  <c r="E223" i="4"/>
  <c r="F222" i="4"/>
  <c r="E222" i="4"/>
  <c r="F221" i="4"/>
  <c r="E221" i="4"/>
  <c r="F220" i="4"/>
  <c r="E220" i="4"/>
  <c r="F219" i="4"/>
  <c r="E219" i="4"/>
  <c r="F218" i="4"/>
  <c r="E218" i="4"/>
  <c r="F217" i="4"/>
  <c r="E217" i="4"/>
  <c r="F216" i="4"/>
  <c r="E216" i="4"/>
  <c r="F215" i="4"/>
  <c r="E215" i="4"/>
  <c r="F214" i="4"/>
  <c r="E214" i="4"/>
  <c r="F213" i="4"/>
  <c r="E213" i="4"/>
  <c r="F212" i="4"/>
  <c r="E212" i="4"/>
  <c r="F211" i="4"/>
  <c r="E211" i="4"/>
  <c r="F210" i="4"/>
  <c r="E210" i="4"/>
  <c r="F209" i="4"/>
  <c r="E209" i="4"/>
  <c r="F208" i="4"/>
  <c r="E208" i="4"/>
  <c r="F207" i="4"/>
  <c r="E207" i="4"/>
  <c r="F206" i="4"/>
  <c r="E206" i="4"/>
  <c r="F205" i="4"/>
  <c r="E205" i="4"/>
  <c r="F204" i="4"/>
  <c r="E204" i="4"/>
  <c r="F203" i="4"/>
  <c r="E203" i="4"/>
  <c r="F202" i="4"/>
  <c r="E202" i="4"/>
  <c r="F201" i="4"/>
  <c r="E201" i="4"/>
  <c r="F200" i="4"/>
  <c r="E200" i="4"/>
  <c r="F199" i="4"/>
  <c r="E199" i="4"/>
  <c r="F198" i="4"/>
  <c r="E198" i="4"/>
  <c r="F197" i="4"/>
  <c r="E197" i="4"/>
  <c r="F196" i="4"/>
  <c r="E196" i="4"/>
  <c r="K195" i="4"/>
  <c r="L195" i="4" s="1"/>
  <c r="M195" i="4" s="1"/>
  <c r="N195" i="4" s="1"/>
  <c r="O195" i="4" s="1"/>
  <c r="P195" i="4" s="1"/>
  <c r="Q195" i="4" s="1"/>
  <c r="R195" i="4" s="1"/>
  <c r="S195" i="4" s="1"/>
  <c r="T195" i="4" s="1"/>
  <c r="U195" i="4" s="1"/>
  <c r="V195" i="4" s="1"/>
  <c r="W195" i="4" s="1"/>
  <c r="X195" i="4" s="1"/>
  <c r="Y195" i="4" s="1"/>
  <c r="Z195" i="4" s="1"/>
  <c r="AA195" i="4" s="1"/>
  <c r="AB195" i="4" s="1"/>
  <c r="AC195" i="4" s="1"/>
  <c r="AD195" i="4" s="1"/>
  <c r="AE195" i="4" s="1"/>
  <c r="AF195" i="4" s="1"/>
  <c r="AG195" i="4" s="1"/>
  <c r="AG191" i="4"/>
  <c r="H187" i="4"/>
  <c r="G187" i="4" s="1"/>
  <c r="H186" i="4"/>
  <c r="H185" i="4"/>
  <c r="G185" i="4" s="1"/>
  <c r="H184" i="4"/>
  <c r="G184" i="4" s="1"/>
  <c r="H183" i="4"/>
  <c r="G183" i="4" s="1"/>
  <c r="H182" i="4"/>
  <c r="G182" i="4" s="1"/>
  <c r="H181" i="4"/>
  <c r="G181" i="4" s="1"/>
  <c r="H180" i="4"/>
  <c r="G180" i="4" s="1"/>
  <c r="H179" i="4"/>
  <c r="G179" i="4" s="1"/>
  <c r="H178" i="4"/>
  <c r="H177" i="4"/>
  <c r="G177" i="4" s="1"/>
  <c r="H176" i="4"/>
  <c r="G176" i="4" s="1"/>
  <c r="H175" i="4"/>
  <c r="H174" i="4"/>
  <c r="G174" i="4" s="1"/>
  <c r="H173" i="4"/>
  <c r="G173" i="4" s="1"/>
  <c r="H172" i="4"/>
  <c r="G172" i="4" s="1"/>
  <c r="H171" i="4"/>
  <c r="G171" i="4" s="1"/>
  <c r="H170" i="4"/>
  <c r="G170" i="4" s="1"/>
  <c r="H169" i="4"/>
  <c r="G169" i="4" s="1"/>
  <c r="H168" i="4"/>
  <c r="G168" i="4" s="1"/>
  <c r="H167" i="4"/>
  <c r="G167" i="4" s="1"/>
  <c r="H166" i="4"/>
  <c r="G166" i="4" s="1"/>
  <c r="H165" i="4"/>
  <c r="G165" i="4" s="1"/>
  <c r="H164" i="4"/>
  <c r="G164" i="4" s="1"/>
  <c r="H163" i="4"/>
  <c r="G163" i="4" s="1"/>
  <c r="H162" i="4"/>
  <c r="G162" i="4" s="1"/>
  <c r="H161" i="4"/>
  <c r="G161" i="4" s="1"/>
  <c r="H160" i="4"/>
  <c r="G160" i="4" s="1"/>
  <c r="H159" i="4"/>
  <c r="G159" i="4" s="1"/>
  <c r="H158" i="4"/>
  <c r="G158" i="4" s="1"/>
  <c r="H157" i="4"/>
  <c r="G157" i="4" s="1"/>
  <c r="H156" i="4"/>
  <c r="G156" i="4" s="1"/>
  <c r="H155" i="4"/>
  <c r="G155" i="4" s="1"/>
  <c r="H154" i="4"/>
  <c r="G154" i="4" s="1"/>
  <c r="H153" i="4"/>
  <c r="G153" i="4" s="1"/>
  <c r="H152" i="4"/>
  <c r="G152" i="4" s="1"/>
  <c r="H151" i="4"/>
  <c r="G151" i="4" s="1"/>
  <c r="H150" i="4"/>
  <c r="G150" i="4" s="1"/>
  <c r="H149" i="4"/>
  <c r="G149" i="4" s="1"/>
  <c r="H148" i="4"/>
  <c r="G148" i="4" s="1"/>
  <c r="H147" i="4"/>
  <c r="G147" i="4" s="1"/>
  <c r="H146" i="4"/>
  <c r="G146" i="4" s="1"/>
  <c r="H145" i="4"/>
  <c r="G145" i="4" s="1"/>
  <c r="H144" i="4"/>
  <c r="G144" i="4" s="1"/>
  <c r="H143" i="4"/>
  <c r="G143" i="4" s="1"/>
  <c r="H142" i="4"/>
  <c r="G142" i="4" s="1"/>
  <c r="H141" i="4"/>
  <c r="G141" i="4" s="1"/>
  <c r="H140" i="4"/>
  <c r="G140" i="4" s="1"/>
  <c r="H139" i="4"/>
  <c r="G139" i="4" s="1"/>
  <c r="H138" i="4"/>
  <c r="G138" i="4" s="1"/>
  <c r="H137" i="4"/>
  <c r="G137" i="4" s="1"/>
  <c r="H136" i="4"/>
  <c r="G136" i="4" s="1"/>
  <c r="H135" i="4"/>
  <c r="H134" i="4"/>
  <c r="G134" i="4" s="1"/>
  <c r="H133" i="4"/>
  <c r="G133" i="4" s="1"/>
  <c r="F187" i="4"/>
  <c r="E187" i="4"/>
  <c r="F186" i="4"/>
  <c r="E186" i="4"/>
  <c r="F185" i="4"/>
  <c r="E185" i="4"/>
  <c r="F184" i="4"/>
  <c r="E184" i="4"/>
  <c r="F183" i="4"/>
  <c r="E183" i="4"/>
  <c r="F182" i="4"/>
  <c r="E182" i="4"/>
  <c r="F181" i="4"/>
  <c r="E181" i="4"/>
  <c r="F180" i="4"/>
  <c r="E180" i="4"/>
  <c r="F179" i="4"/>
  <c r="E179" i="4"/>
  <c r="F178" i="4"/>
  <c r="E178" i="4"/>
  <c r="F177" i="4"/>
  <c r="E177" i="4"/>
  <c r="F176" i="4"/>
  <c r="E176" i="4"/>
  <c r="G175" i="4"/>
  <c r="F175" i="4"/>
  <c r="E175" i="4"/>
  <c r="F174" i="4"/>
  <c r="E174" i="4"/>
  <c r="F173" i="4"/>
  <c r="E173" i="4"/>
  <c r="F172" i="4"/>
  <c r="E172" i="4"/>
  <c r="F171" i="4"/>
  <c r="E171" i="4"/>
  <c r="F170" i="4"/>
  <c r="E170" i="4"/>
  <c r="F169" i="4"/>
  <c r="E169" i="4"/>
  <c r="F168" i="4"/>
  <c r="E168" i="4"/>
  <c r="F167" i="4"/>
  <c r="E167" i="4"/>
  <c r="F166" i="4"/>
  <c r="E166" i="4"/>
  <c r="F165" i="4"/>
  <c r="E165" i="4"/>
  <c r="F164" i="4"/>
  <c r="E164" i="4"/>
  <c r="F163" i="4"/>
  <c r="E163" i="4"/>
  <c r="F162" i="4"/>
  <c r="E162" i="4"/>
  <c r="F161" i="4"/>
  <c r="E161" i="4"/>
  <c r="F160" i="4"/>
  <c r="E160" i="4"/>
  <c r="F159" i="4"/>
  <c r="E159" i="4"/>
  <c r="F158" i="4"/>
  <c r="E158" i="4"/>
  <c r="F157" i="4"/>
  <c r="E157" i="4"/>
  <c r="F156" i="4"/>
  <c r="E156" i="4"/>
  <c r="F155" i="4"/>
  <c r="E155" i="4"/>
  <c r="F154" i="4"/>
  <c r="E154" i="4"/>
  <c r="F153" i="4"/>
  <c r="E153" i="4"/>
  <c r="F152" i="4"/>
  <c r="E152" i="4"/>
  <c r="F151" i="4"/>
  <c r="E151" i="4"/>
  <c r="F150" i="4"/>
  <c r="E150" i="4"/>
  <c r="F149" i="4"/>
  <c r="E149" i="4"/>
  <c r="F148" i="4"/>
  <c r="E148" i="4"/>
  <c r="F147" i="4"/>
  <c r="E147" i="4"/>
  <c r="F146" i="4"/>
  <c r="E146" i="4"/>
  <c r="F145" i="4"/>
  <c r="E145" i="4"/>
  <c r="F144" i="4"/>
  <c r="E144" i="4"/>
  <c r="F143" i="4"/>
  <c r="E143" i="4"/>
  <c r="F142" i="4"/>
  <c r="E142" i="4"/>
  <c r="F141" i="4"/>
  <c r="E141" i="4"/>
  <c r="F140" i="4"/>
  <c r="E140" i="4"/>
  <c r="F139" i="4"/>
  <c r="E139" i="4"/>
  <c r="F138" i="4"/>
  <c r="E138" i="4"/>
  <c r="F137" i="4"/>
  <c r="E137" i="4"/>
  <c r="F136" i="4"/>
  <c r="E136" i="4"/>
  <c r="F135" i="4"/>
  <c r="E135" i="4"/>
  <c r="F134" i="4"/>
  <c r="E134" i="4"/>
  <c r="F133" i="4"/>
  <c r="E133" i="4"/>
  <c r="K132" i="4"/>
  <c r="L132" i="4" s="1"/>
  <c r="M132" i="4" s="1"/>
  <c r="N132" i="4" s="1"/>
  <c r="O132" i="4" s="1"/>
  <c r="P132" i="4" s="1"/>
  <c r="Q132" i="4" s="1"/>
  <c r="R132" i="4" s="1"/>
  <c r="S132" i="4" s="1"/>
  <c r="T132" i="4" s="1"/>
  <c r="U132" i="4" s="1"/>
  <c r="V132" i="4" s="1"/>
  <c r="W132" i="4" s="1"/>
  <c r="X132" i="4" s="1"/>
  <c r="Y132" i="4" s="1"/>
  <c r="Z132" i="4" s="1"/>
  <c r="AA132" i="4" s="1"/>
  <c r="AB132" i="4" s="1"/>
  <c r="AC132" i="4" s="1"/>
  <c r="AD132" i="4" s="1"/>
  <c r="AE132" i="4" s="1"/>
  <c r="AF132" i="4" s="1"/>
  <c r="AG132" i="4" s="1"/>
  <c r="AG128" i="4"/>
  <c r="H124" i="4"/>
  <c r="G124" i="4" s="1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G96" i="4" s="1"/>
  <c r="H95" i="4"/>
  <c r="H94" i="4"/>
  <c r="H93" i="4"/>
  <c r="G93" i="4" s="1"/>
  <c r="H92" i="4"/>
  <c r="H91" i="4"/>
  <c r="H90" i="4"/>
  <c r="H89" i="4"/>
  <c r="H88" i="4"/>
  <c r="H87" i="4"/>
  <c r="H86" i="4"/>
  <c r="H85" i="4"/>
  <c r="H84" i="4"/>
  <c r="G84" i="4" s="1"/>
  <c r="H83" i="4"/>
  <c r="H82" i="4"/>
  <c r="H81" i="4"/>
  <c r="H80" i="4"/>
  <c r="H79" i="4"/>
  <c r="H78" i="4"/>
  <c r="H77" i="4"/>
  <c r="H76" i="4"/>
  <c r="H75" i="4"/>
  <c r="H74" i="4"/>
  <c r="H73" i="4"/>
  <c r="G73" i="4" s="1"/>
  <c r="H72" i="4"/>
  <c r="H71" i="4"/>
  <c r="G71" i="4" s="1"/>
  <c r="H70" i="4"/>
  <c r="F124" i="4"/>
  <c r="E124" i="4"/>
  <c r="F123" i="4"/>
  <c r="E123" i="4"/>
  <c r="F122" i="4"/>
  <c r="E122" i="4"/>
  <c r="F121" i="4"/>
  <c r="E121" i="4"/>
  <c r="F120" i="4"/>
  <c r="E120" i="4"/>
  <c r="F119" i="4"/>
  <c r="E119" i="4"/>
  <c r="F118" i="4"/>
  <c r="E118" i="4"/>
  <c r="F117" i="4"/>
  <c r="E117" i="4"/>
  <c r="F116" i="4"/>
  <c r="E116" i="4"/>
  <c r="F115" i="4"/>
  <c r="E115" i="4"/>
  <c r="F114" i="4"/>
  <c r="E114" i="4"/>
  <c r="F113" i="4"/>
  <c r="E113" i="4"/>
  <c r="F112" i="4"/>
  <c r="E112" i="4"/>
  <c r="F111" i="4"/>
  <c r="E111" i="4"/>
  <c r="F110" i="4"/>
  <c r="E110" i="4"/>
  <c r="F109" i="4"/>
  <c r="E109" i="4"/>
  <c r="F108" i="4"/>
  <c r="E108" i="4"/>
  <c r="F107" i="4"/>
  <c r="E107" i="4"/>
  <c r="F106" i="4"/>
  <c r="E106" i="4"/>
  <c r="F105" i="4"/>
  <c r="E105" i="4"/>
  <c r="F104" i="4"/>
  <c r="E104" i="4"/>
  <c r="F103" i="4"/>
  <c r="E103" i="4"/>
  <c r="F102" i="4"/>
  <c r="E102" i="4"/>
  <c r="F101" i="4"/>
  <c r="E101" i="4"/>
  <c r="F100" i="4"/>
  <c r="E100" i="4"/>
  <c r="F99" i="4"/>
  <c r="E99" i="4"/>
  <c r="F98" i="4"/>
  <c r="E98" i="4"/>
  <c r="F97" i="4"/>
  <c r="E97" i="4"/>
  <c r="F96" i="4"/>
  <c r="E96" i="4"/>
  <c r="F95" i="4"/>
  <c r="E95" i="4"/>
  <c r="F94" i="4"/>
  <c r="E94" i="4"/>
  <c r="F93" i="4"/>
  <c r="E93" i="4"/>
  <c r="F92" i="4"/>
  <c r="E92" i="4"/>
  <c r="F91" i="4"/>
  <c r="E91" i="4"/>
  <c r="F90" i="4"/>
  <c r="E90" i="4"/>
  <c r="F89" i="4"/>
  <c r="E89" i="4"/>
  <c r="F88" i="4"/>
  <c r="E88" i="4"/>
  <c r="F87" i="4"/>
  <c r="E87" i="4"/>
  <c r="F86" i="4"/>
  <c r="E86" i="4"/>
  <c r="F85" i="4"/>
  <c r="E85" i="4"/>
  <c r="F84" i="4"/>
  <c r="E84" i="4"/>
  <c r="F83" i="4"/>
  <c r="E83" i="4"/>
  <c r="F82" i="4"/>
  <c r="E82" i="4"/>
  <c r="F81" i="4"/>
  <c r="E81" i="4"/>
  <c r="F80" i="4"/>
  <c r="E80" i="4"/>
  <c r="F79" i="4"/>
  <c r="E79" i="4"/>
  <c r="F78" i="4"/>
  <c r="E78" i="4"/>
  <c r="F77" i="4"/>
  <c r="E77" i="4"/>
  <c r="F76" i="4"/>
  <c r="E76" i="4"/>
  <c r="F75" i="4"/>
  <c r="E75" i="4"/>
  <c r="F74" i="4"/>
  <c r="E74" i="4"/>
  <c r="F73" i="4"/>
  <c r="E73" i="4"/>
  <c r="F72" i="4"/>
  <c r="E72" i="4"/>
  <c r="F71" i="4"/>
  <c r="E71" i="4"/>
  <c r="F70" i="4"/>
  <c r="E70" i="4"/>
  <c r="K69" i="4"/>
  <c r="AG65" i="4"/>
  <c r="K54" i="3"/>
  <c r="K55" i="3"/>
  <c r="K52" i="3"/>
  <c r="K60" i="3"/>
  <c r="K53" i="3"/>
  <c r="K57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I58" i="3"/>
  <c r="M58" i="3" s="1"/>
  <c r="I56" i="3"/>
  <c r="M56" i="3" s="1"/>
  <c r="I59" i="3"/>
  <c r="M59" i="3" s="1"/>
  <c r="I54" i="3"/>
  <c r="M54" i="3" s="1"/>
  <c r="I55" i="3"/>
  <c r="M55" i="3" s="1"/>
  <c r="I52" i="3"/>
  <c r="M52" i="3" s="1"/>
  <c r="I60" i="3"/>
  <c r="M60" i="3" s="1"/>
  <c r="I53" i="3"/>
  <c r="M53" i="3" s="1"/>
  <c r="I57" i="3"/>
  <c r="I51" i="3"/>
  <c r="K51" i="3" s="1"/>
  <c r="I50" i="3"/>
  <c r="M50" i="3" s="1"/>
  <c r="I49" i="3"/>
  <c r="I48" i="3"/>
  <c r="I47" i="3"/>
  <c r="I46" i="3"/>
  <c r="I45" i="3"/>
  <c r="I44" i="3"/>
  <c r="I43" i="3"/>
  <c r="M43" i="3" s="1"/>
  <c r="I42" i="3"/>
  <c r="I41" i="3"/>
  <c r="I40" i="3"/>
  <c r="M40" i="3" s="1"/>
  <c r="I39" i="3"/>
  <c r="M39" i="3" s="1"/>
  <c r="I38" i="3"/>
  <c r="M38" i="3" s="1"/>
  <c r="I37" i="3"/>
  <c r="M37" i="3" s="1"/>
  <c r="I36" i="3"/>
  <c r="M36" i="3" s="1"/>
  <c r="I35" i="3"/>
  <c r="M35" i="3" s="1"/>
  <c r="I34" i="3"/>
  <c r="M34" i="3" s="1"/>
  <c r="I33" i="3"/>
  <c r="M33" i="3" s="1"/>
  <c r="I32" i="3"/>
  <c r="I31" i="3"/>
  <c r="I30" i="3"/>
  <c r="M30" i="3" s="1"/>
  <c r="I29" i="3"/>
  <c r="I28" i="3"/>
  <c r="I27" i="3"/>
  <c r="I26" i="3"/>
  <c r="I25" i="3"/>
  <c r="I24" i="3"/>
  <c r="I23" i="3"/>
  <c r="I22" i="3"/>
  <c r="I21" i="3"/>
  <c r="I20" i="3"/>
  <c r="M20" i="3" s="1"/>
  <c r="I19" i="3"/>
  <c r="M19" i="3" s="1"/>
  <c r="I18" i="3"/>
  <c r="M18" i="3" s="1"/>
  <c r="I17" i="3"/>
  <c r="M17" i="3" s="1"/>
  <c r="I16" i="3"/>
  <c r="M16" i="3" s="1"/>
  <c r="I15" i="3"/>
  <c r="M15" i="3" s="1"/>
  <c r="I14" i="3"/>
  <c r="M14" i="3" s="1"/>
  <c r="I13" i="3"/>
  <c r="M13" i="3" s="1"/>
  <c r="I12" i="3"/>
  <c r="I11" i="3"/>
  <c r="I10" i="3"/>
  <c r="M10" i="3" s="1"/>
  <c r="I9" i="3"/>
  <c r="I8" i="3"/>
  <c r="I7" i="3"/>
  <c r="I6" i="3"/>
  <c r="M6" i="3" s="1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H61" i="4"/>
  <c r="G61" i="4" s="1"/>
  <c r="H60" i="4"/>
  <c r="G60" i="4" s="1"/>
  <c r="H59" i="4"/>
  <c r="G59" i="4" s="1"/>
  <c r="H58" i="4"/>
  <c r="G58" i="4" s="1"/>
  <c r="H57" i="4"/>
  <c r="G57" i="4" s="1"/>
  <c r="H56" i="4"/>
  <c r="G56" i="4" s="1"/>
  <c r="H55" i="4"/>
  <c r="G55" i="4" s="1"/>
  <c r="H54" i="4"/>
  <c r="G54" i="4" s="1"/>
  <c r="H53" i="4"/>
  <c r="G53" i="4" s="1"/>
  <c r="H52" i="4"/>
  <c r="G52" i="4" s="1"/>
  <c r="H51" i="4"/>
  <c r="G51" i="4" s="1"/>
  <c r="H50" i="4"/>
  <c r="G50" i="4" s="1"/>
  <c r="H49" i="4"/>
  <c r="G49" i="4" s="1"/>
  <c r="H48" i="4"/>
  <c r="G48" i="4" s="1"/>
  <c r="H47" i="4"/>
  <c r="G47" i="4" s="1"/>
  <c r="H46" i="4"/>
  <c r="G46" i="4" s="1"/>
  <c r="H45" i="4"/>
  <c r="G45" i="4" s="1"/>
  <c r="H44" i="4"/>
  <c r="G44" i="4" s="1"/>
  <c r="H43" i="4"/>
  <c r="G43" i="4" s="1"/>
  <c r="H42" i="4"/>
  <c r="G42" i="4" s="1"/>
  <c r="H41" i="4"/>
  <c r="G41" i="4" s="1"/>
  <c r="H40" i="4"/>
  <c r="G40" i="4" s="1"/>
  <c r="H39" i="4"/>
  <c r="G39" i="4" s="1"/>
  <c r="H38" i="4"/>
  <c r="G38" i="4" s="1"/>
  <c r="H37" i="4"/>
  <c r="G37" i="4" s="1"/>
  <c r="H36" i="4"/>
  <c r="G36" i="4" s="1"/>
  <c r="H35" i="4"/>
  <c r="H34" i="4"/>
  <c r="G34" i="4" s="1"/>
  <c r="H33" i="4"/>
  <c r="G33" i="4" s="1"/>
  <c r="H32" i="4"/>
  <c r="G32" i="4" s="1"/>
  <c r="H31" i="4"/>
  <c r="G31" i="4" s="1"/>
  <c r="H30" i="4"/>
  <c r="G30" i="4" s="1"/>
  <c r="H29" i="4"/>
  <c r="G29" i="4" s="1"/>
  <c r="H28" i="4"/>
  <c r="G28" i="4" s="1"/>
  <c r="H27" i="4"/>
  <c r="G27" i="4" s="1"/>
  <c r="H26" i="4"/>
  <c r="G26" i="4" s="1"/>
  <c r="H25" i="4"/>
  <c r="G25" i="4" s="1"/>
  <c r="H24" i="4"/>
  <c r="G24" i="4" s="1"/>
  <c r="H23" i="4"/>
  <c r="G23" i="4" s="1"/>
  <c r="H22" i="4"/>
  <c r="G22" i="4" s="1"/>
  <c r="H21" i="4"/>
  <c r="G21" i="4" s="1"/>
  <c r="H20" i="4"/>
  <c r="G20" i="4" s="1"/>
  <c r="H19" i="4"/>
  <c r="G19" i="4" s="1"/>
  <c r="H18" i="4"/>
  <c r="G18" i="4" s="1"/>
  <c r="H17" i="4"/>
  <c r="G17" i="4" s="1"/>
  <c r="H16" i="4"/>
  <c r="G16" i="4" s="1"/>
  <c r="H15" i="4"/>
  <c r="G15" i="4" s="1"/>
  <c r="H14" i="4"/>
  <c r="G14" i="4" s="1"/>
  <c r="H13" i="4"/>
  <c r="G13" i="4" s="1"/>
  <c r="H12" i="4"/>
  <c r="G12" i="4" s="1"/>
  <c r="H11" i="4"/>
  <c r="G11" i="4" s="1"/>
  <c r="H10" i="4"/>
  <c r="G10" i="4" s="1"/>
  <c r="H9" i="4"/>
  <c r="G9" i="4" s="1"/>
  <c r="H8" i="4"/>
  <c r="G8" i="4" s="1"/>
  <c r="H7" i="4"/>
  <c r="G7" i="4" s="1"/>
  <c r="J61" i="3"/>
  <c r="H61" i="3"/>
  <c r="G61" i="3"/>
  <c r="M7" i="3"/>
  <c r="M8" i="3"/>
  <c r="M9" i="3"/>
  <c r="M11" i="3"/>
  <c r="M12" i="3"/>
  <c r="M21" i="3"/>
  <c r="M22" i="3"/>
  <c r="M23" i="3"/>
  <c r="M24" i="3"/>
  <c r="M25" i="3"/>
  <c r="M26" i="3"/>
  <c r="M27" i="3"/>
  <c r="M28" i="3"/>
  <c r="M29" i="3"/>
  <c r="M31" i="3"/>
  <c r="M32" i="3"/>
  <c r="M41" i="3"/>
  <c r="M42" i="3"/>
  <c r="M44" i="3"/>
  <c r="M45" i="3"/>
  <c r="M46" i="3"/>
  <c r="M47" i="3"/>
  <c r="M48" i="3"/>
  <c r="M49" i="3"/>
  <c r="M57" i="3"/>
  <c r="M2" i="3"/>
  <c r="K6" i="4"/>
  <c r="AG2" i="4"/>
  <c r="B98" i="2"/>
  <c r="C98" i="2" s="1"/>
  <c r="B48" i="2"/>
  <c r="C48" i="2" s="1"/>
  <c r="B47" i="2"/>
  <c r="C47" i="2" s="1"/>
  <c r="B46" i="2"/>
  <c r="C46" i="2" s="1"/>
  <c r="B45" i="2"/>
  <c r="C45" i="2" s="1"/>
  <c r="B44" i="2"/>
  <c r="C44" i="2" s="1"/>
  <c r="B43" i="2"/>
  <c r="C43" i="2" s="1"/>
  <c r="B42" i="2"/>
  <c r="C42" i="2" s="1"/>
  <c r="B41" i="2"/>
  <c r="C41" i="2" s="1"/>
  <c r="B40" i="2"/>
  <c r="C40" i="2" s="1"/>
  <c r="B39" i="2"/>
  <c r="C39" i="2" s="1"/>
  <c r="B38" i="2"/>
  <c r="C38" i="2" s="1"/>
  <c r="B37" i="2"/>
  <c r="C37" i="2" s="1"/>
  <c r="B36" i="2"/>
  <c r="C36" i="2" s="1"/>
  <c r="B35" i="2"/>
  <c r="C35" i="2" s="1"/>
  <c r="B34" i="2"/>
  <c r="C34" i="2" s="1"/>
  <c r="B33" i="2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B9" i="2"/>
  <c r="B8" i="2"/>
  <c r="B7" i="2"/>
  <c r="B6" i="2"/>
  <c r="B5" i="2"/>
  <c r="B3" i="2"/>
  <c r="H9" i="2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G2" i="2"/>
  <c r="V13" i="9" l="1"/>
  <c r="G235" i="11"/>
  <c r="K342" i="11"/>
  <c r="K345" i="11"/>
  <c r="K344" i="11"/>
  <c r="K337" i="11"/>
  <c r="K350" i="11"/>
  <c r="K326" i="11"/>
  <c r="K349" i="11"/>
  <c r="K221" i="11"/>
  <c r="K341" i="11"/>
  <c r="K323" i="11"/>
  <c r="K338" i="11"/>
  <c r="Z1493" i="2"/>
  <c r="Z1495" i="2" s="1"/>
  <c r="Z1525" i="2" s="1"/>
  <c r="AB1493" i="2"/>
  <c r="AB1495" i="2" s="1"/>
  <c r="AB1525" i="2" s="1"/>
  <c r="Y1493" i="2"/>
  <c r="Y1495" i="2" s="1"/>
  <c r="Y1525" i="2" s="1"/>
  <c r="T1493" i="2"/>
  <c r="T1495" i="2" s="1"/>
  <c r="T1525" i="2" s="1"/>
  <c r="U1493" i="2"/>
  <c r="U1495" i="2" s="1"/>
  <c r="U1525" i="2" s="1"/>
  <c r="AG411" i="2"/>
  <c r="Y263" i="2"/>
  <c r="Y265" i="2" s="1"/>
  <c r="Y295" i="2" s="1"/>
  <c r="AG45" i="9"/>
  <c r="T263" i="2"/>
  <c r="T265" i="2" s="1"/>
  <c r="T295" i="2" s="1"/>
  <c r="V263" i="2"/>
  <c r="V265" i="2" s="1"/>
  <c r="V295" i="2" s="1"/>
  <c r="X1542" i="2"/>
  <c r="X1544" i="2" s="1"/>
  <c r="X1574" i="2" s="1"/>
  <c r="X263" i="2"/>
  <c r="X265" i="2" s="1"/>
  <c r="X295" i="2" s="1"/>
  <c r="V1542" i="2"/>
  <c r="V1544" i="2" s="1"/>
  <c r="V1574" i="2" s="1"/>
  <c r="AD1540" i="2"/>
  <c r="AG1540" i="2" s="1"/>
  <c r="AC807" i="2"/>
  <c r="AC809" i="2" s="1"/>
  <c r="AC839" i="2" s="1"/>
  <c r="AA1542" i="2"/>
  <c r="AA1544" i="2" s="1"/>
  <c r="AA1574" i="2" s="1"/>
  <c r="Z1542" i="2"/>
  <c r="Z1544" i="2" s="1"/>
  <c r="Z1574" i="2" s="1"/>
  <c r="U1542" i="2"/>
  <c r="U1544" i="2" s="1"/>
  <c r="U1574" i="2" s="1"/>
  <c r="AG805" i="2"/>
  <c r="Z263" i="2"/>
  <c r="Z265" i="2" s="1"/>
  <c r="Z295" i="2" s="1"/>
  <c r="AC413" i="2"/>
  <c r="AC415" i="2" s="1"/>
  <c r="AC445" i="2" s="1"/>
  <c r="AB1542" i="2"/>
  <c r="AB1544" i="2" s="1"/>
  <c r="AB1574" i="2" s="1"/>
  <c r="N62" i="8"/>
  <c r="L279" i="11"/>
  <c r="L288" i="11"/>
  <c r="L170" i="11"/>
  <c r="K334" i="11"/>
  <c r="K343" i="11"/>
  <c r="K339" i="11"/>
  <c r="L174" i="11"/>
  <c r="L292" i="11"/>
  <c r="L351" i="11" s="1"/>
  <c r="L334" i="11"/>
  <c r="L323" i="11"/>
  <c r="L289" i="11"/>
  <c r="L171" i="11"/>
  <c r="K225" i="11"/>
  <c r="L173" i="11"/>
  <c r="L291" i="11"/>
  <c r="K333" i="11"/>
  <c r="K346" i="11"/>
  <c r="L284" i="11"/>
  <c r="K351" i="11"/>
  <c r="K348" i="11"/>
  <c r="L163" i="11"/>
  <c r="L229" i="11" s="1"/>
  <c r="L281" i="11"/>
  <c r="K347" i="11"/>
  <c r="K335" i="11"/>
  <c r="K336" i="11"/>
  <c r="L277" i="11"/>
  <c r="L336" i="11" s="1"/>
  <c r="L172" i="11"/>
  <c r="L290" i="11"/>
  <c r="L283" i="11"/>
  <c r="L342" i="11" s="1"/>
  <c r="L224" i="11"/>
  <c r="M173" i="11"/>
  <c r="M291" i="11"/>
  <c r="Q92" i="8"/>
  <c r="Q163" i="8" s="1"/>
  <c r="P163" i="8"/>
  <c r="K325" i="11"/>
  <c r="L280" i="11"/>
  <c r="L223" i="11"/>
  <c r="L282" i="11"/>
  <c r="G353" i="11"/>
  <c r="L158" i="11"/>
  <c r="L217" i="11" s="1"/>
  <c r="L276" i="11"/>
  <c r="L335" i="11" s="1"/>
  <c r="K219" i="11"/>
  <c r="K224" i="11"/>
  <c r="L160" i="11"/>
  <c r="L226" i="11" s="1"/>
  <c r="L278" i="11"/>
  <c r="L337" i="11" s="1"/>
  <c r="L219" i="11"/>
  <c r="L169" i="11"/>
  <c r="L287" i="11"/>
  <c r="L168" i="11"/>
  <c r="L286" i="11"/>
  <c r="K340" i="11"/>
  <c r="K220" i="11"/>
  <c r="K222" i="11"/>
  <c r="K327" i="11"/>
  <c r="V56" i="8"/>
  <c r="U159" i="8"/>
  <c r="U96" i="8"/>
  <c r="AD177" i="8"/>
  <c r="L61" i="8"/>
  <c r="AD64" i="8"/>
  <c r="H61" i="8"/>
  <c r="H62" i="8" s="1"/>
  <c r="X11" i="9"/>
  <c r="W13" i="9"/>
  <c r="I66" i="8"/>
  <c r="I70" i="8" s="1"/>
  <c r="AD53" i="8"/>
  <c r="AD54" i="8" s="1"/>
  <c r="M62" i="8"/>
  <c r="M66" i="8"/>
  <c r="D54" i="8"/>
  <c r="D61" i="8"/>
  <c r="U59" i="9"/>
  <c r="U62" i="9" s="1"/>
  <c r="U1244" i="9"/>
  <c r="U1247" i="9" s="1"/>
  <c r="U754" i="9"/>
  <c r="U757" i="9" s="1"/>
  <c r="U1538" i="9"/>
  <c r="U1541" i="9" s="1"/>
  <c r="U1391" i="9"/>
  <c r="U1394" i="9" s="1"/>
  <c r="U1048" i="9"/>
  <c r="U1051" i="9" s="1"/>
  <c r="U359" i="9"/>
  <c r="U362" i="9"/>
  <c r="U1489" i="9"/>
  <c r="U1492" i="9" s="1"/>
  <c r="U1293" i="9"/>
  <c r="U1296" i="9" s="1"/>
  <c r="U259" i="9"/>
  <c r="U262" i="9" s="1"/>
  <c r="U159" i="9"/>
  <c r="U162" i="9" s="1"/>
  <c r="U705" i="9"/>
  <c r="U708" i="9" s="1"/>
  <c r="U1342" i="9"/>
  <c r="U1345" i="9" s="1"/>
  <c r="U999" i="9"/>
  <c r="U1002" i="9" s="1"/>
  <c r="U607" i="9"/>
  <c r="U610" i="9" s="1"/>
  <c r="U1195" i="9"/>
  <c r="U1198" i="9" s="1"/>
  <c r="U309" i="9"/>
  <c r="U312" i="9"/>
  <c r="U459" i="9"/>
  <c r="U462" i="9" s="1"/>
  <c r="U901" i="9"/>
  <c r="U904" i="9" s="1"/>
  <c r="U109" i="9"/>
  <c r="U112" i="9" s="1"/>
  <c r="U209" i="9"/>
  <c r="U212" i="9" s="1"/>
  <c r="U558" i="9"/>
  <c r="U561" i="9" s="1"/>
  <c r="U509" i="9"/>
  <c r="U512" i="9" s="1"/>
  <c r="U803" i="9"/>
  <c r="U806" i="9" s="1"/>
  <c r="U656" i="9"/>
  <c r="U659" i="9" s="1"/>
  <c r="U1440" i="9"/>
  <c r="U1443" i="9" s="1"/>
  <c r="U1146" i="9"/>
  <c r="U1149" i="9"/>
  <c r="U1097" i="9"/>
  <c r="U1100" i="9" s="1"/>
  <c r="U950" i="9"/>
  <c r="U953" i="9" s="1"/>
  <c r="U852" i="9"/>
  <c r="U855" i="9" s="1"/>
  <c r="T1345" i="9"/>
  <c r="U409" i="9"/>
  <c r="U412" i="9"/>
  <c r="AD839" i="2"/>
  <c r="AD811" i="2"/>
  <c r="AD818" i="2" s="1"/>
  <c r="AD417" i="2"/>
  <c r="AD445" i="2"/>
  <c r="AA313" i="2"/>
  <c r="AA315" i="2" s="1"/>
  <c r="AA345" i="2" s="1"/>
  <c r="U313" i="2"/>
  <c r="U315" i="2" s="1"/>
  <c r="U345" i="2" s="1"/>
  <c r="W263" i="2"/>
  <c r="W265" i="2" s="1"/>
  <c r="W295" i="2" s="1"/>
  <c r="AG1197" i="2"/>
  <c r="AD1442" i="2"/>
  <c r="AG1442" i="2" s="1"/>
  <c r="AD117" i="2"/>
  <c r="AD136" i="2" s="1"/>
  <c r="X313" i="2"/>
  <c r="X315" i="2" s="1"/>
  <c r="X345" i="2" s="1"/>
  <c r="V313" i="2"/>
  <c r="V315" i="2" s="1"/>
  <c r="V345" i="2" s="1"/>
  <c r="Z313" i="2"/>
  <c r="Z315" i="2" s="1"/>
  <c r="Z345" i="2" s="1"/>
  <c r="AA1297" i="2"/>
  <c r="AA1299" i="2" s="1"/>
  <c r="AA1329" i="2" s="1"/>
  <c r="X1297" i="2"/>
  <c r="X1299" i="2" s="1"/>
  <c r="X1329" i="2" s="1"/>
  <c r="AB263" i="2"/>
  <c r="AB265" i="2" s="1"/>
  <c r="AB295" i="2" s="1"/>
  <c r="AD1491" i="2"/>
  <c r="AG1491" i="2" s="1"/>
  <c r="AG1246" i="2"/>
  <c r="T313" i="2"/>
  <c r="T315" i="2" s="1"/>
  <c r="T345" i="2" s="1"/>
  <c r="Y313" i="2"/>
  <c r="Y315" i="2" s="1"/>
  <c r="Y345" i="2" s="1"/>
  <c r="W313" i="2"/>
  <c r="W315" i="2" s="1"/>
  <c r="W345" i="2" s="1"/>
  <c r="AB313" i="2"/>
  <c r="AB315" i="2" s="1"/>
  <c r="AB345" i="2" s="1"/>
  <c r="AA263" i="2"/>
  <c r="AA265" i="2" s="1"/>
  <c r="AA295" i="2" s="1"/>
  <c r="AD1344" i="2"/>
  <c r="AG1344" i="2" s="1"/>
  <c r="T61" i="2"/>
  <c r="U61" i="2" s="1"/>
  <c r="V61" i="2" s="1"/>
  <c r="W61" i="2" s="1"/>
  <c r="X61" i="2" s="1"/>
  <c r="Y61" i="2" s="1"/>
  <c r="Z61" i="2" s="1"/>
  <c r="AA61" i="2" s="1"/>
  <c r="AB61" i="2" s="1"/>
  <c r="AC61" i="2" s="1"/>
  <c r="AC63" i="2" s="1"/>
  <c r="AC65" i="2" s="1"/>
  <c r="AC95" i="2" s="1"/>
  <c r="AD1295" i="2"/>
  <c r="AG1295" i="2" s="1"/>
  <c r="AD261" i="2"/>
  <c r="AG261" i="2" s="1"/>
  <c r="AG211" i="2"/>
  <c r="AD311" i="2"/>
  <c r="AG311" i="2" s="1"/>
  <c r="AD17" i="2"/>
  <c r="R15" i="9"/>
  <c r="AG15" i="9" s="1"/>
  <c r="AG14" i="9" s="1"/>
  <c r="AD1427" i="2"/>
  <c r="AD1406" i="2"/>
  <c r="AD1182" i="2"/>
  <c r="AG1182" i="2" s="1"/>
  <c r="AD1158" i="2"/>
  <c r="AD1231" i="2"/>
  <c r="AG1231" i="2" s="1"/>
  <c r="AD1213" i="2"/>
  <c r="AD1252" i="2"/>
  <c r="AD1280" i="2"/>
  <c r="K321" i="11"/>
  <c r="L273" i="11"/>
  <c r="L332" i="11" s="1"/>
  <c r="K302" i="11"/>
  <c r="K176" i="11"/>
  <c r="L143" i="11"/>
  <c r="L202" i="11" s="1"/>
  <c r="K322" i="11"/>
  <c r="K315" i="11"/>
  <c r="K310" i="11"/>
  <c r="L132" i="11"/>
  <c r="L191" i="11" s="1"/>
  <c r="K307" i="11"/>
  <c r="L164" i="11"/>
  <c r="L230" i="11" s="1"/>
  <c r="K309" i="11"/>
  <c r="L167" i="11"/>
  <c r="L233" i="11" s="1"/>
  <c r="L269" i="11"/>
  <c r="L328" i="11" s="1"/>
  <c r="L146" i="11"/>
  <c r="L205" i="11" s="1"/>
  <c r="M41" i="11"/>
  <c r="M23" i="11"/>
  <c r="M141" i="11" s="1"/>
  <c r="M200" i="11" s="1"/>
  <c r="L134" i="11"/>
  <c r="L193" i="11" s="1"/>
  <c r="M43" i="11"/>
  <c r="M10" i="11"/>
  <c r="M128" i="11" s="1"/>
  <c r="M187" i="11" s="1"/>
  <c r="M14" i="11"/>
  <c r="M250" i="11" s="1"/>
  <c r="M22" i="11"/>
  <c r="M140" i="11" s="1"/>
  <c r="M199" i="11" s="1"/>
  <c r="M56" i="11"/>
  <c r="M54" i="11"/>
  <c r="K316" i="11"/>
  <c r="L140" i="11"/>
  <c r="L199" i="11" s="1"/>
  <c r="L133" i="11"/>
  <c r="L192" i="11" s="1"/>
  <c r="L247" i="11"/>
  <c r="L306" i="11" s="1"/>
  <c r="M53" i="11"/>
  <c r="M8" i="11"/>
  <c r="M244" i="11" s="1"/>
  <c r="K308" i="11"/>
  <c r="M29" i="11"/>
  <c r="M147" i="11" s="1"/>
  <c r="M206" i="11" s="1"/>
  <c r="M40" i="11"/>
  <c r="M276" i="11" s="1"/>
  <c r="M35" i="11"/>
  <c r="M271" i="11" s="1"/>
  <c r="M34" i="11"/>
  <c r="M152" i="11" s="1"/>
  <c r="M211" i="11" s="1"/>
  <c r="M45" i="11"/>
  <c r="M39" i="11"/>
  <c r="M275" i="11" s="1"/>
  <c r="M50" i="11"/>
  <c r="N6" i="11"/>
  <c r="M28" i="11"/>
  <c r="M264" i="11" s="1"/>
  <c r="M13" i="11"/>
  <c r="M249" i="11" s="1"/>
  <c r="L154" i="11"/>
  <c r="L213" i="11" s="1"/>
  <c r="M21" i="11"/>
  <c r="M257" i="11" s="1"/>
  <c r="M26" i="11"/>
  <c r="M144" i="11" s="1"/>
  <c r="M203" i="11" s="1"/>
  <c r="M31" i="11"/>
  <c r="M267" i="11" s="1"/>
  <c r="L137" i="11"/>
  <c r="L196" i="11" s="1"/>
  <c r="M19" i="11"/>
  <c r="M137" i="11" s="1"/>
  <c r="M196" i="11" s="1"/>
  <c r="M42" i="11"/>
  <c r="L249" i="11"/>
  <c r="L308" i="11" s="1"/>
  <c r="M44" i="11"/>
  <c r="M15" i="11"/>
  <c r="M133" i="11" s="1"/>
  <c r="M192" i="11" s="1"/>
  <c r="L147" i="11"/>
  <c r="L206" i="11" s="1"/>
  <c r="M46" i="11"/>
  <c r="M20" i="11"/>
  <c r="M256" i="11" s="1"/>
  <c r="M48" i="11"/>
  <c r="M25" i="11"/>
  <c r="M261" i="11" s="1"/>
  <c r="M51" i="11"/>
  <c r="M30" i="11"/>
  <c r="M148" i="11" s="1"/>
  <c r="M207" i="11" s="1"/>
  <c r="L128" i="11"/>
  <c r="L305" i="11" s="1"/>
  <c r="L234" i="11"/>
  <c r="L166" i="11"/>
  <c r="L232" i="11" s="1"/>
  <c r="K314" i="11"/>
  <c r="L144" i="11"/>
  <c r="L203" i="11" s="1"/>
  <c r="M37" i="11"/>
  <c r="M273" i="11" s="1"/>
  <c r="M17" i="11"/>
  <c r="M135" i="11" s="1"/>
  <c r="M194" i="11" s="1"/>
  <c r="K319" i="11"/>
  <c r="L148" i="11"/>
  <c r="L207" i="11" s="1"/>
  <c r="M33" i="11"/>
  <c r="M269" i="11" s="1"/>
  <c r="M7" i="11"/>
  <c r="M243" i="11" s="1"/>
  <c r="L159" i="11"/>
  <c r="L218" i="11" s="1"/>
  <c r="L254" i="11"/>
  <c r="L313" i="11" s="1"/>
  <c r="M12" i="11"/>
  <c r="M130" i="11" s="1"/>
  <c r="M189" i="11" s="1"/>
  <c r="M18" i="11"/>
  <c r="M254" i="11" s="1"/>
  <c r="M49" i="11"/>
  <c r="M285" i="11" s="1"/>
  <c r="L165" i="11"/>
  <c r="L231" i="11" s="1"/>
  <c r="M38" i="11"/>
  <c r="M274" i="11" s="1"/>
  <c r="M16" i="11"/>
  <c r="M252" i="11" s="1"/>
  <c r="M47" i="11"/>
  <c r="L138" i="11"/>
  <c r="L197" i="11" s="1"/>
  <c r="M27" i="11"/>
  <c r="M145" i="11" s="1"/>
  <c r="M204" i="11" s="1"/>
  <c r="M11" i="11"/>
  <c r="M129" i="11" s="1"/>
  <c r="M188" i="11" s="1"/>
  <c r="M52" i="11"/>
  <c r="L162" i="11"/>
  <c r="L228" i="11" s="1"/>
  <c r="L156" i="11"/>
  <c r="L215" i="11" s="1"/>
  <c r="M32" i="11"/>
  <c r="M268" i="11" s="1"/>
  <c r="M9" i="11"/>
  <c r="M245" i="11" s="1"/>
  <c r="K194" i="11"/>
  <c r="M24" i="11"/>
  <c r="M260" i="11" s="1"/>
  <c r="M36" i="11"/>
  <c r="M272" i="11" s="1"/>
  <c r="K206" i="11"/>
  <c r="K313" i="11"/>
  <c r="K303" i="11"/>
  <c r="L125" i="11"/>
  <c r="L184" i="11" s="1"/>
  <c r="L161" i="11"/>
  <c r="L227" i="11" s="1"/>
  <c r="L157" i="11"/>
  <c r="L216" i="11" s="1"/>
  <c r="K318" i="11"/>
  <c r="L135" i="11"/>
  <c r="L312" i="11" s="1"/>
  <c r="L153" i="11"/>
  <c r="L212" i="11" s="1"/>
  <c r="L126" i="11"/>
  <c r="L185" i="11" s="1"/>
  <c r="K230" i="11"/>
  <c r="L139" i="11"/>
  <c r="L198" i="11" s="1"/>
  <c r="L248" i="11"/>
  <c r="L307" i="11" s="1"/>
  <c r="K212" i="11"/>
  <c r="K306" i="11"/>
  <c r="J353" i="11"/>
  <c r="Q41" i="8" s="1"/>
  <c r="L58" i="11"/>
  <c r="K294" i="11"/>
  <c r="L142" i="11"/>
  <c r="L201" i="11" s="1"/>
  <c r="L245" i="11"/>
  <c r="L150" i="11"/>
  <c r="L209" i="11" s="1"/>
  <c r="L141" i="11"/>
  <c r="L200" i="11" s="1"/>
  <c r="L149" i="11"/>
  <c r="L208" i="11" s="1"/>
  <c r="L152" i="11"/>
  <c r="L211" i="11" s="1"/>
  <c r="L270" i="11"/>
  <c r="L322" i="11"/>
  <c r="I235" i="11"/>
  <c r="I353" i="11"/>
  <c r="P41" i="8" s="1"/>
  <c r="J30" i="9"/>
  <c r="K30" i="9"/>
  <c r="U29" i="2"/>
  <c r="U21" i="2"/>
  <c r="X27" i="2"/>
  <c r="U24" i="2"/>
  <c r="I33" i="2"/>
  <c r="U33" i="2"/>
  <c r="AF15" i="2"/>
  <c r="L45" i="2"/>
  <c r="AF45" i="2" s="1"/>
  <c r="AF46" i="2" s="1"/>
  <c r="U27" i="2"/>
  <c r="X36" i="2"/>
  <c r="U36" i="2"/>
  <c r="I24" i="2"/>
  <c r="I27" i="2"/>
  <c r="AG45" i="2"/>
  <c r="M42" i="9"/>
  <c r="M30" i="9"/>
  <c r="G42" i="9"/>
  <c r="N30" i="9"/>
  <c r="N42" i="9"/>
  <c r="Q30" i="9"/>
  <c r="Q42" i="9"/>
  <c r="P30" i="9"/>
  <c r="P42" i="9"/>
  <c r="L42" i="9"/>
  <c r="L30" i="9"/>
  <c r="H42" i="9"/>
  <c r="H30" i="9"/>
  <c r="I42" i="9"/>
  <c r="I30" i="9"/>
  <c r="N72" i="8"/>
  <c r="N70" i="8"/>
  <c r="N67" i="8"/>
  <c r="G54" i="8"/>
  <c r="G61" i="8"/>
  <c r="E70" i="8"/>
  <c r="E67" i="8"/>
  <c r="E72" i="8"/>
  <c r="J62" i="8"/>
  <c r="J66" i="8"/>
  <c r="O66" i="8"/>
  <c r="O62" i="8"/>
  <c r="K62" i="8"/>
  <c r="K66" i="8"/>
  <c r="F54" i="8"/>
  <c r="F61" i="8"/>
  <c r="AD64" i="1"/>
  <c r="G309" i="4"/>
  <c r="AA309" i="4"/>
  <c r="AA372" i="4" s="1"/>
  <c r="N125" i="1"/>
  <c r="N124" i="1" s="1"/>
  <c r="T125" i="1"/>
  <c r="V125" i="1"/>
  <c r="R125" i="1"/>
  <c r="Q125" i="1"/>
  <c r="G125" i="1"/>
  <c r="G124" i="1" s="1"/>
  <c r="L125" i="1"/>
  <c r="L124" i="1" s="1"/>
  <c r="U125" i="1"/>
  <c r="AA125" i="1"/>
  <c r="S125" i="1"/>
  <c r="W125" i="1"/>
  <c r="K125" i="1"/>
  <c r="K124" i="1" s="1"/>
  <c r="P125" i="1"/>
  <c r="X125" i="1"/>
  <c r="F125" i="1"/>
  <c r="F124" i="1" s="1"/>
  <c r="Z125" i="1"/>
  <c r="O125" i="1"/>
  <c r="O124" i="1" s="1"/>
  <c r="M125" i="1"/>
  <c r="M124" i="1" s="1"/>
  <c r="J125" i="1"/>
  <c r="J124" i="1" s="1"/>
  <c r="H125" i="1"/>
  <c r="H124" i="1" s="1"/>
  <c r="Y125" i="1"/>
  <c r="I125" i="1"/>
  <c r="I124" i="1" s="1"/>
  <c r="W570" i="2"/>
  <c r="Z567" i="2"/>
  <c r="V573" i="2"/>
  <c r="AG1483" i="2"/>
  <c r="AG1532" i="2"/>
  <c r="AG1385" i="2"/>
  <c r="AG1434" i="2"/>
  <c r="AG1287" i="2"/>
  <c r="AG1336" i="2"/>
  <c r="AG1189" i="2"/>
  <c r="AG1238" i="2"/>
  <c r="AG1091" i="2"/>
  <c r="AG1140" i="2"/>
  <c r="AG993" i="2"/>
  <c r="AG1042" i="2"/>
  <c r="AG895" i="2"/>
  <c r="AG944" i="2"/>
  <c r="AG797" i="2"/>
  <c r="AG846" i="2"/>
  <c r="AG699" i="2"/>
  <c r="AG748" i="2"/>
  <c r="AG601" i="2"/>
  <c r="AG650" i="2"/>
  <c r="AG502" i="2"/>
  <c r="AG552" i="2"/>
  <c r="AG402" i="2"/>
  <c r="AG452" i="2"/>
  <c r="AG302" i="2"/>
  <c r="AG352" i="2"/>
  <c r="AG202" i="2"/>
  <c r="AG252" i="2"/>
  <c r="AG102" i="2"/>
  <c r="AG152" i="2"/>
  <c r="G1069" i="2"/>
  <c r="G1080" i="2"/>
  <c r="G1314" i="2"/>
  <c r="G1325" i="2"/>
  <c r="G1326" i="2" s="1"/>
  <c r="G922" i="2"/>
  <c r="G933" i="2"/>
  <c r="G824" i="2"/>
  <c r="G835" i="2"/>
  <c r="G836" i="2" s="1"/>
  <c r="W1412" i="2"/>
  <c r="W1423" i="2"/>
  <c r="W1424" i="2" s="1"/>
  <c r="Z230" i="2"/>
  <c r="Z241" i="2"/>
  <c r="Z242" i="2" s="1"/>
  <c r="G971" i="2"/>
  <c r="G982" i="2"/>
  <c r="G628" i="2"/>
  <c r="G639" i="2"/>
  <c r="G1216" i="2"/>
  <c r="G1227" i="2"/>
  <c r="G1228" i="2" s="1"/>
  <c r="T218" i="2"/>
  <c r="M579" i="2"/>
  <c r="M590" i="2"/>
  <c r="M591" i="2" s="1"/>
  <c r="W579" i="2"/>
  <c r="W590" i="2"/>
  <c r="W591" i="2" s="1"/>
  <c r="G579" i="2"/>
  <c r="G590" i="2"/>
  <c r="AC230" i="2"/>
  <c r="AC241" i="2"/>
  <c r="AC242" i="2" s="1"/>
  <c r="X230" i="2"/>
  <c r="X241" i="2"/>
  <c r="X242" i="2" s="1"/>
  <c r="R1412" i="2"/>
  <c r="R1423" i="2"/>
  <c r="R1424" i="2" s="1"/>
  <c r="I230" i="2"/>
  <c r="I241" i="2"/>
  <c r="I242" i="2" s="1"/>
  <c r="Q230" i="2"/>
  <c r="Q241" i="2"/>
  <c r="Q242" i="2" s="1"/>
  <c r="O230" i="2"/>
  <c r="O241" i="2"/>
  <c r="O242" i="2" s="1"/>
  <c r="L230" i="2"/>
  <c r="L241" i="2"/>
  <c r="L242" i="2" s="1"/>
  <c r="AA579" i="2"/>
  <c r="AA590" i="2"/>
  <c r="AA591" i="2" s="1"/>
  <c r="N579" i="2"/>
  <c r="N590" i="2"/>
  <c r="N591" i="2" s="1"/>
  <c r="G80" i="2"/>
  <c r="G91" i="2"/>
  <c r="R579" i="2"/>
  <c r="R590" i="2"/>
  <c r="R591" i="2" s="1"/>
  <c r="K579" i="2"/>
  <c r="K590" i="2"/>
  <c r="K591" i="2" s="1"/>
  <c r="O1412" i="2"/>
  <c r="O1423" i="2"/>
  <c r="O1424" i="2" s="1"/>
  <c r="Q1412" i="2"/>
  <c r="Q1423" i="2"/>
  <c r="Q1424" i="2" s="1"/>
  <c r="AB1412" i="2"/>
  <c r="AB1423" i="2"/>
  <c r="AB1424" i="2" s="1"/>
  <c r="H1118" i="2"/>
  <c r="H1129" i="2"/>
  <c r="H1130" i="2" s="1"/>
  <c r="H1412" i="2"/>
  <c r="H1423" i="2"/>
  <c r="H1424" i="2" s="1"/>
  <c r="Y1412" i="2"/>
  <c r="Y1423" i="2"/>
  <c r="Y1424" i="2" s="1"/>
  <c r="O579" i="2"/>
  <c r="O590" i="2"/>
  <c r="O591" i="2" s="1"/>
  <c r="P1412" i="2"/>
  <c r="P1423" i="2"/>
  <c r="P1424" i="2" s="1"/>
  <c r="G1118" i="2"/>
  <c r="G1129" i="2"/>
  <c r="G330" i="2"/>
  <c r="G341" i="2"/>
  <c r="G342" i="2" s="1"/>
  <c r="Q579" i="2"/>
  <c r="Q590" i="2"/>
  <c r="Q591" i="2" s="1"/>
  <c r="W230" i="2"/>
  <c r="W241" i="2"/>
  <c r="W242" i="2" s="1"/>
  <c r="AD1069" i="2"/>
  <c r="AD1080" i="2"/>
  <c r="AD1081" i="2" s="1"/>
  <c r="N1412" i="2"/>
  <c r="N1423" i="2"/>
  <c r="N1424" i="2" s="1"/>
  <c r="AA230" i="2"/>
  <c r="AA241" i="2"/>
  <c r="AA242" i="2" s="1"/>
  <c r="U230" i="2"/>
  <c r="U241" i="2"/>
  <c r="U242" i="2" s="1"/>
  <c r="R230" i="2"/>
  <c r="R241" i="2"/>
  <c r="R242" i="2" s="1"/>
  <c r="G775" i="2"/>
  <c r="G786" i="2"/>
  <c r="AB579" i="2"/>
  <c r="AB590" i="2"/>
  <c r="AB591" i="2" s="1"/>
  <c r="G1559" i="2"/>
  <c r="G1570" i="2"/>
  <c r="S230" i="2"/>
  <c r="S241" i="2"/>
  <c r="AD579" i="2"/>
  <c r="AD590" i="2"/>
  <c r="AD591" i="2" s="1"/>
  <c r="K1412" i="2"/>
  <c r="K1423" i="2"/>
  <c r="AG594" i="2"/>
  <c r="AG595" i="2" s="1"/>
  <c r="J579" i="2"/>
  <c r="J590" i="2"/>
  <c r="J591" i="2" s="1"/>
  <c r="AD628" i="2"/>
  <c r="AD639" i="2"/>
  <c r="AD640" i="2" s="1"/>
  <c r="G1363" i="2"/>
  <c r="G1374" i="2"/>
  <c r="G1375" i="2" s="1"/>
  <c r="T230" i="2"/>
  <c r="T241" i="2"/>
  <c r="T242" i="2" s="1"/>
  <c r="G1461" i="2"/>
  <c r="G1472" i="2"/>
  <c r="G1473" i="2" s="1"/>
  <c r="N230" i="2"/>
  <c r="N241" i="2"/>
  <c r="N242" i="2" s="1"/>
  <c r="Y224" i="2"/>
  <c r="J227" i="2"/>
  <c r="H227" i="2"/>
  <c r="I570" i="2"/>
  <c r="V1418" i="2"/>
  <c r="AF395" i="2"/>
  <c r="AF1427" i="2"/>
  <c r="AF1428" i="2" s="1"/>
  <c r="Z570" i="2"/>
  <c r="Y567" i="2"/>
  <c r="AF245" i="2"/>
  <c r="AF246" i="2" s="1"/>
  <c r="AF888" i="2"/>
  <c r="AF1231" i="2"/>
  <c r="AF145" i="2"/>
  <c r="AF594" i="2"/>
  <c r="AF595" i="2" s="1"/>
  <c r="AG245" i="2"/>
  <c r="AG246" i="2" s="1"/>
  <c r="AG839" i="2"/>
  <c r="AG195" i="2"/>
  <c r="AG643" i="2"/>
  <c r="Z578" i="2"/>
  <c r="AC1411" i="2"/>
  <c r="V578" i="2"/>
  <c r="AG790" i="2"/>
  <c r="AG1084" i="2"/>
  <c r="AF1525" i="2"/>
  <c r="AD876" i="2"/>
  <c r="AG145" i="2"/>
  <c r="AG937" i="2"/>
  <c r="AG395" i="2"/>
  <c r="J1409" i="2"/>
  <c r="L582" i="2"/>
  <c r="Y582" i="2"/>
  <c r="AB567" i="2"/>
  <c r="Y585" i="2"/>
  <c r="AC1400" i="2"/>
  <c r="W567" i="2"/>
  <c r="X1411" i="2"/>
  <c r="G377" i="2"/>
  <c r="G1264" i="2"/>
  <c r="L1406" i="2"/>
  <c r="AA1415" i="2"/>
  <c r="P227" i="2"/>
  <c r="J1403" i="2"/>
  <c r="G271" i="2"/>
  <c r="G676" i="2"/>
  <c r="G1259" i="2"/>
  <c r="V1411" i="2"/>
  <c r="H723" i="2"/>
  <c r="G479" i="2"/>
  <c r="G864" i="2"/>
  <c r="G524" i="2"/>
  <c r="P229" i="2"/>
  <c r="G477" i="2"/>
  <c r="AD186" i="2"/>
  <c r="AD1011" i="2"/>
  <c r="AD174" i="2"/>
  <c r="G1262" i="2"/>
  <c r="G870" i="2"/>
  <c r="V567" i="2"/>
  <c r="AC567" i="2"/>
  <c r="V1406" i="2"/>
  <c r="G529" i="2"/>
  <c r="AD477" i="2"/>
  <c r="AD1017" i="2"/>
  <c r="I585" i="2"/>
  <c r="Y227" i="2"/>
  <c r="I578" i="2"/>
  <c r="P224" i="2"/>
  <c r="G474" i="2"/>
  <c r="T1400" i="2"/>
  <c r="AD179" i="2"/>
  <c r="AF14" i="2"/>
  <c r="I582" i="2"/>
  <c r="Y36" i="2"/>
  <c r="Y27" i="2"/>
  <c r="Y33" i="2"/>
  <c r="Y29" i="2"/>
  <c r="Y24" i="2"/>
  <c r="Y18" i="2"/>
  <c r="Y21" i="2"/>
  <c r="G1360" i="2"/>
  <c r="P236" i="2"/>
  <c r="H717" i="2"/>
  <c r="AA1403" i="2"/>
  <c r="O21" i="2"/>
  <c r="O24" i="2"/>
  <c r="O36" i="2"/>
  <c r="O27" i="2"/>
  <c r="O33" i="2"/>
  <c r="O29" i="2"/>
  <c r="R21" i="2"/>
  <c r="R36" i="2"/>
  <c r="R29" i="2"/>
  <c r="R27" i="2"/>
  <c r="R33" i="2"/>
  <c r="R24" i="2"/>
  <c r="G171" i="2"/>
  <c r="AA1418" i="2"/>
  <c r="AG15" i="2"/>
  <c r="S17" i="2"/>
  <c r="G27" i="2"/>
  <c r="G24" i="2"/>
  <c r="G36" i="2"/>
  <c r="G33" i="2"/>
  <c r="G29" i="2"/>
  <c r="G21" i="2"/>
  <c r="X1400" i="2"/>
  <c r="AD1161" i="2"/>
  <c r="G680" i="2"/>
  <c r="AB36" i="2"/>
  <c r="AB18" i="2"/>
  <c r="AB33" i="2"/>
  <c r="AB24" i="2"/>
  <c r="AB21" i="2"/>
  <c r="AB29" i="2"/>
  <c r="AB27" i="2"/>
  <c r="V1403" i="2"/>
  <c r="AD1019" i="2"/>
  <c r="G1513" i="2"/>
  <c r="AD18" i="2"/>
  <c r="H720" i="2"/>
  <c r="P578" i="2"/>
  <c r="U1415" i="2"/>
  <c r="AD183" i="2"/>
  <c r="G486" i="2"/>
  <c r="Z33" i="2"/>
  <c r="Z24" i="2"/>
  <c r="Z21" i="2"/>
  <c r="Z36" i="2"/>
  <c r="Z18" i="2"/>
  <c r="Z29" i="2"/>
  <c r="Z27" i="2"/>
  <c r="Q29" i="2"/>
  <c r="Q36" i="2"/>
  <c r="Q27" i="2"/>
  <c r="Q33" i="2"/>
  <c r="Q24" i="2"/>
  <c r="Q21" i="2"/>
  <c r="N29" i="2"/>
  <c r="N24" i="2"/>
  <c r="N33" i="2"/>
  <c r="N21" i="2"/>
  <c r="N36" i="2"/>
  <c r="N27" i="2"/>
  <c r="AC41" i="2"/>
  <c r="AC42" i="2" s="1"/>
  <c r="AC30" i="2"/>
  <c r="M33" i="2"/>
  <c r="M21" i="2"/>
  <c r="M29" i="2"/>
  <c r="M24" i="2"/>
  <c r="M27" i="2"/>
  <c r="M36" i="2"/>
  <c r="P24" i="2"/>
  <c r="P21" i="2"/>
  <c r="P36" i="2"/>
  <c r="P29" i="2"/>
  <c r="P27" i="2"/>
  <c r="P33" i="2"/>
  <c r="I41" i="2"/>
  <c r="I42" i="2" s="1"/>
  <c r="I30" i="2"/>
  <c r="AD921" i="2"/>
  <c r="L17" i="2"/>
  <c r="U30" i="2"/>
  <c r="U41" i="2"/>
  <c r="U42" i="2" s="1"/>
  <c r="J41" i="2"/>
  <c r="J42" i="2" s="1"/>
  <c r="J30" i="2"/>
  <c r="G1507" i="2"/>
  <c r="V36" i="2"/>
  <c r="V18" i="2"/>
  <c r="V27" i="2"/>
  <c r="V33" i="2"/>
  <c r="V24" i="2"/>
  <c r="V29" i="2"/>
  <c r="V21" i="2"/>
  <c r="P1409" i="2"/>
  <c r="AA1409" i="2"/>
  <c r="G683" i="2"/>
  <c r="Y218" i="2"/>
  <c r="X41" i="2"/>
  <c r="X42" i="2" s="1"/>
  <c r="X30" i="2"/>
  <c r="T21" i="2"/>
  <c r="T18" i="2"/>
  <c r="T36" i="2"/>
  <c r="T27" i="2"/>
  <c r="T33" i="2"/>
  <c r="T24" i="2"/>
  <c r="T29" i="2"/>
  <c r="AA36" i="2"/>
  <c r="AA24" i="2"/>
  <c r="AA29" i="2"/>
  <c r="AA18" i="2"/>
  <c r="AA21" i="2"/>
  <c r="AA27" i="2"/>
  <c r="AA33" i="2"/>
  <c r="H729" i="2"/>
  <c r="X1415" i="2"/>
  <c r="L1418" i="2"/>
  <c r="G1516" i="2"/>
  <c r="H24" i="2"/>
  <c r="H29" i="2"/>
  <c r="H21" i="2"/>
  <c r="H27" i="2"/>
  <c r="H36" i="2"/>
  <c r="H33" i="2"/>
  <c r="U1406" i="2"/>
  <c r="P573" i="2"/>
  <c r="W576" i="2"/>
  <c r="AD1400" i="2"/>
  <c r="V576" i="2"/>
  <c r="AB229" i="2"/>
  <c r="P585" i="2"/>
  <c r="T573" i="2"/>
  <c r="G674" i="2"/>
  <c r="G1354" i="2"/>
  <c r="AD766" i="2"/>
  <c r="AG217" i="2"/>
  <c r="AG227" i="2" s="1"/>
  <c r="X567" i="2"/>
  <c r="AD774" i="2"/>
  <c r="G1369" i="2"/>
  <c r="P576" i="2"/>
  <c r="U1411" i="2"/>
  <c r="P570" i="2"/>
  <c r="G1357" i="2"/>
  <c r="AD1411" i="2"/>
  <c r="G1222" i="2"/>
  <c r="Y570" i="2"/>
  <c r="AD916" i="2"/>
  <c r="J1411" i="2"/>
  <c r="AA1411" i="2"/>
  <c r="W582" i="2"/>
  <c r="AD781" i="2"/>
  <c r="AA1400" i="2"/>
  <c r="AD1166" i="2"/>
  <c r="G1411" i="2"/>
  <c r="H725" i="2"/>
  <c r="G729" i="2"/>
  <c r="X1418" i="2"/>
  <c r="P1415" i="2"/>
  <c r="Z1400" i="2"/>
  <c r="J1415" i="2"/>
  <c r="W585" i="2"/>
  <c r="AD1415" i="2"/>
  <c r="V1400" i="2"/>
  <c r="G1366" i="2"/>
  <c r="M1409" i="2"/>
  <c r="G720" i="2"/>
  <c r="G383" i="2"/>
  <c r="Z585" i="2"/>
  <c r="U1418" i="2"/>
  <c r="G174" i="2"/>
  <c r="G1268" i="2"/>
  <c r="G1219" i="2"/>
  <c r="G1271" i="2"/>
  <c r="G279" i="2"/>
  <c r="J1418" i="2"/>
  <c r="G536" i="2"/>
  <c r="AD224" i="2"/>
  <c r="J224" i="2"/>
  <c r="G379" i="2"/>
  <c r="AB233" i="2"/>
  <c r="S1411" i="2"/>
  <c r="Y578" i="2"/>
  <c r="H233" i="2"/>
  <c r="V236" i="2"/>
  <c r="AD221" i="2"/>
  <c r="Z576" i="2"/>
  <c r="T576" i="2"/>
  <c r="G429" i="2"/>
  <c r="AD229" i="2"/>
  <c r="AC578" i="2"/>
  <c r="G1170" i="2"/>
  <c r="G374" i="2"/>
  <c r="L1409" i="2"/>
  <c r="G527" i="2"/>
  <c r="J229" i="2"/>
  <c r="T578" i="2"/>
  <c r="H229" i="2"/>
  <c r="V582" i="2"/>
  <c r="AD778" i="2"/>
  <c r="T570" i="2"/>
  <c r="AD867" i="2"/>
  <c r="Y573" i="2"/>
  <c r="H224" i="2"/>
  <c r="G1164" i="2"/>
  <c r="X1406" i="2"/>
  <c r="AD383" i="2"/>
  <c r="AB236" i="2"/>
  <c r="L570" i="2"/>
  <c r="V218" i="2"/>
  <c r="AD821" i="2"/>
  <c r="L578" i="2"/>
  <c r="G723" i="2"/>
  <c r="AB221" i="2"/>
  <c r="S1406" i="2"/>
  <c r="G277" i="2"/>
  <c r="AD379" i="2"/>
  <c r="AD1215" i="2"/>
  <c r="AD872" i="2"/>
  <c r="G879" i="2"/>
  <c r="AD769" i="2"/>
  <c r="V227" i="2"/>
  <c r="AC576" i="2"/>
  <c r="G1418" i="2"/>
  <c r="S1418" i="2"/>
  <c r="Y576" i="2"/>
  <c r="G1161" i="2"/>
  <c r="V224" i="2"/>
  <c r="G725" i="2"/>
  <c r="AD1219" i="2"/>
  <c r="AC585" i="2"/>
  <c r="AD386" i="2"/>
  <c r="G872" i="2"/>
  <c r="G1166" i="2"/>
  <c r="AD233" i="2"/>
  <c r="AD1222" i="2"/>
  <c r="S1403" i="2"/>
  <c r="AD827" i="2"/>
  <c r="J233" i="2"/>
  <c r="V221" i="2"/>
  <c r="G876" i="2"/>
  <c r="AD374" i="2"/>
  <c r="AC582" i="2"/>
  <c r="G283" i="2"/>
  <c r="G286" i="2"/>
  <c r="AD1210" i="2"/>
  <c r="AD377" i="2"/>
  <c r="AF566" i="2"/>
  <c r="AF585" i="2" s="1"/>
  <c r="AC573" i="2"/>
  <c r="AD823" i="2"/>
  <c r="AD815" i="2"/>
  <c r="G1406" i="2"/>
  <c r="L1411" i="2"/>
  <c r="G533" i="2"/>
  <c r="G1173" i="2"/>
  <c r="G427" i="2"/>
  <c r="Z167" i="2"/>
  <c r="Z186" i="2" s="1"/>
  <c r="P267" i="2"/>
  <c r="W811" i="2"/>
  <c r="P860" i="2"/>
  <c r="U1400" i="2"/>
  <c r="K224" i="2"/>
  <c r="K117" i="2"/>
  <c r="L1301" i="2"/>
  <c r="L1320" i="2" s="1"/>
  <c r="U167" i="2"/>
  <c r="U186" i="2" s="1"/>
  <c r="K1007" i="2"/>
  <c r="K1017" i="2" s="1"/>
  <c r="Q117" i="2"/>
  <c r="Z1497" i="2"/>
  <c r="O1350" i="2"/>
  <c r="U417" i="2"/>
  <c r="U762" i="2"/>
  <c r="M615" i="2"/>
  <c r="T1497" i="2"/>
  <c r="T1501" i="2" s="1"/>
  <c r="Y615" i="2"/>
  <c r="Y634" i="2" s="1"/>
  <c r="G1019" i="2"/>
  <c r="K229" i="2"/>
  <c r="T267" i="2"/>
  <c r="Y1154" i="2"/>
  <c r="Y1166" i="2" s="1"/>
  <c r="P1252" i="2"/>
  <c r="H117" i="2"/>
  <c r="Z117" i="2"/>
  <c r="L1007" i="2"/>
  <c r="S909" i="2"/>
  <c r="S928" i="2" s="1"/>
  <c r="Y1007" i="2"/>
  <c r="X1056" i="2"/>
  <c r="S615" i="2"/>
  <c r="S634" i="2" s="1"/>
  <c r="J1448" i="2"/>
  <c r="J1452" i="2" s="1"/>
  <c r="R117" i="2"/>
  <c r="S1301" i="2"/>
  <c r="S1311" i="2" s="1"/>
  <c r="T317" i="2"/>
  <c r="T329" i="2" s="1"/>
  <c r="P317" i="2"/>
  <c r="AB1056" i="2"/>
  <c r="AB1060" i="2" s="1"/>
  <c r="Q615" i="2"/>
  <c r="P1056" i="2"/>
  <c r="H467" i="2"/>
  <c r="H486" i="2" s="1"/>
  <c r="S1448" i="2"/>
  <c r="S1467" i="2" s="1"/>
  <c r="P1203" i="2"/>
  <c r="T1154" i="2"/>
  <c r="T1173" i="2" s="1"/>
  <c r="U570" i="2"/>
  <c r="W1406" i="2"/>
  <c r="AD1014" i="2"/>
  <c r="M227" i="2"/>
  <c r="X578" i="2"/>
  <c r="K236" i="2"/>
  <c r="T585" i="2"/>
  <c r="U1203" i="2"/>
  <c r="U1207" i="2" s="1"/>
  <c r="N1546" i="2"/>
  <c r="M1056" i="2"/>
  <c r="T1203" i="2"/>
  <c r="T1210" i="2" s="1"/>
  <c r="T909" i="2"/>
  <c r="T921" i="2" s="1"/>
  <c r="W860" i="2"/>
  <c r="N1203" i="2"/>
  <c r="U811" i="2"/>
  <c r="U823" i="2" s="1"/>
  <c r="AB1007" i="2"/>
  <c r="X1497" i="2"/>
  <c r="X1509" i="2" s="1"/>
  <c r="K467" i="2"/>
  <c r="R1350" i="2"/>
  <c r="R1357" i="2" s="1"/>
  <c r="H1301" i="2"/>
  <c r="H1311" i="2" s="1"/>
  <c r="H417" i="2"/>
  <c r="Q467" i="2"/>
  <c r="M860" i="2"/>
  <c r="Q367" i="2"/>
  <c r="K1350" i="2"/>
  <c r="Y762" i="2"/>
  <c r="Y769" i="2" s="1"/>
  <c r="I811" i="2"/>
  <c r="H1154" i="2"/>
  <c r="H1173" i="2" s="1"/>
  <c r="AD218" i="2"/>
  <c r="X576" i="2"/>
  <c r="S1400" i="2"/>
  <c r="G1023" i="2"/>
  <c r="AD483" i="2"/>
  <c r="AD1170" i="2"/>
  <c r="AD1023" i="2"/>
  <c r="AB224" i="2"/>
  <c r="AD1207" i="2"/>
  <c r="H221" i="2"/>
  <c r="R1497" i="2"/>
  <c r="R1509" i="2" s="1"/>
  <c r="J117" i="2"/>
  <c r="Q1007" i="2"/>
  <c r="X1154" i="2"/>
  <c r="X1173" i="2" s="1"/>
  <c r="AB811" i="2"/>
  <c r="AA811" i="2"/>
  <c r="AA823" i="2" s="1"/>
  <c r="R1154" i="2"/>
  <c r="R1173" i="2" s="1"/>
  <c r="U367" i="2"/>
  <c r="Z267" i="2"/>
  <c r="Z286" i="2" s="1"/>
  <c r="O417" i="2"/>
  <c r="V1301" i="2"/>
  <c r="AA1203" i="2"/>
  <c r="AA1219" i="2" s="1"/>
  <c r="J909" i="2"/>
  <c r="Q1301" i="2"/>
  <c r="Z1350" i="2"/>
  <c r="Z1369" i="2" s="1"/>
  <c r="Z367" i="2"/>
  <c r="Z386" i="2" s="1"/>
  <c r="S762" i="2"/>
  <c r="S781" i="2" s="1"/>
  <c r="AA167" i="2"/>
  <c r="AA179" i="2" s="1"/>
  <c r="L1252" i="2"/>
  <c r="Y467" i="2"/>
  <c r="AC1203" i="2"/>
  <c r="AC1207" i="2" s="1"/>
  <c r="Z467" i="2"/>
  <c r="Z471" i="2" s="1"/>
  <c r="Y1400" i="2"/>
  <c r="R224" i="2"/>
  <c r="G1210" i="2"/>
  <c r="AD1409" i="2"/>
  <c r="X570" i="2"/>
  <c r="G421" i="2"/>
  <c r="M1418" i="2"/>
  <c r="AD486" i="2"/>
  <c r="AD1026" i="2"/>
  <c r="R221" i="2"/>
  <c r="AD171" i="2"/>
  <c r="G471" i="2"/>
  <c r="H1350" i="2"/>
  <c r="V1350" i="2"/>
  <c r="AA1448" i="2"/>
  <c r="AA1467" i="2" s="1"/>
  <c r="K317" i="2"/>
  <c r="Q762" i="2"/>
  <c r="V1252" i="2"/>
  <c r="N317" i="2"/>
  <c r="AB117" i="2"/>
  <c r="AB1301" i="2"/>
  <c r="AB1320" i="2" s="1"/>
  <c r="Z1301" i="2"/>
  <c r="Z1320" i="2" s="1"/>
  <c r="U615" i="2"/>
  <c r="P1154" i="2"/>
  <c r="AA762" i="2"/>
  <c r="AA769" i="2" s="1"/>
  <c r="U1252" i="2"/>
  <c r="V1448" i="2"/>
  <c r="V1467" i="2" s="1"/>
  <c r="Y909" i="2"/>
  <c r="K1546" i="2"/>
  <c r="AC1546" i="2"/>
  <c r="AC1553" i="2" s="1"/>
  <c r="AB317" i="2"/>
  <c r="AB333" i="2" s="1"/>
  <c r="K762" i="2"/>
  <c r="K769" i="2" s="1"/>
  <c r="Z1056" i="2"/>
  <c r="Z1075" i="2" s="1"/>
  <c r="Y1546" i="2"/>
  <c r="P909" i="2"/>
  <c r="V1007" i="2"/>
  <c r="V1011" i="2" s="1"/>
  <c r="S367" i="2"/>
  <c r="S386" i="2" s="1"/>
  <c r="Z1252" i="2"/>
  <c r="Z1271" i="2" s="1"/>
  <c r="K1154" i="2"/>
  <c r="N117" i="2"/>
  <c r="Q1546" i="2"/>
  <c r="Q1565" i="2" s="1"/>
  <c r="Y860" i="2"/>
  <c r="V267" i="2"/>
  <c r="V286" i="2" s="1"/>
  <c r="N615" i="2"/>
  <c r="N619" i="2" s="1"/>
  <c r="W1154" i="2"/>
  <c r="I1203" i="2"/>
  <c r="I1222" i="2" s="1"/>
  <c r="AB1203" i="2"/>
  <c r="R467" i="2"/>
  <c r="R474" i="2" s="1"/>
  <c r="H671" i="2"/>
  <c r="AD474" i="2"/>
  <c r="Z1411" i="2"/>
  <c r="W1415" i="2"/>
  <c r="T567" i="2"/>
  <c r="AD1418" i="2"/>
  <c r="P1403" i="2"/>
  <c r="V1409" i="2"/>
  <c r="V570" i="2"/>
  <c r="J367" i="2"/>
  <c r="J374" i="2" s="1"/>
  <c r="AA1056" i="2"/>
  <c r="L1203" i="2"/>
  <c r="V1546" i="2"/>
  <c r="V1565" i="2" s="1"/>
  <c r="P811" i="2"/>
  <c r="O1252" i="2"/>
  <c r="L367" i="2"/>
  <c r="X1252" i="2"/>
  <c r="G1017" i="2"/>
  <c r="G1026" i="2"/>
  <c r="AC1154" i="2"/>
  <c r="J1350" i="2"/>
  <c r="J1354" i="2" s="1"/>
  <c r="AC860" i="2"/>
  <c r="AC870" i="2" s="1"/>
  <c r="P1007" i="2"/>
  <c r="O1497" i="2"/>
  <c r="I1546" i="2"/>
  <c r="H317" i="2"/>
  <c r="H324" i="2" s="1"/>
  <c r="W615" i="2"/>
  <c r="W625" i="2" s="1"/>
  <c r="J1007" i="2"/>
  <c r="AC1497" i="2"/>
  <c r="AC1516" i="2" s="1"/>
  <c r="K267" i="2"/>
  <c r="K279" i="2" s="1"/>
  <c r="T860" i="2"/>
  <c r="I167" i="2"/>
  <c r="W317" i="2"/>
  <c r="U1546" i="2"/>
  <c r="I517" i="2"/>
  <c r="K1301" i="2"/>
  <c r="K1305" i="2" s="1"/>
  <c r="AA860" i="2"/>
  <c r="I317" i="2"/>
  <c r="Z1448" i="2"/>
  <c r="I467" i="2"/>
  <c r="R1301" i="2"/>
  <c r="R1317" i="2" s="1"/>
  <c r="J1056" i="2"/>
  <c r="X762" i="2"/>
  <c r="T811" i="2"/>
  <c r="Z615" i="2"/>
  <c r="R227" i="2"/>
  <c r="AD879" i="2"/>
  <c r="U585" i="2"/>
  <c r="Y221" i="2"/>
  <c r="AC1403" i="2"/>
  <c r="Q317" i="2"/>
  <c r="Q327" i="2" s="1"/>
  <c r="N1301" i="2"/>
  <c r="AC367" i="2"/>
  <c r="AC379" i="2" s="1"/>
  <c r="M811" i="2"/>
  <c r="X909" i="2"/>
  <c r="O1007" i="2"/>
  <c r="M1497" i="2"/>
  <c r="N267" i="2"/>
  <c r="O467" i="2"/>
  <c r="R909" i="2"/>
  <c r="I1497" i="2"/>
  <c r="I1509" i="2" s="1"/>
  <c r="P167" i="2"/>
  <c r="X811" i="2"/>
  <c r="X815" i="2" s="1"/>
  <c r="AC909" i="2"/>
  <c r="AC267" i="2"/>
  <c r="N1154" i="2"/>
  <c r="Y1497" i="2"/>
  <c r="Y1501" i="2" s="1"/>
  <c r="W1007" i="2"/>
  <c r="X1203" i="2"/>
  <c r="X1219" i="2" s="1"/>
  <c r="H811" i="2"/>
  <c r="Y1350" i="2"/>
  <c r="Y1357" i="2" s="1"/>
  <c r="P1350" i="2"/>
  <c r="X367" i="2"/>
  <c r="X374" i="2" s="1"/>
  <c r="I860" i="2"/>
  <c r="W467" i="2"/>
  <c r="W486" i="2" s="1"/>
  <c r="S1203" i="2"/>
  <c r="S1222" i="2" s="1"/>
  <c r="AB467" i="2"/>
  <c r="T1403" i="2"/>
  <c r="AC1406" i="2"/>
  <c r="T1409" i="2"/>
  <c r="G179" i="2"/>
  <c r="Y229" i="2"/>
  <c r="G1415" i="2"/>
  <c r="T1415" i="2"/>
  <c r="L585" i="2"/>
  <c r="Y233" i="2"/>
  <c r="AD227" i="2"/>
  <c r="Q1252" i="2"/>
  <c r="L1497" i="2"/>
  <c r="AC762" i="2"/>
  <c r="R1252" i="2"/>
  <c r="S267" i="2"/>
  <c r="S277" i="2" s="1"/>
  <c r="AC615" i="2"/>
  <c r="AC634" i="2" s="1"/>
  <c r="AB860" i="2"/>
  <c r="W909" i="2"/>
  <c r="W913" i="2" s="1"/>
  <c r="S167" i="2"/>
  <c r="S179" i="2" s="1"/>
  <c r="S417" i="2"/>
  <c r="S424" i="2" s="1"/>
  <c r="M1448" i="2"/>
  <c r="U117" i="2"/>
  <c r="AB762" i="2"/>
  <c r="AB781" i="2" s="1"/>
  <c r="W1546" i="2"/>
  <c r="I267" i="2"/>
  <c r="V1056" i="2"/>
  <c r="V1063" i="2" s="1"/>
  <c r="U1301" i="2"/>
  <c r="U1308" i="2" s="1"/>
  <c r="K909" i="2"/>
  <c r="H1448" i="2"/>
  <c r="H1464" i="2" s="1"/>
  <c r="I1154" i="2"/>
  <c r="J417" i="2"/>
  <c r="U1056" i="2"/>
  <c r="U1072" i="2" s="1"/>
  <c r="S1252" i="2"/>
  <c r="S1264" i="2" s="1"/>
  <c r="W1448" i="2"/>
  <c r="W1460" i="2" s="1"/>
  <c r="N762" i="2"/>
  <c r="P1448" i="2"/>
  <c r="P1546" i="2"/>
  <c r="P1550" i="2" s="1"/>
  <c r="I1406" i="2"/>
  <c r="AD870" i="2"/>
  <c r="AC1409" i="2"/>
  <c r="H674" i="2"/>
  <c r="Z582" i="2"/>
  <c r="X585" i="2"/>
  <c r="P1418" i="2"/>
  <c r="M236" i="2"/>
  <c r="L573" i="2"/>
  <c r="S1415" i="2"/>
  <c r="W167" i="2"/>
  <c r="W179" i="2" s="1"/>
  <c r="V1203" i="2"/>
  <c r="AC117" i="2"/>
  <c r="I615" i="2"/>
  <c r="I627" i="2" s="1"/>
  <c r="Q267" i="2"/>
  <c r="AC1301" i="2"/>
  <c r="AC1311" i="2" s="1"/>
  <c r="X117" i="2"/>
  <c r="W367" i="2"/>
  <c r="W386" i="2" s="1"/>
  <c r="Z811" i="2"/>
  <c r="Z823" i="2" s="1"/>
  <c r="U1350" i="2"/>
  <c r="AA1497" i="2"/>
  <c r="N167" i="2"/>
  <c r="Z1007" i="2"/>
  <c r="O860" i="2"/>
  <c r="P1301" i="2"/>
  <c r="O811" i="2"/>
  <c r="O317" i="2"/>
  <c r="X860" i="2"/>
  <c r="X867" i="2" s="1"/>
  <c r="Q1056" i="2"/>
  <c r="T1301" i="2"/>
  <c r="L1350" i="2"/>
  <c r="K615" i="2"/>
  <c r="H1203" i="2"/>
  <c r="W1203" i="2"/>
  <c r="M1406" i="2"/>
  <c r="G1504" i="2"/>
  <c r="AD1403" i="2"/>
  <c r="P1406" i="2"/>
  <c r="I1409" i="2"/>
  <c r="AD919" i="2"/>
  <c r="G1509" i="2"/>
  <c r="M229" i="2"/>
  <c r="I1411" i="2"/>
  <c r="M1415" i="2"/>
  <c r="G433" i="2"/>
  <c r="G1011" i="2"/>
  <c r="V229" i="2"/>
  <c r="J221" i="2"/>
  <c r="N1056" i="2"/>
  <c r="N1075" i="2" s="1"/>
  <c r="Y417" i="2"/>
  <c r="P762" i="2"/>
  <c r="U909" i="2"/>
  <c r="U916" i="2" s="1"/>
  <c r="M267" i="2"/>
  <c r="V615" i="2"/>
  <c r="V622" i="2" s="1"/>
  <c r="AC1252" i="2"/>
  <c r="P117" i="2"/>
  <c r="H517" i="2"/>
  <c r="S1350" i="2"/>
  <c r="S1362" i="2" s="1"/>
  <c r="R860" i="2"/>
  <c r="R867" i="2" s="1"/>
  <c r="L167" i="2"/>
  <c r="W762" i="2"/>
  <c r="L1154" i="2"/>
  <c r="L1166" i="2" s="1"/>
  <c r="T417" i="2"/>
  <c r="T429" i="2" s="1"/>
  <c r="U1497" i="2"/>
  <c r="U1504" i="2" s="1"/>
  <c r="X1350" i="2"/>
  <c r="X1369" i="2" s="1"/>
  <c r="T762" i="2"/>
  <c r="L117" i="2"/>
  <c r="AA1154" i="2"/>
  <c r="Q1448" i="2"/>
  <c r="S467" i="2"/>
  <c r="S486" i="2" s="1"/>
  <c r="R1203" i="2"/>
  <c r="X615" i="2"/>
  <c r="K227" i="2"/>
  <c r="Z1415" i="2"/>
  <c r="K233" i="2"/>
  <c r="R233" i="2"/>
  <c r="R1007" i="2"/>
  <c r="R1019" i="2" s="1"/>
  <c r="V167" i="2"/>
  <c r="I367" i="2"/>
  <c r="AB615" i="2"/>
  <c r="AB619" i="2" s="1"/>
  <c r="J1546" i="2"/>
  <c r="AA1546" i="2"/>
  <c r="R167" i="2"/>
  <c r="R174" i="2" s="1"/>
  <c r="N467" i="2"/>
  <c r="M1203" i="2"/>
  <c r="X1546" i="2"/>
  <c r="X1562" i="2" s="1"/>
  <c r="L467" i="2"/>
  <c r="W1301" i="2"/>
  <c r="W1320" i="2" s="1"/>
  <c r="V811" i="2"/>
  <c r="O615" i="2"/>
  <c r="O627" i="2" s="1"/>
  <c r="T1007" i="2"/>
  <c r="R317" i="2"/>
  <c r="R324" i="2" s="1"/>
  <c r="AA1350" i="2"/>
  <c r="T1056" i="2"/>
  <c r="P615" i="2"/>
  <c r="K1056" i="2"/>
  <c r="R1448" i="2"/>
  <c r="AF217" i="2"/>
  <c r="AF236" i="2" s="1"/>
  <c r="AG1399" i="2"/>
  <c r="U567" i="2"/>
  <c r="R236" i="2"/>
  <c r="Z1406" i="2"/>
  <c r="Z909" i="2"/>
  <c r="Z928" i="2" s="1"/>
  <c r="N1497" i="2"/>
  <c r="AC317" i="2"/>
  <c r="AC336" i="2" s="1"/>
  <c r="K1497" i="2"/>
  <c r="W117" i="2"/>
  <c r="R417" i="2"/>
  <c r="Q1154" i="2"/>
  <c r="AB1497" i="2"/>
  <c r="P417" i="2"/>
  <c r="AA1252" i="2"/>
  <c r="Z762" i="2"/>
  <c r="Z766" i="2" s="1"/>
  <c r="T1546" i="2"/>
  <c r="AA467" i="2"/>
  <c r="Q811" i="2"/>
  <c r="Y1252" i="2"/>
  <c r="Q860" i="2"/>
  <c r="P467" i="2"/>
  <c r="K367" i="2"/>
  <c r="K860" i="2"/>
  <c r="I1252" i="2"/>
  <c r="I1448" i="2"/>
  <c r="W1409" i="2"/>
  <c r="P221" i="2"/>
  <c r="O1546" i="2"/>
  <c r="J860" i="2"/>
  <c r="X167" i="2"/>
  <c r="O267" i="2"/>
  <c r="H67" i="2"/>
  <c r="V367" i="2"/>
  <c r="V377" i="2" s="1"/>
  <c r="Y1056" i="2"/>
  <c r="T367" i="2"/>
  <c r="K1203" i="2"/>
  <c r="K1207" i="2" s="1"/>
  <c r="R615" i="2"/>
  <c r="H958" i="2"/>
  <c r="K417" i="2"/>
  <c r="V417" i="2"/>
  <c r="Q1203" i="2"/>
  <c r="AA367" i="2"/>
  <c r="AA377" i="2" s="1"/>
  <c r="Y367" i="2"/>
  <c r="X1448" i="2"/>
  <c r="O762" i="2"/>
  <c r="O766" i="2" s="1"/>
  <c r="V1154" i="2"/>
  <c r="AF1399" i="2"/>
  <c r="AF1418" i="2" s="1"/>
  <c r="U576" i="2"/>
  <c r="I1415" i="2"/>
  <c r="H668" i="2"/>
  <c r="N860" i="2"/>
  <c r="S1497" i="2"/>
  <c r="S1516" i="2" s="1"/>
  <c r="N811" i="2"/>
  <c r="Q1497" i="2"/>
  <c r="Q1501" i="2" s="1"/>
  <c r="X417" i="2"/>
  <c r="X433" i="2" s="1"/>
  <c r="N1007" i="2"/>
  <c r="T167" i="2"/>
  <c r="T179" i="2" s="1"/>
  <c r="W1350" i="2"/>
  <c r="Z317" i="2"/>
  <c r="Z329" i="2" s="1"/>
  <c r="AC1007" i="2"/>
  <c r="L1448" i="2"/>
  <c r="X317" i="2"/>
  <c r="X329" i="2" s="1"/>
  <c r="AC167" i="2"/>
  <c r="J467" i="2"/>
  <c r="J486" i="2" s="1"/>
  <c r="K167" i="2"/>
  <c r="K179" i="2" s="1"/>
  <c r="O367" i="2"/>
  <c r="AC1056" i="2"/>
  <c r="M1350" i="2"/>
  <c r="L615" i="2"/>
  <c r="I1056" i="2"/>
  <c r="U1154" i="2"/>
  <c r="W218" i="2"/>
  <c r="L1403" i="2"/>
  <c r="G177" i="2"/>
  <c r="AD1164" i="2"/>
  <c r="M224" i="2"/>
  <c r="M1411" i="2"/>
  <c r="M233" i="2"/>
  <c r="G1207" i="2"/>
  <c r="AD913" i="2"/>
  <c r="R762" i="2"/>
  <c r="R781" i="2" s="1"/>
  <c r="L1546" i="2"/>
  <c r="AB367" i="2"/>
  <c r="AB386" i="2" s="1"/>
  <c r="V909" i="2"/>
  <c r="Y117" i="2"/>
  <c r="AA1301" i="2"/>
  <c r="AA1311" i="2" s="1"/>
  <c r="L267" i="2"/>
  <c r="I1007" i="2"/>
  <c r="T1350" i="2"/>
  <c r="T1354" i="2" s="1"/>
  <c r="J267" i="2"/>
  <c r="J271" i="2" s="1"/>
  <c r="W1056" i="2"/>
  <c r="W1063" i="2" s="1"/>
  <c r="I909" i="2"/>
  <c r="I916" i="2" s="1"/>
  <c r="N417" i="2"/>
  <c r="N421" i="2" s="1"/>
  <c r="R1546" i="2"/>
  <c r="R1565" i="2" s="1"/>
  <c r="S317" i="2"/>
  <c r="S329" i="2" s="1"/>
  <c r="I1301" i="2"/>
  <c r="Z860" i="2"/>
  <c r="AB1448" i="2"/>
  <c r="N1252" i="2"/>
  <c r="P367" i="2"/>
  <c r="M762" i="2"/>
  <c r="AA417" i="2"/>
  <c r="AB1400" i="2"/>
  <c r="AB218" i="2"/>
  <c r="T1406" i="2"/>
  <c r="Z1403" i="2"/>
  <c r="W1400" i="2"/>
  <c r="G1213" i="2"/>
  <c r="AD479" i="2"/>
  <c r="H676" i="2"/>
  <c r="G1409" i="2"/>
  <c r="G186" i="2"/>
  <c r="AC1418" i="2"/>
  <c r="G436" i="2"/>
  <c r="W1418" i="2"/>
  <c r="G668" i="2"/>
  <c r="Z1154" i="2"/>
  <c r="AA117" i="2"/>
  <c r="AA317" i="2"/>
  <c r="L909" i="2"/>
  <c r="S117" i="2"/>
  <c r="S811" i="2"/>
  <c r="S823" i="2" s="1"/>
  <c r="M1252" i="2"/>
  <c r="V762" i="2"/>
  <c r="S1007" i="2"/>
  <c r="S1008" i="2" s="1"/>
  <c r="J615" i="2"/>
  <c r="AC1350" i="2"/>
  <c r="AC1369" i="2" s="1"/>
  <c r="P1497" i="2"/>
  <c r="J811" i="2"/>
  <c r="J815" i="2" s="1"/>
  <c r="K1252" i="2"/>
  <c r="Z1546" i="2"/>
  <c r="Q167" i="2"/>
  <c r="Q909" i="2"/>
  <c r="O167" i="2"/>
  <c r="AA1007" i="2"/>
  <c r="AB167" i="2"/>
  <c r="AB186" i="2" s="1"/>
  <c r="R367" i="2"/>
  <c r="R374" i="2" s="1"/>
  <c r="M117" i="2"/>
  <c r="O1301" i="2"/>
  <c r="H909" i="2"/>
  <c r="AA615" i="2"/>
  <c r="Q1350" i="2"/>
  <c r="AB417" i="2"/>
  <c r="AB1154" i="2"/>
  <c r="H167" i="2"/>
  <c r="AC417" i="2"/>
  <c r="M1154" i="2"/>
  <c r="M1166" i="2" s="1"/>
  <c r="L762" i="2"/>
  <c r="V1497" i="2"/>
  <c r="Z1409" i="2"/>
  <c r="U582" i="2"/>
  <c r="AD1173" i="2"/>
  <c r="W573" i="2"/>
  <c r="U1409" i="2"/>
  <c r="U467" i="2"/>
  <c r="U483" i="2" s="1"/>
  <c r="M1007" i="2"/>
  <c r="J762" i="2"/>
  <c r="J766" i="2" s="1"/>
  <c r="T615" i="2"/>
  <c r="N909" i="2"/>
  <c r="Z1203" i="2"/>
  <c r="Z1207" i="2" s="1"/>
  <c r="AC1448" i="2"/>
  <c r="N367" i="2"/>
  <c r="R811" i="2"/>
  <c r="R830" i="2" s="1"/>
  <c r="AA909" i="2"/>
  <c r="V467" i="2"/>
  <c r="V479" i="2" s="1"/>
  <c r="T1448" i="2"/>
  <c r="T1467" i="2" s="1"/>
  <c r="L317" i="2"/>
  <c r="L333" i="2" s="1"/>
  <c r="AB1546" i="2"/>
  <c r="O1203" i="2"/>
  <c r="O1222" i="2" s="1"/>
  <c r="J1497" i="2"/>
  <c r="J1501" i="2" s="1"/>
  <c r="V117" i="2"/>
  <c r="U860" i="2"/>
  <c r="AB1252" i="2"/>
  <c r="T117" i="2"/>
  <c r="O909" i="2"/>
  <c r="S1546" i="2"/>
  <c r="S1553" i="2" s="1"/>
  <c r="J167" i="2"/>
  <c r="Y1203" i="2"/>
  <c r="K811" i="2"/>
  <c r="X467" i="2"/>
  <c r="X486" i="2" s="1"/>
  <c r="T1252" i="2"/>
  <c r="Y1448" i="2"/>
  <c r="O1056" i="2"/>
  <c r="M367" i="2"/>
  <c r="W417" i="2"/>
  <c r="W436" i="2" s="1"/>
  <c r="L417" i="2"/>
  <c r="L421" i="2" s="1"/>
  <c r="T1411" i="2"/>
  <c r="I117" i="2"/>
  <c r="Y1301" i="2"/>
  <c r="K1448" i="2"/>
  <c r="AC467" i="2"/>
  <c r="AC811" i="2"/>
  <c r="AC823" i="2" s="1"/>
  <c r="I1403" i="2"/>
  <c r="U267" i="2"/>
  <c r="U286" i="2" s="1"/>
  <c r="Z417" i="2"/>
  <c r="Z421" i="2" s="1"/>
  <c r="M1301" i="2"/>
  <c r="AB1350" i="2"/>
  <c r="R267" i="2"/>
  <c r="R286" i="2" s="1"/>
  <c r="J317" i="2"/>
  <c r="H1546" i="2"/>
  <c r="S1154" i="2"/>
  <c r="S1173" i="2" s="1"/>
  <c r="N1448" i="2"/>
  <c r="Y811" i="2"/>
  <c r="Y827" i="2" s="1"/>
  <c r="H1252" i="2"/>
  <c r="S860" i="2"/>
  <c r="S879" i="2" s="1"/>
  <c r="AB909" i="2"/>
  <c r="AB267" i="2"/>
  <c r="W1497" i="2"/>
  <c r="W1513" i="2" s="1"/>
  <c r="O117" i="2"/>
  <c r="J1154" i="2"/>
  <c r="M417" i="2"/>
  <c r="I417" i="2"/>
  <c r="R1056" i="2"/>
  <c r="R1075" i="2" s="1"/>
  <c r="N1350" i="2"/>
  <c r="L860" i="2"/>
  <c r="L867" i="2" s="1"/>
  <c r="H1056" i="2"/>
  <c r="U1007" i="2"/>
  <c r="U1011" i="2" s="1"/>
  <c r="I762" i="2"/>
  <c r="W1403" i="2"/>
  <c r="K221" i="2"/>
  <c r="U578" i="2"/>
  <c r="I576" i="2"/>
  <c r="X582" i="2"/>
  <c r="G732" i="2"/>
  <c r="H683" i="2"/>
  <c r="AD928" i="2"/>
  <c r="G371" i="2"/>
  <c r="X1403" i="2"/>
  <c r="S582" i="2"/>
  <c r="S585" i="2"/>
  <c r="G230" i="2"/>
  <c r="H579" i="2"/>
  <c r="S576" i="2"/>
  <c r="S578" i="2"/>
  <c r="S590" i="2" s="1"/>
  <c r="S591" i="2" s="1"/>
  <c r="S570" i="2"/>
  <c r="S573" i="2"/>
  <c r="R63" i="2"/>
  <c r="R65" i="2" s="1"/>
  <c r="R95" i="2" s="1"/>
  <c r="AG566" i="2"/>
  <c r="S567" i="2"/>
  <c r="AF365" i="2"/>
  <c r="H367" i="2"/>
  <c r="AG1201" i="2"/>
  <c r="AG165" i="2"/>
  <c r="Y167" i="2"/>
  <c r="AF1201" i="2"/>
  <c r="J1203" i="2"/>
  <c r="AG1054" i="2"/>
  <c r="S1056" i="2"/>
  <c r="AF858" i="2"/>
  <c r="H860" i="2"/>
  <c r="AF1495" i="2"/>
  <c r="H1497" i="2"/>
  <c r="I711" i="2"/>
  <c r="I741" i="2" s="1"/>
  <c r="AF1297" i="2"/>
  <c r="J1299" i="2"/>
  <c r="J1329" i="2" s="1"/>
  <c r="AF1329" i="2" s="1"/>
  <c r="Y63" i="2"/>
  <c r="Y65" i="2" s="1"/>
  <c r="Y95" i="2" s="1"/>
  <c r="AF905" i="2"/>
  <c r="M907" i="2"/>
  <c r="M937" i="2" s="1"/>
  <c r="AF937" i="2" s="1"/>
  <c r="AF1150" i="2"/>
  <c r="O1152" i="2"/>
  <c r="O1182" i="2" s="1"/>
  <c r="AF1182" i="2" s="1"/>
  <c r="O63" i="2"/>
  <c r="O65" i="2" s="1"/>
  <c r="O95" i="2" s="1"/>
  <c r="AG1152" i="2"/>
  <c r="AF463" i="2"/>
  <c r="M465" i="2"/>
  <c r="M495" i="2" s="1"/>
  <c r="AF495" i="2" s="1"/>
  <c r="Q63" i="2"/>
  <c r="Q65" i="2" s="1"/>
  <c r="Q95" i="2" s="1"/>
  <c r="AF61" i="2"/>
  <c r="I63" i="2"/>
  <c r="I65" i="2" s="1"/>
  <c r="I95" i="2" s="1"/>
  <c r="AG1003" i="2"/>
  <c r="X1005" i="2"/>
  <c r="X1035" i="2" s="1"/>
  <c r="AG1035" i="2" s="1"/>
  <c r="AF413" i="2"/>
  <c r="Q415" i="2"/>
  <c r="Q445" i="2" s="1"/>
  <c r="AF445" i="2" s="1"/>
  <c r="AG809" i="2"/>
  <c r="AG760" i="2"/>
  <c r="AG365" i="2"/>
  <c r="AG856" i="2"/>
  <c r="V858" i="2"/>
  <c r="V888" i="2" s="1"/>
  <c r="AG888" i="2" s="1"/>
  <c r="AF1003" i="2"/>
  <c r="H1005" i="2"/>
  <c r="H1035" i="2" s="1"/>
  <c r="AF1035" i="2" s="1"/>
  <c r="AF1248" i="2"/>
  <c r="J1250" i="2"/>
  <c r="J1280" i="2" s="1"/>
  <c r="AF1280" i="2" s="1"/>
  <c r="M63" i="2"/>
  <c r="M65" i="2" s="1"/>
  <c r="M95" i="2" s="1"/>
  <c r="S63" i="2"/>
  <c r="S65" i="2" s="1"/>
  <c r="S95" i="2" s="1"/>
  <c r="AF1052" i="2"/>
  <c r="L1054" i="2"/>
  <c r="L1084" i="2" s="1"/>
  <c r="AF1084" i="2" s="1"/>
  <c r="AG613" i="2"/>
  <c r="N63" i="2"/>
  <c r="N65" i="2" s="1"/>
  <c r="N95" i="2" s="1"/>
  <c r="AF1444" i="2"/>
  <c r="O1446" i="2"/>
  <c r="O1476" i="2" s="1"/>
  <c r="AF1476" i="2" s="1"/>
  <c r="Z63" i="2"/>
  <c r="Z65" i="2" s="1"/>
  <c r="Z95" i="2" s="1"/>
  <c r="AG415" i="2"/>
  <c r="AF758" i="2"/>
  <c r="H760" i="2"/>
  <c r="H790" i="2" s="1"/>
  <c r="AF790" i="2" s="1"/>
  <c r="AF263" i="2"/>
  <c r="H265" i="2"/>
  <c r="H295" i="2" s="1"/>
  <c r="AF295" i="2" s="1"/>
  <c r="AF856" i="2"/>
  <c r="AG1199" i="2"/>
  <c r="K63" i="2"/>
  <c r="K65" i="2" s="1"/>
  <c r="K95" i="2" s="1"/>
  <c r="AF163" i="2"/>
  <c r="M165" i="2"/>
  <c r="M195" i="2" s="1"/>
  <c r="AF195" i="2" s="1"/>
  <c r="AG758" i="2"/>
  <c r="AF807" i="2"/>
  <c r="L809" i="2"/>
  <c r="L839" i="2" s="1"/>
  <c r="AF839" i="2" s="1"/>
  <c r="J63" i="2"/>
  <c r="J65" i="2" s="1"/>
  <c r="J95" i="2" s="1"/>
  <c r="AF1542" i="2"/>
  <c r="M1544" i="2"/>
  <c r="M1574" i="2" s="1"/>
  <c r="AF1574" i="2" s="1"/>
  <c r="AF313" i="2"/>
  <c r="M315" i="2"/>
  <c r="M345" i="2" s="1"/>
  <c r="AF345" i="2" s="1"/>
  <c r="AF1346" i="2"/>
  <c r="I1348" i="2"/>
  <c r="I1378" i="2" s="1"/>
  <c r="AF1378" i="2" s="1"/>
  <c r="J707" i="2"/>
  <c r="AF115" i="2"/>
  <c r="U1446" i="2"/>
  <c r="U1476" i="2" s="1"/>
  <c r="AF611" i="2"/>
  <c r="H613" i="2"/>
  <c r="H643" i="2" s="1"/>
  <c r="AF643" i="2" s="1"/>
  <c r="AG115" i="2"/>
  <c r="AG1248" i="2"/>
  <c r="W1250" i="2"/>
  <c r="W1280" i="2" s="1"/>
  <c r="AG1280" i="2" s="1"/>
  <c r="P63" i="2"/>
  <c r="P65" i="2" s="1"/>
  <c r="P95" i="2" s="1"/>
  <c r="L63" i="2"/>
  <c r="L65" i="2" s="1"/>
  <c r="L95" i="2" s="1"/>
  <c r="AG463" i="2"/>
  <c r="T465" i="2"/>
  <c r="T495" i="2" s="1"/>
  <c r="AG495" i="2" s="1"/>
  <c r="AG907" i="2"/>
  <c r="X63" i="2"/>
  <c r="X65" i="2" s="1"/>
  <c r="X95" i="2" s="1"/>
  <c r="AF113" i="2"/>
  <c r="AG413" i="2"/>
  <c r="AF1199" i="2"/>
  <c r="AG1052" i="2"/>
  <c r="AG163" i="2"/>
  <c r="AG113" i="2"/>
  <c r="AF363" i="2"/>
  <c r="J1099" i="2"/>
  <c r="I1101" i="2"/>
  <c r="I1103" i="2" s="1"/>
  <c r="I1133" i="2" s="1"/>
  <c r="AG1150" i="2"/>
  <c r="J658" i="2"/>
  <c r="I660" i="2"/>
  <c r="I662" i="2" s="1"/>
  <c r="I692" i="2" s="1"/>
  <c r="AG807" i="2"/>
  <c r="AG611" i="2"/>
  <c r="J952" i="2"/>
  <c r="I954" i="2"/>
  <c r="I956" i="2" s="1"/>
  <c r="I986" i="2" s="1"/>
  <c r="AG905" i="2"/>
  <c r="AF1493" i="2"/>
  <c r="AG363" i="2"/>
  <c r="K511" i="2"/>
  <c r="J513" i="2"/>
  <c r="J515" i="2" s="1"/>
  <c r="J545" i="2" s="1"/>
  <c r="U36" i="1"/>
  <c r="R36" i="1"/>
  <c r="Q36" i="1"/>
  <c r="T36" i="1"/>
  <c r="W36" i="1"/>
  <c r="AC17" i="1"/>
  <c r="AC17" i="8" s="1"/>
  <c r="V36" i="1"/>
  <c r="D9" i="1"/>
  <c r="X36" i="1"/>
  <c r="Y36" i="1"/>
  <c r="AC20" i="1"/>
  <c r="AC20" i="8" s="1"/>
  <c r="AA36" i="1"/>
  <c r="S36" i="1"/>
  <c r="Z36" i="1"/>
  <c r="AC23" i="1"/>
  <c r="AC23" i="8" s="1"/>
  <c r="AD23" i="1"/>
  <c r="AD35" i="1"/>
  <c r="AD17" i="1"/>
  <c r="AC35" i="1"/>
  <c r="AC35" i="8" s="1"/>
  <c r="AD36" i="8" s="1"/>
  <c r="AD29" i="1"/>
  <c r="AC29" i="1"/>
  <c r="AC29" i="8" s="1"/>
  <c r="AD20" i="1"/>
  <c r="AC32" i="1"/>
  <c r="AC32" i="8" s="1"/>
  <c r="AD32" i="1"/>
  <c r="P36" i="1"/>
  <c r="H314" i="4"/>
  <c r="G260" i="4"/>
  <c r="G304" i="4"/>
  <c r="G86" i="4"/>
  <c r="G106" i="4"/>
  <c r="G88" i="4"/>
  <c r="G108" i="4"/>
  <c r="G72" i="4"/>
  <c r="G92" i="4"/>
  <c r="G112" i="4"/>
  <c r="G115" i="4"/>
  <c r="G77" i="4"/>
  <c r="G75" i="4"/>
  <c r="G117" i="4"/>
  <c r="G78" i="4"/>
  <c r="G98" i="4"/>
  <c r="G118" i="4"/>
  <c r="G97" i="4"/>
  <c r="L69" i="4"/>
  <c r="G79" i="4"/>
  <c r="G99" i="4"/>
  <c r="G119" i="4"/>
  <c r="G81" i="4"/>
  <c r="G101" i="4"/>
  <c r="G121" i="4"/>
  <c r="G82" i="4"/>
  <c r="G102" i="4"/>
  <c r="G122" i="4"/>
  <c r="G100" i="4"/>
  <c r="G83" i="4"/>
  <c r="G80" i="4"/>
  <c r="G103" i="4"/>
  <c r="G104" i="4"/>
  <c r="G120" i="4"/>
  <c r="G123" i="4"/>
  <c r="G85" i="4"/>
  <c r="G105" i="4"/>
  <c r="AB120" i="4"/>
  <c r="G87" i="4"/>
  <c r="G107" i="4"/>
  <c r="G89" i="4"/>
  <c r="G109" i="4"/>
  <c r="G110" i="4"/>
  <c r="G70" i="4"/>
  <c r="G90" i="4"/>
  <c r="G91" i="4"/>
  <c r="G111" i="4"/>
  <c r="G113" i="4"/>
  <c r="G94" i="4"/>
  <c r="G114" i="4"/>
  <c r="G95" i="4"/>
  <c r="G76" i="4"/>
  <c r="G116" i="4"/>
  <c r="H188" i="4"/>
  <c r="G178" i="4"/>
  <c r="G186" i="4"/>
  <c r="G135" i="4"/>
  <c r="K59" i="3"/>
  <c r="M51" i="3"/>
  <c r="K56" i="3"/>
  <c r="K58" i="3"/>
  <c r="O115" i="4"/>
  <c r="J42" i="4"/>
  <c r="J294" i="4" s="1"/>
  <c r="J357" i="4" s="1"/>
  <c r="K31" i="4"/>
  <c r="K283" i="4" s="1"/>
  <c r="K346" i="4" s="1"/>
  <c r="K16" i="4"/>
  <c r="K268" i="4" s="1"/>
  <c r="K331" i="4" s="1"/>
  <c r="K22" i="4"/>
  <c r="K274" i="4" s="1"/>
  <c r="K337" i="4" s="1"/>
  <c r="J32" i="4"/>
  <c r="J284" i="4" s="1"/>
  <c r="J347" i="4" s="1"/>
  <c r="H125" i="4"/>
  <c r="G74" i="4"/>
  <c r="J9" i="4"/>
  <c r="J261" i="4" s="1"/>
  <c r="J324" i="4" s="1"/>
  <c r="J34" i="4"/>
  <c r="J286" i="4" s="1"/>
  <c r="J349" i="4" s="1"/>
  <c r="J17" i="4"/>
  <c r="J269" i="4" s="1"/>
  <c r="J332" i="4" s="1"/>
  <c r="J22" i="4"/>
  <c r="J274" i="4" s="1"/>
  <c r="J337" i="4" s="1"/>
  <c r="K17" i="4"/>
  <c r="K269" i="4" s="1"/>
  <c r="K332" i="4" s="1"/>
  <c r="J57" i="4"/>
  <c r="J59" i="4"/>
  <c r="J311" i="4" s="1"/>
  <c r="J374" i="4" s="1"/>
  <c r="J55" i="4"/>
  <c r="J307" i="4" s="1"/>
  <c r="J370" i="4" s="1"/>
  <c r="J25" i="4"/>
  <c r="J277" i="4" s="1"/>
  <c r="J340" i="4" s="1"/>
  <c r="L6" i="4"/>
  <c r="L10" i="4" s="1"/>
  <c r="L262" i="4" s="1"/>
  <c r="L325" i="4" s="1"/>
  <c r="J18" i="4"/>
  <c r="J270" i="4" s="1"/>
  <c r="J333" i="4" s="1"/>
  <c r="J38" i="4"/>
  <c r="J290" i="4" s="1"/>
  <c r="J353" i="4" s="1"/>
  <c r="K18" i="4"/>
  <c r="K270" i="4" s="1"/>
  <c r="K333" i="4" s="1"/>
  <c r="J43" i="4"/>
  <c r="J295" i="4" s="1"/>
  <c r="J358" i="4" s="1"/>
  <c r="K57" i="4"/>
  <c r="K13" i="4"/>
  <c r="K265" i="4" s="1"/>
  <c r="K328" i="4" s="1"/>
  <c r="J24" i="4"/>
  <c r="J276" i="4" s="1"/>
  <c r="J339" i="4" s="1"/>
  <c r="J19" i="4"/>
  <c r="J271" i="4" s="1"/>
  <c r="J334" i="4" s="1"/>
  <c r="K56" i="4"/>
  <c r="K308" i="4" s="1"/>
  <c r="K371" i="4" s="1"/>
  <c r="K36" i="4"/>
  <c r="K288" i="4" s="1"/>
  <c r="K351" i="4" s="1"/>
  <c r="K41" i="4"/>
  <c r="K293" i="4" s="1"/>
  <c r="K356" i="4" s="1"/>
  <c r="J15" i="4"/>
  <c r="J267" i="4" s="1"/>
  <c r="J330" i="4" s="1"/>
  <c r="K46" i="4"/>
  <c r="K298" i="4" s="1"/>
  <c r="K361" i="4" s="1"/>
  <c r="J46" i="4"/>
  <c r="J298" i="4" s="1"/>
  <c r="J361" i="4" s="1"/>
  <c r="K21" i="4"/>
  <c r="K273" i="4" s="1"/>
  <c r="K336" i="4" s="1"/>
  <c r="J26" i="4"/>
  <c r="J278" i="4" s="1"/>
  <c r="J341" i="4" s="1"/>
  <c r="K26" i="4"/>
  <c r="K278" i="4" s="1"/>
  <c r="K341" i="4" s="1"/>
  <c r="K11" i="4"/>
  <c r="K263" i="4" s="1"/>
  <c r="K326" i="4" s="1"/>
  <c r="J58" i="4"/>
  <c r="J310" i="4" s="1"/>
  <c r="J373" i="4" s="1"/>
  <c r="K58" i="4"/>
  <c r="K310" i="4" s="1"/>
  <c r="K373" i="4" s="1"/>
  <c r="K61" i="4"/>
  <c r="K313" i="4" s="1"/>
  <c r="K376" i="4" s="1"/>
  <c r="J54" i="4"/>
  <c r="J306" i="4" s="1"/>
  <c r="J39" i="4"/>
  <c r="J291" i="4" s="1"/>
  <c r="J354" i="4" s="1"/>
  <c r="J44" i="4"/>
  <c r="J296" i="4" s="1"/>
  <c r="J359" i="4" s="1"/>
  <c r="K15" i="4"/>
  <c r="K267" i="4" s="1"/>
  <c r="K330" i="4" s="1"/>
  <c r="G35" i="4"/>
  <c r="G62" i="4" s="1"/>
  <c r="J20" i="4"/>
  <c r="J272" i="4" s="1"/>
  <c r="J335" i="4" s="1"/>
  <c r="K20" i="4"/>
  <c r="K272" i="4" s="1"/>
  <c r="K335" i="4" s="1"/>
  <c r="J40" i="4"/>
  <c r="J292" i="4" s="1"/>
  <c r="J355" i="4" s="1"/>
  <c r="K40" i="4"/>
  <c r="K292" i="4" s="1"/>
  <c r="K355" i="4" s="1"/>
  <c r="K60" i="4"/>
  <c r="K312" i="4" s="1"/>
  <c r="K375" i="4" s="1"/>
  <c r="J60" i="4"/>
  <c r="J312" i="4" s="1"/>
  <c r="J375" i="4" s="1"/>
  <c r="J7" i="4"/>
  <c r="J259" i="4" s="1"/>
  <c r="J322" i="4" s="1"/>
  <c r="K7" i="4"/>
  <c r="K259" i="4" s="1"/>
  <c r="K322" i="4" s="1"/>
  <c r="K25" i="4"/>
  <c r="K277" i="4" s="1"/>
  <c r="K340" i="4" s="1"/>
  <c r="K32" i="4"/>
  <c r="K284" i="4" s="1"/>
  <c r="K347" i="4" s="1"/>
  <c r="J37" i="4"/>
  <c r="J289" i="4" s="1"/>
  <c r="J352" i="4" s="1"/>
  <c r="K42" i="4"/>
  <c r="K294" i="4" s="1"/>
  <c r="K357" i="4" s="1"/>
  <c r="J50" i="4"/>
  <c r="J302" i="4" s="1"/>
  <c r="J365" i="4" s="1"/>
  <c r="K55" i="4"/>
  <c r="K307" i="4" s="1"/>
  <c r="K370" i="4" s="1"/>
  <c r="J47" i="4"/>
  <c r="J299" i="4" s="1"/>
  <c r="J362" i="4" s="1"/>
  <c r="J11" i="4"/>
  <c r="J263" i="4" s="1"/>
  <c r="J326" i="4" s="1"/>
  <c r="J31" i="4"/>
  <c r="J283" i="4" s="1"/>
  <c r="J346" i="4" s="1"/>
  <c r="K51" i="4"/>
  <c r="K303" i="4" s="1"/>
  <c r="K366" i="4" s="1"/>
  <c r="J51" i="4"/>
  <c r="J303" i="4" s="1"/>
  <c r="J366" i="4" s="1"/>
  <c r="J30" i="4"/>
  <c r="J282" i="4" s="1"/>
  <c r="J345" i="4" s="1"/>
  <c r="K37" i="4"/>
  <c r="K289" i="4" s="1"/>
  <c r="K352" i="4" s="1"/>
  <c r="J45" i="4"/>
  <c r="J297" i="4" s="1"/>
  <c r="J360" i="4" s="1"/>
  <c r="K50" i="4"/>
  <c r="K302" i="4" s="1"/>
  <c r="K365" i="4" s="1"/>
  <c r="K52" i="4"/>
  <c r="J13" i="4"/>
  <c r="J265" i="4" s="1"/>
  <c r="J328" i="4" s="1"/>
  <c r="J33" i="4"/>
  <c r="J285" i="4" s="1"/>
  <c r="J348" i="4" s="1"/>
  <c r="J53" i="4"/>
  <c r="J305" i="4" s="1"/>
  <c r="J14" i="4"/>
  <c r="J266" i="4" s="1"/>
  <c r="J329" i="4" s="1"/>
  <c r="K53" i="4"/>
  <c r="K305" i="4" s="1"/>
  <c r="K368" i="4" s="1"/>
  <c r="J27" i="4"/>
  <c r="J279" i="4" s="1"/>
  <c r="J342" i="4" s="1"/>
  <c r="K27" i="4"/>
  <c r="K279" i="4" s="1"/>
  <c r="K342" i="4" s="1"/>
  <c r="K47" i="4"/>
  <c r="K299" i="4" s="1"/>
  <c r="K362" i="4" s="1"/>
  <c r="K23" i="4"/>
  <c r="K275" i="4" s="1"/>
  <c r="K338" i="4" s="1"/>
  <c r="K30" i="4"/>
  <c r="K282" i="4" s="1"/>
  <c r="K345" i="4" s="1"/>
  <c r="J12" i="4"/>
  <c r="J264" i="4" s="1"/>
  <c r="J327" i="4" s="1"/>
  <c r="K28" i="4"/>
  <c r="K280" i="4" s="1"/>
  <c r="K343" i="4" s="1"/>
  <c r="K48" i="4"/>
  <c r="K300" i="4" s="1"/>
  <c r="K363" i="4" s="1"/>
  <c r="J8" i="4"/>
  <c r="K43" i="4"/>
  <c r="K295" i="4" s="1"/>
  <c r="K358" i="4" s="1"/>
  <c r="J28" i="4"/>
  <c r="J280" i="4" s="1"/>
  <c r="J343" i="4" s="1"/>
  <c r="K45" i="4"/>
  <c r="K297" i="4" s="1"/>
  <c r="K360" i="4" s="1"/>
  <c r="J10" i="4"/>
  <c r="J262" i="4" s="1"/>
  <c r="J325" i="4" s="1"/>
  <c r="K12" i="4"/>
  <c r="K264" i="4" s="1"/>
  <c r="K327" i="4" s="1"/>
  <c r="J16" i="4"/>
  <c r="J268" i="4" s="1"/>
  <c r="J331" i="4" s="1"/>
  <c r="J36" i="4"/>
  <c r="J288" i="4" s="1"/>
  <c r="J351" i="4" s="1"/>
  <c r="J56" i="4"/>
  <c r="J308" i="4" s="1"/>
  <c r="J371" i="4" s="1"/>
  <c r="K10" i="4"/>
  <c r="K262" i="4" s="1"/>
  <c r="K325" i="4" s="1"/>
  <c r="K33" i="4"/>
  <c r="K285" i="4" s="1"/>
  <c r="K348" i="4" s="1"/>
  <c r="K38" i="4"/>
  <c r="K290" i="4" s="1"/>
  <c r="K353" i="4" s="1"/>
  <c r="J52" i="4"/>
  <c r="J48" i="4"/>
  <c r="J300" i="4" s="1"/>
  <c r="J363" i="4" s="1"/>
  <c r="K8" i="4"/>
  <c r="J21" i="4"/>
  <c r="J273" i="4" s="1"/>
  <c r="J336" i="4" s="1"/>
  <c r="J41" i="4"/>
  <c r="J293" i="4" s="1"/>
  <c r="J356" i="4" s="1"/>
  <c r="J61" i="4"/>
  <c r="J313" i="4" s="1"/>
  <c r="J376" i="4" s="1"/>
  <c r="J23" i="4"/>
  <c r="J275" i="4" s="1"/>
  <c r="J338" i="4" s="1"/>
  <c r="J29" i="4"/>
  <c r="J281" i="4" s="1"/>
  <c r="J344" i="4" s="1"/>
  <c r="J49" i="4"/>
  <c r="J301" i="4" s="1"/>
  <c r="J364" i="4" s="1"/>
  <c r="K9" i="4"/>
  <c r="K261" i="4" s="1"/>
  <c r="K324" i="4" s="1"/>
  <c r="K14" i="4"/>
  <c r="K266" i="4" s="1"/>
  <c r="K329" i="4" s="1"/>
  <c r="K19" i="4"/>
  <c r="K271" i="4" s="1"/>
  <c r="K334" i="4" s="1"/>
  <c r="K24" i="4"/>
  <c r="K276" i="4" s="1"/>
  <c r="K339" i="4" s="1"/>
  <c r="K29" i="4"/>
  <c r="K281" i="4" s="1"/>
  <c r="K344" i="4" s="1"/>
  <c r="K34" i="4"/>
  <c r="K286" i="4" s="1"/>
  <c r="K349" i="4" s="1"/>
  <c r="K39" i="4"/>
  <c r="K291" i="4" s="1"/>
  <c r="K354" i="4" s="1"/>
  <c r="K44" i="4"/>
  <c r="K296" i="4" s="1"/>
  <c r="K359" i="4" s="1"/>
  <c r="K49" i="4"/>
  <c r="K301" i="4" s="1"/>
  <c r="K364" i="4" s="1"/>
  <c r="K54" i="4"/>
  <c r="K306" i="4" s="1"/>
  <c r="K369" i="4" s="1"/>
  <c r="K59" i="4"/>
  <c r="K311" i="4" s="1"/>
  <c r="K374" i="4" s="1"/>
  <c r="K6" i="3"/>
  <c r="I61" i="3"/>
  <c r="K61" i="3" s="1"/>
  <c r="H62" i="4"/>
  <c r="B73" i="2"/>
  <c r="C73" i="2" s="1"/>
  <c r="B58" i="2"/>
  <c r="B56" i="2"/>
  <c r="B66" i="2"/>
  <c r="C66" i="2" s="1"/>
  <c r="B55" i="2"/>
  <c r="B85" i="2"/>
  <c r="C85" i="2" s="1"/>
  <c r="B89" i="2"/>
  <c r="C89" i="2" s="1"/>
  <c r="B64" i="2"/>
  <c r="C64" i="2" s="1"/>
  <c r="B90" i="2"/>
  <c r="C90" i="2" s="1"/>
  <c r="B75" i="2"/>
  <c r="C75" i="2" s="1"/>
  <c r="B91" i="2"/>
  <c r="C91" i="2" s="1"/>
  <c r="B65" i="2"/>
  <c r="C65" i="2" s="1"/>
  <c r="B76" i="2"/>
  <c r="C76" i="2" s="1"/>
  <c r="B92" i="2"/>
  <c r="C92" i="2" s="1"/>
  <c r="B77" i="2"/>
  <c r="C77" i="2" s="1"/>
  <c r="B93" i="2"/>
  <c r="C93" i="2" s="1"/>
  <c r="B67" i="2"/>
  <c r="C67" i="2" s="1"/>
  <c r="B78" i="2"/>
  <c r="C78" i="2" s="1"/>
  <c r="B94" i="2"/>
  <c r="C94" i="2" s="1"/>
  <c r="B68" i="2"/>
  <c r="C68" i="2" s="1"/>
  <c r="B79" i="2"/>
  <c r="C79" i="2" s="1"/>
  <c r="B95" i="2"/>
  <c r="B69" i="2"/>
  <c r="C69" i="2" s="1"/>
  <c r="B80" i="2"/>
  <c r="C80" i="2" s="1"/>
  <c r="B96" i="2"/>
  <c r="C96" i="2" s="1"/>
  <c r="B70" i="2"/>
  <c r="C70" i="2" s="1"/>
  <c r="B81" i="2"/>
  <c r="C81" i="2" s="1"/>
  <c r="B62" i="2"/>
  <c r="C62" i="2" s="1"/>
  <c r="B71" i="2"/>
  <c r="C71" i="2" s="1"/>
  <c r="B82" i="2"/>
  <c r="C82" i="2" s="1"/>
  <c r="B53" i="2"/>
  <c r="B83" i="2"/>
  <c r="C83" i="2" s="1"/>
  <c r="B57" i="2"/>
  <c r="B72" i="2"/>
  <c r="C72" i="2" s="1"/>
  <c r="B84" i="2"/>
  <c r="C84" i="2" s="1"/>
  <c r="B59" i="2"/>
  <c r="B74" i="2"/>
  <c r="C74" i="2" s="1"/>
  <c r="B86" i="2"/>
  <c r="C86" i="2" s="1"/>
  <c r="B60" i="2"/>
  <c r="B87" i="2"/>
  <c r="C87" i="2" s="1"/>
  <c r="B97" i="2"/>
  <c r="C97" i="2" s="1"/>
  <c r="B61" i="2"/>
  <c r="C61" i="2" s="1"/>
  <c r="B88" i="2"/>
  <c r="C88" i="2" s="1"/>
  <c r="L325" i="11" l="1"/>
  <c r="L348" i="11"/>
  <c r="L345" i="11"/>
  <c r="X1301" i="2"/>
  <c r="AD124" i="2"/>
  <c r="Y267" i="2"/>
  <c r="AD1493" i="2"/>
  <c r="AD1495" i="2" s="1"/>
  <c r="AD1542" i="2"/>
  <c r="AD1544" i="2" s="1"/>
  <c r="AD1574" i="2" s="1"/>
  <c r="AG1574" i="2" s="1"/>
  <c r="AG445" i="2"/>
  <c r="W267" i="2"/>
  <c r="U317" i="2"/>
  <c r="AD129" i="2"/>
  <c r="AD141" i="2" s="1"/>
  <c r="AD142" i="2" s="1"/>
  <c r="V63" i="2"/>
  <c r="V65" i="2" s="1"/>
  <c r="V95" i="2" s="1"/>
  <c r="AB63" i="2"/>
  <c r="AB65" i="2" s="1"/>
  <c r="AB95" i="2" s="1"/>
  <c r="V317" i="2"/>
  <c r="AD127" i="2"/>
  <c r="T63" i="2"/>
  <c r="T65" i="2" s="1"/>
  <c r="T95" i="2" s="1"/>
  <c r="U63" i="2"/>
  <c r="U65" i="2" s="1"/>
  <c r="U95" i="2" s="1"/>
  <c r="X267" i="2"/>
  <c r="X277" i="2" s="1"/>
  <c r="AD121" i="2"/>
  <c r="S16" i="9"/>
  <c r="AA63" i="2"/>
  <c r="AA65" i="2" s="1"/>
  <c r="AA95" i="2" s="1"/>
  <c r="W63" i="2"/>
  <c r="W65" i="2" s="1"/>
  <c r="W95" i="2" s="1"/>
  <c r="V96" i="8"/>
  <c r="M280" i="11"/>
  <c r="L349" i="11"/>
  <c r="M331" i="11"/>
  <c r="M289" i="11"/>
  <c r="M171" i="11"/>
  <c r="L344" i="11"/>
  <c r="M172" i="11"/>
  <c r="M290" i="11"/>
  <c r="L330" i="11"/>
  <c r="M278" i="11"/>
  <c r="K235" i="11"/>
  <c r="M292" i="11"/>
  <c r="M174" i="11"/>
  <c r="L340" i="11"/>
  <c r="L331" i="11"/>
  <c r="M288" i="11"/>
  <c r="M170" i="11"/>
  <c r="L341" i="11"/>
  <c r="L222" i="11"/>
  <c r="L327" i="11"/>
  <c r="L339" i="11"/>
  <c r="L333" i="11"/>
  <c r="M161" i="11"/>
  <c r="M227" i="11" s="1"/>
  <c r="M279" i="11"/>
  <c r="M338" i="11" s="1"/>
  <c r="M220" i="11"/>
  <c r="L221" i="11"/>
  <c r="L324" i="11"/>
  <c r="M168" i="11"/>
  <c r="M286" i="11"/>
  <c r="M283" i="11"/>
  <c r="L225" i="11"/>
  <c r="M281" i="11"/>
  <c r="M277" i="11"/>
  <c r="L343" i="11"/>
  <c r="L220" i="11"/>
  <c r="P128" i="8"/>
  <c r="Q128" i="8"/>
  <c r="M287" i="11"/>
  <c r="M169" i="11"/>
  <c r="L347" i="11"/>
  <c r="M166" i="11"/>
  <c r="M232" i="11" s="1"/>
  <c r="M284" i="11"/>
  <c r="R92" i="8"/>
  <c r="R163" i="8" s="1"/>
  <c r="L338" i="11"/>
  <c r="L329" i="11"/>
  <c r="M344" i="11"/>
  <c r="M330" i="11"/>
  <c r="L346" i="11"/>
  <c r="M350" i="11"/>
  <c r="L326" i="11"/>
  <c r="M164" i="11"/>
  <c r="M230" i="11" s="1"/>
  <c r="M223" i="11"/>
  <c r="M282" i="11"/>
  <c r="L350" i="11"/>
  <c r="W56" i="8"/>
  <c r="V159" i="8"/>
  <c r="H66" i="8"/>
  <c r="H67" i="8" s="1"/>
  <c r="L36" i="8"/>
  <c r="L48" i="8"/>
  <c r="W124" i="1"/>
  <c r="K124" i="8" s="1"/>
  <c r="W124" i="8" s="1"/>
  <c r="K125" i="8"/>
  <c r="M36" i="8"/>
  <c r="M48" i="8"/>
  <c r="S124" i="1"/>
  <c r="G124" i="8" s="1"/>
  <c r="S124" i="8" s="1"/>
  <c r="G125" i="8"/>
  <c r="AA124" i="1"/>
  <c r="O124" i="8" s="1"/>
  <c r="AA124" i="8" s="1"/>
  <c r="O125" i="8"/>
  <c r="U124" i="1"/>
  <c r="I124" i="8" s="1"/>
  <c r="U124" i="8" s="1"/>
  <c r="I125" i="8"/>
  <c r="J36" i="8"/>
  <c r="J48" i="8"/>
  <c r="D36" i="8"/>
  <c r="D48" i="8"/>
  <c r="K36" i="8"/>
  <c r="K48" i="8"/>
  <c r="H36" i="8"/>
  <c r="H48" i="8"/>
  <c r="E36" i="8"/>
  <c r="E48" i="8"/>
  <c r="F36" i="8"/>
  <c r="F48" i="8"/>
  <c r="Q124" i="1"/>
  <c r="E124" i="8" s="1"/>
  <c r="Q124" i="8" s="1"/>
  <c r="E125" i="8"/>
  <c r="P124" i="1"/>
  <c r="D124" i="8" s="1"/>
  <c r="P124" i="8" s="1"/>
  <c r="D125" i="8"/>
  <c r="I36" i="8"/>
  <c r="I48" i="8"/>
  <c r="R124" i="1"/>
  <c r="F124" i="8" s="1"/>
  <c r="R124" i="8" s="1"/>
  <c r="F125" i="8"/>
  <c r="V124" i="1"/>
  <c r="J124" i="8" s="1"/>
  <c r="V124" i="8" s="1"/>
  <c r="J125" i="8"/>
  <c r="T124" i="1"/>
  <c r="H124" i="8" s="1"/>
  <c r="T124" i="8" s="1"/>
  <c r="H125" i="8"/>
  <c r="Y124" i="1"/>
  <c r="M124" i="8" s="1"/>
  <c r="Y124" i="8" s="1"/>
  <c r="M125" i="8"/>
  <c r="N48" i="8"/>
  <c r="N36" i="8"/>
  <c r="Z124" i="1"/>
  <c r="N124" i="8" s="1"/>
  <c r="Z124" i="8" s="1"/>
  <c r="N125" i="8"/>
  <c r="G36" i="8"/>
  <c r="G48" i="8"/>
  <c r="O48" i="8"/>
  <c r="O36" i="8"/>
  <c r="X124" i="1"/>
  <c r="L124" i="8" s="1"/>
  <c r="X124" i="8" s="1"/>
  <c r="L125" i="8"/>
  <c r="L62" i="8"/>
  <c r="L66" i="8"/>
  <c r="Y11" i="9"/>
  <c r="X13" i="9"/>
  <c r="I72" i="8"/>
  <c r="I73" i="8" s="1"/>
  <c r="I67" i="8"/>
  <c r="AD61" i="8"/>
  <c r="AD62" i="8" s="1"/>
  <c r="D62" i="8"/>
  <c r="D66" i="8"/>
  <c r="M67" i="8"/>
  <c r="M72" i="8"/>
  <c r="M70" i="8"/>
  <c r="V1146" i="9"/>
  <c r="V1149" i="9" s="1"/>
  <c r="V459" i="9"/>
  <c r="V462" i="9" s="1"/>
  <c r="V1489" i="9"/>
  <c r="V1492" i="9" s="1"/>
  <c r="V1440" i="9"/>
  <c r="V1443" i="9" s="1"/>
  <c r="V309" i="9"/>
  <c r="V312" i="9"/>
  <c r="V359" i="9"/>
  <c r="V362" i="9" s="1"/>
  <c r="V656" i="9"/>
  <c r="V659" i="9" s="1"/>
  <c r="V1195" i="9"/>
  <c r="V1198" i="9" s="1"/>
  <c r="V803" i="9"/>
  <c r="V607" i="9"/>
  <c r="V610" i="9" s="1"/>
  <c r="V1391" i="9"/>
  <c r="V1394" i="9" s="1"/>
  <c r="V1048" i="9"/>
  <c r="V1051" i="9" s="1"/>
  <c r="V509" i="9"/>
  <c r="V512" i="9" s="1"/>
  <c r="V999" i="9"/>
  <c r="V1002" i="9"/>
  <c r="V1538" i="9"/>
  <c r="V1541" i="9" s="1"/>
  <c r="V558" i="9"/>
  <c r="V561" i="9" s="1"/>
  <c r="V1342" i="9"/>
  <c r="V1345" i="9" s="1"/>
  <c r="V754" i="9"/>
  <c r="V757" i="9" s="1"/>
  <c r="V409" i="9"/>
  <c r="V412" i="9" s="1"/>
  <c r="V1244" i="9"/>
  <c r="V1247" i="9" s="1"/>
  <c r="V705" i="9"/>
  <c r="V708" i="9" s="1"/>
  <c r="V852" i="9"/>
  <c r="V855" i="9"/>
  <c r="V209" i="9"/>
  <c r="V212" i="9" s="1"/>
  <c r="V159" i="9"/>
  <c r="V162" i="9" s="1"/>
  <c r="V59" i="9"/>
  <c r="V62" i="9" s="1"/>
  <c r="V950" i="9"/>
  <c r="V953" i="9" s="1"/>
  <c r="V109" i="9"/>
  <c r="V259" i="9"/>
  <c r="V262" i="9"/>
  <c r="V1097" i="9"/>
  <c r="V1100" i="9" s="1"/>
  <c r="V901" i="9"/>
  <c r="V904" i="9" s="1"/>
  <c r="V1293" i="9"/>
  <c r="V1296" i="9" s="1"/>
  <c r="Y317" i="2"/>
  <c r="Y329" i="2" s="1"/>
  <c r="Y330" i="2" s="1"/>
  <c r="AD313" i="2"/>
  <c r="AD315" i="2" s="1"/>
  <c r="AG315" i="2" s="1"/>
  <c r="AD1444" i="2"/>
  <c r="AD1346" i="2"/>
  <c r="AD433" i="2"/>
  <c r="AD429" i="2"/>
  <c r="AD421" i="2"/>
  <c r="AD436" i="2"/>
  <c r="AD424" i="2"/>
  <c r="AD427" i="2"/>
  <c r="AA267" i="2"/>
  <c r="AA271" i="2" s="1"/>
  <c r="AD830" i="2"/>
  <c r="AG1493" i="2"/>
  <c r="AD263" i="2"/>
  <c r="AD1497" i="2"/>
  <c r="AD1297" i="2"/>
  <c r="AD1546" i="2"/>
  <c r="AD1553" i="2" s="1"/>
  <c r="P89" i="9"/>
  <c r="H88" i="9"/>
  <c r="T88" i="9" s="1"/>
  <c r="O82" i="9"/>
  <c r="N65" i="9"/>
  <c r="Q63" i="9"/>
  <c r="I62" i="9"/>
  <c r="K89" i="9"/>
  <c r="Q85" i="9"/>
  <c r="G89" i="9"/>
  <c r="K85" i="9"/>
  <c r="M76" i="9"/>
  <c r="J73" i="9"/>
  <c r="G66" i="9"/>
  <c r="I64" i="9"/>
  <c r="K62" i="9"/>
  <c r="AF70" i="9"/>
  <c r="R88" i="9"/>
  <c r="AD88" i="9" s="1"/>
  <c r="J85" i="9"/>
  <c r="L76" i="9"/>
  <c r="I73" i="9"/>
  <c r="Q65" i="9"/>
  <c r="H64" i="9"/>
  <c r="J62" i="9"/>
  <c r="Q88" i="9"/>
  <c r="AC88" i="9" s="1"/>
  <c r="I85" i="9"/>
  <c r="K76" i="9"/>
  <c r="H73" i="9"/>
  <c r="P65" i="9"/>
  <c r="G64" i="9"/>
  <c r="H62" i="9"/>
  <c r="P88" i="9"/>
  <c r="AB88" i="9" s="1"/>
  <c r="H85" i="9"/>
  <c r="J76" i="9"/>
  <c r="G73" i="9"/>
  <c r="O65" i="9"/>
  <c r="G62" i="9"/>
  <c r="O88" i="9"/>
  <c r="AA88" i="9" s="1"/>
  <c r="G85" i="9"/>
  <c r="I76" i="9"/>
  <c r="M65" i="9"/>
  <c r="N88" i="9"/>
  <c r="Z88" i="9" s="1"/>
  <c r="H76" i="9"/>
  <c r="L65" i="9"/>
  <c r="N63" i="9"/>
  <c r="Q61" i="9"/>
  <c r="M88" i="9"/>
  <c r="Y88" i="9" s="1"/>
  <c r="R82" i="9"/>
  <c r="G76" i="9"/>
  <c r="M63" i="9"/>
  <c r="P61" i="9"/>
  <c r="L88" i="9"/>
  <c r="X88" i="9" s="1"/>
  <c r="Q82" i="9"/>
  <c r="R70" i="9"/>
  <c r="J65" i="9"/>
  <c r="L63" i="9"/>
  <c r="O61" i="9"/>
  <c r="K88" i="9"/>
  <c r="W88" i="9" s="1"/>
  <c r="P82" i="9"/>
  <c r="Q70" i="9"/>
  <c r="I65" i="9"/>
  <c r="K63" i="9"/>
  <c r="N61" i="9"/>
  <c r="J88" i="9"/>
  <c r="V88" i="9" s="1"/>
  <c r="N82" i="9"/>
  <c r="P70" i="9"/>
  <c r="R66" i="9"/>
  <c r="J63" i="9"/>
  <c r="M61" i="9"/>
  <c r="AF82" i="9"/>
  <c r="I88" i="9"/>
  <c r="U88" i="9" s="1"/>
  <c r="M82" i="9"/>
  <c r="O70" i="9"/>
  <c r="Q66" i="9"/>
  <c r="G65" i="9"/>
  <c r="I63" i="9"/>
  <c r="L61" i="9"/>
  <c r="R89" i="9"/>
  <c r="G88" i="9"/>
  <c r="S88" i="9" s="1"/>
  <c r="L82" i="9"/>
  <c r="N70" i="9"/>
  <c r="P66" i="9"/>
  <c r="R64" i="9"/>
  <c r="K61" i="9"/>
  <c r="Q89" i="9"/>
  <c r="K82" i="9"/>
  <c r="R73" i="9"/>
  <c r="M70" i="9"/>
  <c r="O66" i="9"/>
  <c r="Q64" i="9"/>
  <c r="G63" i="9"/>
  <c r="J61" i="9"/>
  <c r="O89" i="9"/>
  <c r="J82" i="9"/>
  <c r="Q73" i="9"/>
  <c r="L70" i="9"/>
  <c r="N66" i="9"/>
  <c r="P64" i="9"/>
  <c r="R62" i="9"/>
  <c r="I61" i="9"/>
  <c r="N89" i="9"/>
  <c r="R85" i="9"/>
  <c r="I82" i="9"/>
  <c r="P73" i="9"/>
  <c r="K70" i="9"/>
  <c r="M66" i="9"/>
  <c r="O64" i="9"/>
  <c r="Q62" i="9"/>
  <c r="H61" i="9"/>
  <c r="M89" i="9"/>
  <c r="P85" i="9"/>
  <c r="H82" i="9"/>
  <c r="R76" i="9"/>
  <c r="O73" i="9"/>
  <c r="J70" i="9"/>
  <c r="L66" i="9"/>
  <c r="N64" i="9"/>
  <c r="P62" i="9"/>
  <c r="G61" i="9"/>
  <c r="L89" i="9"/>
  <c r="O85" i="9"/>
  <c r="G82" i="9"/>
  <c r="Q76" i="9"/>
  <c r="N73" i="9"/>
  <c r="I70" i="9"/>
  <c r="K66" i="9"/>
  <c r="M64" i="9"/>
  <c r="O62" i="9"/>
  <c r="J89" i="9"/>
  <c r="N85" i="9"/>
  <c r="P76" i="9"/>
  <c r="M73" i="9"/>
  <c r="H70" i="9"/>
  <c r="J66" i="9"/>
  <c r="L64" i="9"/>
  <c r="N62" i="9"/>
  <c r="AF62" i="9"/>
  <c r="O76" i="9"/>
  <c r="AF61" i="9"/>
  <c r="N76" i="9"/>
  <c r="L73" i="9"/>
  <c r="K73" i="9"/>
  <c r="AF88" i="9"/>
  <c r="G70" i="9"/>
  <c r="I66" i="9"/>
  <c r="AF85" i="9"/>
  <c r="H66" i="9"/>
  <c r="K64" i="9"/>
  <c r="J64" i="9"/>
  <c r="AF64" i="9"/>
  <c r="M62" i="9"/>
  <c r="AF76" i="9"/>
  <c r="L62" i="9"/>
  <c r="AF66" i="9"/>
  <c r="AF73" i="9"/>
  <c r="I89" i="9"/>
  <c r="H89" i="9"/>
  <c r="M85" i="9"/>
  <c r="L85" i="9"/>
  <c r="AG1544" i="2"/>
  <c r="AG1575" i="2" s="1"/>
  <c r="AD61" i="2"/>
  <c r="AG1542" i="2"/>
  <c r="AD63" i="2"/>
  <c r="AD65" i="2" s="1"/>
  <c r="AD67" i="2" s="1"/>
  <c r="AD79" i="2" s="1"/>
  <c r="AG48" i="9"/>
  <c r="R17" i="9"/>
  <c r="AD21" i="2"/>
  <c r="AD29" i="2"/>
  <c r="AD33" i="2"/>
  <c r="AD36" i="2"/>
  <c r="AD27" i="2"/>
  <c r="AD24" i="2"/>
  <c r="AG46" i="9"/>
  <c r="AD1509" i="2"/>
  <c r="AD1516" i="2"/>
  <c r="AD1513" i="2"/>
  <c r="AD1504" i="2"/>
  <c r="AD1501" i="2"/>
  <c r="AD1507" i="2"/>
  <c r="AG1427" i="2"/>
  <c r="AG1428" i="2" s="1"/>
  <c r="AD1256" i="2"/>
  <c r="AD1271" i="2"/>
  <c r="AD1259" i="2"/>
  <c r="AD1268" i="2"/>
  <c r="AD1264" i="2"/>
  <c r="AD1262" i="2"/>
  <c r="L294" i="11"/>
  <c r="M131" i="11"/>
  <c r="M190" i="11" s="1"/>
  <c r="K353" i="11"/>
  <c r="R41" i="8" s="1"/>
  <c r="M163" i="11"/>
  <c r="M229" i="11" s="1"/>
  <c r="L320" i="11"/>
  <c r="M259" i="11"/>
  <c r="M318" i="11" s="1"/>
  <c r="M157" i="11"/>
  <c r="M216" i="11" s="1"/>
  <c r="L311" i="11"/>
  <c r="M126" i="11"/>
  <c r="M185" i="11" s="1"/>
  <c r="L314" i="11"/>
  <c r="L317" i="11"/>
  <c r="L309" i="11"/>
  <c r="M266" i="11"/>
  <c r="M325" i="11" s="1"/>
  <c r="M132" i="11"/>
  <c r="M191" i="11" s="1"/>
  <c r="M246" i="11"/>
  <c r="M305" i="11" s="1"/>
  <c r="M251" i="11"/>
  <c r="M310" i="11" s="1"/>
  <c r="N56" i="11"/>
  <c r="M248" i="11"/>
  <c r="M307" i="11" s="1"/>
  <c r="N47" i="11"/>
  <c r="M258" i="11"/>
  <c r="M317" i="11" s="1"/>
  <c r="M262" i="11"/>
  <c r="M321" i="11" s="1"/>
  <c r="N54" i="11"/>
  <c r="L310" i="11"/>
  <c r="N37" i="11"/>
  <c r="N155" i="11" s="1"/>
  <c r="N214" i="11" s="1"/>
  <c r="M146" i="11"/>
  <c r="M205" i="11" s="1"/>
  <c r="M159" i="11"/>
  <c r="M218" i="11" s="1"/>
  <c r="M156" i="11"/>
  <c r="M215" i="11" s="1"/>
  <c r="M265" i="11"/>
  <c r="M324" i="11" s="1"/>
  <c r="M149" i="11"/>
  <c r="M208" i="11" s="1"/>
  <c r="N14" i="11"/>
  <c r="N250" i="11" s="1"/>
  <c r="M142" i="11"/>
  <c r="M201" i="11" s="1"/>
  <c r="M255" i="11"/>
  <c r="M314" i="11" s="1"/>
  <c r="N34" i="11"/>
  <c r="N152" i="11" s="1"/>
  <c r="N211" i="11" s="1"/>
  <c r="N49" i="11"/>
  <c r="N25" i="11"/>
  <c r="N261" i="11" s="1"/>
  <c r="L318" i="11"/>
  <c r="N18" i="11"/>
  <c r="N136" i="11" s="1"/>
  <c r="N195" i="11" s="1"/>
  <c r="N40" i="11"/>
  <c r="M270" i="11"/>
  <c r="M329" i="11" s="1"/>
  <c r="M143" i="11"/>
  <c r="M202" i="11" s="1"/>
  <c r="N35" i="11"/>
  <c r="N271" i="11" s="1"/>
  <c r="M158" i="11"/>
  <c r="M217" i="11" s="1"/>
  <c r="N11" i="11"/>
  <c r="N247" i="11" s="1"/>
  <c r="N50" i="11"/>
  <c r="N15" i="11"/>
  <c r="N251" i="11" s="1"/>
  <c r="N55" i="11"/>
  <c r="M247" i="11"/>
  <c r="M306" i="11" s="1"/>
  <c r="M253" i="11"/>
  <c r="M312" i="11" s="1"/>
  <c r="M151" i="11"/>
  <c r="M210" i="11" s="1"/>
  <c r="N41" i="11"/>
  <c r="N13" i="11"/>
  <c r="N249" i="11" s="1"/>
  <c r="N23" i="11"/>
  <c r="N259" i="11" s="1"/>
  <c r="N19" i="11"/>
  <c r="N255" i="11" s="1"/>
  <c r="N21" i="11"/>
  <c r="N257" i="11" s="1"/>
  <c r="N28" i="11"/>
  <c r="N264" i="11" s="1"/>
  <c r="L187" i="11"/>
  <c r="M138" i="11"/>
  <c r="M197" i="11" s="1"/>
  <c r="N26" i="11"/>
  <c r="N262" i="11" s="1"/>
  <c r="N33" i="11"/>
  <c r="N269" i="11" s="1"/>
  <c r="M153" i="11"/>
  <c r="M212" i="11" s="1"/>
  <c r="N46" i="11"/>
  <c r="N38" i="11"/>
  <c r="N274" i="11" s="1"/>
  <c r="N17" i="11"/>
  <c r="N253" i="11" s="1"/>
  <c r="N31" i="11"/>
  <c r="N267" i="11" s="1"/>
  <c r="N29" i="11"/>
  <c r="N265" i="11" s="1"/>
  <c r="N36" i="11"/>
  <c r="N272" i="11" s="1"/>
  <c r="N53" i="11"/>
  <c r="M160" i="11"/>
  <c r="M226" i="11" s="1"/>
  <c r="N44" i="11"/>
  <c r="N10" i="11"/>
  <c r="N246" i="11" s="1"/>
  <c r="M234" i="11"/>
  <c r="N24" i="11"/>
  <c r="N260" i="11" s="1"/>
  <c r="N43" i="11"/>
  <c r="N51" i="11"/>
  <c r="N48" i="11"/>
  <c r="N12" i="11"/>
  <c r="N248" i="11" s="1"/>
  <c r="N7" i="11"/>
  <c r="N243" i="11" s="1"/>
  <c r="N20" i="11"/>
  <c r="N256" i="11" s="1"/>
  <c r="N52" i="11"/>
  <c r="M139" i="11"/>
  <c r="M198" i="11" s="1"/>
  <c r="N22" i="11"/>
  <c r="N140" i="11" s="1"/>
  <c r="N199" i="11" s="1"/>
  <c r="N9" i="11"/>
  <c r="N245" i="11" s="1"/>
  <c r="N27" i="11"/>
  <c r="N263" i="11" s="1"/>
  <c r="N16" i="11"/>
  <c r="N252" i="11" s="1"/>
  <c r="N42" i="11"/>
  <c r="M162" i="11"/>
  <c r="M228" i="11" s="1"/>
  <c r="N30" i="11"/>
  <c r="N266" i="11" s="1"/>
  <c r="N32" i="11"/>
  <c r="N268" i="11" s="1"/>
  <c r="N45" i="11"/>
  <c r="O6" i="11"/>
  <c r="O42" i="11" s="1"/>
  <c r="N39" i="11"/>
  <c r="N275" i="11" s="1"/>
  <c r="N8" i="11"/>
  <c r="N126" i="11" s="1"/>
  <c r="N185" i="11" s="1"/>
  <c r="M263" i="11"/>
  <c r="M322" i="11" s="1"/>
  <c r="M165" i="11"/>
  <c r="M231" i="11" s="1"/>
  <c r="M134" i="11"/>
  <c r="M193" i="11" s="1"/>
  <c r="M58" i="11"/>
  <c r="M125" i="11"/>
  <c r="M184" i="11" s="1"/>
  <c r="M127" i="11"/>
  <c r="M186" i="11" s="1"/>
  <c r="L321" i="11"/>
  <c r="M155" i="11"/>
  <c r="M214" i="11" s="1"/>
  <c r="L315" i="11"/>
  <c r="M154" i="11"/>
  <c r="M213" i="11" s="1"/>
  <c r="M167" i="11"/>
  <c r="M233" i="11" s="1"/>
  <c r="L316" i="11"/>
  <c r="M136" i="11"/>
  <c r="M195" i="11" s="1"/>
  <c r="L304" i="11"/>
  <c r="M150" i="11"/>
  <c r="M209" i="11" s="1"/>
  <c r="L319" i="11"/>
  <c r="L302" i="11"/>
  <c r="L194" i="11"/>
  <c r="L303" i="11"/>
  <c r="L176" i="11"/>
  <c r="B148" i="2"/>
  <c r="C148" i="2" s="1"/>
  <c r="C95" i="2"/>
  <c r="K67" i="8"/>
  <c r="K72" i="8"/>
  <c r="K70" i="8"/>
  <c r="F62" i="8"/>
  <c r="F66" i="8"/>
  <c r="E73" i="8"/>
  <c r="G62" i="8"/>
  <c r="G66" i="8"/>
  <c r="N73" i="8"/>
  <c r="O67" i="8"/>
  <c r="O72" i="8"/>
  <c r="O70" i="8"/>
  <c r="J67" i="8"/>
  <c r="J72" i="8"/>
  <c r="J70" i="8"/>
  <c r="K309" i="4"/>
  <c r="K372" i="4" s="1"/>
  <c r="G314" i="4"/>
  <c r="J309" i="4"/>
  <c r="J372" i="4" s="1"/>
  <c r="J368" i="4"/>
  <c r="J369" i="4"/>
  <c r="AC136" i="2"/>
  <c r="AC124" i="2"/>
  <c r="S136" i="2"/>
  <c r="S124" i="2"/>
  <c r="W136" i="2"/>
  <c r="W124" i="2"/>
  <c r="L136" i="2"/>
  <c r="L124" i="2"/>
  <c r="M136" i="2"/>
  <c r="M124" i="2"/>
  <c r="AA136" i="2"/>
  <c r="AA124" i="2"/>
  <c r="U136" i="2"/>
  <c r="U124" i="2"/>
  <c r="T136" i="2"/>
  <c r="T124" i="2"/>
  <c r="R136" i="2"/>
  <c r="R124" i="2"/>
  <c r="Q136" i="2"/>
  <c r="Q124" i="2"/>
  <c r="Y136" i="2"/>
  <c r="Y124" i="2"/>
  <c r="V136" i="2"/>
  <c r="V124" i="2"/>
  <c r="O136" i="2"/>
  <c r="O124" i="2"/>
  <c r="I136" i="2"/>
  <c r="I124" i="2"/>
  <c r="K136" i="2"/>
  <c r="K124" i="2"/>
  <c r="P136" i="2"/>
  <c r="P124" i="2"/>
  <c r="X136" i="2"/>
  <c r="X124" i="2"/>
  <c r="N136" i="2"/>
  <c r="N124" i="2"/>
  <c r="Z136" i="2"/>
  <c r="Z124" i="2"/>
  <c r="AB136" i="2"/>
  <c r="AB124" i="2"/>
  <c r="J136" i="2"/>
  <c r="J124" i="2"/>
  <c r="H136" i="2"/>
  <c r="H124" i="2"/>
  <c r="T121" i="2"/>
  <c r="T127" i="2"/>
  <c r="AB121" i="2"/>
  <c r="AB127" i="2"/>
  <c r="H121" i="2"/>
  <c r="H127" i="2"/>
  <c r="I121" i="2"/>
  <c r="I127" i="2"/>
  <c r="AC121" i="2"/>
  <c r="AC127" i="2"/>
  <c r="Y121" i="2"/>
  <c r="Y127" i="2"/>
  <c r="S121" i="2"/>
  <c r="S127" i="2"/>
  <c r="W121" i="2"/>
  <c r="W127" i="2"/>
  <c r="L121" i="2"/>
  <c r="L127" i="2"/>
  <c r="AA121" i="2"/>
  <c r="AA127" i="2"/>
  <c r="M121" i="2"/>
  <c r="M127" i="2"/>
  <c r="U121" i="2"/>
  <c r="U127" i="2"/>
  <c r="R121" i="2"/>
  <c r="R127" i="2"/>
  <c r="Q121" i="2"/>
  <c r="Q127" i="2"/>
  <c r="O121" i="2"/>
  <c r="O127" i="2"/>
  <c r="K121" i="2"/>
  <c r="K127" i="2"/>
  <c r="P121" i="2"/>
  <c r="P127" i="2"/>
  <c r="X121" i="2"/>
  <c r="X127" i="2"/>
  <c r="Z121" i="2"/>
  <c r="Z127" i="2"/>
  <c r="J121" i="2"/>
  <c r="J127" i="2"/>
  <c r="V121" i="2"/>
  <c r="V127" i="2"/>
  <c r="N121" i="2"/>
  <c r="N127" i="2"/>
  <c r="K1311" i="2"/>
  <c r="AG396" i="2"/>
  <c r="S371" i="2"/>
  <c r="AF1526" i="2"/>
  <c r="Z1308" i="2"/>
  <c r="AG233" i="2"/>
  <c r="Q1562" i="2"/>
  <c r="AG446" i="2"/>
  <c r="S1253" i="2"/>
  <c r="Y1516" i="2"/>
  <c r="AG644" i="2"/>
  <c r="AF889" i="2"/>
  <c r="Y619" i="2"/>
  <c r="S1455" i="2"/>
  <c r="AG196" i="2"/>
  <c r="AB1063" i="2"/>
  <c r="T1504" i="2"/>
  <c r="T1460" i="2"/>
  <c r="T1461" i="2" s="1"/>
  <c r="AA1351" i="2"/>
  <c r="J274" i="2"/>
  <c r="T916" i="2"/>
  <c r="G530" i="2"/>
  <c r="G541" i="2"/>
  <c r="K180" i="2"/>
  <c r="K191" i="2"/>
  <c r="K192" i="2" s="1"/>
  <c r="AA180" i="2"/>
  <c r="AA191" i="2"/>
  <c r="AA192" i="2" s="1"/>
  <c r="X579" i="2"/>
  <c r="X590" i="2"/>
  <c r="X591" i="2" s="1"/>
  <c r="G873" i="2"/>
  <c r="G884" i="2"/>
  <c r="G885" i="2" s="1"/>
  <c r="H230" i="2"/>
  <c r="H241" i="2"/>
  <c r="G1265" i="2"/>
  <c r="G1276" i="2"/>
  <c r="G983" i="2"/>
  <c r="G1510" i="2"/>
  <c r="G1521" i="2"/>
  <c r="AD824" i="2"/>
  <c r="AD835" i="2"/>
  <c r="AD836" i="2" s="1"/>
  <c r="G1167" i="2"/>
  <c r="G1178" i="2"/>
  <c r="G1179" i="2" s="1"/>
  <c r="S1412" i="2"/>
  <c r="S1423" i="2"/>
  <c r="G1130" i="2"/>
  <c r="J230" i="2"/>
  <c r="J241" i="2"/>
  <c r="J242" i="2" s="1"/>
  <c r="U1412" i="2"/>
  <c r="U1423" i="2"/>
  <c r="U1424" i="2" s="1"/>
  <c r="X330" i="2"/>
  <c r="X341" i="2"/>
  <c r="X342" i="2" s="1"/>
  <c r="O628" i="2"/>
  <c r="O639" i="2"/>
  <c r="O640" i="2" s="1"/>
  <c r="W1461" i="2"/>
  <c r="W1472" i="2"/>
  <c r="W1473" i="2" s="1"/>
  <c r="X1412" i="2"/>
  <c r="X1423" i="2"/>
  <c r="X1424" i="2" s="1"/>
  <c r="G787" i="2"/>
  <c r="I1510" i="2"/>
  <c r="I1521" i="2"/>
  <c r="I1522" i="2" s="1"/>
  <c r="Z824" i="2"/>
  <c r="Z835" i="2"/>
  <c r="Z836" i="2" s="1"/>
  <c r="AD1412" i="2"/>
  <c r="AD1423" i="2"/>
  <c r="G180" i="2"/>
  <c r="G191" i="2"/>
  <c r="G192" i="2" s="1"/>
  <c r="R1510" i="2"/>
  <c r="R1521" i="2"/>
  <c r="R1522" i="2" s="1"/>
  <c r="Z330" i="2"/>
  <c r="Z341" i="2"/>
  <c r="Z342" i="2" s="1"/>
  <c r="S330" i="2"/>
  <c r="S341" i="2"/>
  <c r="S342" i="2" s="1"/>
  <c r="I628" i="2"/>
  <c r="I639" i="2"/>
  <c r="I640" i="2" s="1"/>
  <c r="U579" i="2"/>
  <c r="U590" i="2"/>
  <c r="U591" i="2" s="1"/>
  <c r="AC380" i="2"/>
  <c r="AC391" i="2"/>
  <c r="AC392" i="2" s="1"/>
  <c r="X1510" i="2"/>
  <c r="X1521" i="2"/>
  <c r="X1522" i="2" s="1"/>
  <c r="Y1167" i="2"/>
  <c r="Y1178" i="2"/>
  <c r="Y1179" i="2" s="1"/>
  <c r="G726" i="2"/>
  <c r="G737" i="2"/>
  <c r="L579" i="2"/>
  <c r="L590" i="2"/>
  <c r="L591" i="2" s="1"/>
  <c r="AB230" i="2"/>
  <c r="AB241" i="2"/>
  <c r="AB242" i="2" s="1"/>
  <c r="G1571" i="2"/>
  <c r="M1412" i="2"/>
  <c r="M1423" i="2"/>
  <c r="M1424" i="2" s="1"/>
  <c r="G640" i="2"/>
  <c r="AD1216" i="2"/>
  <c r="AD1227" i="2"/>
  <c r="Y579" i="2"/>
  <c r="Y590" i="2"/>
  <c r="Y591" i="2" s="1"/>
  <c r="G380" i="2"/>
  <c r="G391" i="2"/>
  <c r="G392" i="2" s="1"/>
  <c r="T1412" i="2"/>
  <c r="T1423" i="2"/>
  <c r="T1424" i="2" s="1"/>
  <c r="S1265" i="2"/>
  <c r="S1276" i="2"/>
  <c r="S1277" i="2" s="1"/>
  <c r="V480" i="2"/>
  <c r="V491" i="2"/>
  <c r="V492" i="2" s="1"/>
  <c r="AC1014" i="2"/>
  <c r="W180" i="2"/>
  <c r="W191" i="2"/>
  <c r="W192" i="2" s="1"/>
  <c r="U824" i="2"/>
  <c r="U835" i="2"/>
  <c r="U836" i="2" s="1"/>
  <c r="P230" i="2"/>
  <c r="P241" i="2"/>
  <c r="P242" i="2" s="1"/>
  <c r="V579" i="2"/>
  <c r="V590" i="2"/>
  <c r="V591" i="2" s="1"/>
  <c r="G92" i="2"/>
  <c r="H677" i="2"/>
  <c r="H688" i="2"/>
  <c r="H689" i="2" s="1"/>
  <c r="T180" i="2"/>
  <c r="T191" i="2"/>
  <c r="T192" i="2" s="1"/>
  <c r="AF396" i="2"/>
  <c r="M1513" i="2"/>
  <c r="AD480" i="2"/>
  <c r="AD491" i="2"/>
  <c r="AD492" i="2" s="1"/>
  <c r="V230" i="2"/>
  <c r="V241" i="2"/>
  <c r="V242" i="2" s="1"/>
  <c r="AC579" i="2"/>
  <c r="AC590" i="2"/>
  <c r="AC591" i="2" s="1"/>
  <c r="G1412" i="2"/>
  <c r="G1423" i="2"/>
  <c r="G1424" i="2" s="1"/>
  <c r="AD922" i="2"/>
  <c r="AD933" i="2"/>
  <c r="AD934" i="2" s="1"/>
  <c r="Z579" i="2"/>
  <c r="Z590" i="2"/>
  <c r="Z591" i="2" s="1"/>
  <c r="G591" i="2"/>
  <c r="K280" i="2"/>
  <c r="K291" i="2"/>
  <c r="K292" i="2" s="1"/>
  <c r="K230" i="2"/>
  <c r="K241" i="2"/>
  <c r="K242" i="2" s="1"/>
  <c r="G280" i="2"/>
  <c r="G291" i="2"/>
  <c r="AD775" i="2"/>
  <c r="AD786" i="2"/>
  <c r="AD787" i="2" s="1"/>
  <c r="AD180" i="2"/>
  <c r="AD191" i="2"/>
  <c r="AD192" i="2" s="1"/>
  <c r="M1167" i="2"/>
  <c r="M1178" i="2"/>
  <c r="M1179" i="2" s="1"/>
  <c r="G1020" i="2"/>
  <c r="G1031" i="2"/>
  <c r="H726" i="2"/>
  <c r="H737" i="2"/>
  <c r="H738" i="2" s="1"/>
  <c r="P579" i="2"/>
  <c r="P590" i="2"/>
  <c r="P591" i="2" s="1"/>
  <c r="AC1412" i="2"/>
  <c r="AC1423" i="2"/>
  <c r="AC1424" i="2" s="1"/>
  <c r="S1458" i="2"/>
  <c r="T922" i="2"/>
  <c r="T933" i="2"/>
  <c r="T934" i="2" s="1"/>
  <c r="AD230" i="2"/>
  <c r="AD241" i="2"/>
  <c r="AD242" i="2" s="1"/>
  <c r="AD1167" i="2"/>
  <c r="AD1178" i="2"/>
  <c r="G480" i="2"/>
  <c r="G491" i="2"/>
  <c r="G430" i="2"/>
  <c r="G441" i="2"/>
  <c r="G442" i="2" s="1"/>
  <c r="G934" i="2"/>
  <c r="AA1253" i="2"/>
  <c r="AA824" i="2"/>
  <c r="AA835" i="2"/>
  <c r="AA836" i="2" s="1"/>
  <c r="L1412" i="2"/>
  <c r="L1423" i="2"/>
  <c r="L1424" i="2" s="1"/>
  <c r="AD1020" i="2"/>
  <c r="AD1031" i="2"/>
  <c r="AD1032" i="2" s="1"/>
  <c r="I579" i="2"/>
  <c r="I590" i="2"/>
  <c r="I591" i="2" s="1"/>
  <c r="V1412" i="2"/>
  <c r="V1423" i="2"/>
  <c r="V1424" i="2" s="1"/>
  <c r="K1424" i="2"/>
  <c r="T330" i="2"/>
  <c r="T341" i="2"/>
  <c r="T342" i="2" s="1"/>
  <c r="AA1412" i="2"/>
  <c r="AA1423" i="2"/>
  <c r="AA1424" i="2" s="1"/>
  <c r="G677" i="2"/>
  <c r="G688" i="2"/>
  <c r="G689" i="2" s="1"/>
  <c r="AD873" i="2"/>
  <c r="AD884" i="2"/>
  <c r="AD885" i="2" s="1"/>
  <c r="T430" i="2"/>
  <c r="T441" i="2"/>
  <c r="T442" i="2" s="1"/>
  <c r="AC824" i="2"/>
  <c r="AC835" i="2"/>
  <c r="AC836" i="2" s="1"/>
  <c r="S824" i="2"/>
  <c r="S835" i="2"/>
  <c r="S836" i="2" s="1"/>
  <c r="I1412" i="2"/>
  <c r="I1423" i="2"/>
  <c r="I1424" i="2" s="1"/>
  <c r="J1412" i="2"/>
  <c r="J1423" i="2"/>
  <c r="J1424" i="2" s="1"/>
  <c r="G1081" i="2"/>
  <c r="S180" i="2"/>
  <c r="S191" i="2"/>
  <c r="S192" i="2" s="1"/>
  <c r="L1167" i="2"/>
  <c r="L1178" i="2"/>
  <c r="L1179" i="2" s="1"/>
  <c r="AD380" i="2"/>
  <c r="AD391" i="2"/>
  <c r="AD392" i="2" s="1"/>
  <c r="Z1412" i="2"/>
  <c r="Z1423" i="2"/>
  <c r="Z1424" i="2" s="1"/>
  <c r="T579" i="2"/>
  <c r="T590" i="2"/>
  <c r="Y1498" i="2"/>
  <c r="R1020" i="2"/>
  <c r="R1031" i="2"/>
  <c r="R1032" i="2" s="1"/>
  <c r="S1363" i="2"/>
  <c r="S1374" i="2"/>
  <c r="S1375" i="2" s="1"/>
  <c r="M230" i="2"/>
  <c r="M241" i="2"/>
  <c r="M242" i="2" s="1"/>
  <c r="Y230" i="2"/>
  <c r="Y241" i="2"/>
  <c r="Y242" i="2" s="1"/>
  <c r="S242" i="2"/>
  <c r="Y471" i="2"/>
  <c r="U174" i="2"/>
  <c r="AB1173" i="2"/>
  <c r="W1504" i="2"/>
  <c r="AB1170" i="2"/>
  <c r="H1063" i="2"/>
  <c r="Y1507" i="2"/>
  <c r="L186" i="2"/>
  <c r="M1308" i="2"/>
  <c r="U1366" i="2"/>
  <c r="S1014" i="2"/>
  <c r="Y1504" i="2"/>
  <c r="M1305" i="2"/>
  <c r="Q283" i="2"/>
  <c r="H336" i="2"/>
  <c r="V421" i="2"/>
  <c r="Z327" i="2"/>
  <c r="AG938" i="2"/>
  <c r="Z1305" i="2"/>
  <c r="AC1452" i="2"/>
  <c r="K1308" i="2"/>
  <c r="AB429" i="2"/>
  <c r="I321" i="2"/>
  <c r="AB1553" i="2"/>
  <c r="U129" i="2"/>
  <c r="U141" i="2" s="1"/>
  <c r="U142" i="2" s="1"/>
  <c r="R129" i="2"/>
  <c r="R141" i="2" s="1"/>
  <c r="R142" i="2" s="1"/>
  <c r="AA867" i="2"/>
  <c r="AB1550" i="2"/>
  <c r="S129" i="2"/>
  <c r="S141" i="2" s="1"/>
  <c r="S142" i="2" s="1"/>
  <c r="J129" i="2"/>
  <c r="J141" i="2" s="1"/>
  <c r="J142" i="2" s="1"/>
  <c r="Q129" i="2"/>
  <c r="Q141" i="2" s="1"/>
  <c r="Q142" i="2" s="1"/>
  <c r="AA864" i="2"/>
  <c r="T1455" i="2"/>
  <c r="K774" i="2"/>
  <c r="H1222" i="2"/>
  <c r="O129" i="2"/>
  <c r="O141" i="2" s="1"/>
  <c r="O142" i="2" s="1"/>
  <c r="T129" i="2"/>
  <c r="T141" i="2" s="1"/>
  <c r="T142" i="2" s="1"/>
  <c r="Z864" i="2"/>
  <c r="K772" i="2"/>
  <c r="H1219" i="2"/>
  <c r="M129" i="2"/>
  <c r="M141" i="2" s="1"/>
  <c r="M142" i="2" s="1"/>
  <c r="P129" i="2"/>
  <c r="P141" i="2" s="1"/>
  <c r="P142" i="2" s="1"/>
  <c r="K129" i="2"/>
  <c r="K141" i="2" s="1"/>
  <c r="K142" i="2" s="1"/>
  <c r="K766" i="2"/>
  <c r="AB468" i="2"/>
  <c r="AA1017" i="2"/>
  <c r="H129" i="2"/>
  <c r="H141" i="2" s="1"/>
  <c r="H142" i="2" s="1"/>
  <c r="AC1011" i="2"/>
  <c r="V129" i="2"/>
  <c r="L129" i="2"/>
  <c r="L141" i="2" s="1"/>
  <c r="L142" i="2" s="1"/>
  <c r="AB321" i="2"/>
  <c r="O1271" i="2"/>
  <c r="AB318" i="2"/>
  <c r="AB1023" i="2"/>
  <c r="AC1550" i="2"/>
  <c r="X1256" i="2"/>
  <c r="L474" i="2"/>
  <c r="AB336" i="2"/>
  <c r="AA129" i="2"/>
  <c r="AA141" i="2" s="1"/>
  <c r="AA142" i="2" s="1"/>
  <c r="AB174" i="2"/>
  <c r="AG146" i="2"/>
  <c r="S1452" i="2"/>
  <c r="O1256" i="2"/>
  <c r="L471" i="2"/>
  <c r="R1264" i="2"/>
  <c r="AC129" i="2"/>
  <c r="AC141" i="2" s="1"/>
  <c r="AC142" i="2" s="1"/>
  <c r="AB327" i="2"/>
  <c r="U815" i="2"/>
  <c r="AA1158" i="2"/>
  <c r="L477" i="2"/>
  <c r="AC631" i="2"/>
  <c r="W1467" i="2"/>
  <c r="X1259" i="2"/>
  <c r="AF1232" i="2"/>
  <c r="Y1158" i="2"/>
  <c r="M424" i="2"/>
  <c r="U830" i="2"/>
  <c r="X129" i="2"/>
  <c r="X141" i="2" s="1"/>
  <c r="X142" i="2" s="1"/>
  <c r="Z129" i="2"/>
  <c r="Z141" i="2" s="1"/>
  <c r="Z142" i="2" s="1"/>
  <c r="M421" i="2"/>
  <c r="N129" i="2"/>
  <c r="N141" i="2" s="1"/>
  <c r="N142" i="2" s="1"/>
  <c r="X279" i="2"/>
  <c r="W129" i="2"/>
  <c r="W141" i="2" s="1"/>
  <c r="W142" i="2" s="1"/>
  <c r="M1011" i="2"/>
  <c r="V471" i="2"/>
  <c r="Q274" i="2"/>
  <c r="X921" i="2"/>
  <c r="X933" i="2" s="1"/>
  <c r="X934" i="2" s="1"/>
  <c r="Z333" i="2"/>
  <c r="W186" i="2"/>
  <c r="AB129" i="2"/>
  <c r="AB141" i="2" s="1"/>
  <c r="AB142" i="2" s="1"/>
  <c r="Z1060" i="2"/>
  <c r="AF146" i="2"/>
  <c r="AG1232" i="2"/>
  <c r="I324" i="2"/>
  <c r="Q271" i="2"/>
  <c r="AA872" i="2"/>
  <c r="Y129" i="2"/>
  <c r="Y141" i="2" s="1"/>
  <c r="Y142" i="2" s="1"/>
  <c r="N1507" i="2"/>
  <c r="AF95" i="2"/>
  <c r="AG224" i="2"/>
  <c r="P1509" i="2"/>
  <c r="N1513" i="2"/>
  <c r="AG221" i="2"/>
  <c r="K913" i="2"/>
  <c r="P1507" i="2"/>
  <c r="Z271" i="2"/>
  <c r="L1452" i="2"/>
  <c r="Y279" i="2"/>
  <c r="Y427" i="2"/>
  <c r="K921" i="2"/>
  <c r="N1011" i="2"/>
  <c r="K919" i="2"/>
  <c r="AB916" i="2"/>
  <c r="AB913" i="2"/>
  <c r="I179" i="2"/>
  <c r="AC1215" i="2"/>
  <c r="N1504" i="2"/>
  <c r="Z283" i="2"/>
  <c r="Z279" i="2"/>
  <c r="M1320" i="2"/>
  <c r="N474" i="2"/>
  <c r="K336" i="2"/>
  <c r="AG840" i="2"/>
  <c r="P1501" i="2"/>
  <c r="Z277" i="2"/>
  <c r="AB433" i="2"/>
  <c r="H818" i="2"/>
  <c r="Y424" i="2"/>
  <c r="Z274" i="2"/>
  <c r="O429" i="2"/>
  <c r="AA1023" i="2"/>
  <c r="Y421" i="2"/>
  <c r="T1366" i="2"/>
  <c r="Y277" i="2"/>
  <c r="L913" i="2"/>
  <c r="S477" i="2"/>
  <c r="AG1085" i="2"/>
  <c r="S474" i="2"/>
  <c r="H527" i="2"/>
  <c r="L1460" i="2"/>
  <c r="S1271" i="2"/>
  <c r="Y429" i="2"/>
  <c r="Y283" i="2"/>
  <c r="AC1222" i="2"/>
  <c r="X171" i="2"/>
  <c r="Y477" i="2"/>
  <c r="O171" i="2"/>
  <c r="S427" i="2"/>
  <c r="P383" i="2"/>
  <c r="AG1183" i="2"/>
  <c r="Z268" i="2"/>
  <c r="P324" i="2"/>
  <c r="Q171" i="2"/>
  <c r="R1262" i="2"/>
  <c r="U1362" i="2"/>
  <c r="AB1072" i="2"/>
  <c r="K778" i="2"/>
  <c r="AB474" i="2"/>
  <c r="K781" i="2"/>
  <c r="T1158" i="2"/>
  <c r="M1504" i="2"/>
  <c r="R1259" i="2"/>
  <c r="U1360" i="2"/>
  <c r="K1362" i="2"/>
  <c r="AB1068" i="2"/>
  <c r="Y486" i="2"/>
  <c r="X286" i="2"/>
  <c r="AA1507" i="2"/>
  <c r="J622" i="2"/>
  <c r="M1501" i="2"/>
  <c r="X274" i="2"/>
  <c r="Q279" i="2"/>
  <c r="K1360" i="2"/>
  <c r="Z1317" i="2"/>
  <c r="Y483" i="2"/>
  <c r="H421" i="2"/>
  <c r="N271" i="2"/>
  <c r="V925" i="2"/>
  <c r="S616" i="2"/>
  <c r="J619" i="2"/>
  <c r="AF573" i="2"/>
  <c r="Z1066" i="2"/>
  <c r="Q277" i="2"/>
  <c r="H429" i="2"/>
  <c r="Z1313" i="2"/>
  <c r="K1369" i="2"/>
  <c r="K1357" i="2"/>
  <c r="Y861" i="2"/>
  <c r="AC1161" i="2"/>
  <c r="P374" i="2"/>
  <c r="AF570" i="2"/>
  <c r="AB1066" i="2"/>
  <c r="Z1063" i="2"/>
  <c r="AC1164" i="2"/>
  <c r="U183" i="2"/>
  <c r="Q383" i="2"/>
  <c r="AB1075" i="2"/>
  <c r="AA910" i="2"/>
  <c r="AB1556" i="2"/>
  <c r="U179" i="2"/>
  <c r="Q827" i="2"/>
  <c r="X619" i="2"/>
  <c r="S622" i="2"/>
  <c r="AC1210" i="2"/>
  <c r="N279" i="2"/>
  <c r="S279" i="2"/>
  <c r="L1026" i="2"/>
  <c r="AG791" i="2"/>
  <c r="L374" i="2"/>
  <c r="T1011" i="2"/>
  <c r="Z1311" i="2"/>
  <c r="M1507" i="2"/>
  <c r="T1458" i="2"/>
  <c r="O634" i="2"/>
  <c r="L1023" i="2"/>
  <c r="AA427" i="2"/>
  <c r="V827" i="2"/>
  <c r="Y418" i="2"/>
  <c r="U177" i="2"/>
  <c r="I327" i="2"/>
  <c r="AB1164" i="2"/>
  <c r="S1268" i="2"/>
  <c r="X631" i="2"/>
  <c r="AB1565" i="2"/>
  <c r="J1014" i="2"/>
  <c r="S1019" i="2"/>
  <c r="T631" i="2"/>
  <c r="T1547" i="2"/>
  <c r="J1011" i="2"/>
  <c r="I913" i="2"/>
  <c r="T622" i="2"/>
  <c r="S1357" i="2"/>
  <c r="AA1317" i="2"/>
  <c r="P386" i="2"/>
  <c r="I827" i="2"/>
  <c r="S1023" i="2"/>
  <c r="Y1057" i="2"/>
  <c r="Y1553" i="2"/>
  <c r="S1308" i="2"/>
  <c r="P1313" i="2"/>
  <c r="L625" i="2"/>
  <c r="I928" i="2"/>
  <c r="K1366" i="2"/>
  <c r="S619" i="2"/>
  <c r="Y1550" i="2"/>
  <c r="AC1158" i="2"/>
  <c r="V321" i="2"/>
  <c r="T1357" i="2"/>
  <c r="T1553" i="2"/>
  <c r="L1357" i="2"/>
  <c r="S625" i="2"/>
  <c r="AB772" i="2"/>
  <c r="Z1019" i="2"/>
  <c r="K277" i="2"/>
  <c r="U1262" i="2"/>
  <c r="AF582" i="2"/>
  <c r="J286" i="2"/>
  <c r="Q386" i="2"/>
  <c r="P321" i="2"/>
  <c r="L1164" i="2"/>
  <c r="Y1066" i="2"/>
  <c r="U774" i="2"/>
  <c r="Q483" i="2"/>
  <c r="U812" i="2"/>
  <c r="O1354" i="2"/>
  <c r="N1501" i="2"/>
  <c r="Z1011" i="2"/>
  <c r="W919" i="2"/>
  <c r="X179" i="2"/>
  <c r="H329" i="2"/>
  <c r="U772" i="2"/>
  <c r="W383" i="2"/>
  <c r="U1173" i="2"/>
  <c r="H827" i="2"/>
  <c r="H436" i="2"/>
  <c r="AA818" i="2"/>
  <c r="M1068" i="2"/>
  <c r="K1504" i="2"/>
  <c r="U424" i="2"/>
  <c r="W1562" i="2"/>
  <c r="T913" i="2"/>
  <c r="L1259" i="2"/>
  <c r="Z1504" i="2"/>
  <c r="L766" i="2"/>
  <c r="L619" i="2"/>
  <c r="AA1504" i="2"/>
  <c r="W916" i="2"/>
  <c r="X177" i="2"/>
  <c r="H327" i="2"/>
  <c r="U429" i="2"/>
  <c r="S1460" i="2"/>
  <c r="X1366" i="2"/>
  <c r="L1467" i="2"/>
  <c r="AC925" i="2"/>
  <c r="H433" i="2"/>
  <c r="AA821" i="2"/>
  <c r="U769" i="2"/>
  <c r="T910" i="2"/>
  <c r="L1256" i="2"/>
  <c r="L1305" i="2"/>
  <c r="AB421" i="2"/>
  <c r="M1357" i="2"/>
  <c r="AA1501" i="2"/>
  <c r="Q821" i="2"/>
  <c r="H1362" i="2"/>
  <c r="W1023" i="2"/>
  <c r="P183" i="2"/>
  <c r="Y1068" i="2"/>
  <c r="J1017" i="2"/>
  <c r="AB766" i="2"/>
  <c r="T1558" i="2"/>
  <c r="T1570" i="2" s="1"/>
  <c r="AB919" i="2"/>
  <c r="W1019" i="2"/>
  <c r="N286" i="2"/>
  <c r="P1308" i="2"/>
  <c r="P1305" i="2"/>
  <c r="V1308" i="2"/>
  <c r="W177" i="2"/>
  <c r="S421" i="2"/>
  <c r="V1305" i="2"/>
  <c r="Y271" i="2"/>
  <c r="W174" i="2"/>
  <c r="Q1166" i="2"/>
  <c r="W279" i="2"/>
  <c r="W631" i="2"/>
  <c r="AB769" i="2"/>
  <c r="J1019" i="2"/>
  <c r="W1565" i="2"/>
  <c r="U471" i="2"/>
  <c r="Y274" i="2"/>
  <c r="S418" i="2"/>
  <c r="Z171" i="2"/>
  <c r="AB815" i="2"/>
  <c r="M1210" i="2"/>
  <c r="Z177" i="2"/>
  <c r="W622" i="2"/>
  <c r="N1509" i="2"/>
  <c r="I277" i="2"/>
  <c r="W277" i="2"/>
  <c r="AC1219" i="2"/>
  <c r="M827" i="2"/>
  <c r="M436" i="2"/>
  <c r="K1354" i="2"/>
  <c r="I271" i="2"/>
  <c r="W1556" i="2"/>
  <c r="AB1313" i="2"/>
  <c r="S368" i="2"/>
  <c r="Q374" i="2"/>
  <c r="N1357" i="2"/>
  <c r="W1553" i="2"/>
  <c r="AB177" i="2"/>
  <c r="J1558" i="2"/>
  <c r="H823" i="2"/>
  <c r="L774" i="2"/>
  <c r="S1026" i="2"/>
  <c r="W1558" i="2"/>
  <c r="AB1317" i="2"/>
  <c r="I424" i="2"/>
  <c r="L1161" i="2"/>
  <c r="L772" i="2"/>
  <c r="K1259" i="2"/>
  <c r="J1553" i="2"/>
  <c r="H333" i="2"/>
  <c r="W1550" i="2"/>
  <c r="J1556" i="2"/>
  <c r="X1253" i="2"/>
  <c r="N1207" i="2"/>
  <c r="I421" i="2"/>
  <c r="Y1063" i="2"/>
  <c r="L171" i="2"/>
  <c r="N274" i="2"/>
  <c r="S1017" i="2"/>
  <c r="L1264" i="2"/>
  <c r="W183" i="2"/>
  <c r="I386" i="2"/>
  <c r="V333" i="2"/>
  <c r="R1452" i="2"/>
  <c r="Z1302" i="2"/>
  <c r="N818" i="2"/>
  <c r="K371" i="2"/>
  <c r="I371" i="2"/>
  <c r="R1553" i="2"/>
  <c r="O279" i="2"/>
  <c r="Q1019" i="2"/>
  <c r="P872" i="2"/>
  <c r="AC1271" i="2"/>
  <c r="K286" i="2"/>
  <c r="V168" i="2"/>
  <c r="P870" i="2"/>
  <c r="AB861" i="2"/>
  <c r="Z1449" i="2"/>
  <c r="R1556" i="2"/>
  <c r="U763" i="2"/>
  <c r="X1351" i="2"/>
  <c r="AA1305" i="2"/>
  <c r="T1550" i="2"/>
  <c r="V171" i="2"/>
  <c r="W1308" i="2"/>
  <c r="W1166" i="2"/>
  <c r="L1556" i="2"/>
  <c r="V1362" i="2"/>
  <c r="J627" i="2"/>
  <c r="W433" i="2"/>
  <c r="L925" i="2"/>
  <c r="AC830" i="2"/>
  <c r="Q1014" i="2"/>
  <c r="H77" i="2"/>
  <c r="N1256" i="2"/>
  <c r="V174" i="2"/>
  <c r="W1311" i="2"/>
  <c r="O277" i="2"/>
  <c r="Q1017" i="2"/>
  <c r="U418" i="2"/>
  <c r="R1011" i="2"/>
  <c r="AA1302" i="2"/>
  <c r="P916" i="2"/>
  <c r="AA1259" i="2"/>
  <c r="U1357" i="2"/>
  <c r="AC1262" i="2"/>
  <c r="W1164" i="2"/>
  <c r="I823" i="2"/>
  <c r="J625" i="2"/>
  <c r="W429" i="2"/>
  <c r="V436" i="2"/>
  <c r="AA925" i="2"/>
  <c r="S830" i="2"/>
  <c r="R386" i="2"/>
  <c r="V179" i="2"/>
  <c r="T781" i="2"/>
  <c r="K374" i="2"/>
  <c r="Y1008" i="2"/>
  <c r="AD1008" i="2"/>
  <c r="Y766" i="2"/>
  <c r="W421" i="2"/>
  <c r="P913" i="2"/>
  <c r="K474" i="2"/>
  <c r="J174" i="2"/>
  <c r="Y374" i="2"/>
  <c r="P424" i="2"/>
  <c r="U1354" i="2"/>
  <c r="K379" i="2"/>
  <c r="P921" i="2"/>
  <c r="I821" i="2"/>
  <c r="T1362" i="2"/>
  <c r="R379" i="2"/>
  <c r="R634" i="2"/>
  <c r="W1173" i="2"/>
  <c r="Y1023" i="2"/>
  <c r="J921" i="2"/>
  <c r="AC815" i="2"/>
  <c r="Y815" i="2"/>
  <c r="K471" i="2"/>
  <c r="Y371" i="2"/>
  <c r="AB1504" i="2"/>
  <c r="K377" i="2"/>
  <c r="P1360" i="2"/>
  <c r="P919" i="2"/>
  <c r="H1066" i="2"/>
  <c r="Y1075" i="2"/>
  <c r="L1369" i="2"/>
  <c r="K333" i="2"/>
  <c r="N815" i="2"/>
  <c r="AB910" i="2"/>
  <c r="AC812" i="2"/>
  <c r="S1158" i="2"/>
  <c r="O913" i="2"/>
  <c r="Q1210" i="2"/>
  <c r="AB1501" i="2"/>
  <c r="AC1259" i="2"/>
  <c r="R1507" i="2"/>
  <c r="N870" i="2"/>
  <c r="X283" i="2"/>
  <c r="AB436" i="2"/>
  <c r="H86" i="2"/>
  <c r="L1366" i="2"/>
  <c r="S815" i="2"/>
  <c r="R1501" i="2"/>
  <c r="S1155" i="2"/>
  <c r="P1063" i="2"/>
  <c r="P174" i="2"/>
  <c r="U1213" i="2"/>
  <c r="R1504" i="2"/>
  <c r="AC479" i="2"/>
  <c r="P179" i="2"/>
  <c r="N1264" i="2"/>
  <c r="W1317" i="2"/>
  <c r="K386" i="2"/>
  <c r="T1317" i="2"/>
  <c r="Q1011" i="2"/>
  <c r="S812" i="2"/>
  <c r="P171" i="2"/>
  <c r="AC477" i="2"/>
  <c r="U766" i="2"/>
  <c r="AD1498" i="2"/>
  <c r="P867" i="2"/>
  <c r="AC821" i="2"/>
  <c r="U1268" i="2"/>
  <c r="AG218" i="2"/>
  <c r="R1550" i="2"/>
  <c r="P864" i="2"/>
  <c r="V916" i="2"/>
  <c r="Y1060" i="2"/>
  <c r="N1308" i="2"/>
  <c r="AC818" i="2"/>
  <c r="Q1164" i="2"/>
  <c r="L919" i="2"/>
  <c r="M1066" i="2"/>
  <c r="L329" i="2"/>
  <c r="S1464" i="2"/>
  <c r="P486" i="2"/>
  <c r="AC1170" i="2"/>
  <c r="Z861" i="2"/>
  <c r="P1060" i="2"/>
  <c r="U1210" i="2"/>
  <c r="K383" i="2"/>
  <c r="W928" i="2"/>
  <c r="U1155" i="2"/>
  <c r="U468" i="2"/>
  <c r="K324" i="2"/>
  <c r="N1305" i="2"/>
  <c r="S821" i="2"/>
  <c r="L1360" i="2"/>
  <c r="AC179" i="2"/>
  <c r="U781" i="2"/>
  <c r="K321" i="2"/>
  <c r="AF224" i="2"/>
  <c r="S818" i="2"/>
  <c r="T1313" i="2"/>
  <c r="Y1019" i="2"/>
  <c r="V1320" i="2"/>
  <c r="U778" i="2"/>
  <c r="R1516" i="2"/>
  <c r="V910" i="2"/>
  <c r="J1060" i="2"/>
  <c r="I864" i="2"/>
  <c r="I477" i="2"/>
  <c r="I474" i="2"/>
  <c r="U1259" i="2"/>
  <c r="W815" i="2"/>
  <c r="U1161" i="2"/>
  <c r="P1357" i="2"/>
  <c r="T1014" i="2"/>
  <c r="AC474" i="2"/>
  <c r="V823" i="2"/>
  <c r="T1311" i="2"/>
  <c r="Y1017" i="2"/>
  <c r="AF576" i="2"/>
  <c r="AG1418" i="2"/>
  <c r="P1369" i="2"/>
  <c r="V1317" i="2"/>
  <c r="X1501" i="2"/>
  <c r="I471" i="2"/>
  <c r="J916" i="2"/>
  <c r="U1256" i="2"/>
  <c r="Q1256" i="2"/>
  <c r="U1158" i="2"/>
  <c r="P1354" i="2"/>
  <c r="AC471" i="2"/>
  <c r="S1164" i="2"/>
  <c r="Y379" i="2"/>
  <c r="V821" i="2"/>
  <c r="V919" i="2"/>
  <c r="S925" i="2"/>
  <c r="Q1026" i="2"/>
  <c r="J919" i="2"/>
  <c r="J913" i="2"/>
  <c r="V815" i="2"/>
  <c r="L479" i="2"/>
  <c r="N823" i="2"/>
  <c r="U1264" i="2"/>
  <c r="T1369" i="2"/>
  <c r="V830" i="2"/>
  <c r="AC928" i="2"/>
  <c r="Q1023" i="2"/>
  <c r="R870" i="2"/>
  <c r="O631" i="2"/>
  <c r="K634" i="2"/>
  <c r="X1516" i="2"/>
  <c r="S1550" i="2"/>
  <c r="N1354" i="2"/>
  <c r="P1504" i="2"/>
  <c r="AA1256" i="2"/>
  <c r="S1360" i="2"/>
  <c r="V1360" i="2"/>
  <c r="AA429" i="2"/>
  <c r="R383" i="2"/>
  <c r="I925" i="2"/>
  <c r="K631" i="2"/>
  <c r="H830" i="2"/>
  <c r="Z1017" i="2"/>
  <c r="H821" i="2"/>
  <c r="T1509" i="2"/>
  <c r="H1360" i="2"/>
  <c r="I921" i="2"/>
  <c r="S921" i="2"/>
  <c r="AB183" i="2"/>
  <c r="AC627" i="2"/>
  <c r="AC436" i="2"/>
  <c r="I1271" i="2"/>
  <c r="V1369" i="2"/>
  <c r="AC619" i="2"/>
  <c r="L321" i="2"/>
  <c r="H815" i="2"/>
  <c r="AC625" i="2"/>
  <c r="AB1547" i="2"/>
  <c r="AA268" i="2"/>
  <c r="AC616" i="2"/>
  <c r="M619" i="2"/>
  <c r="S1501" i="2"/>
  <c r="W1066" i="2"/>
  <c r="AC622" i="2"/>
  <c r="I1264" i="2"/>
  <c r="N1068" i="2"/>
  <c r="N179" i="2"/>
  <c r="L1458" i="2"/>
  <c r="T1507" i="2"/>
  <c r="I919" i="2"/>
  <c r="AC1362" i="2"/>
  <c r="AC433" i="2"/>
  <c r="I1268" i="2"/>
  <c r="I383" i="2"/>
  <c r="Y1565" i="2"/>
  <c r="T1516" i="2"/>
  <c r="V1366" i="2"/>
  <c r="M622" i="2"/>
  <c r="P421" i="2"/>
  <c r="R1063" i="2"/>
  <c r="O625" i="2"/>
  <c r="V619" i="2"/>
  <c r="S271" i="2"/>
  <c r="S913" i="2"/>
  <c r="R916" i="2"/>
  <c r="T1452" i="2"/>
  <c r="AA424" i="2"/>
  <c r="L1553" i="2"/>
  <c r="M1014" i="2"/>
  <c r="V1210" i="2"/>
  <c r="Y821" i="2"/>
  <c r="R769" i="2"/>
  <c r="I1262" i="2"/>
  <c r="N872" i="2"/>
  <c r="R921" i="2"/>
  <c r="K479" i="2"/>
  <c r="M625" i="2"/>
  <c r="Y778" i="2"/>
  <c r="H186" i="2"/>
  <c r="K879" i="2"/>
  <c r="Z1026" i="2"/>
  <c r="Y1562" i="2"/>
  <c r="T1513" i="2"/>
  <c r="H1369" i="2"/>
  <c r="AB1498" i="2"/>
  <c r="AA418" i="2"/>
  <c r="U271" i="2"/>
  <c r="R913" i="2"/>
  <c r="J1161" i="2"/>
  <c r="L1550" i="2"/>
  <c r="V1207" i="2"/>
  <c r="Y818" i="2"/>
  <c r="X327" i="2"/>
  <c r="K872" i="2"/>
  <c r="R919" i="2"/>
  <c r="K477" i="2"/>
  <c r="N1362" i="2"/>
  <c r="Y774" i="2"/>
  <c r="S1366" i="2"/>
  <c r="AA1173" i="2"/>
  <c r="Z1023" i="2"/>
  <c r="I1516" i="2"/>
  <c r="K486" i="2"/>
  <c r="M631" i="2"/>
  <c r="H1366" i="2"/>
  <c r="Y781" i="2"/>
  <c r="AA468" i="2"/>
  <c r="S268" i="2"/>
  <c r="S910" i="2"/>
  <c r="AA421" i="2"/>
  <c r="AG1403" i="2"/>
  <c r="R766" i="2"/>
  <c r="U268" i="2"/>
  <c r="H471" i="2"/>
  <c r="AA1455" i="2"/>
  <c r="AC424" i="2"/>
  <c r="M769" i="2"/>
  <c r="AA1161" i="2"/>
  <c r="Z1161" i="2"/>
  <c r="X324" i="2"/>
  <c r="X1213" i="2"/>
  <c r="K870" i="2"/>
  <c r="O479" i="2"/>
  <c r="N1360" i="2"/>
  <c r="AC429" i="2"/>
  <c r="X1215" i="2"/>
  <c r="L1565" i="2"/>
  <c r="AA1170" i="2"/>
  <c r="N186" i="2"/>
  <c r="R928" i="2"/>
  <c r="K483" i="2"/>
  <c r="V336" i="2"/>
  <c r="U1222" i="2"/>
  <c r="O477" i="2"/>
  <c r="R925" i="2"/>
  <c r="N1369" i="2"/>
  <c r="I1259" i="2"/>
  <c r="H1166" i="2"/>
  <c r="L324" i="2"/>
  <c r="Q336" i="2"/>
  <c r="X1210" i="2"/>
  <c r="X321" i="2"/>
  <c r="H1259" i="2"/>
  <c r="H1210" i="2"/>
  <c r="H1264" i="2"/>
  <c r="R1366" i="2"/>
  <c r="V1075" i="2"/>
  <c r="W268" i="2"/>
  <c r="W1305" i="2"/>
  <c r="V1060" i="2"/>
  <c r="V268" i="2"/>
  <c r="X318" i="2"/>
  <c r="AB1305" i="2"/>
  <c r="AB171" i="2"/>
  <c r="H321" i="2"/>
  <c r="O421" i="2"/>
  <c r="Q622" i="2"/>
  <c r="U421" i="2"/>
  <c r="AC769" i="2"/>
  <c r="H1256" i="2"/>
  <c r="AB1158" i="2"/>
  <c r="P371" i="2"/>
  <c r="Q1207" i="2"/>
  <c r="K867" i="2"/>
  <c r="O471" i="2"/>
  <c r="H1207" i="2"/>
  <c r="P1455" i="2"/>
  <c r="S919" i="2"/>
  <c r="W427" i="2"/>
  <c r="R1458" i="2"/>
  <c r="W1017" i="2"/>
  <c r="Q1215" i="2"/>
  <c r="P479" i="2"/>
  <c r="I379" i="2"/>
  <c r="M1019" i="2"/>
  <c r="V1213" i="2"/>
  <c r="N277" i="2"/>
  <c r="Y872" i="2"/>
  <c r="L1262" i="2"/>
  <c r="H479" i="2"/>
  <c r="U427" i="2"/>
  <c r="H1262" i="2"/>
  <c r="H177" i="2"/>
  <c r="R1362" i="2"/>
  <c r="U1219" i="2"/>
  <c r="R774" i="2"/>
  <c r="Y1513" i="2"/>
  <c r="L1464" i="2"/>
  <c r="AA1271" i="2"/>
  <c r="H536" i="2"/>
  <c r="I634" i="2"/>
  <c r="N283" i="2"/>
  <c r="L1271" i="2"/>
  <c r="T1464" i="2"/>
  <c r="U436" i="2"/>
  <c r="W1026" i="2"/>
  <c r="AG236" i="2"/>
  <c r="L864" i="2"/>
  <c r="AD763" i="2"/>
  <c r="AD368" i="2"/>
  <c r="H174" i="2"/>
  <c r="O474" i="2"/>
  <c r="AG1406" i="2"/>
  <c r="H179" i="2"/>
  <c r="R778" i="2"/>
  <c r="AC168" i="2"/>
  <c r="X1354" i="2"/>
  <c r="V1057" i="2"/>
  <c r="Z1253" i="2"/>
  <c r="AB1302" i="2"/>
  <c r="I1553" i="2"/>
  <c r="Q619" i="2"/>
  <c r="O1357" i="2"/>
  <c r="V1357" i="2"/>
  <c r="N1452" i="2"/>
  <c r="AB424" i="2"/>
  <c r="N1259" i="2"/>
  <c r="L622" i="2"/>
  <c r="AD74" i="2"/>
  <c r="K864" i="2"/>
  <c r="X622" i="2"/>
  <c r="H524" i="2"/>
  <c r="K622" i="2"/>
  <c r="P1452" i="2"/>
  <c r="S916" i="2"/>
  <c r="W424" i="2"/>
  <c r="R1455" i="2"/>
  <c r="W1014" i="2"/>
  <c r="X1507" i="2"/>
  <c r="Q1213" i="2"/>
  <c r="P477" i="2"/>
  <c r="I377" i="2"/>
  <c r="M1017" i="2"/>
  <c r="P1460" i="2"/>
  <c r="M1509" i="2"/>
  <c r="Q1556" i="2"/>
  <c r="H477" i="2"/>
  <c r="P1166" i="2"/>
  <c r="N1458" i="2"/>
  <c r="AB1166" i="2"/>
  <c r="X1513" i="2"/>
  <c r="U1215" i="2"/>
  <c r="V1072" i="2"/>
  <c r="Y1509" i="2"/>
  <c r="AA1026" i="2"/>
  <c r="Z336" i="2"/>
  <c r="AA1268" i="2"/>
  <c r="H533" i="2"/>
  <c r="V1222" i="2"/>
  <c r="M1516" i="2"/>
  <c r="L1268" i="2"/>
  <c r="P1173" i="2"/>
  <c r="Y772" i="2"/>
  <c r="Z815" i="2"/>
  <c r="V1354" i="2"/>
  <c r="H521" i="2"/>
  <c r="K619" i="2"/>
  <c r="N769" i="2"/>
  <c r="X1504" i="2"/>
  <c r="Z1166" i="2"/>
  <c r="P1458" i="2"/>
  <c r="K1166" i="2"/>
  <c r="P1068" i="2"/>
  <c r="P1164" i="2"/>
  <c r="M774" i="2"/>
  <c r="V1068" i="2"/>
  <c r="AC1509" i="2"/>
  <c r="P436" i="2"/>
  <c r="P1467" i="2"/>
  <c r="P1075" i="2"/>
  <c r="P1170" i="2"/>
  <c r="W1075" i="2"/>
  <c r="I1256" i="2"/>
  <c r="P1516" i="2"/>
  <c r="V812" i="2"/>
  <c r="AA1452" i="2"/>
  <c r="AC421" i="2"/>
  <c r="Z1158" i="2"/>
  <c r="AG1409" i="2"/>
  <c r="V271" i="2"/>
  <c r="T1155" i="2"/>
  <c r="AD910" i="2"/>
  <c r="R1060" i="2"/>
  <c r="V477" i="2"/>
  <c r="H1215" i="2"/>
  <c r="P1066" i="2"/>
  <c r="AD861" i="2"/>
  <c r="Y1354" i="2"/>
  <c r="AC1501" i="2"/>
  <c r="AD1057" i="2"/>
  <c r="Q1553" i="2"/>
  <c r="H1161" i="2"/>
  <c r="Y1014" i="2"/>
  <c r="P1161" i="2"/>
  <c r="Q1259" i="2"/>
  <c r="I1308" i="2"/>
  <c r="M1354" i="2"/>
  <c r="P474" i="2"/>
  <c r="AF221" i="2"/>
  <c r="AC1256" i="2"/>
  <c r="T1305" i="2"/>
  <c r="I1161" i="2"/>
  <c r="AB1311" i="2"/>
  <c r="T919" i="2"/>
  <c r="X1553" i="2"/>
  <c r="W1458" i="2"/>
  <c r="N622" i="2"/>
  <c r="V429" i="2"/>
  <c r="AA1264" i="2"/>
  <c r="AA1164" i="2"/>
  <c r="H1213" i="2"/>
  <c r="N772" i="2"/>
  <c r="M823" i="2"/>
  <c r="Q627" i="2"/>
  <c r="U625" i="2"/>
  <c r="N1262" i="2"/>
  <c r="AB427" i="2"/>
  <c r="AB1019" i="2"/>
  <c r="U283" i="2"/>
  <c r="V283" i="2"/>
  <c r="P1513" i="2"/>
  <c r="AB1516" i="2"/>
  <c r="N876" i="2"/>
  <c r="N781" i="2"/>
  <c r="I336" i="2"/>
  <c r="Q631" i="2"/>
  <c r="U631" i="2"/>
  <c r="AC879" i="2"/>
  <c r="U274" i="2"/>
  <c r="H1354" i="2"/>
  <c r="X1207" i="2"/>
  <c r="AB1057" i="2"/>
  <c r="W171" i="2"/>
  <c r="W1060" i="2"/>
  <c r="Q1550" i="2"/>
  <c r="H1158" i="2"/>
  <c r="Y1011" i="2"/>
  <c r="P1158" i="2"/>
  <c r="M371" i="2"/>
  <c r="AA1014" i="2"/>
  <c r="W274" i="2"/>
  <c r="H74" i="2"/>
  <c r="Q818" i="2"/>
  <c r="I1158" i="2"/>
  <c r="AB1308" i="2"/>
  <c r="AB622" i="2"/>
  <c r="S1259" i="2"/>
  <c r="V277" i="2"/>
  <c r="V427" i="2"/>
  <c r="AA1262" i="2"/>
  <c r="T774" i="2"/>
  <c r="K627" i="2"/>
  <c r="M821" i="2"/>
  <c r="Q625" i="2"/>
  <c r="L377" i="2"/>
  <c r="V329" i="2"/>
  <c r="U827" i="2"/>
  <c r="AC827" i="2"/>
  <c r="V279" i="2"/>
  <c r="J634" i="2"/>
  <c r="AB1513" i="2"/>
  <c r="N778" i="2"/>
  <c r="I333" i="2"/>
  <c r="P336" i="2"/>
  <c r="X1222" i="2"/>
  <c r="U1302" i="2"/>
  <c r="Y867" i="2"/>
  <c r="N766" i="2"/>
  <c r="AA1166" i="2"/>
  <c r="N774" i="2"/>
  <c r="U627" i="2"/>
  <c r="S1166" i="2"/>
  <c r="N879" i="2"/>
  <c r="P1464" i="2"/>
  <c r="P1072" i="2"/>
  <c r="I1305" i="2"/>
  <c r="AC1008" i="2"/>
  <c r="S1351" i="2"/>
  <c r="W1011" i="2"/>
  <c r="W616" i="2"/>
  <c r="T321" i="2"/>
  <c r="AC1354" i="2"/>
  <c r="I818" i="2"/>
  <c r="L1014" i="2"/>
  <c r="U622" i="2"/>
  <c r="I769" i="2"/>
  <c r="AA1011" i="2"/>
  <c r="N424" i="2"/>
  <c r="W271" i="2"/>
  <c r="H71" i="2"/>
  <c r="Q815" i="2"/>
  <c r="R377" i="2"/>
  <c r="AB1017" i="2"/>
  <c r="V1066" i="2"/>
  <c r="V274" i="2"/>
  <c r="P429" i="2"/>
  <c r="T772" i="2"/>
  <c r="K625" i="2"/>
  <c r="Y1558" i="2"/>
  <c r="J279" i="2"/>
  <c r="P329" i="2"/>
  <c r="O1264" i="2"/>
  <c r="V327" i="2"/>
  <c r="T1170" i="2"/>
  <c r="W1464" i="2"/>
  <c r="Z1072" i="2"/>
  <c r="J631" i="2"/>
  <c r="Q1222" i="2"/>
  <c r="Q1170" i="2"/>
  <c r="I286" i="2"/>
  <c r="K1317" i="2"/>
  <c r="N1467" i="2"/>
  <c r="P333" i="2"/>
  <c r="S1369" i="2"/>
  <c r="R371" i="2"/>
  <c r="M766" i="2"/>
  <c r="U277" i="2"/>
  <c r="AC427" i="2"/>
  <c r="T1351" i="2"/>
  <c r="R864" i="2"/>
  <c r="Y864" i="2"/>
  <c r="P433" i="2"/>
  <c r="U634" i="2"/>
  <c r="S1354" i="2"/>
  <c r="W619" i="2"/>
  <c r="W1155" i="2"/>
  <c r="W1351" i="2"/>
  <c r="T318" i="2"/>
  <c r="Z168" i="2"/>
  <c r="J1063" i="2"/>
  <c r="I815" i="2"/>
  <c r="L1011" i="2"/>
  <c r="U619" i="2"/>
  <c r="I766" i="2"/>
  <c r="V324" i="2"/>
  <c r="O174" i="2"/>
  <c r="L1455" i="2"/>
  <c r="X174" i="2"/>
  <c r="V818" i="2"/>
  <c r="Z1014" i="2"/>
  <c r="I274" i="2"/>
  <c r="AB1014" i="2"/>
  <c r="S377" i="2"/>
  <c r="AB1507" i="2"/>
  <c r="L1362" i="2"/>
  <c r="I279" i="2"/>
  <c r="I329" i="2"/>
  <c r="Y1556" i="2"/>
  <c r="L1558" i="2"/>
  <c r="P327" i="2"/>
  <c r="O1262" i="2"/>
  <c r="AA1019" i="2"/>
  <c r="T1166" i="2"/>
  <c r="S283" i="2"/>
  <c r="R1268" i="2"/>
  <c r="Z1068" i="2"/>
  <c r="AA436" i="2"/>
  <c r="Q1219" i="2"/>
  <c r="Z1170" i="2"/>
  <c r="I283" i="2"/>
  <c r="I830" i="2"/>
  <c r="Y1026" i="2"/>
  <c r="U879" i="2"/>
  <c r="Y830" i="2"/>
  <c r="AC1155" i="2"/>
  <c r="Y368" i="2"/>
  <c r="S471" i="2"/>
  <c r="S1256" i="2"/>
  <c r="W910" i="2"/>
  <c r="AC1204" i="2"/>
  <c r="K271" i="2"/>
  <c r="M867" i="2"/>
  <c r="N1455" i="2"/>
  <c r="AA913" i="2"/>
  <c r="J818" i="2"/>
  <c r="AC174" i="2"/>
  <c r="V424" i="2"/>
  <c r="Q1158" i="2"/>
  <c r="I374" i="2"/>
  <c r="N864" i="2"/>
  <c r="T1308" i="2"/>
  <c r="T324" i="2"/>
  <c r="R1066" i="2"/>
  <c r="AC1357" i="2"/>
  <c r="R1014" i="2"/>
  <c r="U818" i="2"/>
  <c r="S274" i="2"/>
  <c r="AC1213" i="2"/>
  <c r="H79" i="2"/>
  <c r="AB1509" i="2"/>
  <c r="T625" i="2"/>
  <c r="AA1509" i="2"/>
  <c r="AB477" i="2"/>
  <c r="N1311" i="2"/>
  <c r="Q1558" i="2"/>
  <c r="Y479" i="2"/>
  <c r="Q377" i="2"/>
  <c r="L1017" i="2"/>
  <c r="X1262" i="2"/>
  <c r="M429" i="2"/>
  <c r="O177" i="2"/>
  <c r="Y823" i="2"/>
  <c r="W1072" i="2"/>
  <c r="AB778" i="2"/>
  <c r="AB329" i="2"/>
  <c r="O183" i="2"/>
  <c r="L634" i="2"/>
  <c r="T1026" i="2"/>
  <c r="Y436" i="2"/>
  <c r="AA1513" i="2"/>
  <c r="J1026" i="2"/>
  <c r="J925" i="2"/>
  <c r="M1075" i="2"/>
  <c r="M634" i="2"/>
  <c r="X1271" i="2"/>
  <c r="AB1026" i="2"/>
  <c r="S468" i="2"/>
  <c r="M864" i="2"/>
  <c r="L769" i="2"/>
  <c r="AC171" i="2"/>
  <c r="AC1455" i="2"/>
  <c r="L921" i="2"/>
  <c r="P1362" i="2"/>
  <c r="I479" i="2"/>
  <c r="V921" i="2"/>
  <c r="M427" i="2"/>
  <c r="P377" i="2"/>
  <c r="K1264" i="2"/>
  <c r="S1170" i="2"/>
  <c r="W1068" i="2"/>
  <c r="AB774" i="2"/>
  <c r="K1271" i="2"/>
  <c r="L631" i="2"/>
  <c r="T1023" i="2"/>
  <c r="Y433" i="2"/>
  <c r="U1369" i="2"/>
  <c r="J1023" i="2"/>
  <c r="X1268" i="2"/>
  <c r="W634" i="2"/>
  <c r="R1026" i="2"/>
  <c r="N41" i="2"/>
  <c r="N42" i="2" s="1"/>
  <c r="N30" i="2"/>
  <c r="S29" i="2"/>
  <c r="S21" i="2"/>
  <c r="S36" i="2"/>
  <c r="S18" i="2"/>
  <c r="S33" i="2"/>
  <c r="AG17" i="2"/>
  <c r="S27" i="2"/>
  <c r="S24" i="2"/>
  <c r="AG14" i="2"/>
  <c r="AG48" i="2" s="1"/>
  <c r="AG46" i="2"/>
  <c r="AB1155" i="2"/>
  <c r="X168" i="2"/>
  <c r="Z812" i="2"/>
  <c r="R1256" i="2"/>
  <c r="Y763" i="2"/>
  <c r="S1011" i="2"/>
  <c r="W1161" i="2"/>
  <c r="M1063" i="2"/>
  <c r="L371" i="2"/>
  <c r="H1060" i="2"/>
  <c r="O1063" i="2"/>
  <c r="H171" i="2"/>
  <c r="V913" i="2"/>
  <c r="Z324" i="2"/>
  <c r="O274" i="2"/>
  <c r="P471" i="2"/>
  <c r="T769" i="2"/>
  <c r="T619" i="2"/>
  <c r="N174" i="2"/>
  <c r="S1161" i="2"/>
  <c r="X1360" i="2"/>
  <c r="W1455" i="2"/>
  <c r="T1019" i="2"/>
  <c r="L179" i="2"/>
  <c r="Z1164" i="2"/>
  <c r="P177" i="2"/>
  <c r="AA870" i="2"/>
  <c r="V1313" i="2"/>
  <c r="U1166" i="2"/>
  <c r="K329" i="2"/>
  <c r="M1313" i="2"/>
  <c r="S631" i="2"/>
  <c r="U479" i="2"/>
  <c r="X1362" i="2"/>
  <c r="R1513" i="2"/>
  <c r="N827" i="2"/>
  <c r="P483" i="2"/>
  <c r="L483" i="2"/>
  <c r="M1026" i="2"/>
  <c r="V1219" i="2"/>
  <c r="O486" i="2"/>
  <c r="W1170" i="2"/>
  <c r="N1464" i="2"/>
  <c r="U433" i="2"/>
  <c r="P827" i="2"/>
  <c r="S286" i="2"/>
  <c r="V486" i="2"/>
  <c r="P30" i="2"/>
  <c r="P41" i="2"/>
  <c r="P42" i="2" s="1"/>
  <c r="AA283" i="2"/>
  <c r="AB418" i="2"/>
  <c r="T1057" i="2"/>
  <c r="AD1253" i="2"/>
  <c r="X271" i="2"/>
  <c r="AB1011" i="2"/>
  <c r="W1158" i="2"/>
  <c r="O424" i="2"/>
  <c r="M1060" i="2"/>
  <c r="O1259" i="2"/>
  <c r="O1060" i="2"/>
  <c r="AB1161" i="2"/>
  <c r="Z321" i="2"/>
  <c r="O271" i="2"/>
  <c r="Y1256" i="2"/>
  <c r="T766" i="2"/>
  <c r="L916" i="2"/>
  <c r="N171" i="2"/>
  <c r="K916" i="2"/>
  <c r="R772" i="2"/>
  <c r="X1357" i="2"/>
  <c r="S1262" i="2"/>
  <c r="T1017" i="2"/>
  <c r="H529" i="2"/>
  <c r="V1215" i="2"/>
  <c r="K1313" i="2"/>
  <c r="V1311" i="2"/>
  <c r="L627" i="2"/>
  <c r="M627" i="2"/>
  <c r="K327" i="2"/>
  <c r="M1311" i="2"/>
  <c r="S627" i="2"/>
  <c r="U1068" i="2"/>
  <c r="M778" i="2"/>
  <c r="Q876" i="2"/>
  <c r="J1565" i="2"/>
  <c r="M1023" i="2"/>
  <c r="O483" i="2"/>
  <c r="Y876" i="2"/>
  <c r="J186" i="2"/>
  <c r="Q634" i="2"/>
  <c r="O1369" i="2"/>
  <c r="R1271" i="2"/>
  <c r="AB30" i="2"/>
  <c r="AB41" i="2"/>
  <c r="AB42" i="2" s="1"/>
  <c r="S1207" i="2"/>
  <c r="AD418" i="2"/>
  <c r="N1158" i="2"/>
  <c r="Q329" i="2"/>
  <c r="L778" i="2"/>
  <c r="J1562" i="2"/>
  <c r="O1366" i="2"/>
  <c r="V30" i="2"/>
  <c r="V41" i="2"/>
  <c r="V42" i="2" s="1"/>
  <c r="S1204" i="2"/>
  <c r="J171" i="2"/>
  <c r="L174" i="2"/>
  <c r="Y377" i="2"/>
  <c r="AC1166" i="2"/>
  <c r="T1565" i="2"/>
  <c r="Z1516" i="2"/>
  <c r="Q30" i="2"/>
  <c r="Q41" i="2"/>
  <c r="Q42" i="2" s="1"/>
  <c r="AC774" i="2"/>
  <c r="Y386" i="2"/>
  <c r="P928" i="2"/>
  <c r="L1516" i="2"/>
  <c r="J179" i="2"/>
  <c r="Y383" i="2"/>
  <c r="K928" i="2"/>
  <c r="AA30" i="2"/>
  <c r="AA41" i="2"/>
  <c r="AA42" i="2" s="1"/>
  <c r="Z41" i="2"/>
  <c r="Z42" i="2" s="1"/>
  <c r="Z30" i="2"/>
  <c r="J177" i="2"/>
  <c r="W925" i="2"/>
  <c r="K925" i="2"/>
  <c r="Y41" i="2"/>
  <c r="Y42" i="2" s="1"/>
  <c r="Y30" i="2"/>
  <c r="Z1155" i="2"/>
  <c r="V772" i="2"/>
  <c r="AC177" i="2"/>
  <c r="W921" i="2"/>
  <c r="N1317" i="2"/>
  <c r="M41" i="2"/>
  <c r="M42" i="2" s="1"/>
  <c r="M30" i="2"/>
  <c r="R30" i="2"/>
  <c r="R41" i="2"/>
  <c r="R42" i="2" s="1"/>
  <c r="M1262" i="2"/>
  <c r="I486" i="2"/>
  <c r="T30" i="2"/>
  <c r="T41" i="2"/>
  <c r="T42" i="2" s="1"/>
  <c r="M1317" i="2"/>
  <c r="O41" i="2"/>
  <c r="O42" i="2" s="1"/>
  <c r="O30" i="2"/>
  <c r="AC268" i="2"/>
  <c r="G30" i="2"/>
  <c r="G41" i="2"/>
  <c r="H30" i="2"/>
  <c r="H41" i="2"/>
  <c r="H42" i="2" s="1"/>
  <c r="U1253" i="2"/>
  <c r="W1302" i="2"/>
  <c r="W1452" i="2"/>
  <c r="S1449" i="2"/>
  <c r="U171" i="2"/>
  <c r="AB168" i="2"/>
  <c r="K274" i="2"/>
  <c r="Y474" i="2"/>
  <c r="Q371" i="2"/>
  <c r="H1357" i="2"/>
  <c r="AA916" i="2"/>
  <c r="K1256" i="2"/>
  <c r="J471" i="2"/>
  <c r="AD71" i="2"/>
  <c r="Q1161" i="2"/>
  <c r="J1550" i="2"/>
  <c r="N867" i="2"/>
  <c r="L1354" i="2"/>
  <c r="AB471" i="2"/>
  <c r="T327" i="2"/>
  <c r="Z174" i="2"/>
  <c r="AC1360" i="2"/>
  <c r="R1017" i="2"/>
  <c r="U821" i="2"/>
  <c r="AB324" i="2"/>
  <c r="P427" i="2"/>
  <c r="T627" i="2"/>
  <c r="N177" i="2"/>
  <c r="AB479" i="2"/>
  <c r="N1313" i="2"/>
  <c r="Y870" i="2"/>
  <c r="N821" i="2"/>
  <c r="Q379" i="2"/>
  <c r="L1019" i="2"/>
  <c r="X1264" i="2"/>
  <c r="I429" i="2"/>
  <c r="O179" i="2"/>
  <c r="R1562" i="2"/>
  <c r="O186" i="2"/>
  <c r="U1170" i="2"/>
  <c r="H83" i="2"/>
  <c r="AG1415" i="2"/>
  <c r="AC1268" i="2"/>
  <c r="AA1516" i="2"/>
  <c r="K283" i="2"/>
  <c r="J928" i="2"/>
  <c r="AB1562" i="2"/>
  <c r="R1467" i="2"/>
  <c r="L27" i="2"/>
  <c r="L33" i="2"/>
  <c r="L29" i="2"/>
  <c r="L21" i="2"/>
  <c r="L24" i="2"/>
  <c r="L36" i="2"/>
  <c r="X18" i="2"/>
  <c r="AF17" i="2"/>
  <c r="D33" i="1"/>
  <c r="D24" i="1"/>
  <c r="D26" i="1"/>
  <c r="R821" i="2"/>
  <c r="U1501" i="2"/>
  <c r="V616" i="2"/>
  <c r="AC766" i="2"/>
  <c r="J1158" i="2"/>
  <c r="Q1357" i="2"/>
  <c r="I1014" i="2"/>
  <c r="K1063" i="2"/>
  <c r="R818" i="2"/>
  <c r="Q1068" i="2"/>
  <c r="K1164" i="2"/>
  <c r="AC772" i="2"/>
  <c r="N1460" i="2"/>
  <c r="AB1558" i="2"/>
  <c r="AA279" i="2"/>
  <c r="H183" i="2"/>
  <c r="AA433" i="2"/>
  <c r="L1562" i="2"/>
  <c r="T1320" i="2"/>
  <c r="M879" i="2"/>
  <c r="AC781" i="2"/>
  <c r="AG615" i="2"/>
  <c r="AG619" i="2" s="1"/>
  <c r="AA1008" i="2"/>
  <c r="U1498" i="2"/>
  <c r="Q1354" i="2"/>
  <c r="I1011" i="2"/>
  <c r="K1060" i="2"/>
  <c r="Q1066" i="2"/>
  <c r="M781" i="2"/>
  <c r="V781" i="2"/>
  <c r="M876" i="2"/>
  <c r="AC778" i="2"/>
  <c r="U1075" i="2"/>
  <c r="W861" i="2"/>
  <c r="K424" i="2"/>
  <c r="I529" i="2"/>
  <c r="M872" i="2"/>
  <c r="O1362" i="2"/>
  <c r="H1558" i="2"/>
  <c r="V778" i="2"/>
  <c r="Q1075" i="2"/>
  <c r="I1565" i="2"/>
  <c r="U1516" i="2"/>
  <c r="N1210" i="2"/>
  <c r="K421" i="2"/>
  <c r="U1066" i="2"/>
  <c r="I527" i="2"/>
  <c r="M870" i="2"/>
  <c r="O1360" i="2"/>
  <c r="H1556" i="2"/>
  <c r="D18" i="1"/>
  <c r="K436" i="2"/>
  <c r="Q1072" i="2"/>
  <c r="I1562" i="2"/>
  <c r="U1063" i="2"/>
  <c r="R429" i="2"/>
  <c r="Q1362" i="2"/>
  <c r="U1513" i="2"/>
  <c r="T336" i="2"/>
  <c r="W812" i="2"/>
  <c r="AB1449" i="2"/>
  <c r="U374" i="2"/>
  <c r="AA277" i="2"/>
  <c r="R427" i="2"/>
  <c r="O1019" i="2"/>
  <c r="Q1360" i="2"/>
  <c r="R1072" i="2"/>
  <c r="U1509" i="2"/>
  <c r="Q1369" i="2"/>
  <c r="N1271" i="2"/>
  <c r="AC1075" i="2"/>
  <c r="AC486" i="2"/>
  <c r="O1026" i="2"/>
  <c r="M433" i="2"/>
  <c r="X1550" i="2"/>
  <c r="U1060" i="2"/>
  <c r="AA171" i="2"/>
  <c r="K1161" i="2"/>
  <c r="U371" i="2"/>
  <c r="W1357" i="2"/>
  <c r="AA274" i="2"/>
  <c r="O1017" i="2"/>
  <c r="T1360" i="2"/>
  <c r="D30" i="1"/>
  <c r="R1068" i="2"/>
  <c r="AB179" i="2"/>
  <c r="AC1562" i="2"/>
  <c r="Q1366" i="2"/>
  <c r="N1268" i="2"/>
  <c r="AC186" i="2"/>
  <c r="Y1072" i="2"/>
  <c r="AC483" i="2"/>
  <c r="AB486" i="2"/>
  <c r="O1023" i="2"/>
  <c r="U386" i="2"/>
  <c r="I433" i="2"/>
  <c r="Z910" i="2"/>
  <c r="D21" i="1"/>
  <c r="X1547" i="2"/>
  <c r="AA168" i="2"/>
  <c r="K1158" i="2"/>
  <c r="N1161" i="2"/>
  <c r="H1553" i="2"/>
  <c r="AB1455" i="2"/>
  <c r="W1354" i="2"/>
  <c r="R424" i="2"/>
  <c r="U474" i="2"/>
  <c r="U379" i="2"/>
  <c r="N1215" i="2"/>
  <c r="I772" i="2"/>
  <c r="M772" i="2"/>
  <c r="P379" i="2"/>
  <c r="D57" i="1"/>
  <c r="T333" i="2"/>
  <c r="AC1366" i="2"/>
  <c r="AC1558" i="2"/>
  <c r="AB1467" i="2"/>
  <c r="AC183" i="2"/>
  <c r="Q1173" i="2"/>
  <c r="V186" i="2"/>
  <c r="T634" i="2"/>
  <c r="N183" i="2"/>
  <c r="AB483" i="2"/>
  <c r="M830" i="2"/>
  <c r="Y879" i="2"/>
  <c r="N1222" i="2"/>
  <c r="AC1565" i="2"/>
  <c r="V634" i="2"/>
  <c r="H1550" i="2"/>
  <c r="X1308" i="2"/>
  <c r="AB1452" i="2"/>
  <c r="R421" i="2"/>
  <c r="K1068" i="2"/>
  <c r="U377" i="2"/>
  <c r="N1213" i="2"/>
  <c r="D45" i="1"/>
  <c r="V631" i="2"/>
  <c r="AB1464" i="2"/>
  <c r="N1219" i="2"/>
  <c r="X1305" i="2"/>
  <c r="AA177" i="2"/>
  <c r="U1507" i="2"/>
  <c r="AF1411" i="2"/>
  <c r="AF1412" i="2" s="1"/>
  <c r="V627" i="2"/>
  <c r="R436" i="2"/>
  <c r="AC1057" i="2"/>
  <c r="I524" i="2"/>
  <c r="AA174" i="2"/>
  <c r="AB1460" i="2"/>
  <c r="S1219" i="2"/>
  <c r="AA183" i="2"/>
  <c r="R433" i="2"/>
  <c r="Z634" i="2"/>
  <c r="U368" i="2"/>
  <c r="R815" i="2"/>
  <c r="I521" i="2"/>
  <c r="Q867" i="2"/>
  <c r="V769" i="2"/>
  <c r="Z821" i="2"/>
  <c r="I1558" i="2"/>
  <c r="AB1458" i="2"/>
  <c r="I1019" i="2"/>
  <c r="S1215" i="2"/>
  <c r="N1173" i="2"/>
  <c r="K1173" i="2"/>
  <c r="Z830" i="2"/>
  <c r="AD812" i="2"/>
  <c r="AC1547" i="2"/>
  <c r="J867" i="2"/>
  <c r="Q864" i="2"/>
  <c r="Z622" i="2"/>
  <c r="V766" i="2"/>
  <c r="Z818" i="2"/>
  <c r="Q872" i="2"/>
  <c r="AC1264" i="2"/>
  <c r="N1166" i="2"/>
  <c r="Z627" i="2"/>
  <c r="I1556" i="2"/>
  <c r="J277" i="2"/>
  <c r="U1164" i="2"/>
  <c r="I427" i="2"/>
  <c r="O1066" i="2"/>
  <c r="I1017" i="2"/>
  <c r="X1313" i="2"/>
  <c r="U279" i="2"/>
  <c r="W1313" i="2"/>
  <c r="X1320" i="2"/>
  <c r="J283" i="2"/>
  <c r="N830" i="2"/>
  <c r="K876" i="2"/>
  <c r="T778" i="2"/>
  <c r="Z1173" i="2"/>
  <c r="N1170" i="2"/>
  <c r="I483" i="2"/>
  <c r="K1170" i="2"/>
  <c r="J183" i="2"/>
  <c r="AC1173" i="2"/>
  <c r="I1550" i="2"/>
  <c r="AB1264" i="2"/>
  <c r="P818" i="2"/>
  <c r="J864" i="2"/>
  <c r="Z619" i="2"/>
  <c r="S1213" i="2"/>
  <c r="Q870" i="2"/>
  <c r="N1164" i="2"/>
  <c r="Z625" i="2"/>
  <c r="Y1460" i="2"/>
  <c r="X1311" i="2"/>
  <c r="Z827" i="2"/>
  <c r="R827" i="2"/>
  <c r="X1317" i="2"/>
  <c r="W1057" i="2"/>
  <c r="P815" i="2"/>
  <c r="O1014" i="2"/>
  <c r="S1210" i="2"/>
  <c r="Y1458" i="2"/>
  <c r="X1558" i="2"/>
  <c r="O1011" i="2"/>
  <c r="V625" i="2"/>
  <c r="J1166" i="2"/>
  <c r="I1026" i="2"/>
  <c r="K1075" i="2"/>
  <c r="AA286" i="2"/>
  <c r="Y1455" i="2"/>
  <c r="AC1351" i="2"/>
  <c r="Y1452" i="2"/>
  <c r="AC1060" i="2"/>
  <c r="Q1063" i="2"/>
  <c r="AC1556" i="2"/>
  <c r="J1164" i="2"/>
  <c r="I1023" i="2"/>
  <c r="W418" i="2"/>
  <c r="W818" i="2"/>
  <c r="Q1060" i="2"/>
  <c r="X1556" i="2"/>
  <c r="V774" i="2"/>
  <c r="Q879" i="2"/>
  <c r="AD616" i="2"/>
  <c r="AB818" i="2"/>
  <c r="U867" i="2"/>
  <c r="H965" i="2"/>
  <c r="N471" i="2"/>
  <c r="AC277" i="2"/>
  <c r="Z1262" i="2"/>
  <c r="U1556" i="2"/>
  <c r="AC279" i="2"/>
  <c r="S778" i="2"/>
  <c r="L283" i="2"/>
  <c r="Y1271" i="2"/>
  <c r="N383" i="2"/>
  <c r="AB827" i="2"/>
  <c r="P1271" i="2"/>
  <c r="P286" i="2"/>
  <c r="Z1498" i="2"/>
  <c r="P1268" i="2"/>
  <c r="AG1497" i="2"/>
  <c r="AA1057" i="2"/>
  <c r="T418" i="2"/>
  <c r="W368" i="2"/>
  <c r="AC864" i="2"/>
  <c r="U318" i="2"/>
  <c r="T168" i="2"/>
  <c r="O1504" i="2"/>
  <c r="J324" i="2"/>
  <c r="AA619" i="2"/>
  <c r="AF1406" i="2"/>
  <c r="R619" i="2"/>
  <c r="Y1164" i="2"/>
  <c r="R1161" i="2"/>
  <c r="W477" i="2"/>
  <c r="S374" i="2"/>
  <c r="O1556" i="2"/>
  <c r="K1458" i="2"/>
  <c r="X872" i="2"/>
  <c r="J429" i="2"/>
  <c r="AC921" i="2"/>
  <c r="P1264" i="2"/>
  <c r="Z1507" i="2"/>
  <c r="Q179" i="2"/>
  <c r="V1558" i="2"/>
  <c r="AF1415" i="2"/>
  <c r="R483" i="2"/>
  <c r="Z379" i="2"/>
  <c r="T1075" i="2"/>
  <c r="J436" i="2"/>
  <c r="X781" i="2"/>
  <c r="V1271" i="2"/>
  <c r="R486" i="2"/>
  <c r="Y1204" i="2"/>
  <c r="X1449" i="2"/>
  <c r="N386" i="2"/>
  <c r="L1513" i="2"/>
  <c r="P1259" i="2"/>
  <c r="Y1268" i="2"/>
  <c r="W371" i="2"/>
  <c r="P1256" i="2"/>
  <c r="M271" i="2"/>
  <c r="P631" i="2"/>
  <c r="T827" i="2"/>
  <c r="T812" i="2"/>
  <c r="Y1449" i="2"/>
  <c r="AC861" i="2"/>
  <c r="V1550" i="2"/>
  <c r="X471" i="2"/>
  <c r="O1501" i="2"/>
  <c r="K1553" i="2"/>
  <c r="J321" i="2"/>
  <c r="H916" i="2"/>
  <c r="AF1403" i="2"/>
  <c r="Y1161" i="2"/>
  <c r="W474" i="2"/>
  <c r="X870" i="2"/>
  <c r="J427" i="2"/>
  <c r="AC919" i="2"/>
  <c r="P1262" i="2"/>
  <c r="Z872" i="2"/>
  <c r="AF1409" i="2"/>
  <c r="R479" i="2"/>
  <c r="Z1366" i="2"/>
  <c r="AA634" i="2"/>
  <c r="O286" i="2"/>
  <c r="T436" i="2"/>
  <c r="J433" i="2"/>
  <c r="O1516" i="2"/>
  <c r="Q1268" i="2"/>
  <c r="AA1320" i="2"/>
  <c r="U928" i="2"/>
  <c r="H977" i="2"/>
  <c r="L286" i="2"/>
  <c r="U864" i="2"/>
  <c r="S774" i="2"/>
  <c r="P634" i="2"/>
  <c r="AA622" i="2"/>
  <c r="R622" i="2"/>
  <c r="R1164" i="2"/>
  <c r="L1213" i="2"/>
  <c r="V1562" i="2"/>
  <c r="Z383" i="2"/>
  <c r="X763" i="2"/>
  <c r="T1253" i="2"/>
  <c r="AC468" i="2"/>
  <c r="X268" i="2"/>
  <c r="S1305" i="2"/>
  <c r="V1547" i="2"/>
  <c r="X468" i="2"/>
  <c r="P1014" i="2"/>
  <c r="K1550" i="2"/>
  <c r="N324" i="2"/>
  <c r="L1210" i="2"/>
  <c r="H913" i="2"/>
  <c r="AC916" i="2"/>
  <c r="M1455" i="2"/>
  <c r="M1215" i="2"/>
  <c r="I1166" i="2"/>
  <c r="M1362" i="2"/>
  <c r="Z870" i="2"/>
  <c r="S1317" i="2"/>
  <c r="R1023" i="2"/>
  <c r="Z1362" i="2"/>
  <c r="O283" i="2"/>
  <c r="T433" i="2"/>
  <c r="K1467" i="2"/>
  <c r="X879" i="2"/>
  <c r="I1173" i="2"/>
  <c r="O1513" i="2"/>
  <c r="N336" i="2"/>
  <c r="O1268" i="2"/>
  <c r="J1173" i="2"/>
  <c r="U336" i="2"/>
  <c r="U876" i="2"/>
  <c r="X919" i="2"/>
  <c r="W379" i="2"/>
  <c r="Z1513" i="2"/>
  <c r="V318" i="2"/>
  <c r="AC1253" i="2"/>
  <c r="Z468" i="2"/>
  <c r="S1302" i="2"/>
  <c r="P1011" i="2"/>
  <c r="Y916" i="2"/>
  <c r="N321" i="2"/>
  <c r="L1207" i="2"/>
  <c r="AC913" i="2"/>
  <c r="M1452" i="2"/>
  <c r="M1213" i="2"/>
  <c r="I1164" i="2"/>
  <c r="T823" i="2"/>
  <c r="M1360" i="2"/>
  <c r="L279" i="2"/>
  <c r="S1313" i="2"/>
  <c r="Z183" i="2"/>
  <c r="X186" i="2"/>
  <c r="L1173" i="2"/>
  <c r="K1464" i="2"/>
  <c r="X876" i="2"/>
  <c r="I1170" i="2"/>
  <c r="P1023" i="2"/>
  <c r="J336" i="2"/>
  <c r="H1075" i="2"/>
  <c r="P879" i="2"/>
  <c r="J1170" i="2"/>
  <c r="S1320" i="2"/>
  <c r="T427" i="2"/>
  <c r="AC283" i="2"/>
  <c r="K1455" i="2"/>
  <c r="AC274" i="2"/>
  <c r="U872" i="2"/>
  <c r="T171" i="2"/>
  <c r="O1558" i="2"/>
  <c r="U870" i="2"/>
  <c r="U1547" i="2"/>
  <c r="V1155" i="2"/>
  <c r="U913" i="2"/>
  <c r="W471" i="2"/>
  <c r="AB1210" i="2"/>
  <c r="Y913" i="2"/>
  <c r="O371" i="2"/>
  <c r="V1161" i="2"/>
  <c r="P622" i="2"/>
  <c r="Y1308" i="2"/>
  <c r="X864" i="2"/>
  <c r="R277" i="2"/>
  <c r="M279" i="2"/>
  <c r="T821" i="2"/>
  <c r="AC1068" i="2"/>
  <c r="AA1068" i="2"/>
  <c r="L277" i="2"/>
  <c r="X479" i="2"/>
  <c r="Z1268" i="2"/>
  <c r="X183" i="2"/>
  <c r="O1075" i="2"/>
  <c r="K1565" i="2"/>
  <c r="I436" i="2"/>
  <c r="P876" i="2"/>
  <c r="AB928" i="2"/>
  <c r="AC286" i="2"/>
  <c r="M1207" i="2"/>
  <c r="T174" i="2"/>
  <c r="W318" i="2"/>
  <c r="Z1008" i="2"/>
  <c r="U910" i="2"/>
  <c r="W468" i="2"/>
  <c r="R1158" i="2"/>
  <c r="Y812" i="2"/>
  <c r="AB1207" i="2"/>
  <c r="X916" i="2"/>
  <c r="V1158" i="2"/>
  <c r="P619" i="2"/>
  <c r="Y1305" i="2"/>
  <c r="O324" i="2"/>
  <c r="R274" i="2"/>
  <c r="M277" i="2"/>
  <c r="Y1313" i="2"/>
  <c r="X774" i="2"/>
  <c r="AC1066" i="2"/>
  <c r="N329" i="2"/>
  <c r="AA1066" i="2"/>
  <c r="M379" i="2"/>
  <c r="AA921" i="2"/>
  <c r="S433" i="2"/>
  <c r="U921" i="2"/>
  <c r="Z1264" i="2"/>
  <c r="V1173" i="2"/>
  <c r="J879" i="2"/>
  <c r="AA879" i="2"/>
  <c r="O1072" i="2"/>
  <c r="K1562" i="2"/>
  <c r="M274" i="2"/>
  <c r="P283" i="2"/>
  <c r="U321" i="2"/>
  <c r="K1460" i="2"/>
  <c r="N1023" i="2"/>
  <c r="AG117" i="2"/>
  <c r="AC910" i="2"/>
  <c r="Y268" i="2"/>
  <c r="AA368" i="2"/>
  <c r="AA1498" i="2"/>
  <c r="X616" i="2"/>
  <c r="AD1155" i="2"/>
  <c r="U1553" i="2"/>
  <c r="X913" i="2"/>
  <c r="V1259" i="2"/>
  <c r="O769" i="2"/>
  <c r="T1063" i="2"/>
  <c r="O321" i="2"/>
  <c r="T1164" i="2"/>
  <c r="K1509" i="2"/>
  <c r="K1558" i="2"/>
  <c r="AC1019" i="2"/>
  <c r="N327" i="2"/>
  <c r="L1509" i="2"/>
  <c r="M377" i="2"/>
  <c r="AA919" i="2"/>
  <c r="W1509" i="2"/>
  <c r="S429" i="2"/>
  <c r="R1464" i="2"/>
  <c r="S383" i="2"/>
  <c r="R1170" i="2"/>
  <c r="W286" i="2"/>
  <c r="O1565" i="2"/>
  <c r="AA876" i="2"/>
  <c r="AB1271" i="2"/>
  <c r="Y928" i="2"/>
  <c r="H1565" i="2"/>
  <c r="T177" i="2"/>
  <c r="Z1501" i="2"/>
  <c r="H962" i="2"/>
  <c r="T830" i="2"/>
  <c r="K1452" i="2"/>
  <c r="Z1509" i="2"/>
  <c r="Q921" i="2"/>
  <c r="X910" i="2"/>
  <c r="V418" i="2"/>
  <c r="Y1302" i="2"/>
  <c r="AA815" i="2"/>
  <c r="X1498" i="2"/>
  <c r="U1550" i="2"/>
  <c r="V1256" i="2"/>
  <c r="L274" i="2"/>
  <c r="T1060" i="2"/>
  <c r="T1161" i="2"/>
  <c r="Z377" i="2"/>
  <c r="W377" i="2"/>
  <c r="K1507" i="2"/>
  <c r="O1509" i="2"/>
  <c r="K1556" i="2"/>
  <c r="N1019" i="2"/>
  <c r="L1507" i="2"/>
  <c r="O1068" i="2"/>
  <c r="AF578" i="2"/>
  <c r="AF579" i="2" s="1"/>
  <c r="R1460" i="2"/>
  <c r="S379" i="2"/>
  <c r="R1166" i="2"/>
  <c r="I1320" i="2"/>
  <c r="W283" i="2"/>
  <c r="L486" i="2"/>
  <c r="Y1320" i="2"/>
  <c r="K1320" i="2"/>
  <c r="AA928" i="2"/>
  <c r="Y925" i="2"/>
  <c r="H1562" i="2"/>
  <c r="AB1253" i="2"/>
  <c r="X1204" i="2"/>
  <c r="R471" i="2"/>
  <c r="S766" i="2"/>
  <c r="U168" i="2"/>
  <c r="R271" i="2"/>
  <c r="W324" i="2"/>
  <c r="AA1063" i="2"/>
  <c r="L271" i="2"/>
  <c r="T424" i="2"/>
  <c r="N374" i="2"/>
  <c r="AA1308" i="2"/>
  <c r="Z374" i="2"/>
  <c r="W374" i="2"/>
  <c r="W870" i="2"/>
  <c r="H970" i="2"/>
  <c r="O1507" i="2"/>
  <c r="Y921" i="2"/>
  <c r="Q479" i="2"/>
  <c r="P279" i="2"/>
  <c r="AA627" i="2"/>
  <c r="Y1170" i="2"/>
  <c r="W483" i="2"/>
  <c r="Y1173" i="2"/>
  <c r="T186" i="2"/>
  <c r="U861" i="2"/>
  <c r="Z318" i="2"/>
  <c r="W1547" i="2"/>
  <c r="AD468" i="2"/>
  <c r="S763" i="2"/>
  <c r="AB1008" i="2"/>
  <c r="W321" i="2"/>
  <c r="AA1060" i="2"/>
  <c r="T421" i="2"/>
  <c r="N371" i="2"/>
  <c r="W867" i="2"/>
  <c r="S772" i="2"/>
  <c r="H968" i="2"/>
  <c r="X627" i="2"/>
  <c r="P1019" i="2"/>
  <c r="Q477" i="2"/>
  <c r="V1262" i="2"/>
  <c r="P277" i="2"/>
  <c r="AA625" i="2"/>
  <c r="AG229" i="2"/>
  <c r="AG230" i="2" s="1"/>
  <c r="U333" i="2"/>
  <c r="W479" i="2"/>
  <c r="Q928" i="2"/>
  <c r="AC1072" i="2"/>
  <c r="M1222" i="2"/>
  <c r="M286" i="2"/>
  <c r="I533" i="2"/>
  <c r="AB1222" i="2"/>
  <c r="R171" i="2"/>
  <c r="W1449" i="2"/>
  <c r="Z371" i="2"/>
  <c r="T818" i="2"/>
  <c r="I174" i="2"/>
  <c r="L1504" i="2"/>
  <c r="T1259" i="2"/>
  <c r="M1259" i="2"/>
  <c r="X474" i="2"/>
  <c r="S769" i="2"/>
  <c r="X625" i="2"/>
  <c r="M1460" i="2"/>
  <c r="P1017" i="2"/>
  <c r="H919" i="2"/>
  <c r="W876" i="2"/>
  <c r="U329" i="2"/>
  <c r="Q925" i="2"/>
  <c r="O386" i="2"/>
  <c r="M1219" i="2"/>
  <c r="M283" i="2"/>
  <c r="M1467" i="2"/>
  <c r="U1565" i="2"/>
  <c r="AB1219" i="2"/>
  <c r="M386" i="2"/>
  <c r="L1222" i="2"/>
  <c r="S436" i="2"/>
  <c r="Z368" i="2"/>
  <c r="T815" i="2"/>
  <c r="I171" i="2"/>
  <c r="Q474" i="2"/>
  <c r="L1501" i="2"/>
  <c r="T1256" i="2"/>
  <c r="Q916" i="2"/>
  <c r="O1553" i="2"/>
  <c r="K1501" i="2"/>
  <c r="L1158" i="2"/>
  <c r="M1256" i="2"/>
  <c r="M818" i="2"/>
  <c r="V1556" i="2"/>
  <c r="U327" i="2"/>
  <c r="X377" i="2"/>
  <c r="AC867" i="2"/>
  <c r="Z1360" i="2"/>
  <c r="Y1264" i="2"/>
  <c r="P627" i="2"/>
  <c r="N379" i="2"/>
  <c r="M1458" i="2"/>
  <c r="O379" i="2"/>
  <c r="AB823" i="2"/>
  <c r="H427" i="2"/>
  <c r="J329" i="2"/>
  <c r="T1264" i="2"/>
  <c r="W872" i="2"/>
  <c r="R279" i="2"/>
  <c r="Q186" i="2"/>
  <c r="O383" i="2"/>
  <c r="AD83" i="2"/>
  <c r="K1516" i="2"/>
  <c r="U1562" i="2"/>
  <c r="M383" i="2"/>
  <c r="W879" i="2"/>
  <c r="Z1259" i="2"/>
  <c r="Y1253" i="2"/>
  <c r="W1501" i="2"/>
  <c r="Q913" i="2"/>
  <c r="O1550" i="2"/>
  <c r="J424" i="2"/>
  <c r="V1553" i="2"/>
  <c r="U324" i="2"/>
  <c r="R477" i="2"/>
  <c r="Z1357" i="2"/>
  <c r="Y1262" i="2"/>
  <c r="P625" i="2"/>
  <c r="N377" i="2"/>
  <c r="AB821" i="2"/>
  <c r="J327" i="2"/>
  <c r="T1262" i="2"/>
  <c r="T925" i="2"/>
  <c r="T183" i="2"/>
  <c r="K1513" i="2"/>
  <c r="X928" i="2"/>
  <c r="I186" i="2"/>
  <c r="T1271" i="2"/>
  <c r="U1558" i="2"/>
  <c r="N1026" i="2"/>
  <c r="AB812" i="2"/>
  <c r="AG1400" i="2"/>
  <c r="AC271" i="2"/>
  <c r="Z1354" i="2"/>
  <c r="W864" i="2"/>
  <c r="X769" i="2"/>
  <c r="Q471" i="2"/>
  <c r="P274" i="2"/>
  <c r="M815" i="2"/>
  <c r="Z1256" i="2"/>
  <c r="Z1351" i="2"/>
  <c r="W1498" i="2"/>
  <c r="X766" i="2"/>
  <c r="H424" i="2"/>
  <c r="P271" i="2"/>
  <c r="Q174" i="2"/>
  <c r="Z867" i="2"/>
  <c r="I867" i="2"/>
  <c r="Y1259" i="2"/>
  <c r="J421" i="2"/>
  <c r="V474" i="2"/>
  <c r="Q823" i="2"/>
  <c r="T1068" i="2"/>
  <c r="M1264" i="2"/>
  <c r="S827" i="2"/>
  <c r="V433" i="2"/>
  <c r="X925" i="2"/>
  <c r="Q486" i="2"/>
  <c r="T1268" i="2"/>
  <c r="T928" i="2"/>
  <c r="W1008" i="2"/>
  <c r="J517" i="2"/>
  <c r="M67" i="2"/>
  <c r="AG1203" i="2"/>
  <c r="AC318" i="2"/>
  <c r="V468" i="2"/>
  <c r="J1455" i="2"/>
  <c r="J477" i="2"/>
  <c r="K1019" i="2"/>
  <c r="AC1313" i="2"/>
  <c r="H1467" i="2"/>
  <c r="I129" i="2"/>
  <c r="I141" i="2" s="1"/>
  <c r="I142" i="2" s="1"/>
  <c r="AF117" i="2"/>
  <c r="P778" i="2"/>
  <c r="P772" i="2"/>
  <c r="P781" i="2"/>
  <c r="P774" i="2"/>
  <c r="P766" i="2"/>
  <c r="P769" i="2"/>
  <c r="P1219" i="2"/>
  <c r="P1213" i="2"/>
  <c r="P1222" i="2"/>
  <c r="P1215" i="2"/>
  <c r="P1207" i="2"/>
  <c r="P1210" i="2"/>
  <c r="M167" i="2"/>
  <c r="AF167" i="2" s="1"/>
  <c r="AC67" i="2"/>
  <c r="AC83" i="2" s="1"/>
  <c r="AG417" i="2"/>
  <c r="AG436" i="2" s="1"/>
  <c r="J1362" i="2"/>
  <c r="L870" i="2"/>
  <c r="L872" i="2"/>
  <c r="X861" i="2"/>
  <c r="L876" i="2"/>
  <c r="L879" i="2"/>
  <c r="S872" i="2"/>
  <c r="S876" i="2"/>
  <c r="S867" i="2"/>
  <c r="S870" i="2"/>
  <c r="S861" i="2"/>
  <c r="S864" i="2"/>
  <c r="Z418" i="2"/>
  <c r="Z436" i="2"/>
  <c r="Z429" i="2"/>
  <c r="Z424" i="2"/>
  <c r="Z427" i="2"/>
  <c r="M1170" i="2"/>
  <c r="M1173" i="2"/>
  <c r="Y1155" i="2"/>
  <c r="M1158" i="2"/>
  <c r="M1161" i="2"/>
  <c r="M1164" i="2"/>
  <c r="J821" i="2"/>
  <c r="J823" i="2"/>
  <c r="J827" i="2"/>
  <c r="J830" i="2"/>
  <c r="AA329" i="2"/>
  <c r="AA333" i="2"/>
  <c r="AA324" i="2"/>
  <c r="AA318" i="2"/>
  <c r="AA327" i="2"/>
  <c r="AA321" i="2"/>
  <c r="N433" i="2"/>
  <c r="N436" i="2"/>
  <c r="N427" i="2"/>
  <c r="N429" i="2"/>
  <c r="AB371" i="2"/>
  <c r="AB368" i="2"/>
  <c r="AB374" i="2"/>
  <c r="AB377" i="2"/>
  <c r="AB379" i="2"/>
  <c r="AB383" i="2"/>
  <c r="I1452" i="2"/>
  <c r="I1455" i="2"/>
  <c r="I1458" i="2"/>
  <c r="I1467" i="2"/>
  <c r="I1460" i="2"/>
  <c r="I1464" i="2"/>
  <c r="Z769" i="2"/>
  <c r="Z763" i="2"/>
  <c r="Z774" i="2"/>
  <c r="Z772" i="2"/>
  <c r="Z778" i="2"/>
  <c r="Z781" i="2"/>
  <c r="AG909" i="2"/>
  <c r="AG925" i="2" s="1"/>
  <c r="Z913" i="2"/>
  <c r="Z916" i="2"/>
  <c r="Z919" i="2"/>
  <c r="Z921" i="2"/>
  <c r="Z925" i="2"/>
  <c r="Q1464" i="2"/>
  <c r="Q1458" i="2"/>
  <c r="Q1467" i="2"/>
  <c r="Q1460" i="2"/>
  <c r="Q1452" i="2"/>
  <c r="AC1449" i="2"/>
  <c r="Q1455" i="2"/>
  <c r="R872" i="2"/>
  <c r="R876" i="2"/>
  <c r="R879" i="2"/>
  <c r="Z1057" i="2"/>
  <c r="N1060" i="2"/>
  <c r="N1063" i="2"/>
  <c r="N1072" i="2"/>
  <c r="N1066" i="2"/>
  <c r="W1219" i="2"/>
  <c r="W1213" i="2"/>
  <c r="W1215" i="2"/>
  <c r="W1222" i="2"/>
  <c r="W1204" i="2"/>
  <c r="W1207" i="2"/>
  <c r="W1210" i="2"/>
  <c r="O876" i="2"/>
  <c r="O870" i="2"/>
  <c r="O879" i="2"/>
  <c r="O872" i="2"/>
  <c r="O864" i="2"/>
  <c r="O867" i="2"/>
  <c r="AA861" i="2"/>
  <c r="I631" i="2"/>
  <c r="I625" i="2"/>
  <c r="I619" i="2"/>
  <c r="U616" i="2"/>
  <c r="I622" i="2"/>
  <c r="P1553" i="2"/>
  <c r="P1558" i="2"/>
  <c r="P1562" i="2"/>
  <c r="P1556" i="2"/>
  <c r="P1565" i="2"/>
  <c r="U1311" i="2"/>
  <c r="U1313" i="2"/>
  <c r="U1305" i="2"/>
  <c r="U1317" i="2"/>
  <c r="U1320" i="2"/>
  <c r="AB864" i="2"/>
  <c r="AB867" i="2"/>
  <c r="AB870" i="2"/>
  <c r="AB872" i="2"/>
  <c r="AB876" i="2"/>
  <c r="Y1369" i="2"/>
  <c r="Y1351" i="2"/>
  <c r="Y1362" i="2"/>
  <c r="Y1360" i="2"/>
  <c r="Y1366" i="2"/>
  <c r="I1501" i="2"/>
  <c r="I1513" i="2"/>
  <c r="I1507" i="2"/>
  <c r="I1504" i="2"/>
  <c r="Q321" i="2"/>
  <c r="Q324" i="2"/>
  <c r="Q333" i="2"/>
  <c r="N625" i="2"/>
  <c r="N627" i="2"/>
  <c r="N631" i="2"/>
  <c r="N634" i="2"/>
  <c r="Z616" i="2"/>
  <c r="Y333" i="2"/>
  <c r="Y324" i="2"/>
  <c r="Y336" i="2"/>
  <c r="Y327" i="2"/>
  <c r="AA774" i="2"/>
  <c r="AA778" i="2"/>
  <c r="AA772" i="2"/>
  <c r="AA763" i="2"/>
  <c r="AA766" i="2"/>
  <c r="AA781" i="2"/>
  <c r="AA1458" i="2"/>
  <c r="AA1460" i="2"/>
  <c r="AA1464" i="2"/>
  <c r="H1170" i="2"/>
  <c r="H1164" i="2"/>
  <c r="R1360" i="2"/>
  <c r="R1369" i="2"/>
  <c r="R1354" i="2"/>
  <c r="N1562" i="2"/>
  <c r="N1556" i="2"/>
  <c r="N1565" i="2"/>
  <c r="N1558" i="2"/>
  <c r="N1550" i="2"/>
  <c r="N1553" i="2"/>
  <c r="H474" i="2"/>
  <c r="X1068" i="2"/>
  <c r="X1072" i="2"/>
  <c r="X1066" i="2"/>
  <c r="X1075" i="2"/>
  <c r="X1060" i="2"/>
  <c r="X1063" i="2"/>
  <c r="Y616" i="2"/>
  <c r="Y622" i="2"/>
  <c r="Y625" i="2"/>
  <c r="Y631" i="2"/>
  <c r="Y627" i="2"/>
  <c r="L1308" i="2"/>
  <c r="L1311" i="2"/>
  <c r="L1317" i="2"/>
  <c r="L1313" i="2"/>
  <c r="X1302" i="2"/>
  <c r="AA479" i="2"/>
  <c r="AA483" i="2"/>
  <c r="AA474" i="2"/>
  <c r="AA477" i="2"/>
  <c r="AA486" i="2"/>
  <c r="H1452" i="2"/>
  <c r="H1455" i="2"/>
  <c r="X386" i="2"/>
  <c r="X368" i="2"/>
  <c r="X371" i="2"/>
  <c r="X379" i="2"/>
  <c r="X383" i="2"/>
  <c r="T1222" i="2"/>
  <c r="T1215" i="2"/>
  <c r="T1213" i="2"/>
  <c r="T1219" i="2"/>
  <c r="T1204" i="2"/>
  <c r="R1305" i="2"/>
  <c r="AB1204" i="2"/>
  <c r="K183" i="2"/>
  <c r="H1320" i="2"/>
  <c r="L427" i="2"/>
  <c r="L429" i="2"/>
  <c r="L424" i="2"/>
  <c r="L433" i="2"/>
  <c r="L436" i="2"/>
  <c r="S1565" i="2"/>
  <c r="S1556" i="2"/>
  <c r="S1558" i="2"/>
  <c r="S1562" i="2"/>
  <c r="S1547" i="2"/>
  <c r="L336" i="2"/>
  <c r="L327" i="2"/>
  <c r="J778" i="2"/>
  <c r="J772" i="2"/>
  <c r="J781" i="2"/>
  <c r="J774" i="2"/>
  <c r="V763" i="2"/>
  <c r="U1057" i="2"/>
  <c r="I1066" i="2"/>
  <c r="I1068" i="2"/>
  <c r="I1072" i="2"/>
  <c r="I1075" i="2"/>
  <c r="I1060" i="2"/>
  <c r="I1063" i="2"/>
  <c r="X336" i="2"/>
  <c r="X333" i="2"/>
  <c r="S1507" i="2"/>
  <c r="S1504" i="2"/>
  <c r="S1509" i="2"/>
  <c r="S1498" i="2"/>
  <c r="S1513" i="2"/>
  <c r="AA383" i="2"/>
  <c r="AA379" i="2"/>
  <c r="AA386" i="2"/>
  <c r="AA371" i="2"/>
  <c r="AA374" i="2"/>
  <c r="V383" i="2"/>
  <c r="V379" i="2"/>
  <c r="V386" i="2"/>
  <c r="V368" i="2"/>
  <c r="V371" i="2"/>
  <c r="V374" i="2"/>
  <c r="AA616" i="2"/>
  <c r="O619" i="2"/>
  <c r="O622" i="2"/>
  <c r="AB634" i="2"/>
  <c r="AB627" i="2"/>
  <c r="AB631" i="2"/>
  <c r="AB616" i="2"/>
  <c r="AB625" i="2"/>
  <c r="Z1464" i="2"/>
  <c r="Z1458" i="2"/>
  <c r="Z1467" i="2"/>
  <c r="Z1460" i="2"/>
  <c r="Z1452" i="2"/>
  <c r="Z1455" i="2"/>
  <c r="AC1498" i="2"/>
  <c r="AC1504" i="2"/>
  <c r="AC1507" i="2"/>
  <c r="AC1513" i="2"/>
  <c r="Z474" i="2"/>
  <c r="Z477" i="2"/>
  <c r="Z479" i="2"/>
  <c r="Z483" i="2"/>
  <c r="Z486" i="2"/>
  <c r="AA1210" i="2"/>
  <c r="AA1222" i="2"/>
  <c r="AA1213" i="2"/>
  <c r="AA1204" i="2"/>
  <c r="AA1207" i="2"/>
  <c r="AA1215" i="2"/>
  <c r="W769" i="2"/>
  <c r="W778" i="2"/>
  <c r="W772" i="2"/>
  <c r="W781" i="2"/>
  <c r="W774" i="2"/>
  <c r="W763" i="2"/>
  <c r="H1313" i="2"/>
  <c r="H1317" i="2"/>
  <c r="V1019" i="2"/>
  <c r="AB1362" i="2"/>
  <c r="AB1351" i="2"/>
  <c r="AB1354" i="2"/>
  <c r="AB1357" i="2"/>
  <c r="AB1366" i="2"/>
  <c r="Z1553" i="2"/>
  <c r="Z1556" i="2"/>
  <c r="Z1558" i="2"/>
  <c r="Z1562" i="2"/>
  <c r="Z1565" i="2"/>
  <c r="Z1547" i="2"/>
  <c r="S171" i="2"/>
  <c r="S174" i="2"/>
  <c r="S177" i="2"/>
  <c r="S183" i="2"/>
  <c r="J1464" i="2"/>
  <c r="J1458" i="2"/>
  <c r="J1467" i="2"/>
  <c r="J1460" i="2"/>
  <c r="Q67" i="2"/>
  <c r="Q1311" i="2"/>
  <c r="Q1313" i="2"/>
  <c r="Q1305" i="2"/>
  <c r="Q1317" i="2"/>
  <c r="Q1308" i="2"/>
  <c r="K67" i="2"/>
  <c r="O67" i="2"/>
  <c r="J769" i="2"/>
  <c r="J1369" i="2"/>
  <c r="S336" i="2"/>
  <c r="S324" i="2"/>
  <c r="S327" i="2"/>
  <c r="S318" i="2"/>
  <c r="S321" i="2"/>
  <c r="S333" i="2"/>
  <c r="AA812" i="2"/>
  <c r="O823" i="2"/>
  <c r="O827" i="2"/>
  <c r="O821" i="2"/>
  <c r="O830" i="2"/>
  <c r="O815" i="2"/>
  <c r="O818" i="2"/>
  <c r="K1011" i="2"/>
  <c r="K1014" i="2"/>
  <c r="K1026" i="2"/>
  <c r="X830" i="2"/>
  <c r="Y1222" i="2"/>
  <c r="Y1210" i="2"/>
  <c r="Y1213" i="2"/>
  <c r="Y1215" i="2"/>
  <c r="Y1207" i="2"/>
  <c r="X1458" i="2"/>
  <c r="X1464" i="2"/>
  <c r="X1460" i="2"/>
  <c r="X1467" i="2"/>
  <c r="X1452" i="2"/>
  <c r="X1455" i="2"/>
  <c r="S67" i="2"/>
  <c r="G67" i="9" s="1"/>
  <c r="U1448" i="2"/>
  <c r="AB763" i="2"/>
  <c r="Z1550" i="2"/>
  <c r="S186" i="2"/>
  <c r="Q772" i="2"/>
  <c r="Q774" i="2"/>
  <c r="Q778" i="2"/>
  <c r="Q781" i="2"/>
  <c r="Q766" i="2"/>
  <c r="Q769" i="2"/>
  <c r="AC763" i="2"/>
  <c r="AB1369" i="2"/>
  <c r="L1056" i="2"/>
  <c r="L1063" i="2" s="1"/>
  <c r="AB271" i="2"/>
  <c r="AB283" i="2"/>
  <c r="AB274" i="2"/>
  <c r="AB286" i="2"/>
  <c r="AB277" i="2"/>
  <c r="AB279" i="2"/>
  <c r="H1305" i="2"/>
  <c r="H1308" i="2"/>
  <c r="O1213" i="2"/>
  <c r="O1215" i="2"/>
  <c r="O1207" i="2"/>
  <c r="O1210" i="2"/>
  <c r="O1219" i="2"/>
  <c r="R336" i="2"/>
  <c r="R327" i="2"/>
  <c r="R321" i="2"/>
  <c r="R333" i="2"/>
  <c r="R1320" i="2"/>
  <c r="R1308" i="2"/>
  <c r="R1311" i="2"/>
  <c r="R1313" i="2"/>
  <c r="T876" i="2"/>
  <c r="T870" i="2"/>
  <c r="T879" i="2"/>
  <c r="T872" i="2"/>
  <c r="T864" i="2"/>
  <c r="J377" i="2"/>
  <c r="J379" i="2"/>
  <c r="J383" i="2"/>
  <c r="H615" i="2"/>
  <c r="T616" i="2" s="1"/>
  <c r="AC1305" i="2"/>
  <c r="U1204" i="2"/>
  <c r="J371" i="2"/>
  <c r="R329" i="2"/>
  <c r="O1311" i="2"/>
  <c r="O1313" i="2"/>
  <c r="O1317" i="2"/>
  <c r="O1320" i="2"/>
  <c r="O1305" i="2"/>
  <c r="O1308" i="2"/>
  <c r="J474" i="2"/>
  <c r="J483" i="2"/>
  <c r="J479" i="2"/>
  <c r="Z1204" i="2"/>
  <c r="T1449" i="2"/>
  <c r="AC1302" i="2"/>
  <c r="S168" i="2"/>
  <c r="W766" i="2"/>
  <c r="Y1219" i="2"/>
  <c r="AB879" i="2"/>
  <c r="V1026" i="2"/>
  <c r="V1008" i="2"/>
  <c r="V1014" i="2"/>
  <c r="V1017" i="2"/>
  <c r="AF229" i="2"/>
  <c r="AF230" i="2" s="1"/>
  <c r="K1023" i="2"/>
  <c r="R177" i="2"/>
  <c r="H1460" i="2"/>
  <c r="X823" i="2"/>
  <c r="AB1360" i="2"/>
  <c r="AC321" i="2"/>
  <c r="AC324" i="2"/>
  <c r="AC329" i="2"/>
  <c r="AC333" i="2"/>
  <c r="V1498" i="2"/>
  <c r="Q1507" i="2"/>
  <c r="Q1509" i="2"/>
  <c r="Q1504" i="2"/>
  <c r="Q1513" i="2"/>
  <c r="AA1565" i="2"/>
  <c r="AA1558" i="2"/>
  <c r="AA1562" i="2"/>
  <c r="AA1547" i="2"/>
  <c r="AA1553" i="2"/>
  <c r="AA1550" i="2"/>
  <c r="AA1556" i="2"/>
  <c r="J1357" i="2"/>
  <c r="V1351" i="2"/>
  <c r="J1366" i="2"/>
  <c r="J1360" i="2"/>
  <c r="T1302" i="2"/>
  <c r="I1210" i="2"/>
  <c r="I1207" i="2"/>
  <c r="H1458" i="2"/>
  <c r="K823" i="2"/>
  <c r="J386" i="2"/>
  <c r="AA336" i="2"/>
  <c r="V1455" i="2"/>
  <c r="V1458" i="2"/>
  <c r="V1460" i="2"/>
  <c r="V1464" i="2"/>
  <c r="K821" i="2"/>
  <c r="X436" i="2"/>
  <c r="I1215" i="2"/>
  <c r="I1213" i="2"/>
  <c r="I1219" i="2"/>
  <c r="U1026" i="2"/>
  <c r="U1019" i="2"/>
  <c r="U1023" i="2"/>
  <c r="U1014" i="2"/>
  <c r="U1017" i="2"/>
  <c r="U1008" i="2"/>
  <c r="V1507" i="2"/>
  <c r="V1509" i="2"/>
  <c r="V1513" i="2"/>
  <c r="V1516" i="2"/>
  <c r="V1501" i="2"/>
  <c r="V1504" i="2"/>
  <c r="AC1320" i="2"/>
  <c r="AC1317" i="2"/>
  <c r="AC371" i="2"/>
  <c r="AC374" i="2"/>
  <c r="AC368" i="2"/>
  <c r="AC383" i="2"/>
  <c r="AC377" i="2"/>
  <c r="AG367" i="2"/>
  <c r="AG383" i="2" s="1"/>
  <c r="T377" i="2"/>
  <c r="T383" i="2"/>
  <c r="T379" i="2"/>
  <c r="T386" i="2"/>
  <c r="T371" i="2"/>
  <c r="T374" i="2"/>
  <c r="T1207" i="2"/>
  <c r="V1452" i="2"/>
  <c r="AC327" i="2"/>
  <c r="J67" i="2"/>
  <c r="N67" i="2"/>
  <c r="V1449" i="2"/>
  <c r="T867" i="2"/>
  <c r="K1210" i="2"/>
  <c r="Z433" i="2"/>
  <c r="Q1516" i="2"/>
  <c r="H483" i="2"/>
  <c r="R1210" i="2"/>
  <c r="R1222" i="2"/>
  <c r="R1213" i="2"/>
  <c r="AD1204" i="2"/>
  <c r="R1207" i="2"/>
  <c r="R1215" i="2"/>
  <c r="R1219" i="2"/>
  <c r="AG811" i="2"/>
  <c r="AG815" i="2" s="1"/>
  <c r="X818" i="2"/>
  <c r="X827" i="2"/>
  <c r="X821" i="2"/>
  <c r="T283" i="2"/>
  <c r="T277" i="2"/>
  <c r="T286" i="2"/>
  <c r="T279" i="2"/>
  <c r="T291" i="2" s="1"/>
  <c r="T292" i="2" s="1"/>
  <c r="T271" i="2"/>
  <c r="T274" i="2"/>
  <c r="N925" i="2"/>
  <c r="N919" i="2"/>
  <c r="N928" i="2"/>
  <c r="N921" i="2"/>
  <c r="N913" i="2"/>
  <c r="N916" i="2"/>
  <c r="X1155" i="2"/>
  <c r="X1158" i="2"/>
  <c r="AG1154" i="2"/>
  <c r="X1166" i="2"/>
  <c r="X1161" i="2"/>
  <c r="X1170" i="2"/>
  <c r="X1164" i="2"/>
  <c r="AC1308" i="2"/>
  <c r="AG762" i="2"/>
  <c r="AB268" i="2"/>
  <c r="AA471" i="2"/>
  <c r="AC386" i="2"/>
  <c r="Q1320" i="2"/>
  <c r="V1023" i="2"/>
  <c r="K827" i="2"/>
  <c r="K830" i="2"/>
  <c r="K815" i="2"/>
  <c r="K818" i="2"/>
  <c r="J1504" i="2"/>
  <c r="J1516" i="2"/>
  <c r="J1507" i="2"/>
  <c r="J1513" i="2"/>
  <c r="J1509" i="2"/>
  <c r="Z1219" i="2"/>
  <c r="Z1213" i="2"/>
  <c r="Z1222" i="2"/>
  <c r="Z1215" i="2"/>
  <c r="Z1210" i="2"/>
  <c r="K171" i="2"/>
  <c r="K174" i="2"/>
  <c r="W168" i="2"/>
  <c r="K186" i="2"/>
  <c r="K177" i="2"/>
  <c r="X427" i="2"/>
  <c r="X429" i="2"/>
  <c r="X421" i="2"/>
  <c r="X424" i="2"/>
  <c r="X418" i="2"/>
  <c r="O772" i="2"/>
  <c r="O778" i="2"/>
  <c r="O774" i="2"/>
  <c r="O781" i="2"/>
  <c r="K1213" i="2"/>
  <c r="K1219" i="2"/>
  <c r="K1215" i="2"/>
  <c r="K1222" i="2"/>
  <c r="AA1366" i="2"/>
  <c r="AA1360" i="2"/>
  <c r="AA1369" i="2"/>
  <c r="AA1362" i="2"/>
  <c r="AA1354" i="2"/>
  <c r="AA1357" i="2"/>
  <c r="R179" i="2"/>
  <c r="R183" i="2"/>
  <c r="R186" i="2"/>
  <c r="AD168" i="2"/>
  <c r="W1516" i="2"/>
  <c r="R67" i="2"/>
  <c r="R83" i="2" s="1"/>
  <c r="R283" i="2"/>
  <c r="X483" i="2"/>
  <c r="U925" i="2"/>
  <c r="V928" i="2"/>
  <c r="Q830" i="2"/>
  <c r="N1516" i="2"/>
  <c r="L928" i="2"/>
  <c r="Q286" i="2"/>
  <c r="P186" i="2"/>
  <c r="N1320" i="2"/>
  <c r="I536" i="2"/>
  <c r="P1026" i="2"/>
  <c r="U1271" i="2"/>
  <c r="P830" i="2"/>
  <c r="Q1271" i="2"/>
  <c r="I958" i="2"/>
  <c r="K429" i="2"/>
  <c r="J872" i="2"/>
  <c r="Y1311" i="2"/>
  <c r="AC1017" i="2"/>
  <c r="P823" i="2"/>
  <c r="Q1264" i="2"/>
  <c r="R1558" i="2"/>
  <c r="W627" i="2"/>
  <c r="Q183" i="2"/>
  <c r="K433" i="2"/>
  <c r="J876" i="2"/>
  <c r="T1562" i="2"/>
  <c r="L1170" i="2"/>
  <c r="Y1317" i="2"/>
  <c r="Z631" i="2"/>
  <c r="M1072" i="2"/>
  <c r="AA830" i="2"/>
  <c r="AA186" i="2"/>
  <c r="X67" i="2"/>
  <c r="L67" i="9" s="1"/>
  <c r="V67" i="2"/>
  <c r="J67" i="9" s="1"/>
  <c r="K427" i="2"/>
  <c r="J870" i="2"/>
  <c r="N479" i="2"/>
  <c r="O329" i="2"/>
  <c r="W329" i="2"/>
  <c r="AB1215" i="2"/>
  <c r="W1362" i="2"/>
  <c r="P821" i="2"/>
  <c r="Q1262" i="2"/>
  <c r="AF233" i="2"/>
  <c r="AC876" i="2"/>
  <c r="AA827" i="2"/>
  <c r="Z879" i="2"/>
  <c r="N486" i="2"/>
  <c r="M1271" i="2"/>
  <c r="O336" i="2"/>
  <c r="W336" i="2"/>
  <c r="W830" i="2"/>
  <c r="I781" i="2"/>
  <c r="AB67" i="2"/>
  <c r="Y67" i="2"/>
  <c r="O916" i="2"/>
  <c r="N1014" i="2"/>
  <c r="X477" i="2"/>
  <c r="U477" i="2"/>
  <c r="T1556" i="2"/>
  <c r="N477" i="2"/>
  <c r="O327" i="2"/>
  <c r="W327" i="2"/>
  <c r="AB1213" i="2"/>
  <c r="W1360" i="2"/>
  <c r="AB921" i="2"/>
  <c r="Q919" i="2"/>
  <c r="AF227" i="2"/>
  <c r="AC872" i="2"/>
  <c r="Z876" i="2"/>
  <c r="H974" i="2"/>
  <c r="O1562" i="2"/>
  <c r="N483" i="2"/>
  <c r="M1268" i="2"/>
  <c r="O333" i="2"/>
  <c r="M1464" i="2"/>
  <c r="W333" i="2"/>
  <c r="N333" i="2"/>
  <c r="W827" i="2"/>
  <c r="I778" i="2"/>
  <c r="I664" i="2"/>
  <c r="Z67" i="2"/>
  <c r="N67" i="9" s="1"/>
  <c r="U67" i="2"/>
  <c r="I67" i="9" s="1"/>
  <c r="AB1259" i="2"/>
  <c r="AC1063" i="2"/>
  <c r="U919" i="2"/>
  <c r="V1166" i="2"/>
  <c r="R627" i="2"/>
  <c r="AG1411" i="2"/>
  <c r="AG1412" i="2" s="1"/>
  <c r="K1066" i="2"/>
  <c r="L177" i="2"/>
  <c r="X772" i="2"/>
  <c r="I177" i="2"/>
  <c r="Y919" i="2"/>
  <c r="N1017" i="2"/>
  <c r="W823" i="2"/>
  <c r="O921" i="2"/>
  <c r="Q177" i="2"/>
  <c r="Z179" i="2"/>
  <c r="R823" i="2"/>
  <c r="AA1313" i="2"/>
  <c r="AA631" i="2"/>
  <c r="K1268" i="2"/>
  <c r="I1317" i="2"/>
  <c r="V1170" i="2"/>
  <c r="R631" i="2"/>
  <c r="K1072" i="2"/>
  <c r="L183" i="2"/>
  <c r="X778" i="2"/>
  <c r="I183" i="2"/>
  <c r="P925" i="2"/>
  <c r="N1366" i="2"/>
  <c r="H1072" i="2"/>
  <c r="V1268" i="2"/>
  <c r="L1219" i="2"/>
  <c r="X1565" i="2"/>
  <c r="I713" i="2"/>
  <c r="AB1256" i="2"/>
  <c r="V1164" i="2"/>
  <c r="R625" i="2"/>
  <c r="AC1460" i="2"/>
  <c r="I872" i="2"/>
  <c r="J1068" i="2"/>
  <c r="W821" i="2"/>
  <c r="O919" i="2"/>
  <c r="I1313" i="2"/>
  <c r="V483" i="2"/>
  <c r="S483" i="2"/>
  <c r="H928" i="2"/>
  <c r="AC1026" i="2"/>
  <c r="AC1467" i="2"/>
  <c r="P1320" i="2"/>
  <c r="I879" i="2"/>
  <c r="J1075" i="2"/>
  <c r="O928" i="2"/>
  <c r="O436" i="2"/>
  <c r="H1271" i="2"/>
  <c r="L386" i="2"/>
  <c r="W67" i="2"/>
  <c r="K67" i="9" s="1"/>
  <c r="O374" i="2"/>
  <c r="W1507" i="2"/>
  <c r="AC1458" i="2"/>
  <c r="P1311" i="2"/>
  <c r="I870" i="2"/>
  <c r="J1066" i="2"/>
  <c r="V1264" i="2"/>
  <c r="L1215" i="2"/>
  <c r="I774" i="2"/>
  <c r="I1311" i="2"/>
  <c r="S479" i="2"/>
  <c r="H925" i="2"/>
  <c r="AC1023" i="2"/>
  <c r="AC1464" i="2"/>
  <c r="P1317" i="2"/>
  <c r="I876" i="2"/>
  <c r="J1072" i="2"/>
  <c r="O925" i="2"/>
  <c r="O433" i="2"/>
  <c r="H1268" i="2"/>
  <c r="L383" i="2"/>
  <c r="U486" i="2"/>
  <c r="I1105" i="2"/>
  <c r="P67" i="2"/>
  <c r="M374" i="2"/>
  <c r="T1066" i="2"/>
  <c r="V177" i="2"/>
  <c r="O377" i="2"/>
  <c r="O427" i="2"/>
  <c r="L379" i="2"/>
  <c r="H1068" i="2"/>
  <c r="AB1262" i="2"/>
  <c r="K1262" i="2"/>
  <c r="T1072" i="2"/>
  <c r="V183" i="2"/>
  <c r="P1366" i="2"/>
  <c r="AB1268" i="2"/>
  <c r="U383" i="2"/>
  <c r="J333" i="2"/>
  <c r="AB925" i="2"/>
  <c r="I67" i="2"/>
  <c r="H921" i="2"/>
  <c r="L781" i="2"/>
  <c r="Y286" i="2"/>
  <c r="M1369" i="2"/>
  <c r="W1369" i="2"/>
  <c r="X634" i="2"/>
  <c r="AB830" i="2"/>
  <c r="AA1075" i="2"/>
  <c r="Y1467" i="2"/>
  <c r="M1366" i="2"/>
  <c r="W1366" i="2"/>
  <c r="AA1072" i="2"/>
  <c r="Y1464" i="2"/>
  <c r="H1516" i="2"/>
  <c r="S1075" i="2"/>
  <c r="J1222" i="2"/>
  <c r="H386" i="2"/>
  <c r="Y183" i="2"/>
  <c r="Y186" i="2"/>
  <c r="AG582" i="2"/>
  <c r="AG585" i="2"/>
  <c r="H876" i="2"/>
  <c r="H879" i="2"/>
  <c r="H379" i="2"/>
  <c r="H383" i="2"/>
  <c r="S1068" i="2"/>
  <c r="S1072" i="2"/>
  <c r="J1215" i="2"/>
  <c r="J1219" i="2"/>
  <c r="H1509" i="2"/>
  <c r="H1513" i="2"/>
  <c r="AG578" i="2"/>
  <c r="AG579" i="2" s="1"/>
  <c r="S579" i="2"/>
  <c r="Y177" i="2"/>
  <c r="Y179" i="2"/>
  <c r="Y191" i="2" s="1"/>
  <c r="Y192" i="2" s="1"/>
  <c r="H870" i="2"/>
  <c r="H872" i="2"/>
  <c r="H884" i="2" s="1"/>
  <c r="H885" i="2" s="1"/>
  <c r="H1504" i="2"/>
  <c r="H1507" i="2"/>
  <c r="H374" i="2"/>
  <c r="H377" i="2"/>
  <c r="AG573" i="2"/>
  <c r="AG576" i="2"/>
  <c r="S1063" i="2"/>
  <c r="S1066" i="2"/>
  <c r="J1210" i="2"/>
  <c r="J1213" i="2"/>
  <c r="T861" i="2"/>
  <c r="H867" i="2"/>
  <c r="AF1054" i="2"/>
  <c r="AF1085" i="2" s="1"/>
  <c r="Y171" i="2"/>
  <c r="Y174" i="2"/>
  <c r="AF613" i="2"/>
  <c r="AF644" i="2" s="1"/>
  <c r="T368" i="2"/>
  <c r="S1057" i="2"/>
  <c r="S1060" i="2"/>
  <c r="AF165" i="2"/>
  <c r="AF196" i="2" s="1"/>
  <c r="AF1497" i="2"/>
  <c r="H1501" i="2"/>
  <c r="AF1203" i="2"/>
  <c r="J1207" i="2"/>
  <c r="V1204" i="2"/>
  <c r="AF367" i="2"/>
  <c r="H371" i="2"/>
  <c r="T1498" i="2"/>
  <c r="AG567" i="2"/>
  <c r="AG570" i="2"/>
  <c r="AF860" i="2"/>
  <c r="H864" i="2"/>
  <c r="AG167" i="2"/>
  <c r="AG1056" i="2"/>
  <c r="AF907" i="2"/>
  <c r="AF938" i="2" s="1"/>
  <c r="M909" i="2"/>
  <c r="AG465" i="2"/>
  <c r="AG496" i="2" s="1"/>
  <c r="T467" i="2"/>
  <c r="AF415" i="2"/>
  <c r="AF446" i="2" s="1"/>
  <c r="Q417" i="2"/>
  <c r="AF809" i="2"/>
  <c r="AF840" i="2" s="1"/>
  <c r="L811" i="2"/>
  <c r="AF1446" i="2"/>
  <c r="AF1477" i="2" s="1"/>
  <c r="O1448" i="2"/>
  <c r="AF65" i="2"/>
  <c r="AF65" i="9" s="1"/>
  <c r="L67" i="2"/>
  <c r="AG1250" i="2"/>
  <c r="AG1281" i="2" s="1"/>
  <c r="W1252" i="2"/>
  <c r="AG1005" i="2"/>
  <c r="AG1036" i="2" s="1"/>
  <c r="X1007" i="2"/>
  <c r="AF315" i="2"/>
  <c r="AF346" i="2" s="1"/>
  <c r="M317" i="2"/>
  <c r="AF1299" i="2"/>
  <c r="AF1330" i="2" s="1"/>
  <c r="J1301" i="2"/>
  <c r="AF1544" i="2"/>
  <c r="AF1575" i="2" s="1"/>
  <c r="M1546" i="2"/>
  <c r="AF465" i="2"/>
  <c r="AF496" i="2" s="1"/>
  <c r="M467" i="2"/>
  <c r="AF1250" i="2"/>
  <c r="AF1281" i="2" s="1"/>
  <c r="J1252" i="2"/>
  <c r="AF1348" i="2"/>
  <c r="AF1379" i="2" s="1"/>
  <c r="I1350" i="2"/>
  <c r="AF1152" i="2"/>
  <c r="AF1183" i="2" s="1"/>
  <c r="O1154" i="2"/>
  <c r="AF760" i="2"/>
  <c r="AF791" i="2" s="1"/>
  <c r="H762" i="2"/>
  <c r="AF265" i="2"/>
  <c r="AF296" i="2" s="1"/>
  <c r="H267" i="2"/>
  <c r="AF1005" i="2"/>
  <c r="AF1036" i="2" s="1"/>
  <c r="H1007" i="2"/>
  <c r="AG858" i="2"/>
  <c r="AG889" i="2" s="1"/>
  <c r="V860" i="2"/>
  <c r="K707" i="2"/>
  <c r="J709" i="2"/>
  <c r="AF63" i="2"/>
  <c r="AF63" i="9" s="1"/>
  <c r="K1099" i="2"/>
  <c r="J1101" i="2"/>
  <c r="J1103" i="2" s="1"/>
  <c r="J1133" i="2" s="1"/>
  <c r="L511" i="2"/>
  <c r="K513" i="2"/>
  <c r="K515" i="2" s="1"/>
  <c r="K545" i="2" s="1"/>
  <c r="K952" i="2"/>
  <c r="J954" i="2"/>
  <c r="J956" i="2" s="1"/>
  <c r="J986" i="2" s="1"/>
  <c r="K658" i="2"/>
  <c r="J660" i="2"/>
  <c r="J662" i="2" s="1"/>
  <c r="J692" i="2" s="1"/>
  <c r="AD36" i="1"/>
  <c r="J304" i="4"/>
  <c r="J260" i="4"/>
  <c r="J323" i="4" s="1"/>
  <c r="K260" i="4"/>
  <c r="K323" i="4" s="1"/>
  <c r="K304" i="4"/>
  <c r="K367" i="4" s="1"/>
  <c r="K179" i="4"/>
  <c r="K242" i="4"/>
  <c r="K180" i="4"/>
  <c r="K243" i="4" s="1"/>
  <c r="J179" i="4"/>
  <c r="J242" i="4" s="1"/>
  <c r="K139" i="4"/>
  <c r="K202" i="4"/>
  <c r="K157" i="4"/>
  <c r="K220" i="4" s="1"/>
  <c r="J155" i="4"/>
  <c r="J218" i="4" s="1"/>
  <c r="J165" i="4"/>
  <c r="J228" i="4"/>
  <c r="K144" i="4"/>
  <c r="K207" i="4" s="1"/>
  <c r="K185" i="4"/>
  <c r="K248" i="4" s="1"/>
  <c r="J148" i="4"/>
  <c r="J211" i="4" s="1"/>
  <c r="K175" i="4"/>
  <c r="K238" i="4"/>
  <c r="J159" i="4"/>
  <c r="J222" i="4" s="1"/>
  <c r="K186" i="4"/>
  <c r="K249" i="4"/>
  <c r="K166" i="4"/>
  <c r="K229" i="4" s="1"/>
  <c r="K182" i="4"/>
  <c r="K245" i="4" s="1"/>
  <c r="J145" i="4"/>
  <c r="J208" i="4" s="1"/>
  <c r="J146" i="4"/>
  <c r="J209" i="4" s="1"/>
  <c r="J175" i="4"/>
  <c r="J238" i="4" s="1"/>
  <c r="J169" i="4"/>
  <c r="J232" i="4" s="1"/>
  <c r="K154" i="4"/>
  <c r="K217" i="4" s="1"/>
  <c r="J164" i="4"/>
  <c r="J227" i="4" s="1"/>
  <c r="J187" i="4"/>
  <c r="J250" i="4"/>
  <c r="J138" i="4"/>
  <c r="J201" i="4" s="1"/>
  <c r="J173" i="4"/>
  <c r="J236" i="4" s="1"/>
  <c r="K187" i="4"/>
  <c r="K250" i="4" s="1"/>
  <c r="J144" i="4"/>
  <c r="J207" i="4" s="1"/>
  <c r="K143" i="4"/>
  <c r="K206" i="4"/>
  <c r="K159" i="4"/>
  <c r="K222" i="4" s="1"/>
  <c r="K172" i="4"/>
  <c r="K235" i="4" s="1"/>
  <c r="J186" i="4"/>
  <c r="J249" i="4" s="1"/>
  <c r="K165" i="4"/>
  <c r="K228" i="4" s="1"/>
  <c r="K167" i="4"/>
  <c r="K230" i="4"/>
  <c r="K160" i="4"/>
  <c r="K223" i="4" s="1"/>
  <c r="K138" i="4"/>
  <c r="K201" i="4" s="1"/>
  <c r="J171" i="4"/>
  <c r="J234" i="4"/>
  <c r="K148" i="4"/>
  <c r="K211" i="4" s="1"/>
  <c r="J154" i="4"/>
  <c r="J217" i="4" s="1"/>
  <c r="K183" i="4"/>
  <c r="K246" i="4"/>
  <c r="K177" i="4"/>
  <c r="K240" i="4" s="1"/>
  <c r="J157" i="4"/>
  <c r="J220" i="4" s="1"/>
  <c r="J137" i="4"/>
  <c r="J200" i="4"/>
  <c r="J167" i="4"/>
  <c r="J230" i="4"/>
  <c r="K156" i="4"/>
  <c r="K219" i="4" s="1"/>
  <c r="K181" i="4"/>
  <c r="K244" i="4"/>
  <c r="K184" i="4"/>
  <c r="K247" i="4" s="1"/>
  <c r="L136" i="4"/>
  <c r="L199" i="4" s="1"/>
  <c r="K147" i="4"/>
  <c r="K210" i="4" s="1"/>
  <c r="J172" i="4"/>
  <c r="J235" i="4" s="1"/>
  <c r="K136" i="4"/>
  <c r="K199" i="4" s="1"/>
  <c r="K170" i="4"/>
  <c r="K233" i="4" s="1"/>
  <c r="J160" i="4"/>
  <c r="J223" i="4" s="1"/>
  <c r="J139" i="4"/>
  <c r="J202" i="4"/>
  <c r="J142" i="4"/>
  <c r="J205" i="4" s="1"/>
  <c r="J166" i="4"/>
  <c r="J229" i="4"/>
  <c r="K146" i="4"/>
  <c r="K209" i="4" s="1"/>
  <c r="K163" i="4"/>
  <c r="K226" i="4" s="1"/>
  <c r="K140" i="4"/>
  <c r="K203" i="4" s="1"/>
  <c r="K142" i="4"/>
  <c r="K205" i="4" s="1"/>
  <c r="K169" i="4"/>
  <c r="K232" i="4"/>
  <c r="J170" i="4"/>
  <c r="J233" i="4" s="1"/>
  <c r="J149" i="4"/>
  <c r="J212" i="4" s="1"/>
  <c r="J147" i="4"/>
  <c r="J210" i="4"/>
  <c r="K149" i="4"/>
  <c r="K212" i="4" s="1"/>
  <c r="J176" i="4"/>
  <c r="J239" i="4"/>
  <c r="J184" i="4"/>
  <c r="J247" i="4" s="1"/>
  <c r="J151" i="4"/>
  <c r="J214" i="4" s="1"/>
  <c r="K164" i="4"/>
  <c r="K227" i="4"/>
  <c r="J133" i="4"/>
  <c r="J196" i="4" s="1"/>
  <c r="J182" i="4"/>
  <c r="J245" i="4" s="1"/>
  <c r="J162" i="4"/>
  <c r="J225" i="4" s="1"/>
  <c r="K155" i="4"/>
  <c r="K218" i="4" s="1"/>
  <c r="K176" i="4"/>
  <c r="K239" i="4"/>
  <c r="K150" i="4"/>
  <c r="K213" i="4"/>
  <c r="J158" i="4"/>
  <c r="J221" i="4" s="1"/>
  <c r="K171" i="4"/>
  <c r="K234" i="4" s="1"/>
  <c r="J156" i="4"/>
  <c r="J219" i="4" s="1"/>
  <c r="K141" i="4"/>
  <c r="K204" i="4" s="1"/>
  <c r="J134" i="4"/>
  <c r="J197" i="4" s="1"/>
  <c r="J168" i="4"/>
  <c r="J231" i="4"/>
  <c r="K174" i="4"/>
  <c r="K237" i="4" s="1"/>
  <c r="J180" i="4"/>
  <c r="J243" i="4" s="1"/>
  <c r="K134" i="4"/>
  <c r="K197" i="4" s="1"/>
  <c r="K173" i="4"/>
  <c r="K236" i="4"/>
  <c r="K168" i="4"/>
  <c r="K231" i="4" s="1"/>
  <c r="K137" i="4"/>
  <c r="K200" i="4" s="1"/>
  <c r="J181" i="4"/>
  <c r="J244" i="4" s="1"/>
  <c r="K151" i="4"/>
  <c r="K214" i="4" s="1"/>
  <c r="K133" i="4"/>
  <c r="K196" i="4" s="1"/>
  <c r="J143" i="4"/>
  <c r="J206" i="4"/>
  <c r="J141" i="4"/>
  <c r="J204" i="4"/>
  <c r="K162" i="4"/>
  <c r="K225" i="4" s="1"/>
  <c r="J136" i="4"/>
  <c r="J199" i="4" s="1"/>
  <c r="K145" i="4"/>
  <c r="K208" i="4" s="1"/>
  <c r="J150" i="4"/>
  <c r="J213" i="4"/>
  <c r="J177" i="4"/>
  <c r="J240" i="4" s="1"/>
  <c r="J174" i="4"/>
  <c r="J237" i="4" s="1"/>
  <c r="K153" i="4"/>
  <c r="K216" i="4" s="1"/>
  <c r="J163" i="4"/>
  <c r="J226" i="4" s="1"/>
  <c r="K152" i="4"/>
  <c r="K215" i="4" s="1"/>
  <c r="J185" i="4"/>
  <c r="J248" i="4"/>
  <c r="J153" i="4"/>
  <c r="J216" i="4" s="1"/>
  <c r="K158" i="4"/>
  <c r="K221" i="4" s="1"/>
  <c r="J152" i="4"/>
  <c r="J215" i="4" s="1"/>
  <c r="J183" i="4"/>
  <c r="J246" i="4" s="1"/>
  <c r="J140" i="4"/>
  <c r="J203" i="4" s="1"/>
  <c r="G188" i="4"/>
  <c r="J135" i="4"/>
  <c r="J198" i="4" s="1"/>
  <c r="K178" i="4"/>
  <c r="K241" i="4" s="1"/>
  <c r="J178" i="4"/>
  <c r="J241" i="4" s="1"/>
  <c r="K135" i="4"/>
  <c r="K198" i="4" s="1"/>
  <c r="M69" i="4"/>
  <c r="L12" i="4"/>
  <c r="L264" i="4" s="1"/>
  <c r="L327" i="4" s="1"/>
  <c r="L60" i="4"/>
  <c r="L312" i="4" s="1"/>
  <c r="L375" i="4" s="1"/>
  <c r="L32" i="4"/>
  <c r="L284" i="4" s="1"/>
  <c r="L347" i="4" s="1"/>
  <c r="L18" i="4"/>
  <c r="L270" i="4" s="1"/>
  <c r="L333" i="4" s="1"/>
  <c r="L16" i="4"/>
  <c r="L268" i="4" s="1"/>
  <c r="L331" i="4" s="1"/>
  <c r="L44" i="4"/>
  <c r="L296" i="4" s="1"/>
  <c r="L359" i="4" s="1"/>
  <c r="L46" i="4"/>
  <c r="L298" i="4" s="1"/>
  <c r="L361" i="4" s="1"/>
  <c r="L57" i="4"/>
  <c r="L309" i="4" s="1"/>
  <c r="L372" i="4" s="1"/>
  <c r="L34" i="4"/>
  <c r="L286" i="4" s="1"/>
  <c r="L349" i="4" s="1"/>
  <c r="L33" i="4"/>
  <c r="L285" i="4" s="1"/>
  <c r="L348" i="4" s="1"/>
  <c r="L20" i="4"/>
  <c r="L272" i="4" s="1"/>
  <c r="L335" i="4" s="1"/>
  <c r="L38" i="4"/>
  <c r="L290" i="4" s="1"/>
  <c r="L353" i="4" s="1"/>
  <c r="L9" i="4"/>
  <c r="L261" i="4" s="1"/>
  <c r="L324" i="4" s="1"/>
  <c r="G125" i="4"/>
  <c r="J35" i="4"/>
  <c r="J287" i="4" s="1"/>
  <c r="J125" i="4"/>
  <c r="M6" i="4"/>
  <c r="M35" i="4" s="1"/>
  <c r="M287" i="4" s="1"/>
  <c r="M350" i="4" s="1"/>
  <c r="L8" i="4"/>
  <c r="L260" i="4" s="1"/>
  <c r="L323" i="4" s="1"/>
  <c r="L13" i="4"/>
  <c r="L265" i="4" s="1"/>
  <c r="L328" i="4" s="1"/>
  <c r="L36" i="4"/>
  <c r="L288" i="4" s="1"/>
  <c r="L351" i="4" s="1"/>
  <c r="L22" i="4"/>
  <c r="L274" i="4" s="1"/>
  <c r="L337" i="4" s="1"/>
  <c r="L56" i="4"/>
  <c r="L308" i="4" s="1"/>
  <c r="L371" i="4" s="1"/>
  <c r="L17" i="4"/>
  <c r="L269" i="4" s="1"/>
  <c r="L332" i="4" s="1"/>
  <c r="L51" i="4"/>
  <c r="L303" i="4" s="1"/>
  <c r="L366" i="4" s="1"/>
  <c r="L28" i="4"/>
  <c r="L280" i="4" s="1"/>
  <c r="L343" i="4" s="1"/>
  <c r="L55" i="4"/>
  <c r="L307" i="4" s="1"/>
  <c r="L370" i="4" s="1"/>
  <c r="L37" i="4"/>
  <c r="L289" i="4" s="1"/>
  <c r="L352" i="4" s="1"/>
  <c r="L40" i="4"/>
  <c r="L292" i="4" s="1"/>
  <c r="L355" i="4" s="1"/>
  <c r="L42" i="4"/>
  <c r="L294" i="4" s="1"/>
  <c r="L357" i="4" s="1"/>
  <c r="L35" i="4"/>
  <c r="L287" i="4" s="1"/>
  <c r="L350" i="4" s="1"/>
  <c r="L58" i="4"/>
  <c r="L310" i="4" s="1"/>
  <c r="L373" i="4" s="1"/>
  <c r="L48" i="4"/>
  <c r="L300" i="4" s="1"/>
  <c r="L363" i="4" s="1"/>
  <c r="L15" i="4"/>
  <c r="L267" i="4" s="1"/>
  <c r="L330" i="4" s="1"/>
  <c r="L59" i="4"/>
  <c r="L311" i="4" s="1"/>
  <c r="L374" i="4" s="1"/>
  <c r="L24" i="4"/>
  <c r="L276" i="4" s="1"/>
  <c r="L339" i="4" s="1"/>
  <c r="L54" i="4"/>
  <c r="L306" i="4" s="1"/>
  <c r="L369" i="4" s="1"/>
  <c r="L43" i="4"/>
  <c r="L295" i="4" s="1"/>
  <c r="L358" i="4" s="1"/>
  <c r="L19" i="4"/>
  <c r="L271" i="4" s="1"/>
  <c r="L334" i="4" s="1"/>
  <c r="L52" i="4"/>
  <c r="L304" i="4" s="1"/>
  <c r="L367" i="4" s="1"/>
  <c r="L49" i="4"/>
  <c r="L301" i="4" s="1"/>
  <c r="L364" i="4" s="1"/>
  <c r="L45" i="4"/>
  <c r="L297" i="4" s="1"/>
  <c r="L360" i="4" s="1"/>
  <c r="L50" i="4"/>
  <c r="L302" i="4" s="1"/>
  <c r="L365" i="4" s="1"/>
  <c r="L26" i="4"/>
  <c r="L278" i="4" s="1"/>
  <c r="L341" i="4" s="1"/>
  <c r="L27" i="4"/>
  <c r="L279" i="4" s="1"/>
  <c r="L342" i="4" s="1"/>
  <c r="L29" i="4"/>
  <c r="L281" i="4" s="1"/>
  <c r="L344" i="4" s="1"/>
  <c r="L14" i="4"/>
  <c r="L266" i="4" s="1"/>
  <c r="L329" i="4" s="1"/>
  <c r="L25" i="4"/>
  <c r="L277" i="4" s="1"/>
  <c r="L340" i="4" s="1"/>
  <c r="L30" i="4"/>
  <c r="L282" i="4" s="1"/>
  <c r="L345" i="4" s="1"/>
  <c r="L39" i="4"/>
  <c r="L291" i="4" s="1"/>
  <c r="L354" i="4" s="1"/>
  <c r="L53" i="4"/>
  <c r="L305" i="4" s="1"/>
  <c r="L368" i="4" s="1"/>
  <c r="L11" i="4"/>
  <c r="L263" i="4" s="1"/>
  <c r="L326" i="4" s="1"/>
  <c r="L21" i="4"/>
  <c r="L273" i="4" s="1"/>
  <c r="L336" i="4" s="1"/>
  <c r="L41" i="4"/>
  <c r="L293" i="4" s="1"/>
  <c r="L356" i="4" s="1"/>
  <c r="L7" i="4"/>
  <c r="L259" i="4" s="1"/>
  <c r="L322" i="4" s="1"/>
  <c r="L61" i="4"/>
  <c r="L313" i="4" s="1"/>
  <c r="L376" i="4" s="1"/>
  <c r="L47" i="4"/>
  <c r="L299" i="4" s="1"/>
  <c r="L362" i="4" s="1"/>
  <c r="L31" i="4"/>
  <c r="L283" i="4" s="1"/>
  <c r="L346" i="4" s="1"/>
  <c r="L23" i="4"/>
  <c r="L275" i="4" s="1"/>
  <c r="L338" i="4" s="1"/>
  <c r="K125" i="4"/>
  <c r="K35" i="4"/>
  <c r="K287" i="4" s="1"/>
  <c r="K350" i="4" s="1"/>
  <c r="B120" i="2"/>
  <c r="C120" i="2" s="1"/>
  <c r="B118" i="2"/>
  <c r="C118" i="2" s="1"/>
  <c r="B112" i="2"/>
  <c r="C112" i="2" s="1"/>
  <c r="B143" i="2"/>
  <c r="C143" i="2" s="1"/>
  <c r="B129" i="2"/>
  <c r="C129" i="2" s="1"/>
  <c r="B105" i="2"/>
  <c r="B128" i="2"/>
  <c r="C128" i="2" s="1"/>
  <c r="B146" i="2"/>
  <c r="C146" i="2" s="1"/>
  <c r="B139" i="2"/>
  <c r="C139" i="2" s="1"/>
  <c r="B138" i="2"/>
  <c r="C138" i="2" s="1"/>
  <c r="B137" i="2"/>
  <c r="C137" i="2" s="1"/>
  <c r="B111" i="2"/>
  <c r="C111" i="2" s="1"/>
  <c r="B135" i="2"/>
  <c r="C135" i="2" s="1"/>
  <c r="B133" i="2"/>
  <c r="C133" i="2" s="1"/>
  <c r="B108" i="2"/>
  <c r="B127" i="2"/>
  <c r="C127" i="2" s="1"/>
  <c r="B145" i="2"/>
  <c r="C145" i="2" s="1"/>
  <c r="B126" i="2"/>
  <c r="C126" i="2" s="1"/>
  <c r="B103" i="2"/>
  <c r="B125" i="2"/>
  <c r="C125" i="2" s="1"/>
  <c r="B124" i="2"/>
  <c r="C124" i="2" s="1"/>
  <c r="B123" i="2"/>
  <c r="C123" i="2" s="1"/>
  <c r="B122" i="2"/>
  <c r="C122" i="2" s="1"/>
  <c r="B147" i="2"/>
  <c r="C147" i="2" s="1"/>
  <c r="B121" i="2"/>
  <c r="C121" i="2" s="1"/>
  <c r="B144" i="2"/>
  <c r="C144" i="2" s="1"/>
  <c r="B119" i="2"/>
  <c r="C119" i="2" s="1"/>
  <c r="B117" i="2"/>
  <c r="C117" i="2" s="1"/>
  <c r="B141" i="2"/>
  <c r="C141" i="2" s="1"/>
  <c r="B116" i="2"/>
  <c r="C116" i="2" s="1"/>
  <c r="B136" i="2"/>
  <c r="C136" i="2" s="1"/>
  <c r="B110" i="2"/>
  <c r="B130" i="2"/>
  <c r="C130" i="2" s="1"/>
  <c r="B109" i="2"/>
  <c r="B107" i="2"/>
  <c r="B106" i="2"/>
  <c r="B131" i="2"/>
  <c r="C131" i="2" s="1"/>
  <c r="B140" i="2"/>
  <c r="C140" i="2" s="1"/>
  <c r="B134" i="2"/>
  <c r="C134" i="2" s="1"/>
  <c r="B114" i="2"/>
  <c r="C114" i="2" s="1"/>
  <c r="B132" i="2"/>
  <c r="C132" i="2" s="1"/>
  <c r="B115" i="2"/>
  <c r="C115" i="2" s="1"/>
  <c r="M347" i="11" l="1"/>
  <c r="M341" i="11"/>
  <c r="M342" i="11"/>
  <c r="M224" i="11"/>
  <c r="M349" i="11"/>
  <c r="AD1525" i="2"/>
  <c r="AG1525" i="2" s="1"/>
  <c r="AG1495" i="2"/>
  <c r="R65" i="9"/>
  <c r="H118" i="9"/>
  <c r="AG65" i="2"/>
  <c r="T67" i="2"/>
  <c r="T79" i="2" s="1"/>
  <c r="H79" i="9" s="1"/>
  <c r="AA67" i="2"/>
  <c r="O67" i="9" s="1"/>
  <c r="O83" i="9" s="1"/>
  <c r="AA83" i="9" s="1"/>
  <c r="G118" i="9"/>
  <c r="N118" i="9"/>
  <c r="K65" i="9"/>
  <c r="I118" i="9"/>
  <c r="AG63" i="2"/>
  <c r="H65" i="9"/>
  <c r="J118" i="9"/>
  <c r="Y321" i="2"/>
  <c r="O118" i="9"/>
  <c r="H63" i="9"/>
  <c r="AG313" i="2"/>
  <c r="P118" i="9"/>
  <c r="K118" i="9"/>
  <c r="AD1562" i="2"/>
  <c r="O63" i="9"/>
  <c r="L118" i="9"/>
  <c r="Q118" i="9"/>
  <c r="AD1556" i="2"/>
  <c r="AD1558" i="2"/>
  <c r="AD1565" i="2"/>
  <c r="T16" i="9"/>
  <c r="S46" i="9"/>
  <c r="R118" i="9"/>
  <c r="AG1546" i="2"/>
  <c r="AG1565" i="2" s="1"/>
  <c r="M118" i="9"/>
  <c r="Y341" i="2"/>
  <c r="Y342" i="2" s="1"/>
  <c r="AD1547" i="2"/>
  <c r="AD86" i="2"/>
  <c r="P63" i="9"/>
  <c r="H70" i="8"/>
  <c r="H72" i="8"/>
  <c r="H73" i="8" s="1"/>
  <c r="N289" i="11"/>
  <c r="N171" i="11"/>
  <c r="M225" i="11"/>
  <c r="M351" i="11"/>
  <c r="N291" i="11"/>
  <c r="N173" i="11"/>
  <c r="M343" i="11"/>
  <c r="M345" i="11"/>
  <c r="M337" i="11"/>
  <c r="N278" i="11"/>
  <c r="M219" i="11"/>
  <c r="M235" i="11" s="1"/>
  <c r="N234" i="11"/>
  <c r="N286" i="11"/>
  <c r="N345" i="11" s="1"/>
  <c r="N168" i="11"/>
  <c r="M334" i="11"/>
  <c r="N290" i="11"/>
  <c r="N172" i="11"/>
  <c r="N282" i="11"/>
  <c r="M346" i="11"/>
  <c r="M332" i="11"/>
  <c r="N280" i="11"/>
  <c r="S92" i="8"/>
  <c r="S163" i="8" s="1"/>
  <c r="M335" i="11"/>
  <c r="M326" i="11"/>
  <c r="N170" i="11"/>
  <c r="N288" i="11"/>
  <c r="N283" i="11"/>
  <c r="R128" i="8"/>
  <c r="M327" i="11"/>
  <c r="N163" i="11"/>
  <c r="N229" i="11" s="1"/>
  <c r="N281" i="11"/>
  <c r="N340" i="11" s="1"/>
  <c r="N222" i="11"/>
  <c r="N158" i="11"/>
  <c r="N217" i="11" s="1"/>
  <c r="N276" i="11"/>
  <c r="N292" i="11"/>
  <c r="N174" i="11"/>
  <c r="M323" i="11"/>
  <c r="M328" i="11"/>
  <c r="N166" i="11"/>
  <c r="N232" i="11" s="1"/>
  <c r="N284" i="11"/>
  <c r="N343" i="11" s="1"/>
  <c r="N287" i="11"/>
  <c r="N169" i="11"/>
  <c r="N167" i="11"/>
  <c r="N233" i="11" s="1"/>
  <c r="N285" i="11"/>
  <c r="M336" i="11"/>
  <c r="M348" i="11"/>
  <c r="N161" i="11"/>
  <c r="N227" i="11" s="1"/>
  <c r="N279" i="11"/>
  <c r="M222" i="11"/>
  <c r="M340" i="11"/>
  <c r="M339" i="11"/>
  <c r="L235" i="11"/>
  <c r="O278" i="11"/>
  <c r="N159" i="11"/>
  <c r="N218" i="11" s="1"/>
  <c r="N277" i="11"/>
  <c r="N336" i="11" s="1"/>
  <c r="M333" i="11"/>
  <c r="M221" i="11"/>
  <c r="X56" i="8"/>
  <c r="W159" i="8"/>
  <c r="W96" i="8"/>
  <c r="L72" i="8"/>
  <c r="L73" i="8" s="1"/>
  <c r="L70" i="8"/>
  <c r="L67" i="8"/>
  <c r="Z11" i="9"/>
  <c r="Y13" i="9"/>
  <c r="AD66" i="8"/>
  <c r="AD67" i="8" s="1"/>
  <c r="M73" i="8"/>
  <c r="D72" i="8"/>
  <c r="D67" i="8"/>
  <c r="D70" i="8"/>
  <c r="W109" i="9"/>
  <c r="W112" i="9" s="1"/>
  <c r="W803" i="9"/>
  <c r="W806" i="9" s="1"/>
  <c r="W754" i="9"/>
  <c r="W757" i="9" s="1"/>
  <c r="W950" i="9"/>
  <c r="W953" i="9" s="1"/>
  <c r="W1195" i="9"/>
  <c r="W1198" i="9"/>
  <c r="W1342" i="9"/>
  <c r="W1345" i="9" s="1"/>
  <c r="W1538" i="9"/>
  <c r="W1541" i="9"/>
  <c r="W359" i="9"/>
  <c r="W362" i="9" s="1"/>
  <c r="W159" i="9"/>
  <c r="W162" i="9" s="1"/>
  <c r="W999" i="9"/>
  <c r="W1002" i="9" s="1"/>
  <c r="W309" i="9"/>
  <c r="W312" i="9" s="1"/>
  <c r="AH88" i="9"/>
  <c r="W209" i="9"/>
  <c r="W212" i="9" s="1"/>
  <c r="W1293" i="9"/>
  <c r="W1296" i="9" s="1"/>
  <c r="W509" i="9"/>
  <c r="W512" i="9" s="1"/>
  <c r="W1440" i="9"/>
  <c r="W1443" i="9" s="1"/>
  <c r="N77" i="9"/>
  <c r="Z77" i="9" s="1"/>
  <c r="W852" i="9"/>
  <c r="W855" i="9" s="1"/>
  <c r="W901" i="9"/>
  <c r="W904" i="9" s="1"/>
  <c r="W1489" i="9"/>
  <c r="W1492" i="9" s="1"/>
  <c r="W705" i="9"/>
  <c r="W708" i="9" s="1"/>
  <c r="W1048" i="9"/>
  <c r="W1051" i="9" s="1"/>
  <c r="W59" i="9"/>
  <c r="W62" i="9" s="1"/>
  <c r="K77" i="9"/>
  <c r="W77" i="9" s="1"/>
  <c r="W1097" i="9"/>
  <c r="W1100" i="9" s="1"/>
  <c r="W459" i="9"/>
  <c r="W462" i="9" s="1"/>
  <c r="W1391" i="9"/>
  <c r="W1394" i="9" s="1"/>
  <c r="W1244" i="9"/>
  <c r="W1247" i="9"/>
  <c r="W1146" i="9"/>
  <c r="W1149" i="9" s="1"/>
  <c r="W259" i="9"/>
  <c r="W262" i="9" s="1"/>
  <c r="W607" i="9"/>
  <c r="W610" i="9" s="1"/>
  <c r="W656" i="9"/>
  <c r="W659" i="9" s="1"/>
  <c r="W558" i="9"/>
  <c r="W561" i="9"/>
  <c r="V112" i="9"/>
  <c r="W409" i="9"/>
  <c r="W412" i="9" s="1"/>
  <c r="V806" i="9"/>
  <c r="L77" i="9"/>
  <c r="X77" i="9" s="1"/>
  <c r="AD95" i="2"/>
  <c r="R67" i="9"/>
  <c r="R74" i="9" s="1"/>
  <c r="AD74" i="9" s="1"/>
  <c r="AD430" i="2"/>
  <c r="AD441" i="2"/>
  <c r="AD442" i="2" s="1"/>
  <c r="AD1550" i="2"/>
  <c r="K74" i="9"/>
  <c r="W74" i="9" s="1"/>
  <c r="AD1348" i="2"/>
  <c r="AG1346" i="2"/>
  <c r="AD77" i="2"/>
  <c r="R63" i="9"/>
  <c r="AG63" i="9" s="1"/>
  <c r="AD1446" i="2"/>
  <c r="AG1444" i="2"/>
  <c r="AD317" i="2"/>
  <c r="AD345" i="2"/>
  <c r="AG345" i="2" s="1"/>
  <c r="AG346" i="2" s="1"/>
  <c r="AG65" i="9"/>
  <c r="R79" i="9"/>
  <c r="AD80" i="2"/>
  <c r="AD91" i="2"/>
  <c r="M120" i="9"/>
  <c r="AF126" i="9"/>
  <c r="Q145" i="9"/>
  <c r="L114" i="9"/>
  <c r="H111" i="9"/>
  <c r="AG61" i="2"/>
  <c r="R61" i="9"/>
  <c r="S61" i="9" s="1"/>
  <c r="AF130" i="9"/>
  <c r="P146" i="9"/>
  <c r="Q67" i="9"/>
  <c r="Q74" i="9" s="1"/>
  <c r="AC74" i="9" s="1"/>
  <c r="L74" i="9"/>
  <c r="X74" i="9" s="1"/>
  <c r="K145" i="9"/>
  <c r="AF95" i="9"/>
  <c r="H145" i="9"/>
  <c r="O74" i="9"/>
  <c r="AA74" i="9" s="1"/>
  <c r="Q120" i="9"/>
  <c r="AF133" i="9"/>
  <c r="R129" i="9"/>
  <c r="J138" i="9"/>
  <c r="V138" i="9" s="1"/>
  <c r="N112" i="9"/>
  <c r="N139" i="9"/>
  <c r="K132" i="9"/>
  <c r="I148" i="9"/>
  <c r="Q129" i="9"/>
  <c r="R123" i="9"/>
  <c r="L148" i="9"/>
  <c r="M145" i="9"/>
  <c r="I120" i="9"/>
  <c r="N96" i="9"/>
  <c r="O120" i="9"/>
  <c r="N148" i="9"/>
  <c r="P145" i="9"/>
  <c r="H141" i="9"/>
  <c r="Q115" i="9"/>
  <c r="G117" i="9"/>
  <c r="R145" i="9"/>
  <c r="K141" i="9"/>
  <c r="L138" i="9"/>
  <c r="X138" i="9" s="1"/>
  <c r="K115" i="9"/>
  <c r="M141" i="9"/>
  <c r="J148" i="9"/>
  <c r="I135" i="9"/>
  <c r="L145" i="9"/>
  <c r="O113" i="9"/>
  <c r="Q148" i="9"/>
  <c r="Q138" i="9"/>
  <c r="AC138" i="9" s="1"/>
  <c r="N145" i="9"/>
  <c r="N129" i="9"/>
  <c r="G141" i="9"/>
  <c r="O96" i="9"/>
  <c r="G112" i="9"/>
  <c r="I146" i="9"/>
  <c r="N135" i="9"/>
  <c r="I141" i="9"/>
  <c r="J126" i="9"/>
  <c r="K138" i="9"/>
  <c r="W138" i="9" s="1"/>
  <c r="K98" i="9"/>
  <c r="P141" i="9"/>
  <c r="O126" i="9"/>
  <c r="M138" i="9"/>
  <c r="Y138" i="9" s="1"/>
  <c r="H123" i="9"/>
  <c r="N95" i="9"/>
  <c r="H139" i="9"/>
  <c r="M123" i="9"/>
  <c r="J135" i="9"/>
  <c r="Q117" i="9"/>
  <c r="Q135" i="9"/>
  <c r="J120" i="9"/>
  <c r="O129" i="9"/>
  <c r="I116" i="9"/>
  <c r="I126" i="9"/>
  <c r="I132" i="9"/>
  <c r="N116" i="9"/>
  <c r="K148" i="9"/>
  <c r="K126" i="9"/>
  <c r="M114" i="9"/>
  <c r="R146" i="9"/>
  <c r="R126" i="9"/>
  <c r="R114" i="9"/>
  <c r="O145" i="9"/>
  <c r="I123" i="9"/>
  <c r="Q112" i="9"/>
  <c r="J113" i="9"/>
  <c r="R117" i="9"/>
  <c r="N111" i="9"/>
  <c r="N138" i="9"/>
  <c r="Z138" i="9" s="1"/>
  <c r="J116" i="9"/>
  <c r="M96" i="9"/>
  <c r="J146" i="9"/>
  <c r="I95" i="9"/>
  <c r="P129" i="9"/>
  <c r="R112" i="9"/>
  <c r="Q141" i="9"/>
  <c r="K146" i="9"/>
  <c r="I139" i="9"/>
  <c r="J123" i="9"/>
  <c r="R141" i="9"/>
  <c r="R135" i="9"/>
  <c r="H138" i="9"/>
  <c r="T138" i="9" s="1"/>
  <c r="G145" i="9"/>
  <c r="I96" i="9"/>
  <c r="K123" i="9"/>
  <c r="O139" i="9"/>
  <c r="N98" i="9"/>
  <c r="P132" i="9"/>
  <c r="O116" i="9"/>
  <c r="I145" i="9"/>
  <c r="Q113" i="9"/>
  <c r="G138" i="9"/>
  <c r="S138" i="9" s="1"/>
  <c r="L117" i="9"/>
  <c r="G148" i="9"/>
  <c r="AF120" i="9"/>
  <c r="G135" i="9"/>
  <c r="M95" i="9"/>
  <c r="M126" i="9"/>
  <c r="K114" i="9"/>
  <c r="H146" i="9"/>
  <c r="Q111" i="9"/>
  <c r="P111" i="9"/>
  <c r="L129" i="9"/>
  <c r="J115" i="9"/>
  <c r="AF146" i="9"/>
  <c r="R139" i="9"/>
  <c r="P126" i="9"/>
  <c r="AF116" i="9"/>
  <c r="Q116" i="9"/>
  <c r="K112" i="9"/>
  <c r="G139" i="9"/>
  <c r="G132" i="9"/>
  <c r="G116" i="9"/>
  <c r="I111" i="9"/>
  <c r="Q123" i="9"/>
  <c r="J129" i="9"/>
  <c r="I113" i="9"/>
  <c r="M135" i="9"/>
  <c r="H117" i="9"/>
  <c r="O114" i="9"/>
  <c r="J98" i="9"/>
  <c r="M132" i="9"/>
  <c r="J139" i="9"/>
  <c r="H120" i="9"/>
  <c r="P123" i="9"/>
  <c r="G111" i="9"/>
  <c r="J117" i="9"/>
  <c r="Q114" i="9"/>
  <c r="M112" i="9"/>
  <c r="J95" i="9"/>
  <c r="P120" i="9"/>
  <c r="N114" i="9"/>
  <c r="P115" i="9"/>
  <c r="P117" i="9"/>
  <c r="H96" i="9"/>
  <c r="M148" i="9"/>
  <c r="H115" i="9"/>
  <c r="O112" i="9"/>
  <c r="M98" i="9"/>
  <c r="M116" i="9"/>
  <c r="P138" i="9"/>
  <c r="AB138" i="9" s="1"/>
  <c r="K120" i="9"/>
  <c r="J111" i="9"/>
  <c r="J145" i="9"/>
  <c r="P113" i="9"/>
  <c r="O115" i="9"/>
  <c r="H129" i="9"/>
  <c r="L141" i="9"/>
  <c r="G113" i="9"/>
  <c r="O98" i="9"/>
  <c r="L95" i="9"/>
  <c r="J114" i="9"/>
  <c r="H132" i="9"/>
  <c r="H133" i="9" s="1"/>
  <c r="T133" i="9" s="1"/>
  <c r="Q139" i="9"/>
  <c r="O111" i="9"/>
  <c r="N113" i="9"/>
  <c r="I129" i="9"/>
  <c r="N123" i="9"/>
  <c r="O135" i="9"/>
  <c r="Q98" i="9"/>
  <c r="O95" i="9"/>
  <c r="J112" i="9"/>
  <c r="I138" i="9"/>
  <c r="U138" i="9" s="1"/>
  <c r="M111" i="9"/>
  <c r="O123" i="9"/>
  <c r="N117" i="9"/>
  <c r="G123" i="9"/>
  <c r="Q95" i="9"/>
  <c r="M146" i="9"/>
  <c r="I98" i="9"/>
  <c r="H116" i="9"/>
  <c r="K135" i="9"/>
  <c r="R132" i="9"/>
  <c r="L96" i="9"/>
  <c r="O117" i="9"/>
  <c r="M115" i="9"/>
  <c r="K117" i="9"/>
  <c r="L139" i="9"/>
  <c r="H95" i="9"/>
  <c r="H114" i="9"/>
  <c r="L126" i="9"/>
  <c r="K129" i="9"/>
  <c r="N115" i="9"/>
  <c r="L113" i="9"/>
  <c r="I115" i="9"/>
  <c r="Q146" i="9"/>
  <c r="AF138" i="9"/>
  <c r="O132" i="9"/>
  <c r="R148" i="9"/>
  <c r="G120" i="9"/>
  <c r="H148" i="9"/>
  <c r="M113" i="9"/>
  <c r="K111" i="9"/>
  <c r="H113" i="9"/>
  <c r="P139" i="9"/>
  <c r="AF115" i="9"/>
  <c r="H126" i="9"/>
  <c r="G146" i="9"/>
  <c r="G98" i="9"/>
  <c r="J132" i="9"/>
  <c r="K116" i="9"/>
  <c r="H135" i="9"/>
  <c r="L111" i="9"/>
  <c r="J96" i="9"/>
  <c r="P148" i="9"/>
  <c r="R98" i="9"/>
  <c r="L135" i="9"/>
  <c r="R120" i="9"/>
  <c r="R121" i="9" s="1"/>
  <c r="AD121" i="9" s="1"/>
  <c r="R138" i="9"/>
  <c r="AD138" i="9" s="1"/>
  <c r="R113" i="9"/>
  <c r="M129" i="9"/>
  <c r="K96" i="9"/>
  <c r="O141" i="9"/>
  <c r="G96" i="9"/>
  <c r="Q126" i="9"/>
  <c r="O146" i="9"/>
  <c r="P116" i="9"/>
  <c r="AF135" i="9"/>
  <c r="L132" i="9"/>
  <c r="L120" i="9"/>
  <c r="G129" i="9"/>
  <c r="R96" i="9"/>
  <c r="L123" i="9"/>
  <c r="G115" i="9"/>
  <c r="AF117" i="9"/>
  <c r="Q132" i="9"/>
  <c r="L112" i="9"/>
  <c r="L146" i="9"/>
  <c r="L116" i="9"/>
  <c r="AF112" i="9"/>
  <c r="M117" i="9"/>
  <c r="P112" i="9"/>
  <c r="N126" i="9"/>
  <c r="L98" i="9"/>
  <c r="K139" i="9"/>
  <c r="I114" i="9"/>
  <c r="AF111" i="9"/>
  <c r="O138" i="9"/>
  <c r="AA138" i="9" s="1"/>
  <c r="L115" i="9"/>
  <c r="O148" i="9"/>
  <c r="P98" i="9"/>
  <c r="R116" i="9"/>
  <c r="K95" i="9"/>
  <c r="AF114" i="9"/>
  <c r="N132" i="9"/>
  <c r="I112" i="9"/>
  <c r="G114" i="9"/>
  <c r="Q96" i="9"/>
  <c r="AF123" i="9"/>
  <c r="K113" i="9"/>
  <c r="N141" i="9"/>
  <c r="P95" i="9"/>
  <c r="P114" i="9"/>
  <c r="N146" i="9"/>
  <c r="G126" i="9"/>
  <c r="H98" i="9"/>
  <c r="AF145" i="9"/>
  <c r="R115" i="9"/>
  <c r="AF132" i="9"/>
  <c r="P96" i="9"/>
  <c r="AF113" i="9"/>
  <c r="P135" i="9"/>
  <c r="G71" i="9"/>
  <c r="S71" i="9" s="1"/>
  <c r="AG70" i="9"/>
  <c r="G74" i="9"/>
  <c r="S74" i="9" s="1"/>
  <c r="AG73" i="9"/>
  <c r="M139" i="9"/>
  <c r="G95" i="9"/>
  <c r="Y79" i="2"/>
  <c r="M79" i="9" s="1"/>
  <c r="M67" i="9"/>
  <c r="M74" i="9" s="1"/>
  <c r="Y74" i="9" s="1"/>
  <c r="R111" i="9"/>
  <c r="S111" i="9" s="1"/>
  <c r="N120" i="9"/>
  <c r="AB86" i="2"/>
  <c r="P67" i="9"/>
  <c r="P86" i="9" s="1"/>
  <c r="AB86" i="9" s="1"/>
  <c r="I117" i="9"/>
  <c r="I130" i="9" s="1"/>
  <c r="H67" i="9"/>
  <c r="H80" i="9" s="1"/>
  <c r="H112" i="9"/>
  <c r="J83" i="9"/>
  <c r="V83" i="9" s="1"/>
  <c r="J77" i="9"/>
  <c r="V77" i="9" s="1"/>
  <c r="I77" i="9"/>
  <c r="U77" i="9" s="1"/>
  <c r="L86" i="9"/>
  <c r="X86" i="9" s="1"/>
  <c r="J71" i="9"/>
  <c r="V71" i="9" s="1"/>
  <c r="G86" i="9"/>
  <c r="S86" i="9" s="1"/>
  <c r="AG85" i="9"/>
  <c r="N86" i="9"/>
  <c r="Z86" i="9" s="1"/>
  <c r="I86" i="9"/>
  <c r="U86" i="9" s="1"/>
  <c r="O71" i="9"/>
  <c r="AA71" i="9" s="1"/>
  <c r="I74" i="9"/>
  <c r="U74" i="9" s="1"/>
  <c r="G77" i="9"/>
  <c r="S77" i="9" s="1"/>
  <c r="AG76" i="9"/>
  <c r="K71" i="9"/>
  <c r="W71" i="9" s="1"/>
  <c r="J86" i="9"/>
  <c r="V86" i="9" s="1"/>
  <c r="K83" i="9"/>
  <c r="W83" i="9" s="1"/>
  <c r="AG82" i="9"/>
  <c r="AG88" i="9"/>
  <c r="J74" i="9"/>
  <c r="V74" i="9" s="1"/>
  <c r="I83" i="9"/>
  <c r="U83" i="9" s="1"/>
  <c r="I71" i="9"/>
  <c r="U71" i="9" s="1"/>
  <c r="N71" i="9"/>
  <c r="Z71" i="9" s="1"/>
  <c r="K86" i="9"/>
  <c r="W86" i="9" s="1"/>
  <c r="N74" i="9"/>
  <c r="Z74" i="9" s="1"/>
  <c r="L83" i="9"/>
  <c r="X83" i="9" s="1"/>
  <c r="AG62" i="9"/>
  <c r="G83" i="9"/>
  <c r="S83" i="9" s="1"/>
  <c r="O77" i="9"/>
  <c r="AA77" i="9" s="1"/>
  <c r="O86" i="9"/>
  <c r="AA86" i="9" s="1"/>
  <c r="L71" i="9"/>
  <c r="X71" i="9" s="1"/>
  <c r="N83" i="9"/>
  <c r="Z83" i="9" s="1"/>
  <c r="AD265" i="2"/>
  <c r="AG263" i="2"/>
  <c r="AD1299" i="2"/>
  <c r="AG1297" i="2"/>
  <c r="AD92" i="2"/>
  <c r="R91" i="9"/>
  <c r="AG64" i="9"/>
  <c r="AG98" i="9" s="1"/>
  <c r="R83" i="9"/>
  <c r="AD83" i="9" s="1"/>
  <c r="R29" i="9"/>
  <c r="AD30" i="2"/>
  <c r="AD41" i="2"/>
  <c r="R36" i="9"/>
  <c r="AD36" i="9" s="1"/>
  <c r="R27" i="9"/>
  <c r="AD27" i="9" s="1"/>
  <c r="AG17" i="9"/>
  <c r="R21" i="9"/>
  <c r="AD21" i="9" s="1"/>
  <c r="R33" i="9"/>
  <c r="AD33" i="9" s="1"/>
  <c r="R24" i="9"/>
  <c r="AD24" i="9" s="1"/>
  <c r="AD1559" i="2"/>
  <c r="AD1570" i="2"/>
  <c r="AD1510" i="2"/>
  <c r="AD1521" i="2"/>
  <c r="AD1424" i="2"/>
  <c r="AD1179" i="2"/>
  <c r="AD1228" i="2"/>
  <c r="AD1265" i="2"/>
  <c r="AD1276" i="2"/>
  <c r="M294" i="11"/>
  <c r="N273" i="11"/>
  <c r="N332" i="11" s="1"/>
  <c r="M308" i="11"/>
  <c r="N135" i="11"/>
  <c r="N194" i="11" s="1"/>
  <c r="N154" i="11"/>
  <c r="N213" i="11" s="1"/>
  <c r="M309" i="11"/>
  <c r="N165" i="11"/>
  <c r="N231" i="11" s="1"/>
  <c r="N147" i="11"/>
  <c r="N206" i="11" s="1"/>
  <c r="N137" i="11"/>
  <c r="N196" i="11" s="1"/>
  <c r="N244" i="11"/>
  <c r="N303" i="11" s="1"/>
  <c r="N134" i="11"/>
  <c r="N193" i="11" s="1"/>
  <c r="N157" i="11"/>
  <c r="N216" i="11" s="1"/>
  <c r="N270" i="11"/>
  <c r="N329" i="11" s="1"/>
  <c r="M315" i="11"/>
  <c r="N125" i="11"/>
  <c r="N184" i="11" s="1"/>
  <c r="M303" i="11"/>
  <c r="N145" i="11"/>
  <c r="N204" i="11" s="1"/>
  <c r="N142" i="11"/>
  <c r="N201" i="11" s="1"/>
  <c r="M320" i="11"/>
  <c r="N150" i="11"/>
  <c r="N209" i="11" s="1"/>
  <c r="N144" i="11"/>
  <c r="N203" i="11" s="1"/>
  <c r="N132" i="11"/>
  <c r="N191" i="11" s="1"/>
  <c r="N258" i="11"/>
  <c r="N317" i="11" s="1"/>
  <c r="O39" i="11"/>
  <c r="M313" i="11"/>
  <c r="O43" i="11"/>
  <c r="N162" i="11"/>
  <c r="N228" i="11" s="1"/>
  <c r="O45" i="11"/>
  <c r="N148" i="11"/>
  <c r="N207" i="11" s="1"/>
  <c r="O49" i="11"/>
  <c r="O285" i="11" s="1"/>
  <c r="N131" i="11"/>
  <c r="N190" i="11" s="1"/>
  <c r="P6" i="11"/>
  <c r="P14" i="11" s="1"/>
  <c r="O22" i="11"/>
  <c r="O258" i="11" s="1"/>
  <c r="O41" i="11"/>
  <c r="N143" i="11"/>
  <c r="N202" i="11" s="1"/>
  <c r="N58" i="11"/>
  <c r="N146" i="11"/>
  <c r="N205" i="11" s="1"/>
  <c r="O47" i="11"/>
  <c r="N160" i="11"/>
  <c r="N226" i="11" s="1"/>
  <c r="N128" i="11"/>
  <c r="N187" i="11" s="1"/>
  <c r="O33" i="11"/>
  <c r="O269" i="11" s="1"/>
  <c r="O20" i="11"/>
  <c r="O256" i="11" s="1"/>
  <c r="O34" i="11"/>
  <c r="O270" i="11" s="1"/>
  <c r="O56" i="11"/>
  <c r="O10" i="11"/>
  <c r="O246" i="11" s="1"/>
  <c r="O31" i="11"/>
  <c r="O267" i="11" s="1"/>
  <c r="N127" i="11"/>
  <c r="N186" i="11" s="1"/>
  <c r="N151" i="11"/>
  <c r="N210" i="11" s="1"/>
  <c r="O36" i="11"/>
  <c r="O272" i="11" s="1"/>
  <c r="M319" i="11"/>
  <c r="O7" i="11"/>
  <c r="O125" i="11" s="1"/>
  <c r="O184" i="11" s="1"/>
  <c r="O54" i="11"/>
  <c r="O12" i="11"/>
  <c r="O248" i="11" s="1"/>
  <c r="O53" i="11"/>
  <c r="O17" i="11"/>
  <c r="O253" i="11" s="1"/>
  <c r="O40" i="11"/>
  <c r="O276" i="11" s="1"/>
  <c r="M316" i="11"/>
  <c r="O51" i="11"/>
  <c r="N254" i="11"/>
  <c r="N313" i="11" s="1"/>
  <c r="O18" i="11"/>
  <c r="O136" i="11" s="1"/>
  <c r="O195" i="11" s="1"/>
  <c r="O29" i="11"/>
  <c r="O265" i="11" s="1"/>
  <c r="O28" i="11"/>
  <c r="O264" i="11" s="1"/>
  <c r="O30" i="11"/>
  <c r="O266" i="11" s="1"/>
  <c r="O52" i="11"/>
  <c r="N139" i="11"/>
  <c r="N198" i="11" s="1"/>
  <c r="N133" i="11"/>
  <c r="N192" i="11" s="1"/>
  <c r="O50" i="11"/>
  <c r="O55" i="11"/>
  <c r="N156" i="11"/>
  <c r="N215" i="11" s="1"/>
  <c r="O23" i="11"/>
  <c r="O259" i="11" s="1"/>
  <c r="O35" i="11"/>
  <c r="O153" i="11" s="1"/>
  <c r="O212" i="11" s="1"/>
  <c r="N129" i="11"/>
  <c r="N188" i="11" s="1"/>
  <c r="O19" i="11"/>
  <c r="O255" i="11" s="1"/>
  <c r="O13" i="11"/>
  <c r="O249" i="11" s="1"/>
  <c r="O44" i="11"/>
  <c r="M304" i="11"/>
  <c r="N141" i="11"/>
  <c r="N318" i="11" s="1"/>
  <c r="O46" i="11"/>
  <c r="O21" i="11"/>
  <c r="O139" i="11" s="1"/>
  <c r="O198" i="11" s="1"/>
  <c r="N130" i="11"/>
  <c r="N189" i="11" s="1"/>
  <c r="N164" i="11"/>
  <c r="N230" i="11" s="1"/>
  <c r="O14" i="11"/>
  <c r="O250" i="11" s="1"/>
  <c r="O48" i="11"/>
  <c r="O26" i="11"/>
  <c r="O262" i="11" s="1"/>
  <c r="N153" i="11"/>
  <c r="N212" i="11" s="1"/>
  <c r="O24" i="11"/>
  <c r="O260" i="11" s="1"/>
  <c r="N149" i="11"/>
  <c r="N208" i="11" s="1"/>
  <c r="O38" i="11"/>
  <c r="O156" i="11" s="1"/>
  <c r="O215" i="11" s="1"/>
  <c r="O27" i="11"/>
  <c r="O263" i="11" s="1"/>
  <c r="O8" i="11"/>
  <c r="O244" i="11" s="1"/>
  <c r="O16" i="11"/>
  <c r="O252" i="11" s="1"/>
  <c r="O32" i="11"/>
  <c r="O268" i="11" s="1"/>
  <c r="N138" i="11"/>
  <c r="N197" i="11" s="1"/>
  <c r="O11" i="11"/>
  <c r="O247" i="11" s="1"/>
  <c r="O25" i="11"/>
  <c r="O261" i="11" s="1"/>
  <c r="O37" i="11"/>
  <c r="O273" i="11" s="1"/>
  <c r="O15" i="11"/>
  <c r="O251" i="11" s="1"/>
  <c r="O9" i="11"/>
  <c r="O127" i="11" s="1"/>
  <c r="O186" i="11" s="1"/>
  <c r="M311" i="11"/>
  <c r="M302" i="11"/>
  <c r="M176" i="11"/>
  <c r="L353" i="11"/>
  <c r="S41" i="8" s="1"/>
  <c r="O160" i="11"/>
  <c r="O226" i="11" s="1"/>
  <c r="O73" i="8"/>
  <c r="G70" i="8"/>
  <c r="G67" i="8"/>
  <c r="G72" i="8"/>
  <c r="J73" i="8"/>
  <c r="F70" i="8"/>
  <c r="F67" i="8"/>
  <c r="F72" i="8"/>
  <c r="K73" i="8"/>
  <c r="AF96" i="2"/>
  <c r="AF96" i="9" s="1"/>
  <c r="K377" i="4"/>
  <c r="L377" i="4"/>
  <c r="J314" i="4"/>
  <c r="J350" i="4"/>
  <c r="J367" i="4"/>
  <c r="AG136" i="2"/>
  <c r="AG124" i="2"/>
  <c r="AF136" i="2"/>
  <c r="AF136" i="9" s="1"/>
  <c r="AF124" i="2"/>
  <c r="AF124" i="9" s="1"/>
  <c r="AG121" i="2"/>
  <c r="AG127" i="2"/>
  <c r="AF121" i="2"/>
  <c r="AF121" i="9" s="1"/>
  <c r="AF127" i="2"/>
  <c r="AF127" i="9" s="1"/>
  <c r="AG634" i="2"/>
  <c r="D27" i="1"/>
  <c r="D38" i="1"/>
  <c r="D39" i="1" s="1"/>
  <c r="X922" i="2"/>
  <c r="T1559" i="2"/>
  <c r="T1472" i="2"/>
  <c r="T1473" i="2" s="1"/>
  <c r="AC873" i="2"/>
  <c r="AC884" i="2"/>
  <c r="AC885" i="2" s="1"/>
  <c r="J873" i="2"/>
  <c r="J884" i="2"/>
  <c r="J885" i="2" s="1"/>
  <c r="I1216" i="2"/>
  <c r="I1227" i="2"/>
  <c r="I1228" i="2" s="1"/>
  <c r="T873" i="2"/>
  <c r="T884" i="2"/>
  <c r="T885" i="2" s="1"/>
  <c r="T1216" i="2"/>
  <c r="T1227" i="2"/>
  <c r="T1228" i="2" s="1"/>
  <c r="Z430" i="2"/>
  <c r="Z441" i="2"/>
  <c r="Z442" i="2" s="1"/>
  <c r="AB824" i="2"/>
  <c r="AB835" i="2"/>
  <c r="AB836" i="2" s="1"/>
  <c r="O1069" i="2"/>
  <c r="O1080" i="2"/>
  <c r="O1081" i="2" s="1"/>
  <c r="AC1020" i="2"/>
  <c r="AC1031" i="2"/>
  <c r="AC1032" i="2" s="1"/>
  <c r="Q180" i="2"/>
  <c r="Q191" i="2"/>
  <c r="Q192" i="2" s="1"/>
  <c r="W1314" i="2"/>
  <c r="W1325" i="2"/>
  <c r="U380" i="2"/>
  <c r="U391" i="2"/>
  <c r="U392" i="2" s="1"/>
  <c r="AC1167" i="2"/>
  <c r="AC1178" i="2"/>
  <c r="AC1179" i="2" s="1"/>
  <c r="K330" i="2"/>
  <c r="K341" i="2"/>
  <c r="I480" i="2"/>
  <c r="I491" i="2"/>
  <c r="I492" i="2" s="1"/>
  <c r="L1559" i="2"/>
  <c r="L1570" i="2"/>
  <c r="L1571" i="2" s="1"/>
  <c r="U628" i="2"/>
  <c r="U639" i="2"/>
  <c r="U640" i="2" s="1"/>
  <c r="AB1167" i="2"/>
  <c r="AB1178" i="2"/>
  <c r="AB1179" i="2" s="1"/>
  <c r="W1167" i="2"/>
  <c r="W1178" i="2"/>
  <c r="W1179" i="2" s="1"/>
  <c r="H1363" i="2"/>
  <c r="H1374" i="2"/>
  <c r="AA873" i="2"/>
  <c r="AA884" i="2"/>
  <c r="AA885" i="2" s="1"/>
  <c r="R1265" i="2"/>
  <c r="R1276" i="2"/>
  <c r="R1277" i="2" s="1"/>
  <c r="K775" i="2"/>
  <c r="K786" i="2"/>
  <c r="K787" i="2" s="1"/>
  <c r="O775" i="2"/>
  <c r="O786" i="2"/>
  <c r="O787" i="2" s="1"/>
  <c r="X824" i="2"/>
  <c r="X835" i="2"/>
  <c r="X836" i="2" s="1"/>
  <c r="W775" i="2"/>
  <c r="W786" i="2"/>
  <c r="W787" i="2" s="1"/>
  <c r="S1559" i="2"/>
  <c r="S1570" i="2"/>
  <c r="S1571" i="2" s="1"/>
  <c r="AA775" i="2"/>
  <c r="AA786" i="2"/>
  <c r="AA787" i="2" s="1"/>
  <c r="Q1461" i="2"/>
  <c r="Q1472" i="2"/>
  <c r="Q1473" i="2" s="1"/>
  <c r="I1461" i="2"/>
  <c r="I1472" i="2"/>
  <c r="I1473" i="2" s="1"/>
  <c r="O380" i="2"/>
  <c r="O391" i="2"/>
  <c r="O392" i="2" s="1"/>
  <c r="K1559" i="2"/>
  <c r="K1570" i="2"/>
  <c r="K1571" i="2" s="1"/>
  <c r="Z873" i="2"/>
  <c r="Z884" i="2"/>
  <c r="Z885" i="2" s="1"/>
  <c r="U280" i="2"/>
  <c r="U291" i="2"/>
  <c r="U292" i="2" s="1"/>
  <c r="O180" i="2"/>
  <c r="O191" i="2"/>
  <c r="O192" i="2" s="1"/>
  <c r="U1167" i="2"/>
  <c r="U1178" i="2"/>
  <c r="P1363" i="2"/>
  <c r="P1374" i="2"/>
  <c r="P1375" i="2" s="1"/>
  <c r="N775" i="2"/>
  <c r="N786" i="2"/>
  <c r="N787" i="2" s="1"/>
  <c r="K628" i="2"/>
  <c r="K639" i="2"/>
  <c r="K640" i="2" s="1"/>
  <c r="Q628" i="2"/>
  <c r="Q639" i="2"/>
  <c r="Q640" i="2" s="1"/>
  <c r="H480" i="2"/>
  <c r="H491" i="2"/>
  <c r="H492" i="2" s="1"/>
  <c r="W280" i="2"/>
  <c r="W291" i="2"/>
  <c r="W292" i="2" s="1"/>
  <c r="S1020" i="2"/>
  <c r="S1031" i="2"/>
  <c r="AG241" i="2"/>
  <c r="AG242" i="2" s="1"/>
  <c r="G492" i="2"/>
  <c r="O1216" i="2"/>
  <c r="O1227" i="2"/>
  <c r="O1228" i="2" s="1"/>
  <c r="K1020" i="2"/>
  <c r="K1031" i="2"/>
  <c r="K1032" i="2" s="1"/>
  <c r="V1559" i="2"/>
  <c r="V1570" i="2"/>
  <c r="V1571" i="2" s="1"/>
  <c r="V922" i="2"/>
  <c r="V933" i="2"/>
  <c r="V934" i="2" s="1"/>
  <c r="K430" i="2"/>
  <c r="K441" i="2"/>
  <c r="Y628" i="2"/>
  <c r="Y639" i="2"/>
  <c r="Y640" i="2" s="1"/>
  <c r="P1265" i="2"/>
  <c r="P1276" i="2"/>
  <c r="P1277" i="2" s="1"/>
  <c r="I430" i="2"/>
  <c r="I441" i="2"/>
  <c r="I442" i="2" s="1"/>
  <c r="AB330" i="2"/>
  <c r="AB341" i="2"/>
  <c r="AB342" i="2" s="1"/>
  <c r="T775" i="2"/>
  <c r="T786" i="2"/>
  <c r="T787" i="2" s="1"/>
  <c r="M824" i="2"/>
  <c r="M835" i="2"/>
  <c r="M836" i="2" s="1"/>
  <c r="Q1167" i="2"/>
  <c r="Q1178" i="2"/>
  <c r="Q1179" i="2" s="1"/>
  <c r="S280" i="2"/>
  <c r="S291" i="2"/>
  <c r="AF141" i="2"/>
  <c r="AF142" i="2" s="1"/>
  <c r="AF142" i="9" s="1"/>
  <c r="I1314" i="2"/>
  <c r="I1325" i="2"/>
  <c r="I1326" i="2" s="1"/>
  <c r="AB922" i="2"/>
  <c r="AB933" i="2"/>
  <c r="AB934" i="2" s="1"/>
  <c r="J1510" i="2"/>
  <c r="J1521" i="2"/>
  <c r="J1522" i="2" s="1"/>
  <c r="X380" i="2"/>
  <c r="X391" i="2"/>
  <c r="X392" i="2" s="1"/>
  <c r="P1559" i="2"/>
  <c r="P1570" i="2"/>
  <c r="P1571" i="2" s="1"/>
  <c r="P1216" i="2"/>
  <c r="P1227" i="2"/>
  <c r="P1228" i="2" s="1"/>
  <c r="N380" i="2"/>
  <c r="N391" i="2"/>
  <c r="N392" i="2" s="1"/>
  <c r="X480" i="2"/>
  <c r="X491" i="2"/>
  <c r="X492" i="2" s="1"/>
  <c r="O1559" i="2"/>
  <c r="O1570" i="2"/>
  <c r="O1571" i="2" s="1"/>
  <c r="I1167" i="2"/>
  <c r="I1178" i="2"/>
  <c r="AC922" i="2"/>
  <c r="AC933" i="2"/>
  <c r="AC934" i="2" s="1"/>
  <c r="J1167" i="2"/>
  <c r="J1178" i="2"/>
  <c r="J1179" i="2" s="1"/>
  <c r="X1265" i="2"/>
  <c r="X1276" i="2"/>
  <c r="X1277" i="2" s="1"/>
  <c r="I280" i="2"/>
  <c r="I291" i="2"/>
  <c r="I292" i="2" s="1"/>
  <c r="Y873" i="2"/>
  <c r="Y884" i="2"/>
  <c r="H1167" i="2"/>
  <c r="H1178" i="2"/>
  <c r="H1179" i="2" s="1"/>
  <c r="N824" i="2"/>
  <c r="N835" i="2"/>
  <c r="N836" i="2" s="1"/>
  <c r="Y1020" i="2"/>
  <c r="Y1031" i="2"/>
  <c r="Y1032" i="2" s="1"/>
  <c r="U775" i="2"/>
  <c r="U786" i="2"/>
  <c r="U787" i="2" s="1"/>
  <c r="N280" i="2"/>
  <c r="N291" i="2"/>
  <c r="N292" i="2" s="1"/>
  <c r="O430" i="2"/>
  <c r="O441" i="2"/>
  <c r="O442" i="2" s="1"/>
  <c r="K922" i="2"/>
  <c r="K933" i="2"/>
  <c r="K934" i="2" s="1"/>
  <c r="R1461" i="2"/>
  <c r="R1472" i="2"/>
  <c r="R1473" i="2" s="1"/>
  <c r="Z1363" i="2"/>
  <c r="Z1374" i="2"/>
  <c r="Z1375" i="2" s="1"/>
  <c r="N1069" i="2"/>
  <c r="N1080" i="2"/>
  <c r="N1081" i="2" s="1"/>
  <c r="N1559" i="2"/>
  <c r="N1570" i="2"/>
  <c r="N1571" i="2" s="1"/>
  <c r="M1461" i="2"/>
  <c r="M1472" i="2"/>
  <c r="M1473" i="2" s="1"/>
  <c r="AB1461" i="2"/>
  <c r="AB1472" i="2"/>
  <c r="AB1473" i="2" s="1"/>
  <c r="S1167" i="2"/>
  <c r="S1178" i="2"/>
  <c r="S1179" i="2" s="1"/>
  <c r="AG129" i="2"/>
  <c r="V141" i="2"/>
  <c r="H922" i="2"/>
  <c r="H933" i="2"/>
  <c r="M1363" i="2"/>
  <c r="M1374" i="2"/>
  <c r="M1375" i="2" s="1"/>
  <c r="V380" i="2"/>
  <c r="V391" i="2"/>
  <c r="V392" i="2" s="1"/>
  <c r="Y1363" i="2"/>
  <c r="Y1374" i="2"/>
  <c r="Y1375" i="2" s="1"/>
  <c r="W1216" i="2"/>
  <c r="W1227" i="2"/>
  <c r="W1228" i="2" s="1"/>
  <c r="P628" i="2"/>
  <c r="P639" i="2"/>
  <c r="P640" i="2" s="1"/>
  <c r="O1510" i="2"/>
  <c r="O1521" i="2"/>
  <c r="O1522" i="2" s="1"/>
  <c r="W380" i="2"/>
  <c r="W391" i="2"/>
  <c r="W392" i="2" s="1"/>
  <c r="M1216" i="2"/>
  <c r="M1227" i="2"/>
  <c r="M1228" i="2" s="1"/>
  <c r="J430" i="2"/>
  <c r="J441" i="2"/>
  <c r="J442" i="2" s="1"/>
  <c r="S1216" i="2"/>
  <c r="S1227" i="2"/>
  <c r="V628" i="2"/>
  <c r="V639" i="2"/>
  <c r="V640" i="2" s="1"/>
  <c r="AB180" i="2"/>
  <c r="AB191" i="2"/>
  <c r="AB192" i="2" s="1"/>
  <c r="AA280" i="2"/>
  <c r="AA291" i="2"/>
  <c r="AA292" i="2" s="1"/>
  <c r="L1020" i="2"/>
  <c r="L1031" i="2"/>
  <c r="L1032" i="2" s="1"/>
  <c r="L1363" i="2"/>
  <c r="L1374" i="2"/>
  <c r="L1375" i="2" s="1"/>
  <c r="L480" i="2"/>
  <c r="L491" i="2"/>
  <c r="L492" i="2" s="1"/>
  <c r="T1314" i="2"/>
  <c r="T1325" i="2"/>
  <c r="T1326" i="2" s="1"/>
  <c r="Z1314" i="2"/>
  <c r="Z1325" i="2"/>
  <c r="Z1326" i="2" s="1"/>
  <c r="K1461" i="2"/>
  <c r="K1472" i="2"/>
  <c r="K1473" i="2" s="1"/>
  <c r="V1363" i="2"/>
  <c r="V1374" i="2"/>
  <c r="V1375" i="2" s="1"/>
  <c r="I180" i="2"/>
  <c r="I191" i="2"/>
  <c r="J480" i="2"/>
  <c r="J491" i="2"/>
  <c r="J492" i="2" s="1"/>
  <c r="N1216" i="2"/>
  <c r="N1227" i="2"/>
  <c r="N1228" i="2" s="1"/>
  <c r="R628" i="2"/>
  <c r="R639" i="2"/>
  <c r="R640" i="2" s="1"/>
  <c r="V1167" i="2"/>
  <c r="V1178" i="2"/>
  <c r="V1179" i="2" s="1"/>
  <c r="H1461" i="2"/>
  <c r="H1472" i="2"/>
  <c r="R1314" i="2"/>
  <c r="R1325" i="2"/>
  <c r="R1326" i="2" s="1"/>
  <c r="AB280" i="2"/>
  <c r="AB291" i="2"/>
  <c r="AB292" i="2" s="1"/>
  <c r="Z1461" i="2"/>
  <c r="Z1472" i="2"/>
  <c r="Z1473" i="2" s="1"/>
  <c r="AA330" i="2"/>
  <c r="AA341" i="2"/>
  <c r="AA342" i="2" s="1"/>
  <c r="Y1265" i="2"/>
  <c r="Y1276" i="2"/>
  <c r="Y1277" i="2" s="1"/>
  <c r="AA1069" i="2"/>
  <c r="AA1080" i="2"/>
  <c r="AA1081" i="2" s="1"/>
  <c r="U873" i="2"/>
  <c r="U884" i="2"/>
  <c r="U885" i="2" s="1"/>
  <c r="S1314" i="2"/>
  <c r="S1325" i="2"/>
  <c r="S1326" i="2" s="1"/>
  <c r="X873" i="2"/>
  <c r="X884" i="2"/>
  <c r="X885" i="2" s="1"/>
  <c r="V775" i="2"/>
  <c r="V786" i="2"/>
  <c r="V787" i="2" s="1"/>
  <c r="I1020" i="2"/>
  <c r="I1031" i="2"/>
  <c r="I1032" i="2" s="1"/>
  <c r="R1069" i="2"/>
  <c r="R1080" i="2"/>
  <c r="R1081" i="2" s="1"/>
  <c r="AB1559" i="2"/>
  <c r="AB1570" i="2"/>
  <c r="AB1571" i="2" s="1"/>
  <c r="Q380" i="2"/>
  <c r="Q391" i="2"/>
  <c r="Q392" i="2" s="1"/>
  <c r="Y824" i="2"/>
  <c r="Y835" i="2"/>
  <c r="Y836" i="2" s="1"/>
  <c r="M1510" i="2"/>
  <c r="M1521" i="2"/>
  <c r="M1522" i="2" s="1"/>
  <c r="Y775" i="2"/>
  <c r="Y786" i="2"/>
  <c r="Y787" i="2" s="1"/>
  <c r="H430" i="2"/>
  <c r="H441" i="2"/>
  <c r="H442" i="2" s="1"/>
  <c r="Y280" i="2"/>
  <c r="Y291" i="2"/>
  <c r="Y292" i="2" s="1"/>
  <c r="Y1461" i="2"/>
  <c r="Y1472" i="2"/>
  <c r="Y1473" i="2" s="1"/>
  <c r="H80" i="2"/>
  <c r="H91" i="2"/>
  <c r="T80" i="2"/>
  <c r="T91" i="2"/>
  <c r="N1020" i="2"/>
  <c r="N1031" i="2"/>
  <c r="N1032" i="2" s="1"/>
  <c r="K1510" i="2"/>
  <c r="K1521" i="2"/>
  <c r="K1522" i="2" s="1"/>
  <c r="X1314" i="2"/>
  <c r="X1325" i="2"/>
  <c r="X1326" i="2" s="1"/>
  <c r="U1510" i="2"/>
  <c r="U1521" i="2"/>
  <c r="U1522" i="2" s="1"/>
  <c r="L922" i="2"/>
  <c r="L933" i="2"/>
  <c r="L934" i="2" s="1"/>
  <c r="I330" i="2"/>
  <c r="I341" i="2"/>
  <c r="I342" i="2" s="1"/>
  <c r="AA1167" i="2"/>
  <c r="AA1178" i="2"/>
  <c r="AA1179" i="2" s="1"/>
  <c r="U1265" i="2"/>
  <c r="U1276" i="2"/>
  <c r="U1277" i="2" s="1"/>
  <c r="H1510" i="2"/>
  <c r="H1521" i="2"/>
  <c r="H1522" i="2" s="1"/>
  <c r="X1167" i="2"/>
  <c r="X1178" i="2"/>
  <c r="X1179" i="2" s="1"/>
  <c r="J1069" i="2"/>
  <c r="J1080" i="2"/>
  <c r="J1081" i="2" s="1"/>
  <c r="V1461" i="2"/>
  <c r="V1472" i="2"/>
  <c r="V1473" i="2" s="1"/>
  <c r="AA1559" i="2"/>
  <c r="AA1570" i="2"/>
  <c r="AA1571" i="2" s="1"/>
  <c r="I1069" i="2"/>
  <c r="I1080" i="2"/>
  <c r="I1081" i="2" s="1"/>
  <c r="P1020" i="2"/>
  <c r="P1031" i="2"/>
  <c r="P1032" i="2" s="1"/>
  <c r="AA628" i="2"/>
  <c r="AA639" i="2"/>
  <c r="AA640" i="2" s="1"/>
  <c r="L280" i="2"/>
  <c r="L291" i="2"/>
  <c r="L292" i="2" s="1"/>
  <c r="S775" i="2"/>
  <c r="S786" i="2"/>
  <c r="AB1265" i="2"/>
  <c r="AB1276" i="2"/>
  <c r="AB1277" i="2" s="1"/>
  <c r="O1020" i="2"/>
  <c r="O1031" i="2"/>
  <c r="O1032" i="2" s="1"/>
  <c r="N1461" i="2"/>
  <c r="N1472" i="2"/>
  <c r="N1473" i="2" s="1"/>
  <c r="L180" i="2"/>
  <c r="L191" i="2"/>
  <c r="L192" i="2" s="1"/>
  <c r="AA1265" i="2"/>
  <c r="AA1276" i="2"/>
  <c r="AA1277" i="2" s="1"/>
  <c r="P1461" i="2"/>
  <c r="P1472" i="2"/>
  <c r="P1473" i="2" s="1"/>
  <c r="M1020" i="2"/>
  <c r="M1031" i="2"/>
  <c r="M1032" i="2" s="1"/>
  <c r="N1363" i="2"/>
  <c r="N1374" i="2"/>
  <c r="N1375" i="2" s="1"/>
  <c r="L330" i="2"/>
  <c r="L341" i="2"/>
  <c r="L342" i="2" s="1"/>
  <c r="AB1069" i="2"/>
  <c r="AB1080" i="2"/>
  <c r="AB1081" i="2" s="1"/>
  <c r="AG590" i="2"/>
  <c r="AG591" i="2" s="1"/>
  <c r="T591" i="2"/>
  <c r="T1069" i="2"/>
  <c r="T1080" i="2"/>
  <c r="L1510" i="2"/>
  <c r="L1521" i="2"/>
  <c r="L1522" i="2" s="1"/>
  <c r="J1020" i="2"/>
  <c r="J1031" i="2"/>
  <c r="J1032" i="2" s="1"/>
  <c r="H1314" i="2"/>
  <c r="H1325" i="2"/>
  <c r="H1326" i="2" s="1"/>
  <c r="U1559" i="2"/>
  <c r="U1570" i="2"/>
  <c r="U1571" i="2" s="1"/>
  <c r="V1314" i="2"/>
  <c r="V1325" i="2"/>
  <c r="V1326" i="2" s="1"/>
  <c r="J1216" i="2"/>
  <c r="J1227" i="2"/>
  <c r="J1228" i="2" s="1"/>
  <c r="I873" i="2"/>
  <c r="I884" i="2"/>
  <c r="I885" i="2" s="1"/>
  <c r="R180" i="2"/>
  <c r="R191" i="2"/>
  <c r="R192" i="2" s="1"/>
  <c r="O1314" i="2"/>
  <c r="O1325" i="2"/>
  <c r="O1326" i="2" s="1"/>
  <c r="Z1559" i="2"/>
  <c r="Z1570" i="2"/>
  <c r="Z1571" i="2" s="1"/>
  <c r="AA1216" i="2"/>
  <c r="AA1227" i="2"/>
  <c r="AA1228" i="2" s="1"/>
  <c r="Z922" i="2"/>
  <c r="Z933" i="2"/>
  <c r="Z934" i="2" s="1"/>
  <c r="X628" i="2"/>
  <c r="X639" i="2"/>
  <c r="X640" i="2" s="1"/>
  <c r="P280" i="2"/>
  <c r="P291" i="2"/>
  <c r="P292" i="2" s="1"/>
  <c r="AC1069" i="2"/>
  <c r="AC1080" i="2"/>
  <c r="AC1081" i="2" s="1"/>
  <c r="I1559" i="2"/>
  <c r="I1570" i="2"/>
  <c r="I1571" i="2" s="1"/>
  <c r="U1069" i="2"/>
  <c r="U1080" i="2"/>
  <c r="U1081" i="2" s="1"/>
  <c r="T1020" i="2"/>
  <c r="T1031" i="2"/>
  <c r="T1032" i="2" s="1"/>
  <c r="M430" i="2"/>
  <c r="M441" i="2"/>
  <c r="M442" i="2" s="1"/>
  <c r="V430" i="2"/>
  <c r="V441" i="2"/>
  <c r="V442" i="2" s="1"/>
  <c r="I380" i="2"/>
  <c r="I391" i="2"/>
  <c r="I392" i="2" s="1"/>
  <c r="AA430" i="2"/>
  <c r="AA441" i="2"/>
  <c r="AA442" i="2" s="1"/>
  <c r="W1559" i="2"/>
  <c r="W1570" i="2"/>
  <c r="W1571" i="2" s="1"/>
  <c r="P1314" i="2"/>
  <c r="P1325" i="2"/>
  <c r="P1326" i="2" s="1"/>
  <c r="K1363" i="2"/>
  <c r="K1374" i="2"/>
  <c r="K1375" i="2" s="1"/>
  <c r="P1167" i="2"/>
  <c r="P1178" i="2"/>
  <c r="P1179" i="2" s="1"/>
  <c r="AB380" i="2"/>
  <c r="AB391" i="2"/>
  <c r="AB392" i="2" s="1"/>
  <c r="Q480" i="2"/>
  <c r="Q491" i="2"/>
  <c r="Q492" i="2" s="1"/>
  <c r="T824" i="2"/>
  <c r="T835" i="2"/>
  <c r="T836" i="2" s="1"/>
  <c r="X1559" i="2"/>
  <c r="X1570" i="2"/>
  <c r="X1571" i="2" s="1"/>
  <c r="N1314" i="2"/>
  <c r="N1325" i="2"/>
  <c r="N1326" i="2" s="1"/>
  <c r="S628" i="2"/>
  <c r="S639" i="2"/>
  <c r="P480" i="2"/>
  <c r="P491" i="2"/>
  <c r="P492" i="2" s="1"/>
  <c r="K480" i="2"/>
  <c r="K491" i="2"/>
  <c r="K492" i="2" s="1"/>
  <c r="V824" i="2"/>
  <c r="V835" i="2"/>
  <c r="V836" i="2" s="1"/>
  <c r="J922" i="2"/>
  <c r="J933" i="2"/>
  <c r="J934" i="2" s="1"/>
  <c r="N1510" i="2"/>
  <c r="N1521" i="2"/>
  <c r="N1522" i="2" s="1"/>
  <c r="M1069" i="2"/>
  <c r="M1080" i="2"/>
  <c r="M1081" i="2" s="1"/>
  <c r="U180" i="2"/>
  <c r="U191" i="2"/>
  <c r="U192" i="2" s="1"/>
  <c r="Z1216" i="2"/>
  <c r="Z1227" i="2"/>
  <c r="Z1228" i="2" s="1"/>
  <c r="AC1314" i="2"/>
  <c r="AC1325" i="2"/>
  <c r="AC1326" i="2" s="1"/>
  <c r="Q824" i="2"/>
  <c r="Q835" i="2"/>
  <c r="Q836" i="2" s="1"/>
  <c r="T1510" i="2"/>
  <c r="T1521" i="2"/>
  <c r="T1522" i="2" s="1"/>
  <c r="AC1461" i="2"/>
  <c r="AC1472" i="2"/>
  <c r="AC1473" i="2" s="1"/>
  <c r="X430" i="2"/>
  <c r="X441" i="2"/>
  <c r="X442" i="2" s="1"/>
  <c r="J824" i="2"/>
  <c r="J835" i="2"/>
  <c r="J836" i="2" s="1"/>
  <c r="Z1265" i="2"/>
  <c r="Z1276" i="2"/>
  <c r="Z1277" i="2" s="1"/>
  <c r="S1069" i="2"/>
  <c r="S1080" i="2"/>
  <c r="S1081" i="2" s="1"/>
  <c r="R824" i="2"/>
  <c r="R835" i="2"/>
  <c r="R836" i="2" s="1"/>
  <c r="R1216" i="2"/>
  <c r="R1227" i="2"/>
  <c r="R1228" i="2" s="1"/>
  <c r="L430" i="2"/>
  <c r="L441" i="2"/>
  <c r="L442" i="2" s="1"/>
  <c r="Y922" i="2"/>
  <c r="Y933" i="2"/>
  <c r="Y934" i="2" s="1"/>
  <c r="U922" i="2"/>
  <c r="U933" i="2"/>
  <c r="U934" i="2" s="1"/>
  <c r="M280" i="2"/>
  <c r="M291" i="2"/>
  <c r="M292" i="2" s="1"/>
  <c r="Z628" i="2"/>
  <c r="Z639" i="2"/>
  <c r="Z640" i="2" s="1"/>
  <c r="Q1069" i="2"/>
  <c r="Q1080" i="2"/>
  <c r="Q1081" i="2" s="1"/>
  <c r="AB480" i="2"/>
  <c r="AB491" i="2"/>
  <c r="AB492" i="2" s="1"/>
  <c r="O1265" i="2"/>
  <c r="O1276" i="2"/>
  <c r="O1277" i="2" s="1"/>
  <c r="AC1510" i="2"/>
  <c r="AC1521" i="2"/>
  <c r="AC1522" i="2" s="1"/>
  <c r="Q1216" i="2"/>
  <c r="Q1227" i="2"/>
  <c r="Q1228" i="2" s="1"/>
  <c r="K873" i="2"/>
  <c r="K884" i="2"/>
  <c r="K885" i="2" s="1"/>
  <c r="R922" i="2"/>
  <c r="R933" i="2"/>
  <c r="R934" i="2" s="1"/>
  <c r="N1265" i="2"/>
  <c r="N1276" i="2"/>
  <c r="N1277" i="2" s="1"/>
  <c r="V180" i="2"/>
  <c r="V191" i="2"/>
  <c r="V192" i="2" s="1"/>
  <c r="L1265" i="2"/>
  <c r="L1276" i="2"/>
  <c r="L1277" i="2" s="1"/>
  <c r="L775" i="2"/>
  <c r="L786" i="2"/>
  <c r="L787" i="2" s="1"/>
  <c r="G292" i="2"/>
  <c r="G738" i="2"/>
  <c r="G1522" i="2"/>
  <c r="J330" i="2"/>
  <c r="J341" i="2"/>
  <c r="J342" i="2" s="1"/>
  <c r="I530" i="2"/>
  <c r="I541" i="2"/>
  <c r="I542" i="2" s="1"/>
  <c r="U1216" i="2"/>
  <c r="U1227" i="2"/>
  <c r="U1228" i="2" s="1"/>
  <c r="AB1314" i="2"/>
  <c r="AB1325" i="2"/>
  <c r="AB1326" i="2" s="1"/>
  <c r="Q280" i="2"/>
  <c r="Q291" i="2"/>
  <c r="Q292" i="2" s="1"/>
  <c r="Q775" i="2"/>
  <c r="Q786" i="2"/>
  <c r="Q787" i="2" s="1"/>
  <c r="O480" i="2"/>
  <c r="O491" i="2"/>
  <c r="O492" i="2" s="1"/>
  <c r="AA1314" i="2"/>
  <c r="AA1325" i="2"/>
  <c r="AA1326" i="2" s="1"/>
  <c r="V1510" i="2"/>
  <c r="V1521" i="2"/>
  <c r="V1522" i="2" s="1"/>
  <c r="Z180" i="2"/>
  <c r="Z191" i="2"/>
  <c r="Z192" i="2" s="1"/>
  <c r="AA1363" i="2"/>
  <c r="AA1374" i="2"/>
  <c r="AA1375" i="2" s="1"/>
  <c r="T380" i="2"/>
  <c r="T391" i="2"/>
  <c r="R330" i="2"/>
  <c r="R341" i="2"/>
  <c r="R342" i="2" s="1"/>
  <c r="AA380" i="2"/>
  <c r="AA391" i="2"/>
  <c r="AA392" i="2" s="1"/>
  <c r="AB873" i="2"/>
  <c r="AB884" i="2"/>
  <c r="AB885" i="2" s="1"/>
  <c r="S873" i="2"/>
  <c r="S884" i="2"/>
  <c r="S885" i="2" s="1"/>
  <c r="P775" i="2"/>
  <c r="P786" i="2"/>
  <c r="P787" i="2" s="1"/>
  <c r="N1167" i="2"/>
  <c r="N1178" i="2"/>
  <c r="N1179" i="2" s="1"/>
  <c r="Q330" i="2"/>
  <c r="Q341" i="2"/>
  <c r="Q342" i="2" s="1"/>
  <c r="P330" i="2"/>
  <c r="P341" i="2"/>
  <c r="P342" i="2" s="1"/>
  <c r="H1216" i="2"/>
  <c r="H1227" i="2"/>
  <c r="V1069" i="2"/>
  <c r="V1080" i="2"/>
  <c r="V1081" i="2" s="1"/>
  <c r="N873" i="2"/>
  <c r="N884" i="2"/>
  <c r="N885" i="2" s="1"/>
  <c r="AC180" i="2"/>
  <c r="AC191" i="2"/>
  <c r="P180" i="2"/>
  <c r="P191" i="2"/>
  <c r="P192" i="2" s="1"/>
  <c r="H824" i="2"/>
  <c r="H835" i="2"/>
  <c r="H836" i="2" s="1"/>
  <c r="Y430" i="2"/>
  <c r="Y441" i="2"/>
  <c r="Y442" i="2" s="1"/>
  <c r="H380" i="2"/>
  <c r="H391" i="2"/>
  <c r="N922" i="2"/>
  <c r="N933" i="2"/>
  <c r="N934" i="2" s="1"/>
  <c r="K824" i="2"/>
  <c r="K835" i="2"/>
  <c r="Q1510" i="2"/>
  <c r="Q1521" i="2"/>
  <c r="Q1522" i="2" s="1"/>
  <c r="Q1314" i="2"/>
  <c r="Q1325" i="2"/>
  <c r="Q1326" i="2" s="1"/>
  <c r="J775" i="2"/>
  <c r="J786" i="2"/>
  <c r="J787" i="2" s="1"/>
  <c r="N628" i="2"/>
  <c r="N639" i="2"/>
  <c r="N640" i="2" s="1"/>
  <c r="H971" i="2"/>
  <c r="H982" i="2"/>
  <c r="AA922" i="2"/>
  <c r="AA933" i="2"/>
  <c r="AA934" i="2" s="1"/>
  <c r="AC1265" i="2"/>
  <c r="AC1276" i="2"/>
  <c r="AC1277" i="2" s="1"/>
  <c r="T628" i="2"/>
  <c r="T639" i="2"/>
  <c r="T640" i="2" s="1"/>
  <c r="J180" i="2"/>
  <c r="J191" i="2"/>
  <c r="J192" i="2" s="1"/>
  <c r="M628" i="2"/>
  <c r="M639" i="2"/>
  <c r="M640" i="2" s="1"/>
  <c r="Y480" i="2"/>
  <c r="Y491" i="2"/>
  <c r="Y492" i="2" s="1"/>
  <c r="J280" i="2"/>
  <c r="J291" i="2"/>
  <c r="J292" i="2" s="1"/>
  <c r="M775" i="2"/>
  <c r="M786" i="2"/>
  <c r="M787" i="2" s="1"/>
  <c r="AC480" i="2"/>
  <c r="AC491" i="2"/>
  <c r="AC492" i="2" s="1"/>
  <c r="J1559" i="2"/>
  <c r="J1570" i="2"/>
  <c r="J1571" i="2" s="1"/>
  <c r="M380" i="2"/>
  <c r="M391" i="2"/>
  <c r="M392" i="2" s="1"/>
  <c r="Q873" i="2"/>
  <c r="Q884" i="2"/>
  <c r="Q885" i="2" s="1"/>
  <c r="AC1559" i="2"/>
  <c r="AC1570" i="2"/>
  <c r="AC1571" i="2" s="1"/>
  <c r="L628" i="2"/>
  <c r="L639" i="2"/>
  <c r="L640" i="2" s="1"/>
  <c r="Q1559" i="2"/>
  <c r="Q1570" i="2"/>
  <c r="Q1571" i="2" s="1"/>
  <c r="Y1559" i="2"/>
  <c r="Y1570" i="2"/>
  <c r="Y1571" i="2" s="1"/>
  <c r="Y380" i="2"/>
  <c r="Y391" i="2"/>
  <c r="Y392" i="2" s="1"/>
  <c r="R380" i="2"/>
  <c r="R391" i="2"/>
  <c r="R392" i="2" s="1"/>
  <c r="W1020" i="2"/>
  <c r="W1031" i="2"/>
  <c r="W1032" i="2" s="1"/>
  <c r="G1032" i="2"/>
  <c r="X1461" i="2"/>
  <c r="X1472" i="2"/>
  <c r="X1473" i="2" s="1"/>
  <c r="AB628" i="2"/>
  <c r="AB639" i="2"/>
  <c r="AB640" i="2" s="1"/>
  <c r="AA1461" i="2"/>
  <c r="AA1472" i="2"/>
  <c r="AA1473" i="2" s="1"/>
  <c r="AB775" i="2"/>
  <c r="AB786" i="2"/>
  <c r="AB787" i="2" s="1"/>
  <c r="Z1069" i="2"/>
  <c r="Z1080" i="2"/>
  <c r="Z1081" i="2" s="1"/>
  <c r="P1069" i="2"/>
  <c r="P1080" i="2"/>
  <c r="P1081" i="2" s="1"/>
  <c r="AC1363" i="2"/>
  <c r="AC1374" i="2"/>
  <c r="AC1375" i="2" s="1"/>
  <c r="T1363" i="2"/>
  <c r="T1374" i="2"/>
  <c r="T1375" i="2" s="1"/>
  <c r="Z1020" i="2"/>
  <c r="Z1031" i="2"/>
  <c r="Z1032" i="2" s="1"/>
  <c r="L1461" i="2"/>
  <c r="L1472" i="2"/>
  <c r="L1473" i="2" s="1"/>
  <c r="P1510" i="2"/>
  <c r="P1521" i="2"/>
  <c r="P1522" i="2" s="1"/>
  <c r="G1277" i="2"/>
  <c r="N430" i="2"/>
  <c r="N441" i="2"/>
  <c r="N442" i="2" s="1"/>
  <c r="L873" i="2"/>
  <c r="L884" i="2"/>
  <c r="L885" i="2" s="1"/>
  <c r="S430" i="2"/>
  <c r="S441" i="2"/>
  <c r="N330" i="2"/>
  <c r="N341" i="2"/>
  <c r="N342" i="2" s="1"/>
  <c r="K1314" i="2"/>
  <c r="K1325" i="2"/>
  <c r="W1069" i="2"/>
  <c r="W1080" i="2"/>
  <c r="W1081" i="2" s="1"/>
  <c r="V280" i="2"/>
  <c r="V291" i="2"/>
  <c r="V292" i="2" s="1"/>
  <c r="K1167" i="2"/>
  <c r="K1178" i="2"/>
  <c r="K1179" i="2" s="1"/>
  <c r="AC628" i="2"/>
  <c r="AC639" i="2"/>
  <c r="AC640" i="2" s="1"/>
  <c r="W430" i="2"/>
  <c r="W441" i="2"/>
  <c r="W442" i="2" s="1"/>
  <c r="S1461" i="2"/>
  <c r="S1472" i="2"/>
  <c r="Z280" i="2"/>
  <c r="Z291" i="2"/>
  <c r="Z292" i="2" s="1"/>
  <c r="AF590" i="2"/>
  <c r="AF591" i="2" s="1"/>
  <c r="O280" i="2"/>
  <c r="O291" i="2"/>
  <c r="O292" i="2" s="1"/>
  <c r="W480" i="2"/>
  <c r="W491" i="2"/>
  <c r="W492" i="2" s="1"/>
  <c r="I1265" i="2"/>
  <c r="I1276" i="2"/>
  <c r="I1277" i="2" s="1"/>
  <c r="H1069" i="2"/>
  <c r="H1080" i="2"/>
  <c r="W824" i="2"/>
  <c r="W835" i="2"/>
  <c r="W1363" i="2"/>
  <c r="W1374" i="2"/>
  <c r="W1375" i="2" s="1"/>
  <c r="L380" i="2"/>
  <c r="L391" i="2"/>
  <c r="L392" i="2" s="1"/>
  <c r="AB1216" i="2"/>
  <c r="AB1227" i="2"/>
  <c r="AB1228" i="2" s="1"/>
  <c r="I775" i="2"/>
  <c r="I786" i="2"/>
  <c r="I787" i="2" s="1"/>
  <c r="W330" i="2"/>
  <c r="W341" i="2"/>
  <c r="R1559" i="2"/>
  <c r="R1570" i="2"/>
  <c r="R1571" i="2" s="1"/>
  <c r="U1020" i="2"/>
  <c r="U1031" i="2"/>
  <c r="U1032" i="2" s="1"/>
  <c r="J1461" i="2"/>
  <c r="J1472" i="2"/>
  <c r="J1473" i="2" s="1"/>
  <c r="AB1363" i="2"/>
  <c r="AB1374" i="2"/>
  <c r="AB1375" i="2" s="1"/>
  <c r="S1510" i="2"/>
  <c r="S1521" i="2"/>
  <c r="AA480" i="2"/>
  <c r="AA491" i="2"/>
  <c r="AA492" i="2" s="1"/>
  <c r="O873" i="2"/>
  <c r="O884" i="2"/>
  <c r="O885" i="2" s="1"/>
  <c r="U330" i="2"/>
  <c r="U341" i="2"/>
  <c r="U342" i="2" s="1"/>
  <c r="W1510" i="2"/>
  <c r="W1521" i="2"/>
  <c r="W1522" i="2" s="1"/>
  <c r="AC280" i="2"/>
  <c r="AC291" i="2"/>
  <c r="AC292" i="2" s="1"/>
  <c r="K1069" i="2"/>
  <c r="K1080" i="2"/>
  <c r="K1081" i="2" s="1"/>
  <c r="Q1363" i="2"/>
  <c r="Q1374" i="2"/>
  <c r="Q1375" i="2" s="1"/>
  <c r="H1559" i="2"/>
  <c r="H1570" i="2"/>
  <c r="W922" i="2"/>
  <c r="W933" i="2"/>
  <c r="W934" i="2" s="1"/>
  <c r="AC775" i="2"/>
  <c r="AC786" i="2"/>
  <c r="AC787" i="2" s="1"/>
  <c r="V1216" i="2"/>
  <c r="V1227" i="2"/>
  <c r="V1228" i="2" s="1"/>
  <c r="AA1510" i="2"/>
  <c r="AA1521" i="2"/>
  <c r="AA1522" i="2" s="1"/>
  <c r="P430" i="2"/>
  <c r="P441" i="2"/>
  <c r="P442" i="2" s="1"/>
  <c r="R775" i="2"/>
  <c r="R786" i="2"/>
  <c r="R787" i="2" s="1"/>
  <c r="P922" i="2"/>
  <c r="P933" i="2"/>
  <c r="P934" i="2" s="1"/>
  <c r="U430" i="2"/>
  <c r="U441" i="2"/>
  <c r="U442" i="2" s="1"/>
  <c r="H330" i="2"/>
  <c r="H341" i="2"/>
  <c r="H342" i="2" s="1"/>
  <c r="H242" i="2"/>
  <c r="AF241" i="2"/>
  <c r="AF242" i="2" s="1"/>
  <c r="G542" i="2"/>
  <c r="U1314" i="2"/>
  <c r="U1325" i="2"/>
  <c r="U1326" i="2" s="1"/>
  <c r="Q922" i="2"/>
  <c r="Q933" i="2"/>
  <c r="Q934" i="2" s="1"/>
  <c r="Z1510" i="2"/>
  <c r="Z1521" i="2"/>
  <c r="Z1522" i="2" s="1"/>
  <c r="R480" i="2"/>
  <c r="R491" i="2"/>
  <c r="R492" i="2" s="1"/>
  <c r="M1314" i="2"/>
  <c r="M1325" i="2"/>
  <c r="M1326" i="2" s="1"/>
  <c r="O922" i="2"/>
  <c r="O933" i="2"/>
  <c r="O934" i="2" s="1"/>
  <c r="S480" i="2"/>
  <c r="S491" i="2"/>
  <c r="X1069" i="2"/>
  <c r="X1080" i="2"/>
  <c r="X1081" i="2" s="1"/>
  <c r="Y91" i="2"/>
  <c r="W628" i="2"/>
  <c r="W639" i="2"/>
  <c r="W640" i="2" s="1"/>
  <c r="R280" i="2"/>
  <c r="R291" i="2"/>
  <c r="R292" i="2" s="1"/>
  <c r="L1216" i="2"/>
  <c r="L1227" i="2"/>
  <c r="L1228" i="2" s="1"/>
  <c r="O330" i="2"/>
  <c r="O341" i="2"/>
  <c r="O342" i="2" s="1"/>
  <c r="Q1265" i="2"/>
  <c r="Q1276" i="2"/>
  <c r="Q1277" i="2" s="1"/>
  <c r="K1216" i="2"/>
  <c r="K1227" i="2"/>
  <c r="K1228" i="2" s="1"/>
  <c r="AC330" i="2"/>
  <c r="AC341" i="2"/>
  <c r="AC342" i="2" s="1"/>
  <c r="J380" i="2"/>
  <c r="J391" i="2"/>
  <c r="J392" i="2" s="1"/>
  <c r="Z480" i="2"/>
  <c r="Z491" i="2"/>
  <c r="Z492" i="2" s="1"/>
  <c r="Z775" i="2"/>
  <c r="Z786" i="2"/>
  <c r="Z787" i="2" s="1"/>
  <c r="W873" i="2"/>
  <c r="W884" i="2"/>
  <c r="W885" i="2" s="1"/>
  <c r="R1167" i="2"/>
  <c r="R1178" i="2"/>
  <c r="R1179" i="2" s="1"/>
  <c r="X775" i="2"/>
  <c r="X786" i="2"/>
  <c r="X787" i="2" s="1"/>
  <c r="Z380" i="2"/>
  <c r="Z391" i="2"/>
  <c r="Z392" i="2" s="1"/>
  <c r="P380" i="2"/>
  <c r="P391" i="2"/>
  <c r="P392" i="2" s="1"/>
  <c r="R430" i="2"/>
  <c r="R441" i="2"/>
  <c r="R442" i="2" s="1"/>
  <c r="O1363" i="2"/>
  <c r="O1374" i="2"/>
  <c r="O1375" i="2" s="1"/>
  <c r="H530" i="2"/>
  <c r="H541" i="2"/>
  <c r="H542" i="2" s="1"/>
  <c r="X1363" i="2"/>
  <c r="X1374" i="2"/>
  <c r="X1375" i="2" s="1"/>
  <c r="K1265" i="2"/>
  <c r="K1276" i="2"/>
  <c r="K1277" i="2" s="1"/>
  <c r="T1167" i="2"/>
  <c r="T1178" i="2"/>
  <c r="T1179" i="2" s="1"/>
  <c r="Z1167" i="2"/>
  <c r="Z1178" i="2"/>
  <c r="Z1179" i="2" s="1"/>
  <c r="Y1510" i="2"/>
  <c r="Y1521" i="2"/>
  <c r="Y1522" i="2" s="1"/>
  <c r="H180" i="2"/>
  <c r="H191" i="2"/>
  <c r="H192" i="2" s="1"/>
  <c r="H1265" i="2"/>
  <c r="H1276" i="2"/>
  <c r="H1277" i="2" s="1"/>
  <c r="X1216" i="2"/>
  <c r="X1227" i="2"/>
  <c r="X1228" i="2" s="1"/>
  <c r="S922" i="2"/>
  <c r="S933" i="2"/>
  <c r="K380" i="2"/>
  <c r="K391" i="2"/>
  <c r="K392" i="2" s="1"/>
  <c r="I824" i="2"/>
  <c r="I835" i="2"/>
  <c r="I836" i="2" s="1"/>
  <c r="P873" i="2"/>
  <c r="P884" i="2"/>
  <c r="P885" i="2" s="1"/>
  <c r="X180" i="2"/>
  <c r="X191" i="2"/>
  <c r="X192" i="2" s="1"/>
  <c r="X280" i="2"/>
  <c r="X291" i="2"/>
  <c r="X292" i="2" s="1"/>
  <c r="AF1423" i="2"/>
  <c r="AF1424" i="2" s="1"/>
  <c r="O824" i="2"/>
  <c r="O835" i="2"/>
  <c r="O836" i="2" s="1"/>
  <c r="V1265" i="2"/>
  <c r="V1276" i="2"/>
  <c r="V1277" i="2" s="1"/>
  <c r="N480" i="2"/>
  <c r="N491" i="2"/>
  <c r="N492" i="2" s="1"/>
  <c r="P824" i="2"/>
  <c r="P835" i="2"/>
  <c r="P836" i="2" s="1"/>
  <c r="Y1216" i="2"/>
  <c r="Y1227" i="2"/>
  <c r="Y1228" i="2" s="1"/>
  <c r="V1020" i="2"/>
  <c r="V1031" i="2"/>
  <c r="V1032" i="2" s="1"/>
  <c r="L1314" i="2"/>
  <c r="L1325" i="2"/>
  <c r="L1326" i="2" s="1"/>
  <c r="R873" i="2"/>
  <c r="R884" i="2"/>
  <c r="R885" i="2" s="1"/>
  <c r="J1363" i="2"/>
  <c r="J1374" i="2"/>
  <c r="J1375" i="2" s="1"/>
  <c r="M1265" i="2"/>
  <c r="M1276" i="2"/>
  <c r="M1277" i="2" s="1"/>
  <c r="T1265" i="2"/>
  <c r="T1276" i="2"/>
  <c r="T1277" i="2" s="1"/>
  <c r="S380" i="2"/>
  <c r="S391" i="2"/>
  <c r="S392" i="2" s="1"/>
  <c r="Y1314" i="2"/>
  <c r="Y1325" i="2"/>
  <c r="Y1326" i="2" s="1"/>
  <c r="M873" i="2"/>
  <c r="M884" i="2"/>
  <c r="M885" i="2" s="1"/>
  <c r="U480" i="2"/>
  <c r="U491" i="2"/>
  <c r="U492" i="2" s="1"/>
  <c r="AB1510" i="2"/>
  <c r="AB1521" i="2"/>
  <c r="AB1522" i="2" s="1"/>
  <c r="AA1020" i="2"/>
  <c r="AA1031" i="2"/>
  <c r="AA1032" i="2" s="1"/>
  <c r="V330" i="2"/>
  <c r="V341" i="2"/>
  <c r="V342" i="2" s="1"/>
  <c r="AB1020" i="2"/>
  <c r="AB1031" i="2"/>
  <c r="AB1032" i="2" s="1"/>
  <c r="R1363" i="2"/>
  <c r="R1374" i="2"/>
  <c r="R1375" i="2" s="1"/>
  <c r="AC430" i="2"/>
  <c r="AC441" i="2"/>
  <c r="AC442" i="2" s="1"/>
  <c r="N180" i="2"/>
  <c r="N191" i="2"/>
  <c r="N192" i="2" s="1"/>
  <c r="I922" i="2"/>
  <c r="I933" i="2"/>
  <c r="I934" i="2" s="1"/>
  <c r="J628" i="2"/>
  <c r="J639" i="2"/>
  <c r="J640" i="2" s="1"/>
  <c r="Q1020" i="2"/>
  <c r="Q1031" i="2"/>
  <c r="Q1032" i="2" s="1"/>
  <c r="Y1069" i="2"/>
  <c r="Y1080" i="2"/>
  <c r="Y1081" i="2" s="1"/>
  <c r="U1363" i="2"/>
  <c r="U1374" i="2"/>
  <c r="AC1216" i="2"/>
  <c r="AC1227" i="2"/>
  <c r="AC1228" i="2" s="1"/>
  <c r="AB430" i="2"/>
  <c r="AB441" i="2"/>
  <c r="AB442" i="2" s="1"/>
  <c r="T1571" i="2"/>
  <c r="AG1423" i="2"/>
  <c r="AG1424" i="2" s="1"/>
  <c r="S1424" i="2"/>
  <c r="AG1556" i="2"/>
  <c r="H634" i="2"/>
  <c r="AG1562" i="2"/>
  <c r="T71" i="2"/>
  <c r="AF129" i="2"/>
  <c r="AF129" i="9" s="1"/>
  <c r="AG1550" i="2"/>
  <c r="X86" i="2"/>
  <c r="O86" i="2"/>
  <c r="AG1504" i="2"/>
  <c r="AG1501" i="2"/>
  <c r="AG625" i="2"/>
  <c r="AG631" i="2"/>
  <c r="U79" i="2"/>
  <c r="I79" i="9" s="1"/>
  <c r="I80" i="9" s="1"/>
  <c r="AG1161" i="2"/>
  <c r="AG1219" i="2"/>
  <c r="AG1213" i="2"/>
  <c r="AG1553" i="2"/>
  <c r="M177" i="2"/>
  <c r="AG1516" i="2"/>
  <c r="AG1513" i="2"/>
  <c r="K79" i="2"/>
  <c r="U74" i="2"/>
  <c r="K77" i="2"/>
  <c r="U71" i="2"/>
  <c r="L1060" i="2"/>
  <c r="L1075" i="2"/>
  <c r="AG827" i="2"/>
  <c r="AG821" i="2"/>
  <c r="Z68" i="2"/>
  <c r="N68" i="9" s="1"/>
  <c r="H622" i="2"/>
  <c r="O79" i="2"/>
  <c r="O77" i="2"/>
  <c r="X71" i="2"/>
  <c r="I965" i="2"/>
  <c r="AG1507" i="2"/>
  <c r="U77" i="2"/>
  <c r="V83" i="2"/>
  <c r="M174" i="2"/>
  <c r="U1449" i="2"/>
  <c r="AG433" i="2"/>
  <c r="AG427" i="2"/>
  <c r="AC79" i="2"/>
  <c r="Q79" i="9" s="1"/>
  <c r="L30" i="2"/>
  <c r="L41" i="2"/>
  <c r="L42" i="2" s="1"/>
  <c r="Y168" i="2"/>
  <c r="V71" i="2"/>
  <c r="M183" i="2"/>
  <c r="AD68" i="2"/>
  <c r="R68" i="9" s="1"/>
  <c r="AB71" i="2"/>
  <c r="AG766" i="2"/>
  <c r="AG424" i="2"/>
  <c r="W77" i="2"/>
  <c r="M179" i="2"/>
  <c r="AA71" i="2"/>
  <c r="R77" i="2"/>
  <c r="AG16" i="2"/>
  <c r="AG18" i="2"/>
  <c r="AG24" i="2"/>
  <c r="AG36" i="2"/>
  <c r="AG27" i="2"/>
  <c r="AG33" i="2"/>
  <c r="AG21" i="2"/>
  <c r="M186" i="2"/>
  <c r="G42" i="2"/>
  <c r="S30" i="2"/>
  <c r="AG29" i="2"/>
  <c r="AG30" i="2" s="1"/>
  <c r="S41" i="2"/>
  <c r="M171" i="2"/>
  <c r="AG622" i="2"/>
  <c r="AF24" i="2"/>
  <c r="AF16" i="2"/>
  <c r="AF36" i="2"/>
  <c r="AF27" i="2"/>
  <c r="AF33" i="2"/>
  <c r="AF21" i="2"/>
  <c r="AF29" i="2"/>
  <c r="AF30" i="2" s="1"/>
  <c r="I723" i="2"/>
  <c r="I74" i="2"/>
  <c r="I77" i="2"/>
  <c r="I71" i="2"/>
  <c r="V74" i="2"/>
  <c r="I1115" i="2"/>
  <c r="V86" i="2"/>
  <c r="AF1056" i="2"/>
  <c r="AF1072" i="2" s="1"/>
  <c r="J74" i="2"/>
  <c r="AG421" i="2"/>
  <c r="AG919" i="2"/>
  <c r="I1121" i="2"/>
  <c r="X74" i="2"/>
  <c r="I725" i="2"/>
  <c r="AG377" i="2"/>
  <c r="I1109" i="2"/>
  <c r="Y83" i="2"/>
  <c r="I1112" i="2"/>
  <c r="Y77" i="2"/>
  <c r="AG1558" i="2"/>
  <c r="AG1559" i="2" s="1"/>
  <c r="O83" i="2"/>
  <c r="AG830" i="2"/>
  <c r="AB77" i="2"/>
  <c r="X79" i="2"/>
  <c r="L79" i="9" s="1"/>
  <c r="L80" i="9" s="1"/>
  <c r="AB83" i="2"/>
  <c r="AG1222" i="2"/>
  <c r="U68" i="2"/>
  <c r="I68" i="9" s="1"/>
  <c r="U86" i="2"/>
  <c r="Y86" i="2"/>
  <c r="AG1158" i="2"/>
  <c r="AC77" i="2"/>
  <c r="I676" i="2"/>
  <c r="AG818" i="2"/>
  <c r="AC74" i="2"/>
  <c r="I79" i="2"/>
  <c r="I962" i="2"/>
  <c r="U1467" i="2"/>
  <c r="X83" i="2"/>
  <c r="AC86" i="2"/>
  <c r="I720" i="2"/>
  <c r="U1455" i="2"/>
  <c r="W83" i="2"/>
  <c r="U1464" i="2"/>
  <c r="AA68" i="2"/>
  <c r="O68" i="9" s="1"/>
  <c r="I717" i="2"/>
  <c r="U1452" i="2"/>
  <c r="W79" i="2"/>
  <c r="K79" i="9" s="1"/>
  <c r="K80" i="9" s="1"/>
  <c r="J536" i="2"/>
  <c r="I680" i="2"/>
  <c r="O74" i="2"/>
  <c r="U1460" i="2"/>
  <c r="J533" i="2"/>
  <c r="I732" i="2"/>
  <c r="Z86" i="2"/>
  <c r="M83" i="2"/>
  <c r="W71" i="2"/>
  <c r="O71" i="2"/>
  <c r="U1458" i="2"/>
  <c r="AG1215" i="2"/>
  <c r="AG1216" i="2" s="1"/>
  <c r="I729" i="2"/>
  <c r="M86" i="2"/>
  <c r="J529" i="2"/>
  <c r="T280" i="2"/>
  <c r="AA86" i="2"/>
  <c r="AG781" i="2"/>
  <c r="AG928" i="2"/>
  <c r="W68" i="2"/>
  <c r="K68" i="9" s="1"/>
  <c r="Y71" i="2"/>
  <c r="Y74" i="2"/>
  <c r="J527" i="2"/>
  <c r="AA83" i="2"/>
  <c r="AB68" i="2"/>
  <c r="P68" i="9" s="1"/>
  <c r="M71" i="2"/>
  <c r="W74" i="2"/>
  <c r="W86" i="2"/>
  <c r="AC71" i="2"/>
  <c r="AG916" i="2"/>
  <c r="AB74" i="2"/>
  <c r="I674" i="2"/>
  <c r="AB79" i="2"/>
  <c r="P79" i="9" s="1"/>
  <c r="AG778" i="2"/>
  <c r="AG913" i="2"/>
  <c r="AA79" i="2"/>
  <c r="O79" i="9" s="1"/>
  <c r="O80" i="9" s="1"/>
  <c r="AG772" i="2"/>
  <c r="S86" i="2"/>
  <c r="AG429" i="2"/>
  <c r="AG430" i="2" s="1"/>
  <c r="M74" i="2"/>
  <c r="J524" i="2"/>
  <c r="X77" i="2"/>
  <c r="P71" i="2"/>
  <c r="R74" i="2"/>
  <c r="I970" i="2"/>
  <c r="I974" i="2"/>
  <c r="I86" i="2"/>
  <c r="AG1173" i="2"/>
  <c r="AA77" i="2"/>
  <c r="I977" i="2"/>
  <c r="R71" i="2"/>
  <c r="I968" i="2"/>
  <c r="R86" i="2"/>
  <c r="I83" i="2"/>
  <c r="J521" i="2"/>
  <c r="AG769" i="2"/>
  <c r="AA74" i="2"/>
  <c r="R79" i="2"/>
  <c r="AG1509" i="2"/>
  <c r="AG1510" i="2" s="1"/>
  <c r="V68" i="2"/>
  <c r="J68" i="9" s="1"/>
  <c r="J958" i="2"/>
  <c r="X1057" i="2"/>
  <c r="AG374" i="2"/>
  <c r="J71" i="2"/>
  <c r="AG1210" i="2"/>
  <c r="Z74" i="2"/>
  <c r="N77" i="2"/>
  <c r="AG921" i="2"/>
  <c r="AG922" i="2" s="1"/>
  <c r="Z83" i="2"/>
  <c r="L1072" i="2"/>
  <c r="I1124" i="2"/>
  <c r="J664" i="2"/>
  <c r="N79" i="2"/>
  <c r="I671" i="2"/>
  <c r="V79" i="2"/>
  <c r="J79" i="9" s="1"/>
  <c r="J80" i="9" s="1"/>
  <c r="J79" i="2"/>
  <c r="Z79" i="2"/>
  <c r="N79" i="9" s="1"/>
  <c r="N80" i="9" s="1"/>
  <c r="L1068" i="2"/>
  <c r="T86" i="2"/>
  <c r="AG371" i="2"/>
  <c r="K517" i="2"/>
  <c r="H619" i="2"/>
  <c r="I668" i="2"/>
  <c r="V77" i="2"/>
  <c r="J77" i="2"/>
  <c r="AG379" i="2"/>
  <c r="AG380" i="2" s="1"/>
  <c r="AG1170" i="2"/>
  <c r="N86" i="2"/>
  <c r="U83" i="2"/>
  <c r="AF615" i="2"/>
  <c r="AF634" i="2" s="1"/>
  <c r="K74" i="2"/>
  <c r="AG1164" i="2"/>
  <c r="N83" i="2"/>
  <c r="Z77" i="2"/>
  <c r="J1105" i="2"/>
  <c r="K71" i="2"/>
  <c r="S83" i="2"/>
  <c r="J86" i="2"/>
  <c r="AG1207" i="2"/>
  <c r="S77" i="2"/>
  <c r="M79" i="2"/>
  <c r="Q79" i="2"/>
  <c r="AG627" i="2"/>
  <c r="AG628" i="2" s="1"/>
  <c r="S79" i="2"/>
  <c r="G79" i="9" s="1"/>
  <c r="G80" i="9" s="1"/>
  <c r="J83" i="2"/>
  <c r="Q74" i="2"/>
  <c r="P74" i="2"/>
  <c r="S74" i="2"/>
  <c r="M77" i="2"/>
  <c r="Q77" i="2"/>
  <c r="AG1166" i="2"/>
  <c r="AG1167" i="2" s="1"/>
  <c r="Q86" i="2"/>
  <c r="I683" i="2"/>
  <c r="Q83" i="2"/>
  <c r="Q71" i="2"/>
  <c r="T68" i="2"/>
  <c r="H68" i="9" s="1"/>
  <c r="H631" i="2"/>
  <c r="H625" i="2"/>
  <c r="H627" i="2"/>
  <c r="N74" i="2"/>
  <c r="S68" i="2"/>
  <c r="G68" i="9" s="1"/>
  <c r="T74" i="2"/>
  <c r="P79" i="2"/>
  <c r="T83" i="2"/>
  <c r="K86" i="2"/>
  <c r="P86" i="2"/>
  <c r="AC68" i="2"/>
  <c r="Q68" i="9" s="1"/>
  <c r="S71" i="2"/>
  <c r="AF1215" i="2"/>
  <c r="AF1216" i="2" s="1"/>
  <c r="AG67" i="2"/>
  <c r="AG83" i="2" s="1"/>
  <c r="P77" i="2"/>
  <c r="AG386" i="2"/>
  <c r="N71" i="2"/>
  <c r="T77" i="2"/>
  <c r="AG823" i="2"/>
  <c r="AG824" i="2" s="1"/>
  <c r="Z71" i="2"/>
  <c r="Y68" i="2"/>
  <c r="M68" i="9" s="1"/>
  <c r="L1066" i="2"/>
  <c r="K83" i="2"/>
  <c r="P83" i="2"/>
  <c r="I1117" i="2"/>
  <c r="AG774" i="2"/>
  <c r="AG775" i="2" s="1"/>
  <c r="AF1516" i="2"/>
  <c r="L86" i="2"/>
  <c r="AF186" i="2"/>
  <c r="AF386" i="2"/>
  <c r="H286" i="2"/>
  <c r="AF1222" i="2"/>
  <c r="I1369" i="2"/>
  <c r="AF879" i="2"/>
  <c r="AG1498" i="2"/>
  <c r="H1023" i="2"/>
  <c r="H1026" i="2"/>
  <c r="X1023" i="2"/>
  <c r="X1026" i="2"/>
  <c r="W1268" i="2"/>
  <c r="W1271" i="2"/>
  <c r="O1170" i="2"/>
  <c r="O1173" i="2"/>
  <c r="O1464" i="2"/>
  <c r="O1467" i="2"/>
  <c r="AG1072" i="2"/>
  <c r="AG1075" i="2"/>
  <c r="AG183" i="2"/>
  <c r="AG186" i="2"/>
  <c r="H778" i="2"/>
  <c r="H781" i="2"/>
  <c r="L827" i="2"/>
  <c r="L830" i="2"/>
  <c r="J1268" i="2"/>
  <c r="J1271" i="2"/>
  <c r="Q433" i="2"/>
  <c r="Q436" i="2"/>
  <c r="M483" i="2"/>
  <c r="M486" i="2"/>
  <c r="T483" i="2"/>
  <c r="T486" i="2"/>
  <c r="M1562" i="2"/>
  <c r="M1565" i="2"/>
  <c r="J1317" i="2"/>
  <c r="J1320" i="2"/>
  <c r="M925" i="2"/>
  <c r="M928" i="2"/>
  <c r="V876" i="2"/>
  <c r="V879" i="2"/>
  <c r="M333" i="2"/>
  <c r="M336" i="2"/>
  <c r="AF1509" i="2"/>
  <c r="AF1510" i="2" s="1"/>
  <c r="AF377" i="2"/>
  <c r="AF383" i="2"/>
  <c r="H279" i="2"/>
  <c r="H283" i="2"/>
  <c r="AG1068" i="2"/>
  <c r="AG1069" i="2" s="1"/>
  <c r="AF1213" i="2"/>
  <c r="AF1219" i="2"/>
  <c r="L79" i="2"/>
  <c r="L83" i="2"/>
  <c r="I1366" i="2"/>
  <c r="AF870" i="2"/>
  <c r="AF876" i="2"/>
  <c r="AF177" i="2"/>
  <c r="AF183" i="2"/>
  <c r="AF1507" i="2"/>
  <c r="AF1513" i="2"/>
  <c r="AF379" i="2"/>
  <c r="AF380" i="2" s="1"/>
  <c r="AF872" i="2"/>
  <c r="AF873" i="2" s="1"/>
  <c r="H873" i="2"/>
  <c r="AG179" i="2"/>
  <c r="AG180" i="2" s="1"/>
  <c r="Y180" i="2"/>
  <c r="H1017" i="2"/>
  <c r="H1019" i="2"/>
  <c r="H1031" i="2" s="1"/>
  <c r="H1032" i="2" s="1"/>
  <c r="X1017" i="2"/>
  <c r="X1019" i="2"/>
  <c r="X1031" i="2" s="1"/>
  <c r="X1032" i="2" s="1"/>
  <c r="H772" i="2"/>
  <c r="H774" i="2"/>
  <c r="H786" i="2" s="1"/>
  <c r="H787" i="2" s="1"/>
  <c r="W1262" i="2"/>
  <c r="W1264" i="2"/>
  <c r="W1276" i="2" s="1"/>
  <c r="W1277" i="2" s="1"/>
  <c r="M327" i="2"/>
  <c r="M329" i="2"/>
  <c r="M341" i="2" s="1"/>
  <c r="M342" i="2" s="1"/>
  <c r="O1164" i="2"/>
  <c r="O1166" i="2"/>
  <c r="O1178" i="2" s="1"/>
  <c r="O1179" i="2" s="1"/>
  <c r="I1360" i="2"/>
  <c r="I1362" i="2"/>
  <c r="I1374" i="2" s="1"/>
  <c r="I1375" i="2" s="1"/>
  <c r="O1458" i="2"/>
  <c r="O1460" i="2"/>
  <c r="O1472" i="2" s="1"/>
  <c r="O1473" i="2" s="1"/>
  <c r="J1262" i="2"/>
  <c r="J1264" i="2"/>
  <c r="J1276" i="2" s="1"/>
  <c r="J1277" i="2" s="1"/>
  <c r="L821" i="2"/>
  <c r="L823" i="2"/>
  <c r="L835" i="2" s="1"/>
  <c r="L836" i="2" s="1"/>
  <c r="AG1204" i="2"/>
  <c r="M919" i="2"/>
  <c r="M921" i="2"/>
  <c r="M933" i="2" s="1"/>
  <c r="M934" i="2" s="1"/>
  <c r="Q427" i="2"/>
  <c r="Q429" i="2"/>
  <c r="Q441" i="2" s="1"/>
  <c r="Q442" i="2" s="1"/>
  <c r="T477" i="2"/>
  <c r="T479" i="2"/>
  <c r="T491" i="2" s="1"/>
  <c r="T492" i="2" s="1"/>
  <c r="V870" i="2"/>
  <c r="V872" i="2"/>
  <c r="V884" i="2" s="1"/>
  <c r="V885" i="2" s="1"/>
  <c r="J1311" i="2"/>
  <c r="J1313" i="2"/>
  <c r="J1325" i="2" s="1"/>
  <c r="J1326" i="2" s="1"/>
  <c r="M477" i="2"/>
  <c r="M479" i="2"/>
  <c r="M491" i="2" s="1"/>
  <c r="M492" i="2" s="1"/>
  <c r="M1556" i="2"/>
  <c r="M1558" i="2"/>
  <c r="M1570" i="2" s="1"/>
  <c r="M1571" i="2" s="1"/>
  <c r="AG1063" i="2"/>
  <c r="AG1066" i="2"/>
  <c r="H274" i="2"/>
  <c r="H277" i="2"/>
  <c r="AG174" i="2"/>
  <c r="AG177" i="2"/>
  <c r="L74" i="2"/>
  <c r="L77" i="2"/>
  <c r="X1011" i="2"/>
  <c r="X1014" i="2"/>
  <c r="J1305" i="2"/>
  <c r="J1308" i="2"/>
  <c r="AF371" i="2"/>
  <c r="AF374" i="2"/>
  <c r="H766" i="2"/>
  <c r="H769" i="2"/>
  <c r="W1256" i="2"/>
  <c r="W1259" i="2"/>
  <c r="AF1207" i="2"/>
  <c r="AF1210" i="2"/>
  <c r="M913" i="2"/>
  <c r="M916" i="2"/>
  <c r="O1158" i="2"/>
  <c r="O1161" i="2"/>
  <c r="H1011" i="2"/>
  <c r="H1014" i="2"/>
  <c r="I1354" i="2"/>
  <c r="I1357" i="2"/>
  <c r="O1452" i="2"/>
  <c r="O1455" i="2"/>
  <c r="V864" i="2"/>
  <c r="V867" i="2"/>
  <c r="AF864" i="2"/>
  <c r="AF867" i="2"/>
  <c r="AF171" i="2"/>
  <c r="AF174" i="2"/>
  <c r="M321" i="2"/>
  <c r="M324" i="2"/>
  <c r="J1256" i="2"/>
  <c r="J1259" i="2"/>
  <c r="L815" i="2"/>
  <c r="L818" i="2"/>
  <c r="M471" i="2"/>
  <c r="M474" i="2"/>
  <c r="Q421" i="2"/>
  <c r="Q424" i="2"/>
  <c r="M1550" i="2"/>
  <c r="M1553" i="2"/>
  <c r="T471" i="2"/>
  <c r="T474" i="2"/>
  <c r="AF1501" i="2"/>
  <c r="AF1504" i="2"/>
  <c r="AG1060" i="2"/>
  <c r="T268" i="2"/>
  <c r="H271" i="2"/>
  <c r="AG368" i="2"/>
  <c r="AG168" i="2"/>
  <c r="AG171" i="2"/>
  <c r="AF67" i="2"/>
  <c r="AF67" i="9" s="1"/>
  <c r="L71" i="2"/>
  <c r="AF1007" i="2"/>
  <c r="T1008" i="2"/>
  <c r="AG1007" i="2"/>
  <c r="X1008" i="2"/>
  <c r="AF1350" i="2"/>
  <c r="U1351" i="2"/>
  <c r="AF1448" i="2"/>
  <c r="AA1449" i="2"/>
  <c r="AF1252" i="2"/>
  <c r="V1253" i="2"/>
  <c r="AF811" i="2"/>
  <c r="X812" i="2"/>
  <c r="AF317" i="2"/>
  <c r="Y318" i="2"/>
  <c r="AG1252" i="2"/>
  <c r="W1253" i="2"/>
  <c r="AF1154" i="2"/>
  <c r="AA1155" i="2"/>
  <c r="AF467" i="2"/>
  <c r="Y468" i="2"/>
  <c r="AF417" i="2"/>
  <c r="AC418" i="2"/>
  <c r="AF762" i="2"/>
  <c r="T763" i="2"/>
  <c r="AF1546" i="2"/>
  <c r="Y1547" i="2"/>
  <c r="AG467" i="2"/>
  <c r="T468" i="2"/>
  <c r="AF909" i="2"/>
  <c r="Y910" i="2"/>
  <c r="AG860" i="2"/>
  <c r="V861" i="2"/>
  <c r="AF1301" i="2"/>
  <c r="V1302" i="2"/>
  <c r="X68" i="2"/>
  <c r="L68" i="9" s="1"/>
  <c r="AF267" i="2"/>
  <c r="J711" i="2"/>
  <c r="J741" i="2" s="1"/>
  <c r="L707" i="2"/>
  <c r="K709" i="2"/>
  <c r="K711" i="2" s="1"/>
  <c r="K741" i="2" s="1"/>
  <c r="L658" i="2"/>
  <c r="K660" i="2"/>
  <c r="K662" i="2" s="1"/>
  <c r="K692" i="2" s="1"/>
  <c r="L952" i="2"/>
  <c r="K954" i="2"/>
  <c r="K956" i="2" s="1"/>
  <c r="K986" i="2" s="1"/>
  <c r="M511" i="2"/>
  <c r="L513" i="2"/>
  <c r="L515" i="2" s="1"/>
  <c r="L545" i="2" s="1"/>
  <c r="L1099" i="2"/>
  <c r="K1101" i="2"/>
  <c r="K1103" i="2" s="1"/>
  <c r="K1133" i="2" s="1"/>
  <c r="K314" i="4"/>
  <c r="L314" i="4"/>
  <c r="L172" i="4"/>
  <c r="L235" i="4" s="1"/>
  <c r="L142" i="4"/>
  <c r="L205" i="4" s="1"/>
  <c r="L134" i="4"/>
  <c r="L197" i="4"/>
  <c r="L157" i="4"/>
  <c r="L220" i="4" s="1"/>
  <c r="L169" i="4"/>
  <c r="L232" i="4" s="1"/>
  <c r="M161" i="4"/>
  <c r="M224" i="4" s="1"/>
  <c r="L163" i="4"/>
  <c r="L226" i="4" s="1"/>
  <c r="L140" i="4"/>
  <c r="L203" i="4" s="1"/>
  <c r="L154" i="4"/>
  <c r="L217" i="4" s="1"/>
  <c r="L139" i="4"/>
  <c r="L202" i="4" s="1"/>
  <c r="L187" i="4"/>
  <c r="L250" i="4" s="1"/>
  <c r="L150" i="4"/>
  <c r="L213" i="4" s="1"/>
  <c r="L159" i="4"/>
  <c r="L222" i="4"/>
  <c r="L166" i="4"/>
  <c r="L229" i="4" s="1"/>
  <c r="L151" i="4"/>
  <c r="L214" i="4"/>
  <c r="L181" i="4"/>
  <c r="L244" i="4"/>
  <c r="L149" i="4"/>
  <c r="L212" i="4" s="1"/>
  <c r="L180" i="4"/>
  <c r="L243" i="4"/>
  <c r="L133" i="4"/>
  <c r="L196" i="4"/>
  <c r="L161" i="4"/>
  <c r="L224" i="4" s="1"/>
  <c r="L183" i="4"/>
  <c r="L246" i="4"/>
  <c r="L178" i="4"/>
  <c r="L241" i="4" s="1"/>
  <c r="L173" i="4"/>
  <c r="L236" i="4" s="1"/>
  <c r="L167" i="4"/>
  <c r="L230" i="4" s="1"/>
  <c r="L135" i="4"/>
  <c r="L198" i="4"/>
  <c r="L147" i="4"/>
  <c r="L210" i="4" s="1"/>
  <c r="L174" i="4"/>
  <c r="L237" i="4" s="1"/>
  <c r="L164" i="4"/>
  <c r="L227" i="4"/>
  <c r="L168" i="4"/>
  <c r="L231" i="4" s="1"/>
  <c r="L155" i="4"/>
  <c r="L218" i="4" s="1"/>
  <c r="L145" i="4"/>
  <c r="L208" i="4" s="1"/>
  <c r="L185" i="4"/>
  <c r="L248" i="4" s="1"/>
  <c r="L141" i="4"/>
  <c r="L204" i="4" s="1"/>
  <c r="L137" i="4"/>
  <c r="L200" i="4" s="1"/>
  <c r="L184" i="4"/>
  <c r="L247" i="4" s="1"/>
  <c r="L146" i="4"/>
  <c r="L209" i="4"/>
  <c r="L160" i="4"/>
  <c r="L223" i="4"/>
  <c r="L179" i="4"/>
  <c r="L242" i="4"/>
  <c r="L165" i="4"/>
  <c r="L228" i="4" s="1"/>
  <c r="L156" i="4"/>
  <c r="L219" i="4"/>
  <c r="L170" i="4"/>
  <c r="L233" i="4" s="1"/>
  <c r="L153" i="4"/>
  <c r="L216" i="4" s="1"/>
  <c r="L177" i="4"/>
  <c r="L240" i="4" s="1"/>
  <c r="L144" i="4"/>
  <c r="L207" i="4" s="1"/>
  <c r="L152" i="4"/>
  <c r="L215" i="4" s="1"/>
  <c r="L143" i="4"/>
  <c r="L206" i="4"/>
  <c r="L158" i="4"/>
  <c r="L221" i="4"/>
  <c r="L176" i="4"/>
  <c r="L239" i="4" s="1"/>
  <c r="L182" i="4"/>
  <c r="L245" i="4" s="1"/>
  <c r="L186" i="4"/>
  <c r="L249" i="4" s="1"/>
  <c r="L171" i="4"/>
  <c r="L234" i="4"/>
  <c r="L148" i="4"/>
  <c r="L211" i="4" s="1"/>
  <c r="L138" i="4"/>
  <c r="L201" i="4"/>
  <c r="L175" i="4"/>
  <c r="L238" i="4" s="1"/>
  <c r="L162" i="4"/>
  <c r="L225" i="4" s="1"/>
  <c r="J62" i="4"/>
  <c r="J161" i="4"/>
  <c r="J188" i="4" s="1"/>
  <c r="N69" i="4"/>
  <c r="K62" i="4"/>
  <c r="K161" i="4"/>
  <c r="K188" i="4" s="1"/>
  <c r="L62" i="4"/>
  <c r="L125" i="4"/>
  <c r="N6" i="4"/>
  <c r="M33" i="4"/>
  <c r="M285" i="4" s="1"/>
  <c r="M348" i="4" s="1"/>
  <c r="M38" i="4"/>
  <c r="M290" i="4" s="1"/>
  <c r="M353" i="4" s="1"/>
  <c r="M57" i="4"/>
  <c r="M309" i="4" s="1"/>
  <c r="M372" i="4" s="1"/>
  <c r="M34" i="4"/>
  <c r="M286" i="4" s="1"/>
  <c r="M349" i="4" s="1"/>
  <c r="M19" i="4"/>
  <c r="M271" i="4" s="1"/>
  <c r="M334" i="4" s="1"/>
  <c r="M17" i="4"/>
  <c r="M269" i="4" s="1"/>
  <c r="M332" i="4" s="1"/>
  <c r="M8" i="4"/>
  <c r="M260" i="4" s="1"/>
  <c r="M323" i="4" s="1"/>
  <c r="M10" i="4"/>
  <c r="M262" i="4" s="1"/>
  <c r="M325" i="4" s="1"/>
  <c r="M24" i="4"/>
  <c r="M276" i="4" s="1"/>
  <c r="M339" i="4" s="1"/>
  <c r="M20" i="4"/>
  <c r="M272" i="4" s="1"/>
  <c r="M335" i="4" s="1"/>
  <c r="M12" i="4"/>
  <c r="M264" i="4" s="1"/>
  <c r="M327" i="4" s="1"/>
  <c r="M21" i="4"/>
  <c r="M273" i="4" s="1"/>
  <c r="M336" i="4" s="1"/>
  <c r="M7" i="4"/>
  <c r="M259" i="4" s="1"/>
  <c r="M322" i="4" s="1"/>
  <c r="M54" i="4"/>
  <c r="M306" i="4" s="1"/>
  <c r="M56" i="4"/>
  <c r="M308" i="4" s="1"/>
  <c r="M371" i="4" s="1"/>
  <c r="M26" i="4"/>
  <c r="M278" i="4" s="1"/>
  <c r="M341" i="4" s="1"/>
  <c r="M60" i="4"/>
  <c r="M312" i="4" s="1"/>
  <c r="M375" i="4" s="1"/>
  <c r="M52" i="4"/>
  <c r="M304" i="4" s="1"/>
  <c r="M367" i="4" s="1"/>
  <c r="M29" i="4"/>
  <c r="M281" i="4" s="1"/>
  <c r="M344" i="4" s="1"/>
  <c r="M58" i="4"/>
  <c r="M310" i="4" s="1"/>
  <c r="M373" i="4" s="1"/>
  <c r="M61" i="4"/>
  <c r="M313" i="4" s="1"/>
  <c r="M376" i="4" s="1"/>
  <c r="M48" i="4"/>
  <c r="M300" i="4" s="1"/>
  <c r="M363" i="4" s="1"/>
  <c r="M44" i="4"/>
  <c r="M296" i="4" s="1"/>
  <c r="M359" i="4" s="1"/>
  <c r="M47" i="4"/>
  <c r="M299" i="4" s="1"/>
  <c r="M362" i="4" s="1"/>
  <c r="M43" i="4"/>
  <c r="M295" i="4" s="1"/>
  <c r="M358" i="4" s="1"/>
  <c r="M30" i="4"/>
  <c r="M282" i="4" s="1"/>
  <c r="M345" i="4" s="1"/>
  <c r="M51" i="4"/>
  <c r="M303" i="4" s="1"/>
  <c r="M366" i="4" s="1"/>
  <c r="M27" i="4"/>
  <c r="M279" i="4" s="1"/>
  <c r="M342" i="4" s="1"/>
  <c r="M39" i="4"/>
  <c r="M291" i="4" s="1"/>
  <c r="M354" i="4" s="1"/>
  <c r="M55" i="4"/>
  <c r="M307" i="4" s="1"/>
  <c r="M370" i="4" s="1"/>
  <c r="M36" i="4"/>
  <c r="M288" i="4" s="1"/>
  <c r="M351" i="4" s="1"/>
  <c r="M49" i="4"/>
  <c r="M301" i="4" s="1"/>
  <c r="M364" i="4" s="1"/>
  <c r="M46" i="4"/>
  <c r="M298" i="4" s="1"/>
  <c r="M361" i="4" s="1"/>
  <c r="M15" i="4"/>
  <c r="M267" i="4" s="1"/>
  <c r="M330" i="4" s="1"/>
  <c r="M22" i="4"/>
  <c r="M274" i="4" s="1"/>
  <c r="M337" i="4" s="1"/>
  <c r="M50" i="4"/>
  <c r="M302" i="4" s="1"/>
  <c r="M365" i="4" s="1"/>
  <c r="M14" i="4"/>
  <c r="M266" i="4" s="1"/>
  <c r="M329" i="4" s="1"/>
  <c r="M25" i="4"/>
  <c r="M277" i="4" s="1"/>
  <c r="M340" i="4" s="1"/>
  <c r="M9" i="4"/>
  <c r="M261" i="4" s="1"/>
  <c r="M324" i="4" s="1"/>
  <c r="M16" i="4"/>
  <c r="M268" i="4" s="1"/>
  <c r="M331" i="4" s="1"/>
  <c r="M32" i="4"/>
  <c r="M284" i="4" s="1"/>
  <c r="M347" i="4" s="1"/>
  <c r="M42" i="4"/>
  <c r="M294" i="4" s="1"/>
  <c r="M357" i="4" s="1"/>
  <c r="M13" i="4"/>
  <c r="M265" i="4" s="1"/>
  <c r="M328" i="4" s="1"/>
  <c r="M31" i="4"/>
  <c r="M283" i="4" s="1"/>
  <c r="M346" i="4" s="1"/>
  <c r="M40" i="4"/>
  <c r="M292" i="4" s="1"/>
  <c r="M355" i="4" s="1"/>
  <c r="M28" i="4"/>
  <c r="M280" i="4" s="1"/>
  <c r="M343" i="4" s="1"/>
  <c r="M41" i="4"/>
  <c r="M293" i="4" s="1"/>
  <c r="M356" i="4" s="1"/>
  <c r="M59" i="4"/>
  <c r="M311" i="4" s="1"/>
  <c r="M374" i="4" s="1"/>
  <c r="M23" i="4"/>
  <c r="M275" i="4" s="1"/>
  <c r="M338" i="4" s="1"/>
  <c r="M53" i="4"/>
  <c r="M305" i="4" s="1"/>
  <c r="M37" i="4"/>
  <c r="M289" i="4" s="1"/>
  <c r="M352" i="4" s="1"/>
  <c r="M18" i="4"/>
  <c r="M270" i="4" s="1"/>
  <c r="M333" i="4" s="1"/>
  <c r="M11" i="4"/>
  <c r="M263" i="4" s="1"/>
  <c r="M326" i="4" s="1"/>
  <c r="M45" i="4"/>
  <c r="M297" i="4" s="1"/>
  <c r="M360" i="4" s="1"/>
  <c r="B161" i="2"/>
  <c r="C161" i="2" s="1"/>
  <c r="B196" i="2"/>
  <c r="C196" i="2" s="1"/>
  <c r="B185" i="2"/>
  <c r="C185" i="2" s="1"/>
  <c r="B173" i="2"/>
  <c r="C173" i="2" s="1"/>
  <c r="B160" i="2"/>
  <c r="B184" i="2"/>
  <c r="C184" i="2" s="1"/>
  <c r="B172" i="2"/>
  <c r="C172" i="2" s="1"/>
  <c r="B191" i="2"/>
  <c r="C191" i="2" s="1"/>
  <c r="B180" i="2"/>
  <c r="C180" i="2" s="1"/>
  <c r="B190" i="2"/>
  <c r="C190" i="2" s="1"/>
  <c r="B166" i="2"/>
  <c r="C166" i="2" s="1"/>
  <c r="B188" i="2"/>
  <c r="C188" i="2" s="1"/>
  <c r="B176" i="2"/>
  <c r="C176" i="2" s="1"/>
  <c r="B158" i="2"/>
  <c r="B187" i="2"/>
  <c r="C187" i="2" s="1"/>
  <c r="B175" i="2"/>
  <c r="C175" i="2" s="1"/>
  <c r="B195" i="2"/>
  <c r="C195" i="2" s="1"/>
  <c r="B194" i="2"/>
  <c r="C194" i="2" s="1"/>
  <c r="B183" i="2"/>
  <c r="C183" i="2" s="1"/>
  <c r="B171" i="2"/>
  <c r="C171" i="2" s="1"/>
  <c r="B156" i="2"/>
  <c r="B193" i="2"/>
  <c r="C193" i="2" s="1"/>
  <c r="B165" i="2"/>
  <c r="C165" i="2" s="1"/>
  <c r="B179" i="2"/>
  <c r="C179" i="2" s="1"/>
  <c r="B168" i="2"/>
  <c r="C168" i="2" s="1"/>
  <c r="B155" i="2"/>
  <c r="B178" i="2"/>
  <c r="C178" i="2" s="1"/>
  <c r="B153" i="2"/>
  <c r="B198" i="2"/>
  <c r="C198" i="2" s="1"/>
  <c r="B162" i="2"/>
  <c r="C162" i="2" s="1"/>
  <c r="B197" i="2"/>
  <c r="C197" i="2" s="1"/>
  <c r="B186" i="2"/>
  <c r="C186" i="2" s="1"/>
  <c r="B174" i="2"/>
  <c r="C174" i="2" s="1"/>
  <c r="B189" i="2"/>
  <c r="C189" i="2" s="1"/>
  <c r="B182" i="2"/>
  <c r="C182" i="2" s="1"/>
  <c r="B170" i="2"/>
  <c r="C170" i="2" s="1"/>
  <c r="B177" i="2"/>
  <c r="C177" i="2" s="1"/>
  <c r="B192" i="2"/>
  <c r="C192" i="2" s="1"/>
  <c r="B181" i="2"/>
  <c r="C181" i="2" s="1"/>
  <c r="B169" i="2"/>
  <c r="C169" i="2" s="1"/>
  <c r="B167" i="2"/>
  <c r="C167" i="2" s="1"/>
  <c r="B164" i="2"/>
  <c r="C164" i="2" s="1"/>
  <c r="B157" i="2"/>
  <c r="B159" i="2"/>
  <c r="N326" i="11" l="1"/>
  <c r="N324" i="11"/>
  <c r="N337" i="11"/>
  <c r="N347" i="11"/>
  <c r="N219" i="11"/>
  <c r="N328" i="11"/>
  <c r="N225" i="11"/>
  <c r="N339" i="11"/>
  <c r="N221" i="11"/>
  <c r="O219" i="11"/>
  <c r="N351" i="11"/>
  <c r="O337" i="11"/>
  <c r="N335" i="11"/>
  <c r="AG1526" i="2"/>
  <c r="Q168" i="9"/>
  <c r="J168" i="9"/>
  <c r="R168" i="9"/>
  <c r="M168" i="9"/>
  <c r="N168" i="9"/>
  <c r="L168" i="9"/>
  <c r="U16" i="9"/>
  <c r="T46" i="9"/>
  <c r="Y80" i="2"/>
  <c r="R80" i="9"/>
  <c r="H168" i="9"/>
  <c r="G168" i="9"/>
  <c r="H83" i="9"/>
  <c r="T83" i="9" s="1"/>
  <c r="R77" i="9"/>
  <c r="AD77" i="9" s="1"/>
  <c r="K168" i="9"/>
  <c r="H176" i="9"/>
  <c r="R86" i="9"/>
  <c r="AD86" i="9" s="1"/>
  <c r="P165" i="9"/>
  <c r="P168" i="9"/>
  <c r="R71" i="9"/>
  <c r="AD71" i="9" s="1"/>
  <c r="O168" i="9"/>
  <c r="J133" i="9"/>
  <c r="V133" i="9" s="1"/>
  <c r="I168" i="9"/>
  <c r="O161" i="11"/>
  <c r="O227" i="11" s="1"/>
  <c r="O279" i="11"/>
  <c r="O338" i="11" s="1"/>
  <c r="S128" i="8"/>
  <c r="O170" i="11"/>
  <c r="O288" i="11"/>
  <c r="O292" i="11"/>
  <c r="O174" i="11"/>
  <c r="O157" i="11"/>
  <c r="O216" i="11" s="1"/>
  <c r="O275" i="11"/>
  <c r="N346" i="11"/>
  <c r="O166" i="11"/>
  <c r="O232" i="11" s="1"/>
  <c r="O284" i="11"/>
  <c r="N323" i="11"/>
  <c r="O282" i="11"/>
  <c r="O287" i="11"/>
  <c r="O169" i="11"/>
  <c r="O283" i="11"/>
  <c r="O162" i="11"/>
  <c r="O228" i="11" s="1"/>
  <c r="O221" i="11"/>
  <c r="O280" i="11"/>
  <c r="N330" i="11"/>
  <c r="N350" i="11"/>
  <c r="O289" i="11"/>
  <c r="O171" i="11"/>
  <c r="O159" i="11"/>
  <c r="O218" i="11" s="1"/>
  <c r="O277" i="11"/>
  <c r="O336" i="11" s="1"/>
  <c r="N334" i="11"/>
  <c r="N341" i="11"/>
  <c r="N331" i="11"/>
  <c r="N223" i="11"/>
  <c r="O290" i="11"/>
  <c r="O172" i="11"/>
  <c r="N338" i="11"/>
  <c r="N327" i="11"/>
  <c r="N220" i="11"/>
  <c r="N349" i="11"/>
  <c r="T92" i="8"/>
  <c r="T163" i="8" s="1"/>
  <c r="O344" i="11"/>
  <c r="N333" i="11"/>
  <c r="N348" i="11"/>
  <c r="O173" i="11"/>
  <c r="O291" i="11"/>
  <c r="O350" i="11" s="1"/>
  <c r="O163" i="11"/>
  <c r="O229" i="11" s="1"/>
  <c r="O281" i="11"/>
  <c r="N342" i="11"/>
  <c r="T128" i="8"/>
  <c r="N325" i="11"/>
  <c r="O168" i="11"/>
  <c r="O286" i="11"/>
  <c r="N344" i="11"/>
  <c r="N224" i="11"/>
  <c r="X96" i="8"/>
  <c r="Y56" i="8"/>
  <c r="X159" i="8"/>
  <c r="AA11" i="9"/>
  <c r="Z13" i="9"/>
  <c r="AD72" i="8"/>
  <c r="AD73" i="8" s="1"/>
  <c r="AD70" i="8"/>
  <c r="D73" i="8"/>
  <c r="AG61" i="9"/>
  <c r="G124" i="9"/>
  <c r="S124" i="9" s="1"/>
  <c r="P124" i="9"/>
  <c r="AB124" i="9" s="1"/>
  <c r="P136" i="9"/>
  <c r="AB136" i="9" s="1"/>
  <c r="P83" i="9"/>
  <c r="AB83" i="9" s="1"/>
  <c r="M127" i="9"/>
  <c r="Y127" i="9" s="1"/>
  <c r="P121" i="9"/>
  <c r="AB121" i="9" s="1"/>
  <c r="X459" i="9"/>
  <c r="X462" i="9" s="1"/>
  <c r="X1195" i="9"/>
  <c r="X1198" i="9" s="1"/>
  <c r="Q77" i="9"/>
  <c r="AC77" i="9" s="1"/>
  <c r="X509" i="9"/>
  <c r="X512" i="9" s="1"/>
  <c r="Q71" i="9"/>
  <c r="AC71" i="9" s="1"/>
  <c r="T61" i="9"/>
  <c r="S63" i="9"/>
  <c r="X409" i="9"/>
  <c r="X412" i="9" s="1"/>
  <c r="X1097" i="9"/>
  <c r="X1100" i="9" s="1"/>
  <c r="X1293" i="9"/>
  <c r="X1296" i="9" s="1"/>
  <c r="X950" i="9"/>
  <c r="X953" i="9" s="1"/>
  <c r="L142" i="9"/>
  <c r="X209" i="9"/>
  <c r="X212" i="9" s="1"/>
  <c r="L136" i="9"/>
  <c r="X136" i="9" s="1"/>
  <c r="X558" i="9"/>
  <c r="X561" i="9" s="1"/>
  <c r="X59" i="9"/>
  <c r="X62" i="9" s="1"/>
  <c r="X754" i="9"/>
  <c r="X757" i="9" s="1"/>
  <c r="M77" i="9"/>
  <c r="Y77" i="9" s="1"/>
  <c r="X656" i="9"/>
  <c r="X659" i="9" s="1"/>
  <c r="X1048" i="9"/>
  <c r="X1051" i="9" s="1"/>
  <c r="X309" i="9"/>
  <c r="X312" i="9" s="1"/>
  <c r="Q83" i="9"/>
  <c r="AC83" i="9" s="1"/>
  <c r="H121" i="9"/>
  <c r="T121" i="9" s="1"/>
  <c r="X803" i="9"/>
  <c r="X806" i="9" s="1"/>
  <c r="L124" i="9"/>
  <c r="X124" i="9" s="1"/>
  <c r="L130" i="9"/>
  <c r="S116" i="9"/>
  <c r="X607" i="9"/>
  <c r="X610" i="9" s="1"/>
  <c r="X705" i="9"/>
  <c r="X708" i="9" s="1"/>
  <c r="X999" i="9"/>
  <c r="X1002" i="9" s="1"/>
  <c r="Q80" i="9"/>
  <c r="M86" i="9"/>
  <c r="Y86" i="9" s="1"/>
  <c r="H136" i="9"/>
  <c r="T136" i="9" s="1"/>
  <c r="X109" i="9"/>
  <c r="X112" i="9" s="1"/>
  <c r="L127" i="9"/>
  <c r="X127" i="9" s="1"/>
  <c r="X259" i="9"/>
  <c r="X262" i="9" s="1"/>
  <c r="X1489" i="9"/>
  <c r="L121" i="9"/>
  <c r="X121" i="9" s="1"/>
  <c r="X159" i="9"/>
  <c r="X162" i="9" s="1"/>
  <c r="X1146" i="9"/>
  <c r="X1149" i="9" s="1"/>
  <c r="X901" i="9"/>
  <c r="X904" i="9" s="1"/>
  <c r="X359" i="9"/>
  <c r="X362" i="9" s="1"/>
  <c r="H127" i="9"/>
  <c r="T127" i="9" s="1"/>
  <c r="K127" i="9"/>
  <c r="W127" i="9" s="1"/>
  <c r="X1244" i="9"/>
  <c r="X1247" i="9" s="1"/>
  <c r="X852" i="9"/>
  <c r="T111" i="9"/>
  <c r="S113" i="9"/>
  <c r="X1538" i="9"/>
  <c r="X1541" i="9"/>
  <c r="AH138" i="9"/>
  <c r="L133" i="9"/>
  <c r="X133" i="9" s="1"/>
  <c r="P133" i="9"/>
  <c r="AB133" i="9" s="1"/>
  <c r="X1391" i="9"/>
  <c r="X1394" i="9" s="1"/>
  <c r="X1440" i="9"/>
  <c r="X1443" i="9"/>
  <c r="X1342" i="9"/>
  <c r="X1345" i="9" s="1"/>
  <c r="O136" i="9"/>
  <c r="AA136" i="9" s="1"/>
  <c r="H130" i="9"/>
  <c r="AD333" i="2"/>
  <c r="AD327" i="2"/>
  <c r="AD321" i="2"/>
  <c r="AD329" i="2"/>
  <c r="AD336" i="2"/>
  <c r="AD324" i="2"/>
  <c r="AD318" i="2"/>
  <c r="AG317" i="2"/>
  <c r="AG318" i="2" s="1"/>
  <c r="AG67" i="9"/>
  <c r="H77" i="9"/>
  <c r="T77" i="9" s="1"/>
  <c r="AD1448" i="2"/>
  <c r="AG1446" i="2"/>
  <c r="AD1476" i="2"/>
  <c r="AG1476" i="2" s="1"/>
  <c r="O142" i="9"/>
  <c r="H74" i="9"/>
  <c r="T74" i="9" s="1"/>
  <c r="AD1350" i="2"/>
  <c r="AD1378" i="2"/>
  <c r="AG1378" i="2" s="1"/>
  <c r="AG1348" i="2"/>
  <c r="L161" i="9"/>
  <c r="H71" i="9"/>
  <c r="T71" i="9" s="1"/>
  <c r="N127" i="9"/>
  <c r="Z127" i="9" s="1"/>
  <c r="R95" i="9"/>
  <c r="AG95" i="9" s="1"/>
  <c r="AG96" i="9" s="1"/>
  <c r="AG95" i="2"/>
  <c r="AG96" i="2" s="1"/>
  <c r="Q86" i="9"/>
  <c r="AC86" i="9" s="1"/>
  <c r="Q142" i="9"/>
  <c r="Q127" i="9"/>
  <c r="AC127" i="9" s="1"/>
  <c r="Q136" i="9"/>
  <c r="AC136" i="9" s="1"/>
  <c r="Q133" i="9"/>
  <c r="AC133" i="9" s="1"/>
  <c r="R133" i="9"/>
  <c r="AD133" i="9" s="1"/>
  <c r="AG129" i="9"/>
  <c r="P80" i="9"/>
  <c r="P74" i="9"/>
  <c r="AB74" i="9" s="1"/>
  <c r="H86" i="9"/>
  <c r="T86" i="9" s="1"/>
  <c r="P77" i="9"/>
  <c r="AB77" i="9" s="1"/>
  <c r="Q173" i="9"/>
  <c r="N133" i="9"/>
  <c r="Z133" i="9" s="1"/>
  <c r="G189" i="9"/>
  <c r="G182" i="9"/>
  <c r="K136" i="9"/>
  <c r="W136" i="9" s="1"/>
  <c r="O173" i="9"/>
  <c r="I196" i="9"/>
  <c r="L189" i="9"/>
  <c r="AF163" i="9"/>
  <c r="G127" i="9"/>
  <c r="S127" i="9" s="1"/>
  <c r="AG126" i="9"/>
  <c r="AF167" i="9"/>
  <c r="K167" i="9"/>
  <c r="N165" i="9"/>
  <c r="R167" i="9"/>
  <c r="O188" i="9"/>
  <c r="AA188" i="9" s="1"/>
  <c r="AF174" i="9"/>
  <c r="AG79" i="9"/>
  <c r="H166" i="9"/>
  <c r="H196" i="9"/>
  <c r="I163" i="9"/>
  <c r="G163" i="9"/>
  <c r="N121" i="9"/>
  <c r="Z121" i="9" s="1"/>
  <c r="AF170" i="9"/>
  <c r="Q164" i="9"/>
  <c r="G165" i="9"/>
  <c r="G164" i="9"/>
  <c r="L195" i="9"/>
  <c r="P71" i="9"/>
  <c r="AB71" i="9" s="1"/>
  <c r="M83" i="9"/>
  <c r="Y83" i="9" s="1"/>
  <c r="N142" i="9"/>
  <c r="AF186" i="9"/>
  <c r="L173" i="9"/>
  <c r="M130" i="9"/>
  <c r="AF162" i="9"/>
  <c r="M71" i="9"/>
  <c r="Y71" i="9" s="1"/>
  <c r="AF183" i="9"/>
  <c r="I179" i="9"/>
  <c r="AF195" i="9"/>
  <c r="I188" i="9"/>
  <c r="U188" i="9" s="1"/>
  <c r="I176" i="9"/>
  <c r="I142" i="9"/>
  <c r="Q182" i="9"/>
  <c r="R162" i="9"/>
  <c r="J166" i="9"/>
  <c r="K188" i="9"/>
  <c r="W188" i="9" s="1"/>
  <c r="N182" i="9"/>
  <c r="H198" i="9"/>
  <c r="AF173" i="9"/>
  <c r="N191" i="9"/>
  <c r="V142" i="2"/>
  <c r="J141" i="9"/>
  <c r="J142" i="9" s="1"/>
  <c r="K170" i="9"/>
  <c r="K171" i="9" s="1"/>
  <c r="W171" i="9" s="1"/>
  <c r="AF196" i="9"/>
  <c r="AF164" i="9"/>
  <c r="P182" i="9"/>
  <c r="L164" i="9"/>
  <c r="M185" i="9"/>
  <c r="O133" i="9"/>
  <c r="AA133" i="9" s="1"/>
  <c r="O196" i="9"/>
  <c r="T92" i="2"/>
  <c r="H91" i="9"/>
  <c r="H92" i="9" s="1"/>
  <c r="K161" i="9"/>
  <c r="K182" i="9"/>
  <c r="P170" i="9"/>
  <c r="I182" i="9"/>
  <c r="Q185" i="9"/>
  <c r="Q188" i="9"/>
  <c r="AC188" i="9" s="1"/>
  <c r="P163" i="9"/>
  <c r="AF177" i="9"/>
  <c r="J173" i="9"/>
  <c r="K162" i="9"/>
  <c r="O165" i="9"/>
  <c r="H167" i="9"/>
  <c r="H177" i="9" s="1"/>
  <c r="T177" i="9" s="1"/>
  <c r="G196" i="9"/>
  <c r="N195" i="9"/>
  <c r="N173" i="9"/>
  <c r="R189" i="9"/>
  <c r="AG1299" i="2"/>
  <c r="AD1301" i="2"/>
  <c r="AD1329" i="2"/>
  <c r="H163" i="9"/>
  <c r="J176" i="9"/>
  <c r="L166" i="9"/>
  <c r="Q176" i="9"/>
  <c r="AG115" i="9"/>
  <c r="R176" i="9"/>
  <c r="M198" i="9"/>
  <c r="I161" i="9"/>
  <c r="O161" i="9"/>
  <c r="M80" i="9"/>
  <c r="G170" i="9"/>
  <c r="O164" i="9"/>
  <c r="O198" i="9"/>
  <c r="M195" i="9"/>
  <c r="M161" i="9"/>
  <c r="J182" i="9"/>
  <c r="Q191" i="9"/>
  <c r="Y92" i="2"/>
  <c r="M91" i="9"/>
  <c r="M92" i="9" s="1"/>
  <c r="P162" i="9"/>
  <c r="J195" i="9"/>
  <c r="AF171" i="9"/>
  <c r="G191" i="9"/>
  <c r="P188" i="9"/>
  <c r="AB188" i="9" s="1"/>
  <c r="Q195" i="9"/>
  <c r="O166" i="9"/>
  <c r="Q166" i="9"/>
  <c r="J189" i="9"/>
  <c r="H162" i="9"/>
  <c r="R191" i="9"/>
  <c r="O189" i="9"/>
  <c r="P185" i="9"/>
  <c r="L198" i="9"/>
  <c r="H195" i="9"/>
  <c r="K198" i="9"/>
  <c r="M167" i="9"/>
  <c r="J165" i="9"/>
  <c r="G173" i="9"/>
  <c r="R166" i="9"/>
  <c r="Q165" i="9"/>
  <c r="R161" i="9"/>
  <c r="S161" i="9" s="1"/>
  <c r="J162" i="9"/>
  <c r="R163" i="9"/>
  <c r="H165" i="9"/>
  <c r="P161" i="9"/>
  <c r="O185" i="9"/>
  <c r="O195" i="9"/>
  <c r="J191" i="9"/>
  <c r="M196" i="9"/>
  <c r="J179" i="9"/>
  <c r="G185" i="9"/>
  <c r="R179" i="9"/>
  <c r="H164" i="9"/>
  <c r="I185" i="9"/>
  <c r="R185" i="9"/>
  <c r="N189" i="9"/>
  <c r="H182" i="9"/>
  <c r="R182" i="9"/>
  <c r="R183" i="9" s="1"/>
  <c r="AD183" i="9" s="1"/>
  <c r="P191" i="9"/>
  <c r="R173" i="9"/>
  <c r="N164" i="9"/>
  <c r="I173" i="9"/>
  <c r="Q163" i="9"/>
  <c r="N161" i="9"/>
  <c r="Q162" i="9"/>
  <c r="K185" i="9"/>
  <c r="K186" i="9" s="1"/>
  <c r="W186" i="9" s="1"/>
  <c r="P198" i="9"/>
  <c r="H189" i="9"/>
  <c r="J185" i="9"/>
  <c r="I164" i="9"/>
  <c r="N179" i="9"/>
  <c r="G166" i="9"/>
  <c r="K196" i="9"/>
  <c r="AF166" i="9"/>
  <c r="K173" i="9"/>
  <c r="K174" i="9" s="1"/>
  <c r="W174" i="9" s="1"/>
  <c r="R198" i="9"/>
  <c r="M162" i="9"/>
  <c r="O179" i="9"/>
  <c r="I195" i="9"/>
  <c r="O167" i="9"/>
  <c r="G176" i="9"/>
  <c r="J167" i="9"/>
  <c r="I170" i="9"/>
  <c r="M191" i="9"/>
  <c r="M192" i="9" s="1"/>
  <c r="L163" i="9"/>
  <c r="G188" i="9"/>
  <c r="S188" i="9" s="1"/>
  <c r="K165" i="9"/>
  <c r="K176" i="9"/>
  <c r="K177" i="9" s="1"/>
  <c r="W177" i="9" s="1"/>
  <c r="G198" i="9"/>
  <c r="H188" i="9"/>
  <c r="T188" i="9" s="1"/>
  <c r="O162" i="9"/>
  <c r="K164" i="9"/>
  <c r="P195" i="9"/>
  <c r="R165" i="9"/>
  <c r="P189" i="9"/>
  <c r="Q198" i="9"/>
  <c r="AF182" i="9"/>
  <c r="I162" i="9"/>
  <c r="O182" i="9"/>
  <c r="N163" i="9"/>
  <c r="J170" i="9"/>
  <c r="O163" i="9"/>
  <c r="N162" i="9"/>
  <c r="H179" i="9"/>
  <c r="H173" i="9"/>
  <c r="J164" i="9"/>
  <c r="R170" i="9"/>
  <c r="R171" i="9" s="1"/>
  <c r="AD171" i="9" s="1"/>
  <c r="M165" i="9"/>
  <c r="N198" i="9"/>
  <c r="O170" i="9"/>
  <c r="K191" i="9"/>
  <c r="K192" i="9" s="1"/>
  <c r="G161" i="9"/>
  <c r="K163" i="9"/>
  <c r="L182" i="9"/>
  <c r="N176" i="9"/>
  <c r="AF188" i="9"/>
  <c r="M182" i="9"/>
  <c r="N188" i="9"/>
  <c r="Z188" i="9" s="1"/>
  <c r="G162" i="9"/>
  <c r="L176" i="9"/>
  <c r="J198" i="9"/>
  <c r="L165" i="9"/>
  <c r="L162" i="9"/>
  <c r="J161" i="9"/>
  <c r="P167" i="9"/>
  <c r="P183" i="9" s="1"/>
  <c r="AB183" i="9" s="1"/>
  <c r="G195" i="9"/>
  <c r="H191" i="9"/>
  <c r="G179" i="9"/>
  <c r="Q196" i="9"/>
  <c r="I191" i="9"/>
  <c r="Q161" i="9"/>
  <c r="N185" i="9"/>
  <c r="Q167" i="9"/>
  <c r="AF165" i="9"/>
  <c r="M166" i="9"/>
  <c r="L179" i="9"/>
  <c r="H185" i="9"/>
  <c r="N166" i="9"/>
  <c r="Q170" i="9"/>
  <c r="M176" i="9"/>
  <c r="M177" i="9" s="1"/>
  <c r="Y177" i="9" s="1"/>
  <c r="N170" i="9"/>
  <c r="L196" i="9"/>
  <c r="M173" i="9"/>
  <c r="M174" i="9" s="1"/>
  <c r="Y174" i="9" s="1"/>
  <c r="N167" i="9"/>
  <c r="N192" i="9" s="1"/>
  <c r="G167" i="9"/>
  <c r="K179" i="9"/>
  <c r="K180" i="9" s="1"/>
  <c r="R164" i="9"/>
  <c r="I189" i="9"/>
  <c r="M164" i="9"/>
  <c r="M189" i="9"/>
  <c r="M188" i="9"/>
  <c r="Y188" i="9" s="1"/>
  <c r="M179" i="9"/>
  <c r="O176" i="9"/>
  <c r="M163" i="9"/>
  <c r="AF161" i="9"/>
  <c r="P166" i="9"/>
  <c r="K166" i="9"/>
  <c r="K195" i="9"/>
  <c r="N196" i="9"/>
  <c r="L185" i="9"/>
  <c r="L188" i="9"/>
  <c r="X188" i="9" s="1"/>
  <c r="P173" i="9"/>
  <c r="R196" i="9"/>
  <c r="H161" i="9"/>
  <c r="I198" i="9"/>
  <c r="L167" i="9"/>
  <c r="R195" i="9"/>
  <c r="J188" i="9"/>
  <c r="V188" i="9" s="1"/>
  <c r="M170" i="9"/>
  <c r="I165" i="9"/>
  <c r="I167" i="9"/>
  <c r="J163" i="9"/>
  <c r="I166" i="9"/>
  <c r="P196" i="9"/>
  <c r="Q189" i="9"/>
  <c r="AD267" i="2"/>
  <c r="AG265" i="2"/>
  <c r="AD295" i="2"/>
  <c r="AH89" i="9"/>
  <c r="AG89" i="9"/>
  <c r="K189" i="9"/>
  <c r="AF141" i="9"/>
  <c r="R188" i="9"/>
  <c r="AD188" i="9" s="1"/>
  <c r="J196" i="9"/>
  <c r="H170" i="9"/>
  <c r="AF176" i="9"/>
  <c r="L170" i="9"/>
  <c r="P179" i="9"/>
  <c r="P164" i="9"/>
  <c r="L191" i="9"/>
  <c r="P176" i="9"/>
  <c r="AF185" i="9"/>
  <c r="O191" i="9"/>
  <c r="Q179" i="9"/>
  <c r="N124" i="9"/>
  <c r="Z124" i="9" s="1"/>
  <c r="J124" i="9"/>
  <c r="V124" i="9" s="1"/>
  <c r="I133" i="9"/>
  <c r="U133" i="9" s="1"/>
  <c r="G130" i="9"/>
  <c r="AG117" i="9"/>
  <c r="O124" i="9"/>
  <c r="AA124" i="9" s="1"/>
  <c r="K121" i="9"/>
  <c r="W121" i="9" s="1"/>
  <c r="M124" i="9"/>
  <c r="Y124" i="9" s="1"/>
  <c r="N130" i="9"/>
  <c r="G121" i="9"/>
  <c r="S121" i="9" s="1"/>
  <c r="AG120" i="9"/>
  <c r="Q124" i="9"/>
  <c r="AC124" i="9" s="1"/>
  <c r="O127" i="9"/>
  <c r="AA127" i="9" s="1"/>
  <c r="O130" i="9"/>
  <c r="AG145" i="9"/>
  <c r="R136" i="9"/>
  <c r="AD136" i="9" s="1"/>
  <c r="H124" i="9"/>
  <c r="T124" i="9" s="1"/>
  <c r="G133" i="9"/>
  <c r="S133" i="9" s="1"/>
  <c r="AG132" i="9"/>
  <c r="G136" i="9"/>
  <c r="S136" i="9" s="1"/>
  <c r="AG135" i="9"/>
  <c r="I124" i="9"/>
  <c r="U124" i="9" s="1"/>
  <c r="AG138" i="9"/>
  <c r="P130" i="9"/>
  <c r="J136" i="9"/>
  <c r="V136" i="9" s="1"/>
  <c r="R127" i="9"/>
  <c r="AD127" i="9" s="1"/>
  <c r="AG112" i="9"/>
  <c r="R142" i="9"/>
  <c r="P127" i="9"/>
  <c r="AB127" i="9" s="1"/>
  <c r="P142" i="9"/>
  <c r="K142" i="9"/>
  <c r="J130" i="9"/>
  <c r="M142" i="9"/>
  <c r="N136" i="9"/>
  <c r="Z136" i="9" s="1"/>
  <c r="AG113" i="9"/>
  <c r="K124" i="9"/>
  <c r="W124" i="9" s="1"/>
  <c r="J127" i="9"/>
  <c r="V127" i="9" s="1"/>
  <c r="M136" i="9"/>
  <c r="Y136" i="9" s="1"/>
  <c r="I127" i="9"/>
  <c r="U127" i="9" s="1"/>
  <c r="M133" i="9"/>
  <c r="Y133" i="9" s="1"/>
  <c r="G142" i="9"/>
  <c r="AG141" i="9"/>
  <c r="K130" i="9"/>
  <c r="J121" i="9"/>
  <c r="V121" i="9" s="1"/>
  <c r="AG123" i="9"/>
  <c r="R124" i="9"/>
  <c r="AD124" i="9" s="1"/>
  <c r="I136" i="9"/>
  <c r="U136" i="9" s="1"/>
  <c r="H142" i="9"/>
  <c r="Q130" i="9"/>
  <c r="I121" i="9"/>
  <c r="U121" i="9" s="1"/>
  <c r="O121" i="9"/>
  <c r="AA121" i="9" s="1"/>
  <c r="K133" i="9"/>
  <c r="W133" i="9" s="1"/>
  <c r="Q121" i="9"/>
  <c r="AC121" i="9" s="1"/>
  <c r="M121" i="9"/>
  <c r="Y121" i="9" s="1"/>
  <c r="R130" i="9"/>
  <c r="AG66" i="9"/>
  <c r="AG86" i="9"/>
  <c r="AG77" i="9"/>
  <c r="AG83" i="9"/>
  <c r="AG71" i="9"/>
  <c r="AG68" i="9"/>
  <c r="AG74" i="9"/>
  <c r="R92" i="9"/>
  <c r="AG16" i="9"/>
  <c r="AG36" i="9"/>
  <c r="AG27" i="9"/>
  <c r="AG33" i="9"/>
  <c r="AG18" i="9"/>
  <c r="AG24" i="9"/>
  <c r="AG21" i="9"/>
  <c r="AD42" i="2"/>
  <c r="R41" i="9"/>
  <c r="R30" i="9"/>
  <c r="AG29" i="9"/>
  <c r="AG30" i="9" s="1"/>
  <c r="AD1571" i="2"/>
  <c r="AD1522" i="2"/>
  <c r="AD1277" i="2"/>
  <c r="N294" i="11"/>
  <c r="M353" i="11"/>
  <c r="T41" i="8" s="1"/>
  <c r="N314" i="11"/>
  <c r="N312" i="11"/>
  <c r="O254" i="11"/>
  <c r="O313" i="11" s="1"/>
  <c r="N311" i="11"/>
  <c r="O130" i="11"/>
  <c r="O189" i="11" s="1"/>
  <c r="N176" i="11"/>
  <c r="P9" i="11"/>
  <c r="P245" i="11" s="1"/>
  <c r="N302" i="11"/>
  <c r="O146" i="11"/>
  <c r="O205" i="11" s="1"/>
  <c r="N321" i="11"/>
  <c r="P43" i="11"/>
  <c r="O158" i="11"/>
  <c r="O217" i="11" s="1"/>
  <c r="P54" i="11"/>
  <c r="N322" i="11"/>
  <c r="N319" i="11"/>
  <c r="N308" i="11"/>
  <c r="O148" i="11"/>
  <c r="O207" i="11" s="1"/>
  <c r="N309" i="11"/>
  <c r="N320" i="11"/>
  <c r="O167" i="11"/>
  <c r="O233" i="11" s="1"/>
  <c r="O165" i="11"/>
  <c r="O231" i="11" s="1"/>
  <c r="N304" i="11"/>
  <c r="P36" i="11"/>
  <c r="P272" i="11" s="1"/>
  <c r="P35" i="11"/>
  <c r="P271" i="11" s="1"/>
  <c r="P27" i="11"/>
  <c r="P263" i="11" s="1"/>
  <c r="P44" i="11"/>
  <c r="P37" i="11"/>
  <c r="P273" i="11" s="1"/>
  <c r="O243" i="11"/>
  <c r="O131" i="11"/>
  <c r="O190" i="11" s="1"/>
  <c r="P28" i="11"/>
  <c r="P264" i="11" s="1"/>
  <c r="P46" i="11"/>
  <c r="P13" i="11"/>
  <c r="P249" i="11" s="1"/>
  <c r="O274" i="11"/>
  <c r="O333" i="11" s="1"/>
  <c r="O138" i="11"/>
  <c r="O197" i="11" s="1"/>
  <c r="P42" i="11"/>
  <c r="P48" i="11"/>
  <c r="P21" i="11"/>
  <c r="P257" i="11" s="1"/>
  <c r="P52" i="11"/>
  <c r="P24" i="11"/>
  <c r="P142" i="11" s="1"/>
  <c r="P201" i="11" s="1"/>
  <c r="P17" i="11"/>
  <c r="P253" i="11" s="1"/>
  <c r="P51" i="11"/>
  <c r="O140" i="11"/>
  <c r="O199" i="11" s="1"/>
  <c r="O271" i="11"/>
  <c r="O330" i="11" s="1"/>
  <c r="P11" i="11"/>
  <c r="P247" i="11" s="1"/>
  <c r="P12" i="11"/>
  <c r="P130" i="11" s="1"/>
  <c r="P189" i="11" s="1"/>
  <c r="O147" i="11"/>
  <c r="O206" i="11" s="1"/>
  <c r="P15" i="11"/>
  <c r="P133" i="11" s="1"/>
  <c r="P192" i="11" s="1"/>
  <c r="P29" i="11"/>
  <c r="P265" i="11" s="1"/>
  <c r="P7" i="11"/>
  <c r="P243" i="11" s="1"/>
  <c r="O151" i="11"/>
  <c r="O210" i="11" s="1"/>
  <c r="P8" i="11"/>
  <c r="P244" i="11" s="1"/>
  <c r="P26" i="11"/>
  <c r="P144" i="11" s="1"/>
  <c r="P203" i="11" s="1"/>
  <c r="P33" i="11"/>
  <c r="P151" i="11" s="1"/>
  <c r="P210" i="11" s="1"/>
  <c r="P20" i="11"/>
  <c r="P256" i="11" s="1"/>
  <c r="P10" i="11"/>
  <c r="P246" i="11" s="1"/>
  <c r="N305" i="11"/>
  <c r="P39" i="11"/>
  <c r="P275" i="11" s="1"/>
  <c r="P34" i="11"/>
  <c r="P152" i="11" s="1"/>
  <c r="P211" i="11" s="1"/>
  <c r="P31" i="11"/>
  <c r="P149" i="11" s="1"/>
  <c r="P208" i="11" s="1"/>
  <c r="P41" i="11"/>
  <c r="P56" i="11"/>
  <c r="P49" i="11"/>
  <c r="P285" i="11" s="1"/>
  <c r="P45" i="11"/>
  <c r="P16" i="11"/>
  <c r="P134" i="11" s="1"/>
  <c r="P193" i="11" s="1"/>
  <c r="P25" i="11"/>
  <c r="P261" i="11" s="1"/>
  <c r="O128" i="11"/>
  <c r="O187" i="11" s="1"/>
  <c r="P18" i="11"/>
  <c r="P254" i="11" s="1"/>
  <c r="P23" i="11"/>
  <c r="P141" i="11" s="1"/>
  <c r="P200" i="11" s="1"/>
  <c r="P53" i="11"/>
  <c r="P38" i="11"/>
  <c r="P274" i="11" s="1"/>
  <c r="Q6" i="11"/>
  <c r="Q52" i="11" s="1"/>
  <c r="P22" i="11"/>
  <c r="P258" i="11" s="1"/>
  <c r="P40" i="11"/>
  <c r="P30" i="11"/>
  <c r="P266" i="11" s="1"/>
  <c r="O126" i="11"/>
  <c r="O185" i="11" s="1"/>
  <c r="P47" i="11"/>
  <c r="N306" i="11"/>
  <c r="P50" i="11"/>
  <c r="P55" i="11"/>
  <c r="O58" i="11"/>
  <c r="P32" i="11"/>
  <c r="P268" i="11" s="1"/>
  <c r="P19" i="11"/>
  <c r="P255" i="11" s="1"/>
  <c r="O142" i="11"/>
  <c r="O201" i="11" s="1"/>
  <c r="O150" i="11"/>
  <c r="O209" i="11" s="1"/>
  <c r="O135" i="11"/>
  <c r="O194" i="11" s="1"/>
  <c r="N307" i="11"/>
  <c r="O137" i="11"/>
  <c r="O196" i="11" s="1"/>
  <c r="O134" i="11"/>
  <c r="O193" i="11" s="1"/>
  <c r="O154" i="11"/>
  <c r="O213" i="11" s="1"/>
  <c r="O141" i="11"/>
  <c r="O200" i="11" s="1"/>
  <c r="O152" i="11"/>
  <c r="O211" i="11" s="1"/>
  <c r="O149" i="11"/>
  <c r="O208" i="11" s="1"/>
  <c r="N200" i="11"/>
  <c r="N235" i="11" s="1"/>
  <c r="O257" i="11"/>
  <c r="O316" i="11" s="1"/>
  <c r="O245" i="11"/>
  <c r="O304" i="11" s="1"/>
  <c r="O164" i="11"/>
  <c r="O230" i="11" s="1"/>
  <c r="O133" i="11"/>
  <c r="O192" i="11" s="1"/>
  <c r="N315" i="11"/>
  <c r="O144" i="11"/>
  <c r="O203" i="11" s="1"/>
  <c r="O155" i="11"/>
  <c r="O214" i="11" s="1"/>
  <c r="O143" i="11"/>
  <c r="O202" i="11" s="1"/>
  <c r="O132" i="11"/>
  <c r="O191" i="11" s="1"/>
  <c r="O234" i="11"/>
  <c r="O129" i="11"/>
  <c r="O188" i="11" s="1"/>
  <c r="N316" i="11"/>
  <c r="O145" i="11"/>
  <c r="O204" i="11" s="1"/>
  <c r="N310" i="11"/>
  <c r="P250" i="11"/>
  <c r="P132" i="11"/>
  <c r="P191" i="11" s="1"/>
  <c r="F73" i="8"/>
  <c r="G73" i="8"/>
  <c r="E50" i="1"/>
  <c r="E51" i="1" s="1"/>
  <c r="M368" i="4"/>
  <c r="J377" i="4"/>
  <c r="F50" i="1"/>
  <c r="F51" i="1" s="1"/>
  <c r="M369" i="4"/>
  <c r="M377" i="4" s="1"/>
  <c r="F122" i="1"/>
  <c r="F45" i="1"/>
  <c r="AG141" i="2"/>
  <c r="AG142" i="2" s="1"/>
  <c r="AF786" i="2"/>
  <c r="AF787" i="2" s="1"/>
  <c r="O80" i="2"/>
  <c r="O91" i="2"/>
  <c r="O92" i="2" s="1"/>
  <c r="AG491" i="2"/>
  <c r="AG492" i="2" s="1"/>
  <c r="S492" i="2"/>
  <c r="AG884" i="2"/>
  <c r="AG885" i="2" s="1"/>
  <c r="Y885" i="2"/>
  <c r="H983" i="2"/>
  <c r="I1118" i="2"/>
  <c r="I1129" i="2"/>
  <c r="AG1080" i="2"/>
  <c r="AG1081" i="2" s="1"/>
  <c r="T1081" i="2"/>
  <c r="H1081" i="2"/>
  <c r="P80" i="2"/>
  <c r="P91" i="2"/>
  <c r="P92" i="2" s="1"/>
  <c r="X80" i="2"/>
  <c r="X91" i="2"/>
  <c r="AF1325" i="2"/>
  <c r="AF1326" i="2" s="1"/>
  <c r="K1326" i="2"/>
  <c r="AG191" i="2"/>
  <c r="AG192" i="2" s="1"/>
  <c r="AC192" i="2"/>
  <c r="AG1178" i="2"/>
  <c r="AG1179" i="2" s="1"/>
  <c r="U1179" i="2"/>
  <c r="H280" i="2"/>
  <c r="H291" i="2"/>
  <c r="I192" i="2"/>
  <c r="AB80" i="2"/>
  <c r="AB91" i="2"/>
  <c r="W342" i="2"/>
  <c r="AG786" i="2"/>
  <c r="AG787" i="2" s="1"/>
  <c r="S787" i="2"/>
  <c r="AG1227" i="2"/>
  <c r="AG1228" i="2" s="1"/>
  <c r="S1228" i="2"/>
  <c r="L80" i="2"/>
  <c r="L91" i="2"/>
  <c r="L92" i="2" s="1"/>
  <c r="AF622" i="2"/>
  <c r="H628" i="2"/>
  <c r="H639" i="2"/>
  <c r="Q80" i="2"/>
  <c r="Q91" i="2"/>
  <c r="Q92" i="2" s="1"/>
  <c r="AG441" i="2"/>
  <c r="AG442" i="2" s="1"/>
  <c r="S442" i="2"/>
  <c r="AG391" i="2"/>
  <c r="AG392" i="2" s="1"/>
  <c r="T392" i="2"/>
  <c r="AF491" i="2"/>
  <c r="AF492" i="2" s="1"/>
  <c r="AF341" i="2"/>
  <c r="AF342" i="2" s="1"/>
  <c r="K342" i="2"/>
  <c r="AF1031" i="2"/>
  <c r="AF1032" i="2" s="1"/>
  <c r="J530" i="2"/>
  <c r="J541" i="2"/>
  <c r="J542" i="2" s="1"/>
  <c r="S80" i="2"/>
  <c r="S91" i="2"/>
  <c r="M80" i="2"/>
  <c r="M91" i="2"/>
  <c r="M92" i="2" s="1"/>
  <c r="I971" i="2"/>
  <c r="I982" i="2"/>
  <c r="I983" i="2" s="1"/>
  <c r="AC80" i="2"/>
  <c r="AC91" i="2"/>
  <c r="U80" i="2"/>
  <c r="U91" i="2"/>
  <c r="AF835" i="2"/>
  <c r="AF836" i="2" s="1"/>
  <c r="K836" i="2"/>
  <c r="AF1227" i="2"/>
  <c r="AF1228" i="2" s="1"/>
  <c r="H1228" i="2"/>
  <c r="H934" i="2"/>
  <c r="AF933" i="2"/>
  <c r="AF934" i="2" s="1"/>
  <c r="AG1031" i="2"/>
  <c r="AG1032" i="2" s="1"/>
  <c r="S1032" i="2"/>
  <c r="I80" i="2"/>
  <c r="I91" i="2"/>
  <c r="I92" i="2" s="1"/>
  <c r="AF884" i="2"/>
  <c r="AF885" i="2" s="1"/>
  <c r="S1473" i="2"/>
  <c r="H92" i="2"/>
  <c r="AG933" i="2"/>
  <c r="AG934" i="2" s="1"/>
  <c r="S934" i="2"/>
  <c r="AA80" i="2"/>
  <c r="AA91" i="2"/>
  <c r="L1069" i="2"/>
  <c r="L1080" i="2"/>
  <c r="L1081" i="2" s="1"/>
  <c r="AG1570" i="2"/>
  <c r="AG1571" i="2" s="1"/>
  <c r="AF1178" i="2"/>
  <c r="AF1179" i="2" s="1"/>
  <c r="I1179" i="2"/>
  <c r="W1326" i="2"/>
  <c r="I677" i="2"/>
  <c r="I688" i="2"/>
  <c r="U1375" i="2"/>
  <c r="AF391" i="2"/>
  <c r="AF392" i="2" s="1"/>
  <c r="H392" i="2"/>
  <c r="AG639" i="2"/>
  <c r="AG640" i="2" s="1"/>
  <c r="S640" i="2"/>
  <c r="J80" i="2"/>
  <c r="J91" i="2"/>
  <c r="J92" i="2" s="1"/>
  <c r="AF1472" i="2"/>
  <c r="AF1473" i="2" s="1"/>
  <c r="H1473" i="2"/>
  <c r="K80" i="2"/>
  <c r="K91" i="2"/>
  <c r="K92" i="2" s="1"/>
  <c r="AG1521" i="2"/>
  <c r="AG1522" i="2" s="1"/>
  <c r="S1522" i="2"/>
  <c r="AF1276" i="2"/>
  <c r="AF1277" i="2" s="1"/>
  <c r="AF1521" i="2"/>
  <c r="AF1522" i="2" s="1"/>
  <c r="AF441" i="2"/>
  <c r="AF442" i="2" s="1"/>
  <c r="K442" i="2"/>
  <c r="AF1374" i="2"/>
  <c r="AF1375" i="2" s="1"/>
  <c r="H1375" i="2"/>
  <c r="W80" i="2"/>
  <c r="W91" i="2"/>
  <c r="AF1570" i="2"/>
  <c r="AF1571" i="2" s="1"/>
  <c r="H1571" i="2"/>
  <c r="S292" i="2"/>
  <c r="Z80" i="2"/>
  <c r="Z91" i="2"/>
  <c r="U1461" i="2"/>
  <c r="U1472" i="2"/>
  <c r="U1473" i="2" s="1"/>
  <c r="I726" i="2"/>
  <c r="I737" i="2"/>
  <c r="V80" i="2"/>
  <c r="V91" i="2"/>
  <c r="R80" i="2"/>
  <c r="R91" i="2"/>
  <c r="R92" i="2" s="1"/>
  <c r="M180" i="2"/>
  <c r="M191" i="2"/>
  <c r="M192" i="2" s="1"/>
  <c r="AG835" i="2"/>
  <c r="AG836" i="2" s="1"/>
  <c r="W836" i="2"/>
  <c r="AG1276" i="2"/>
  <c r="AG1277" i="2" s="1"/>
  <c r="N80" i="2"/>
  <c r="N91" i="2"/>
  <c r="N92" i="2" s="1"/>
  <c r="K536" i="2"/>
  <c r="AF1066" i="2"/>
  <c r="AF1063" i="2"/>
  <c r="AF619" i="2"/>
  <c r="AF179" i="2"/>
  <c r="K521" i="2"/>
  <c r="K533" i="2"/>
  <c r="AG41" i="2"/>
  <c r="AG42" i="2" s="1"/>
  <c r="S42" i="2"/>
  <c r="AF41" i="2"/>
  <c r="AF42" i="2" s="1"/>
  <c r="AG1057" i="2"/>
  <c r="AF1075" i="2"/>
  <c r="AG79" i="2"/>
  <c r="AG80" i="2" s="1"/>
  <c r="J668" i="2"/>
  <c r="K529" i="2"/>
  <c r="K527" i="2"/>
  <c r="K524" i="2"/>
  <c r="AF1060" i="2"/>
  <c r="AF627" i="2"/>
  <c r="AF628" i="2" s="1"/>
  <c r="J965" i="2"/>
  <c r="J968" i="2"/>
  <c r="J962" i="2"/>
  <c r="J671" i="2"/>
  <c r="J713" i="2"/>
  <c r="J717" i="2" s="1"/>
  <c r="AG71" i="2"/>
  <c r="AF1068" i="2"/>
  <c r="AF1069" i="2" s="1"/>
  <c r="AG77" i="2"/>
  <c r="AF631" i="2"/>
  <c r="J680" i="2"/>
  <c r="AF625" i="2"/>
  <c r="J683" i="2"/>
  <c r="L517" i="2"/>
  <c r="K958" i="2"/>
  <c r="J676" i="2"/>
  <c r="J674" i="2"/>
  <c r="J977" i="2"/>
  <c r="K1105" i="2"/>
  <c r="J1117" i="2"/>
  <c r="J974" i="2"/>
  <c r="J1115" i="2"/>
  <c r="J1124" i="2"/>
  <c r="AG74" i="2"/>
  <c r="K664" i="2"/>
  <c r="K683" i="2" s="1"/>
  <c r="K713" i="2"/>
  <c r="J1121" i="2"/>
  <c r="AG616" i="2"/>
  <c r="AG86" i="2"/>
  <c r="J1112" i="2"/>
  <c r="J1109" i="2"/>
  <c r="J970" i="2"/>
  <c r="AG486" i="2"/>
  <c r="AF486" i="2"/>
  <c r="AF86" i="2"/>
  <c r="AF86" i="9" s="1"/>
  <c r="AF1271" i="2"/>
  <c r="AF1467" i="2"/>
  <c r="AF1026" i="2"/>
  <c r="AF1366" i="2"/>
  <c r="AF1369" i="2"/>
  <c r="AF1562" i="2"/>
  <c r="AF1565" i="2"/>
  <c r="AF925" i="2"/>
  <c r="AF928" i="2"/>
  <c r="AF778" i="2"/>
  <c r="AF781" i="2"/>
  <c r="AG1023" i="2"/>
  <c r="AG1026" i="2"/>
  <c r="AF79" i="2"/>
  <c r="AF433" i="2"/>
  <c r="AF436" i="2"/>
  <c r="AF1170" i="2"/>
  <c r="AF1173" i="2"/>
  <c r="AF283" i="2"/>
  <c r="AF286" i="2"/>
  <c r="AF279" i="2"/>
  <c r="AF280" i="2" s="1"/>
  <c r="AG1268" i="2"/>
  <c r="AG1271" i="2"/>
  <c r="AF1317" i="2"/>
  <c r="AF1320" i="2"/>
  <c r="AF333" i="2"/>
  <c r="AF336" i="2"/>
  <c r="AG876" i="2"/>
  <c r="AG879" i="2"/>
  <c r="AF827" i="2"/>
  <c r="AF830" i="2"/>
  <c r="F57" i="1"/>
  <c r="F33" i="1"/>
  <c r="F30" i="1"/>
  <c r="AF1262" i="2"/>
  <c r="AF1268" i="2"/>
  <c r="F21" i="1"/>
  <c r="F26" i="1"/>
  <c r="AG477" i="2"/>
  <c r="AG483" i="2"/>
  <c r="AF1458" i="2"/>
  <c r="AF1464" i="2"/>
  <c r="F18" i="1"/>
  <c r="F42" i="1"/>
  <c r="F24" i="1"/>
  <c r="AF477" i="2"/>
  <c r="AF483" i="2"/>
  <c r="AF77" i="2"/>
  <c r="AF77" i="9" s="1"/>
  <c r="AF83" i="2"/>
  <c r="AF83" i="9" s="1"/>
  <c r="AF1017" i="2"/>
  <c r="AF1023" i="2"/>
  <c r="AF1019" i="2"/>
  <c r="AF1020" i="2" s="1"/>
  <c r="H1020" i="2"/>
  <c r="AF1313" i="2"/>
  <c r="AF1314" i="2" s="1"/>
  <c r="J1314" i="2"/>
  <c r="AF1460" i="2"/>
  <c r="AF1461" i="2" s="1"/>
  <c r="O1461" i="2"/>
  <c r="AF1558" i="2"/>
  <c r="AF1559" i="2" s="1"/>
  <c r="M1559" i="2"/>
  <c r="AG872" i="2"/>
  <c r="AG873" i="2" s="1"/>
  <c r="V873" i="2"/>
  <c r="AF1166" i="2"/>
  <c r="AF1167" i="2" s="1"/>
  <c r="O1167" i="2"/>
  <c r="AG479" i="2"/>
  <c r="AG480" i="2" s="1"/>
  <c r="T480" i="2"/>
  <c r="AF429" i="2"/>
  <c r="AF430" i="2" s="1"/>
  <c r="Q430" i="2"/>
  <c r="AF921" i="2"/>
  <c r="AF922" i="2" s="1"/>
  <c r="M922" i="2"/>
  <c r="AG1019" i="2"/>
  <c r="AG1020" i="2" s="1"/>
  <c r="X1020" i="2"/>
  <c r="AG1264" i="2"/>
  <c r="AG1265" i="2" s="1"/>
  <c r="W1265" i="2"/>
  <c r="AF329" i="2"/>
  <c r="AF330" i="2" s="1"/>
  <c r="M330" i="2"/>
  <c r="AF823" i="2"/>
  <c r="AF824" i="2" s="1"/>
  <c r="L824" i="2"/>
  <c r="AF479" i="2"/>
  <c r="AF480" i="2" s="1"/>
  <c r="M480" i="2"/>
  <c r="AF774" i="2"/>
  <c r="AF775" i="2" s="1"/>
  <c r="H775" i="2"/>
  <c r="AF1264" i="2"/>
  <c r="AF1265" i="2" s="1"/>
  <c r="J1265" i="2"/>
  <c r="AF1362" i="2"/>
  <c r="AF1363" i="2" s="1"/>
  <c r="I1363" i="2"/>
  <c r="AF274" i="2"/>
  <c r="AF277" i="2"/>
  <c r="AF1161" i="2"/>
  <c r="AF1164" i="2"/>
  <c r="AF769" i="2"/>
  <c r="AF772" i="2"/>
  <c r="AG68" i="2"/>
  <c r="AG1259" i="2"/>
  <c r="AG1262" i="2"/>
  <c r="AF1308" i="2"/>
  <c r="AF1311" i="2"/>
  <c r="AF324" i="2"/>
  <c r="AF327" i="2"/>
  <c r="AG867" i="2"/>
  <c r="AG870" i="2"/>
  <c r="AF424" i="2"/>
  <c r="AF427" i="2"/>
  <c r="AF916" i="2"/>
  <c r="AF919" i="2"/>
  <c r="AF818" i="2"/>
  <c r="AF821" i="2"/>
  <c r="AF1553" i="2"/>
  <c r="AF1556" i="2"/>
  <c r="AF1357" i="2"/>
  <c r="AF1360" i="2"/>
  <c r="AG1014" i="2"/>
  <c r="AG1017" i="2"/>
  <c r="AG471" i="2"/>
  <c r="AG474" i="2"/>
  <c r="AF1452" i="2"/>
  <c r="AF1455" i="2"/>
  <c r="AF1011" i="2"/>
  <c r="AF1014" i="2"/>
  <c r="AF471" i="2"/>
  <c r="AF474" i="2"/>
  <c r="AF71" i="2"/>
  <c r="AF71" i="9" s="1"/>
  <c r="AF74" i="2"/>
  <c r="AF74" i="9" s="1"/>
  <c r="AF1256" i="2"/>
  <c r="AF1259" i="2"/>
  <c r="AG763" i="2"/>
  <c r="AF766" i="2"/>
  <c r="AG1008" i="2"/>
  <c r="AG1011" i="2"/>
  <c r="AF1354" i="2"/>
  <c r="AG418" i="2"/>
  <c r="AF421" i="2"/>
  <c r="AF271" i="2"/>
  <c r="AG910" i="2"/>
  <c r="AF913" i="2"/>
  <c r="AG1253" i="2"/>
  <c r="AG1256" i="2"/>
  <c r="AF1305" i="2"/>
  <c r="AF321" i="2"/>
  <c r="AG861" i="2"/>
  <c r="AG864" i="2"/>
  <c r="AG1547" i="2"/>
  <c r="AF1550" i="2"/>
  <c r="AG1155" i="2"/>
  <c r="AF1158" i="2"/>
  <c r="AG812" i="2"/>
  <c r="AF815" i="2"/>
  <c r="AG468" i="2"/>
  <c r="E24" i="1"/>
  <c r="E57" i="1"/>
  <c r="E30" i="1"/>
  <c r="E26" i="1"/>
  <c r="E38" i="1" s="1"/>
  <c r="E45" i="1"/>
  <c r="E33" i="1"/>
  <c r="E42" i="1"/>
  <c r="E18" i="1"/>
  <c r="E21" i="1"/>
  <c r="M707" i="2"/>
  <c r="L709" i="2"/>
  <c r="L711" i="2" s="1"/>
  <c r="L741" i="2" s="1"/>
  <c r="M1099" i="2"/>
  <c r="L1101" i="2"/>
  <c r="L1103" i="2" s="1"/>
  <c r="L1133" i="2" s="1"/>
  <c r="N511" i="2"/>
  <c r="M513" i="2"/>
  <c r="M515" i="2" s="1"/>
  <c r="M545" i="2" s="1"/>
  <c r="M952" i="2"/>
  <c r="L954" i="2"/>
  <c r="L956" i="2" s="1"/>
  <c r="L986" i="2" s="1"/>
  <c r="M658" i="2"/>
  <c r="L660" i="2"/>
  <c r="L662" i="2" s="1"/>
  <c r="L692" i="2" s="1"/>
  <c r="M314" i="4"/>
  <c r="L188" i="4"/>
  <c r="K224" i="4"/>
  <c r="M174" i="4"/>
  <c r="M237" i="4"/>
  <c r="M158" i="4"/>
  <c r="M221" i="4" s="1"/>
  <c r="M184" i="4"/>
  <c r="M247" i="4" s="1"/>
  <c r="M155" i="4"/>
  <c r="M218" i="4" s="1"/>
  <c r="M151" i="4"/>
  <c r="M214" i="4" s="1"/>
  <c r="M140" i="4"/>
  <c r="M203" i="4" s="1"/>
  <c r="M152" i="4"/>
  <c r="M215" i="4" s="1"/>
  <c r="M148" i="4"/>
  <c r="M211" i="4" s="1"/>
  <c r="M182" i="4"/>
  <c r="M245" i="4" s="1"/>
  <c r="M168" i="4"/>
  <c r="M231" i="4" s="1"/>
  <c r="M159" i="4"/>
  <c r="M222" i="4" s="1"/>
  <c r="M142" i="4"/>
  <c r="M205" i="4" s="1"/>
  <c r="M178" i="4"/>
  <c r="M241" i="4"/>
  <c r="M186" i="4"/>
  <c r="M249" i="4" s="1"/>
  <c r="M176" i="4"/>
  <c r="M239" i="4" s="1"/>
  <c r="M141" i="4"/>
  <c r="M204" i="4" s="1"/>
  <c r="M172" i="4"/>
  <c r="M235" i="4" s="1"/>
  <c r="M138" i="4"/>
  <c r="M201" i="4"/>
  <c r="M136" i="4"/>
  <c r="M199" i="4"/>
  <c r="M180" i="4"/>
  <c r="M243" i="4" s="1"/>
  <c r="M147" i="4"/>
  <c r="M210" i="4" s="1"/>
  <c r="M179" i="4"/>
  <c r="M242" i="4" s="1"/>
  <c r="M146" i="4"/>
  <c r="M209" i="4" s="1"/>
  <c r="M153" i="4"/>
  <c r="M216" i="4" s="1"/>
  <c r="M164" i="4"/>
  <c r="M227" i="4" s="1"/>
  <c r="M187" i="4"/>
  <c r="M250" i="4" s="1"/>
  <c r="M135" i="4"/>
  <c r="M198" i="4" s="1"/>
  <c r="M171" i="4"/>
  <c r="M234" i="4" s="1"/>
  <c r="M137" i="4"/>
  <c r="M200" i="4" s="1"/>
  <c r="M133" i="4"/>
  <c r="M196" i="4" s="1"/>
  <c r="M144" i="4"/>
  <c r="M207" i="4" s="1"/>
  <c r="M175" i="4"/>
  <c r="M238" i="4" s="1"/>
  <c r="M163" i="4"/>
  <c r="M226" i="4" s="1"/>
  <c r="M162" i="4"/>
  <c r="M225" i="4"/>
  <c r="M181" i="4"/>
  <c r="M244" i="4"/>
  <c r="M149" i="4"/>
  <c r="M212" i="4" s="1"/>
  <c r="M165" i="4"/>
  <c r="M228" i="4" s="1"/>
  <c r="M150" i="4"/>
  <c r="M213" i="4" s="1"/>
  <c r="M185" i="4"/>
  <c r="M248" i="4" s="1"/>
  <c r="M167" i="4"/>
  <c r="M230" i="4" s="1"/>
  <c r="M177" i="4"/>
  <c r="M240" i="4"/>
  <c r="M134" i="4"/>
  <c r="M197" i="4" s="1"/>
  <c r="M154" i="4"/>
  <c r="M217" i="4"/>
  <c r="M156" i="4"/>
  <c r="M219" i="4" s="1"/>
  <c r="M143" i="4"/>
  <c r="M206" i="4" s="1"/>
  <c r="M166" i="4"/>
  <c r="M229" i="4" s="1"/>
  <c r="M169" i="4"/>
  <c r="M232" i="4" s="1"/>
  <c r="M145" i="4"/>
  <c r="M208" i="4" s="1"/>
  <c r="M157" i="4"/>
  <c r="M220" i="4"/>
  <c r="M173" i="4"/>
  <c r="M236" i="4" s="1"/>
  <c r="M160" i="4"/>
  <c r="M223" i="4" s="1"/>
  <c r="J224" i="4"/>
  <c r="M139" i="4"/>
  <c r="M202" i="4" s="1"/>
  <c r="M170" i="4"/>
  <c r="M233" i="4" s="1"/>
  <c r="M183" i="4"/>
  <c r="M246" i="4" s="1"/>
  <c r="O69" i="4"/>
  <c r="M62" i="4"/>
  <c r="M125" i="4"/>
  <c r="O6" i="4"/>
  <c r="N43" i="4"/>
  <c r="N295" i="4" s="1"/>
  <c r="N358" i="4" s="1"/>
  <c r="N38" i="4"/>
  <c r="N290" i="4" s="1"/>
  <c r="N353" i="4" s="1"/>
  <c r="N8" i="4"/>
  <c r="N260" i="4" s="1"/>
  <c r="N323" i="4" s="1"/>
  <c r="N57" i="4"/>
  <c r="N309" i="4" s="1"/>
  <c r="N372" i="4" s="1"/>
  <c r="N12" i="4"/>
  <c r="N264" i="4" s="1"/>
  <c r="N327" i="4" s="1"/>
  <c r="N10" i="4"/>
  <c r="N262" i="4" s="1"/>
  <c r="N325" i="4" s="1"/>
  <c r="N17" i="4"/>
  <c r="N269" i="4" s="1"/>
  <c r="N332" i="4" s="1"/>
  <c r="N33" i="4"/>
  <c r="N285" i="4" s="1"/>
  <c r="N348" i="4" s="1"/>
  <c r="N13" i="4"/>
  <c r="N265" i="4" s="1"/>
  <c r="N328" i="4" s="1"/>
  <c r="N58" i="4"/>
  <c r="N310" i="4" s="1"/>
  <c r="N373" i="4" s="1"/>
  <c r="N46" i="4"/>
  <c r="N298" i="4" s="1"/>
  <c r="N361" i="4" s="1"/>
  <c r="N27" i="4"/>
  <c r="N279" i="4" s="1"/>
  <c r="N342" i="4" s="1"/>
  <c r="N25" i="4"/>
  <c r="N277" i="4" s="1"/>
  <c r="N340" i="4" s="1"/>
  <c r="N50" i="4"/>
  <c r="N302" i="4" s="1"/>
  <c r="N365" i="4" s="1"/>
  <c r="N19" i="4"/>
  <c r="N271" i="4" s="1"/>
  <c r="N334" i="4" s="1"/>
  <c r="N28" i="4"/>
  <c r="N280" i="4" s="1"/>
  <c r="N343" i="4" s="1"/>
  <c r="N51" i="4"/>
  <c r="N303" i="4" s="1"/>
  <c r="N366" i="4" s="1"/>
  <c r="N24" i="4"/>
  <c r="N276" i="4" s="1"/>
  <c r="N339" i="4" s="1"/>
  <c r="N56" i="4"/>
  <c r="N308" i="4" s="1"/>
  <c r="N371" i="4" s="1"/>
  <c r="N37" i="4"/>
  <c r="N289" i="4" s="1"/>
  <c r="N352" i="4" s="1"/>
  <c r="N61" i="4"/>
  <c r="N313" i="4" s="1"/>
  <c r="N376" i="4" s="1"/>
  <c r="N60" i="4"/>
  <c r="N312" i="4" s="1"/>
  <c r="N375" i="4" s="1"/>
  <c r="N35" i="4"/>
  <c r="N287" i="4" s="1"/>
  <c r="N350" i="4" s="1"/>
  <c r="N42" i="4"/>
  <c r="N294" i="4" s="1"/>
  <c r="N357" i="4" s="1"/>
  <c r="N34" i="4"/>
  <c r="N286" i="4" s="1"/>
  <c r="N349" i="4" s="1"/>
  <c r="N20" i="4"/>
  <c r="N272" i="4" s="1"/>
  <c r="N335" i="4" s="1"/>
  <c r="N48" i="4"/>
  <c r="N300" i="4" s="1"/>
  <c r="N363" i="4" s="1"/>
  <c r="N16" i="4"/>
  <c r="N268" i="4" s="1"/>
  <c r="N331" i="4" s="1"/>
  <c r="N21" i="4"/>
  <c r="N273" i="4" s="1"/>
  <c r="N336" i="4" s="1"/>
  <c r="N18" i="4"/>
  <c r="N270" i="4" s="1"/>
  <c r="N333" i="4" s="1"/>
  <c r="N52" i="4"/>
  <c r="N304" i="4" s="1"/>
  <c r="O304" i="4" s="1"/>
  <c r="O367" i="4" s="1"/>
  <c r="N23" i="4"/>
  <c r="N275" i="4" s="1"/>
  <c r="N338" i="4" s="1"/>
  <c r="N39" i="4"/>
  <c r="N291" i="4" s="1"/>
  <c r="N354" i="4" s="1"/>
  <c r="N54" i="4"/>
  <c r="N306" i="4" s="1"/>
  <c r="N369" i="4" s="1"/>
  <c r="N40" i="4"/>
  <c r="N292" i="4" s="1"/>
  <c r="N355" i="4" s="1"/>
  <c r="N30" i="4"/>
  <c r="N282" i="4" s="1"/>
  <c r="N345" i="4" s="1"/>
  <c r="N32" i="4"/>
  <c r="N284" i="4" s="1"/>
  <c r="N347" i="4" s="1"/>
  <c r="N44" i="4"/>
  <c r="N296" i="4" s="1"/>
  <c r="N359" i="4" s="1"/>
  <c r="N31" i="4"/>
  <c r="N283" i="4" s="1"/>
  <c r="N346" i="4" s="1"/>
  <c r="N36" i="4"/>
  <c r="N288" i="4" s="1"/>
  <c r="N351" i="4" s="1"/>
  <c r="N53" i="4"/>
  <c r="N305" i="4" s="1"/>
  <c r="N368" i="4" s="1"/>
  <c r="N22" i="4"/>
  <c r="N274" i="4" s="1"/>
  <c r="N337" i="4" s="1"/>
  <c r="N55" i="4"/>
  <c r="N307" i="4" s="1"/>
  <c r="N370" i="4" s="1"/>
  <c r="N15" i="4"/>
  <c r="N267" i="4" s="1"/>
  <c r="N330" i="4" s="1"/>
  <c r="N26" i="4"/>
  <c r="N278" i="4" s="1"/>
  <c r="N341" i="4" s="1"/>
  <c r="N45" i="4"/>
  <c r="N297" i="4" s="1"/>
  <c r="N360" i="4" s="1"/>
  <c r="N41" i="4"/>
  <c r="N293" i="4" s="1"/>
  <c r="N356" i="4" s="1"/>
  <c r="N11" i="4"/>
  <c r="N263" i="4" s="1"/>
  <c r="N326" i="4" s="1"/>
  <c r="N47" i="4"/>
  <c r="N299" i="4" s="1"/>
  <c r="N362" i="4" s="1"/>
  <c r="N49" i="4"/>
  <c r="N301" i="4" s="1"/>
  <c r="N364" i="4" s="1"/>
  <c r="N7" i="4"/>
  <c r="N259" i="4" s="1"/>
  <c r="N322" i="4" s="1"/>
  <c r="N9" i="4"/>
  <c r="N261" i="4" s="1"/>
  <c r="N324" i="4" s="1"/>
  <c r="N59" i="4"/>
  <c r="N311" i="4" s="1"/>
  <c r="N374" i="4" s="1"/>
  <c r="N14" i="4"/>
  <c r="N266" i="4" s="1"/>
  <c r="N329" i="4" s="1"/>
  <c r="N29" i="4"/>
  <c r="N281" i="4" s="1"/>
  <c r="N344" i="4" s="1"/>
  <c r="B211" i="2"/>
  <c r="C211" i="2" s="1"/>
  <c r="L211" i="9" s="1"/>
  <c r="B246" i="2"/>
  <c r="C246" i="2" s="1"/>
  <c r="B235" i="2"/>
  <c r="C235" i="2" s="1"/>
  <c r="B223" i="2"/>
  <c r="C223" i="2" s="1"/>
  <c r="B210" i="2"/>
  <c r="B234" i="2"/>
  <c r="C234" i="2" s="1"/>
  <c r="B222" i="2"/>
  <c r="C222" i="2" s="1"/>
  <c r="B241" i="2"/>
  <c r="C241" i="2" s="1"/>
  <c r="B230" i="2"/>
  <c r="C230" i="2" s="1"/>
  <c r="B240" i="2"/>
  <c r="C240" i="2" s="1"/>
  <c r="B216" i="2"/>
  <c r="C216" i="2" s="1"/>
  <c r="B209" i="2"/>
  <c r="B238" i="2"/>
  <c r="C238" i="2" s="1"/>
  <c r="B226" i="2"/>
  <c r="C226" i="2" s="1"/>
  <c r="B213" i="2"/>
  <c r="C213" i="2" s="1"/>
  <c r="B208" i="2"/>
  <c r="B237" i="2"/>
  <c r="C237" i="2" s="1"/>
  <c r="B225" i="2"/>
  <c r="C225" i="2" s="1"/>
  <c r="B207" i="2"/>
  <c r="B245" i="2"/>
  <c r="C245" i="2" s="1"/>
  <c r="B244" i="2"/>
  <c r="C244" i="2" s="1"/>
  <c r="B233" i="2"/>
  <c r="C233" i="2" s="1"/>
  <c r="B221" i="2"/>
  <c r="C221" i="2" s="1"/>
  <c r="B206" i="2"/>
  <c r="B243" i="2"/>
  <c r="C243" i="2" s="1"/>
  <c r="B229" i="2"/>
  <c r="C229" i="2" s="1"/>
  <c r="B218" i="2"/>
  <c r="C218" i="2" s="1"/>
  <c r="B205" i="2"/>
  <c r="B228" i="2"/>
  <c r="C228" i="2" s="1"/>
  <c r="B215" i="2"/>
  <c r="C215" i="2" s="1"/>
  <c r="B203" i="2"/>
  <c r="B247" i="2"/>
  <c r="C247" i="2" s="1"/>
  <c r="B224" i="2"/>
  <c r="C224" i="2" s="1"/>
  <c r="B248" i="2"/>
  <c r="C248" i="2" s="1"/>
  <c r="B212" i="2"/>
  <c r="C212" i="2" s="1"/>
  <c r="B236" i="2"/>
  <c r="C236" i="2" s="1"/>
  <c r="B232" i="2"/>
  <c r="C232" i="2" s="1"/>
  <c r="B220" i="2"/>
  <c r="C220" i="2" s="1"/>
  <c r="B242" i="2"/>
  <c r="C242" i="2" s="1"/>
  <c r="B231" i="2"/>
  <c r="C231" i="2" s="1"/>
  <c r="B219" i="2"/>
  <c r="C219" i="2" s="1"/>
  <c r="B217" i="2"/>
  <c r="C217" i="2" s="1"/>
  <c r="B239" i="2"/>
  <c r="C239" i="2" s="1"/>
  <c r="B227" i="2"/>
  <c r="C227" i="2" s="1"/>
  <c r="B214" i="2"/>
  <c r="C214" i="2" s="1"/>
  <c r="O220" i="11" l="1"/>
  <c r="O224" i="11"/>
  <c r="O342" i="11"/>
  <c r="O345" i="11"/>
  <c r="O329" i="11"/>
  <c r="O343" i="11"/>
  <c r="O225" i="11"/>
  <c r="O334" i="11"/>
  <c r="O335" i="11"/>
  <c r="O351" i="11"/>
  <c r="O331" i="11"/>
  <c r="H174" i="9"/>
  <c r="T174" i="9" s="1"/>
  <c r="O218" i="9"/>
  <c r="R218" i="9"/>
  <c r="H218" i="9"/>
  <c r="I218" i="9"/>
  <c r="V16" i="9"/>
  <c r="U46" i="9"/>
  <c r="L218" i="9"/>
  <c r="H211" i="9"/>
  <c r="Q218" i="9"/>
  <c r="K218" i="9"/>
  <c r="M218" i="9"/>
  <c r="N218" i="9"/>
  <c r="G218" i="9"/>
  <c r="P218" i="9"/>
  <c r="J218" i="9"/>
  <c r="O325" i="11"/>
  <c r="O332" i="11"/>
  <c r="P160" i="11"/>
  <c r="P226" i="11" s="1"/>
  <c r="P278" i="11"/>
  <c r="P337" i="11" s="1"/>
  <c r="P158" i="11"/>
  <c r="P217" i="11" s="1"/>
  <c r="P276" i="11"/>
  <c r="P172" i="11"/>
  <c r="P290" i="11"/>
  <c r="P349" i="11" s="1"/>
  <c r="O324" i="11"/>
  <c r="P165" i="11"/>
  <c r="P231" i="11" s="1"/>
  <c r="P224" i="11"/>
  <c r="P283" i="11"/>
  <c r="P342" i="11" s="1"/>
  <c r="O348" i="11"/>
  <c r="P170" i="11"/>
  <c r="P288" i="11"/>
  <c r="P347" i="11" s="1"/>
  <c r="P284" i="11"/>
  <c r="P343" i="11" s="1"/>
  <c r="P279" i="11"/>
  <c r="O323" i="11"/>
  <c r="P334" i="11"/>
  <c r="P164" i="11"/>
  <c r="P230" i="11" s="1"/>
  <c r="P282" i="11"/>
  <c r="P171" i="11"/>
  <c r="P289" i="11"/>
  <c r="U92" i="8"/>
  <c r="U163" i="8" s="1"/>
  <c r="P234" i="11"/>
  <c r="P286" i="11"/>
  <c r="P168" i="11"/>
  <c r="Q170" i="11"/>
  <c r="Q288" i="11"/>
  <c r="O339" i="11"/>
  <c r="O347" i="11"/>
  <c r="P280" i="11"/>
  <c r="O349" i="11"/>
  <c r="P281" i="11"/>
  <c r="P327" i="11"/>
  <c r="P292" i="11"/>
  <c r="P174" i="11"/>
  <c r="P287" i="11"/>
  <c r="P169" i="11"/>
  <c r="O340" i="11"/>
  <c r="O328" i="11"/>
  <c r="O346" i="11"/>
  <c r="O327" i="11"/>
  <c r="P159" i="11"/>
  <c r="P218" i="11" s="1"/>
  <c r="P277" i="11"/>
  <c r="O222" i="11"/>
  <c r="O223" i="11"/>
  <c r="O326" i="11"/>
  <c r="P291" i="11"/>
  <c r="P173" i="11"/>
  <c r="O341" i="11"/>
  <c r="Z56" i="8"/>
  <c r="Y159" i="8"/>
  <c r="Y96" i="8"/>
  <c r="AB11" i="9"/>
  <c r="AA13" i="9"/>
  <c r="M180" i="9"/>
  <c r="AG146" i="9"/>
  <c r="M171" i="9"/>
  <c r="Y171" i="9" s="1"/>
  <c r="L177" i="9"/>
  <c r="X177" i="9" s="1"/>
  <c r="H192" i="9"/>
  <c r="H171" i="9"/>
  <c r="T171" i="9" s="1"/>
  <c r="H186" i="9"/>
  <c r="T186" i="9" s="1"/>
  <c r="M183" i="9"/>
  <c r="Y183" i="9" s="1"/>
  <c r="Y1244" i="9"/>
  <c r="Y1247" i="9" s="1"/>
  <c r="T161" i="9"/>
  <c r="S163" i="9"/>
  <c r="Y754" i="9"/>
  <c r="Y757" i="9" s="1"/>
  <c r="Y409" i="9"/>
  <c r="Y412" i="9" s="1"/>
  <c r="Y1489" i="9"/>
  <c r="Y1492" i="9" s="1"/>
  <c r="Y1342" i="9"/>
  <c r="Y1345" i="9" s="1"/>
  <c r="Y803" i="9"/>
  <c r="Y806" i="9" s="1"/>
  <c r="Y259" i="9"/>
  <c r="Y262" i="9" s="1"/>
  <c r="Y59" i="9"/>
  <c r="Y62" i="9" s="1"/>
  <c r="U61" i="9"/>
  <c r="T63" i="9"/>
  <c r="J180" i="9"/>
  <c r="Y1440" i="9"/>
  <c r="Y1443" i="9" s="1"/>
  <c r="Y109" i="9"/>
  <c r="Y112" i="9" s="1"/>
  <c r="S66" i="9"/>
  <c r="H183" i="9"/>
  <c r="T183" i="9" s="1"/>
  <c r="Y359" i="9"/>
  <c r="Y362" i="9" s="1"/>
  <c r="Y558" i="9"/>
  <c r="Y561" i="9" s="1"/>
  <c r="Y1097" i="9"/>
  <c r="Y1100" i="9" s="1"/>
  <c r="Y1391" i="9"/>
  <c r="Y1394" i="9" s="1"/>
  <c r="Y852" i="9"/>
  <c r="Y855" i="9" s="1"/>
  <c r="Y901" i="9"/>
  <c r="Y904" i="9" s="1"/>
  <c r="Y509" i="9"/>
  <c r="Y512" i="9" s="1"/>
  <c r="Y1146" i="9"/>
  <c r="Y1149" i="9" s="1"/>
  <c r="Y999" i="9"/>
  <c r="Y1002" i="9" s="1"/>
  <c r="Y309" i="9"/>
  <c r="Y312" i="9" s="1"/>
  <c r="Y209" i="9"/>
  <c r="Y212" i="9" s="1"/>
  <c r="Y159" i="9"/>
  <c r="Y162" i="9"/>
  <c r="Y705" i="9"/>
  <c r="Y708" i="9" s="1"/>
  <c r="Y1538" i="9"/>
  <c r="Y1541" i="9" s="1"/>
  <c r="Y1195" i="9"/>
  <c r="Y1198" i="9" s="1"/>
  <c r="Y607" i="9"/>
  <c r="Y610" i="9"/>
  <c r="Y656" i="9"/>
  <c r="Y659" i="9" s="1"/>
  <c r="Y459" i="9"/>
  <c r="Y462" i="9" s="1"/>
  <c r="Y1048" i="9"/>
  <c r="Y1051" i="9" s="1"/>
  <c r="T116" i="9"/>
  <c r="S146" i="9"/>
  <c r="Y950" i="9"/>
  <c r="Y953" i="9" s="1"/>
  <c r="S166" i="9"/>
  <c r="AH188" i="9"/>
  <c r="U111" i="9"/>
  <c r="T113" i="9"/>
  <c r="X855" i="9"/>
  <c r="X1492" i="9"/>
  <c r="Y1293" i="9"/>
  <c r="Y1296" i="9" s="1"/>
  <c r="AG1379" i="2"/>
  <c r="H220" i="9"/>
  <c r="AD1354" i="2"/>
  <c r="AD1369" i="2"/>
  <c r="AD1362" i="2"/>
  <c r="AD1366" i="2"/>
  <c r="AD1360" i="2"/>
  <c r="AD1357" i="2"/>
  <c r="AD1351" i="2"/>
  <c r="AG1350" i="2"/>
  <c r="Q213" i="9"/>
  <c r="J171" i="9"/>
  <c r="V171" i="9" s="1"/>
  <c r="G214" i="9"/>
  <c r="AG80" i="9"/>
  <c r="O220" i="9"/>
  <c r="AG1477" i="2"/>
  <c r="M217" i="9"/>
  <c r="AD1458" i="2"/>
  <c r="AD1455" i="2"/>
  <c r="AD1467" i="2"/>
  <c r="AD1464" i="2"/>
  <c r="AD1452" i="2"/>
  <c r="AD1460" i="2"/>
  <c r="AD1449" i="2"/>
  <c r="AG1448" i="2"/>
  <c r="G217" i="9"/>
  <c r="AG327" i="2"/>
  <c r="AG321" i="2"/>
  <c r="AG333" i="2"/>
  <c r="AG336" i="2"/>
  <c r="AG324" i="2"/>
  <c r="G213" i="9"/>
  <c r="L186" i="9"/>
  <c r="X186" i="9" s="1"/>
  <c r="Q215" i="9"/>
  <c r="M212" i="9"/>
  <c r="J186" i="9"/>
  <c r="V186" i="9" s="1"/>
  <c r="P212" i="9"/>
  <c r="AD330" i="2"/>
  <c r="AD341" i="2"/>
  <c r="AG329" i="2"/>
  <c r="AG330" i="2" s="1"/>
  <c r="N214" i="9"/>
  <c r="I211" i="9"/>
  <c r="L212" i="9"/>
  <c r="I192" i="9"/>
  <c r="K183" i="9"/>
  <c r="W183" i="9" s="1"/>
  <c r="R177" i="9"/>
  <c r="AD177" i="9" s="1"/>
  <c r="R186" i="9"/>
  <c r="AD186" i="9" s="1"/>
  <c r="R180" i="9"/>
  <c r="R192" i="9"/>
  <c r="AG133" i="9"/>
  <c r="Q180" i="9"/>
  <c r="Q171" i="9"/>
  <c r="AC171" i="9" s="1"/>
  <c r="R174" i="9"/>
  <c r="AD174" i="9" s="1"/>
  <c r="AG195" i="9"/>
  <c r="Q186" i="9"/>
  <c r="AC186" i="9" s="1"/>
  <c r="H246" i="9"/>
  <c r="W92" i="2"/>
  <c r="K91" i="9"/>
  <c r="K92" i="9" s="1"/>
  <c r="N223" i="9"/>
  <c r="AD283" i="2"/>
  <c r="AD277" i="2"/>
  <c r="AD279" i="2"/>
  <c r="AD274" i="2"/>
  <c r="AD271" i="2"/>
  <c r="AD286" i="2"/>
  <c r="AD268" i="2"/>
  <c r="AG267" i="2"/>
  <c r="AB92" i="2"/>
  <c r="P91" i="9"/>
  <c r="P92" i="9" s="1"/>
  <c r="K229" i="9"/>
  <c r="Q232" i="9"/>
  <c r="P223" i="9"/>
  <c r="M220" i="9"/>
  <c r="I217" i="9"/>
  <c r="AF224" i="9"/>
  <c r="AF214" i="9"/>
  <c r="AF235" i="9"/>
  <c r="K217" i="9"/>
  <c r="G246" i="9"/>
  <c r="O215" i="9"/>
  <c r="O246" i="9"/>
  <c r="K212" i="9"/>
  <c r="G241" i="9"/>
  <c r="K238" i="9"/>
  <c r="W238" i="9" s="1"/>
  <c r="I238" i="9"/>
  <c r="U238" i="9" s="1"/>
  <c r="H216" i="9"/>
  <c r="I229" i="9"/>
  <c r="O217" i="9"/>
  <c r="O211" i="9"/>
  <c r="AF217" i="9"/>
  <c r="AF245" i="9"/>
  <c r="K245" i="9"/>
  <c r="M246" i="9"/>
  <c r="G232" i="9"/>
  <c r="K214" i="9"/>
  <c r="H226" i="9"/>
  <c r="J213" i="9"/>
  <c r="H232" i="9"/>
  <c r="P241" i="9"/>
  <c r="Q220" i="9"/>
  <c r="AF216" i="9"/>
  <c r="J214" i="9"/>
  <c r="G216" i="9"/>
  <c r="AF236" i="9"/>
  <c r="AF238" i="9"/>
  <c r="I212" i="9"/>
  <c r="R246" i="9"/>
  <c r="N232" i="9"/>
  <c r="O212" i="9"/>
  <c r="L245" i="9"/>
  <c r="J248" i="9"/>
  <c r="K215" i="9"/>
  <c r="I246" i="9"/>
  <c r="Q211" i="9"/>
  <c r="AF227" i="9"/>
  <c r="G211" i="9"/>
  <c r="J238" i="9"/>
  <c r="V238" i="9" s="1"/>
  <c r="AF212" i="9"/>
  <c r="I215" i="9"/>
  <c r="AF211" i="9"/>
  <c r="AF241" i="9"/>
  <c r="H214" i="9"/>
  <c r="N212" i="9"/>
  <c r="AF226" i="9"/>
  <c r="AF233" i="9"/>
  <c r="L214" i="9"/>
  <c r="R215" i="9"/>
  <c r="G220" i="9"/>
  <c r="N215" i="9"/>
  <c r="G245" i="9"/>
  <c r="G229" i="9"/>
  <c r="J245" i="9"/>
  <c r="P232" i="9"/>
  <c r="L241" i="9"/>
  <c r="AF220" i="9"/>
  <c r="AF229" i="9"/>
  <c r="H248" i="9"/>
  <c r="N216" i="9"/>
  <c r="Q212" i="9"/>
  <c r="P215" i="9"/>
  <c r="O235" i="9"/>
  <c r="N211" i="9"/>
  <c r="P235" i="9"/>
  <c r="Q226" i="9"/>
  <c r="Q216" i="9"/>
  <c r="O213" i="9"/>
  <c r="N229" i="9"/>
  <c r="O248" i="9"/>
  <c r="AF223" i="9"/>
  <c r="O229" i="9"/>
  <c r="K232" i="9"/>
  <c r="O238" i="9"/>
  <c r="AA238" i="9" s="1"/>
  <c r="Q239" i="9"/>
  <c r="I235" i="9"/>
  <c r="I236" i="9" s="1"/>
  <c r="U236" i="9" s="1"/>
  <c r="L215" i="9"/>
  <c r="Q238" i="9"/>
  <c r="AC238" i="9" s="1"/>
  <c r="AF230" i="9"/>
  <c r="Q241" i="9"/>
  <c r="M213" i="9"/>
  <c r="L220" i="9"/>
  <c r="H239" i="9"/>
  <c r="G212" i="9"/>
  <c r="M238" i="9"/>
  <c r="Y238" i="9" s="1"/>
  <c r="I213" i="9"/>
  <c r="J217" i="9"/>
  <c r="H238" i="9"/>
  <c r="T238" i="9" s="1"/>
  <c r="L216" i="9"/>
  <c r="H223" i="9"/>
  <c r="H217" i="9"/>
  <c r="N220" i="9"/>
  <c r="K248" i="9"/>
  <c r="AF213" i="9"/>
  <c r="L223" i="9"/>
  <c r="H235" i="9"/>
  <c r="I216" i="9"/>
  <c r="J239" i="9"/>
  <c r="G239" i="9"/>
  <c r="L217" i="9"/>
  <c r="M239" i="9"/>
  <c r="P238" i="9"/>
  <c r="AB238" i="9" s="1"/>
  <c r="I248" i="9"/>
  <c r="N248" i="9"/>
  <c r="P239" i="9"/>
  <c r="I239" i="9"/>
  <c r="M235" i="9"/>
  <c r="J226" i="9"/>
  <c r="J227" i="9" s="1"/>
  <c r="V227" i="9" s="1"/>
  <c r="Q229" i="9"/>
  <c r="O239" i="9"/>
  <c r="M223" i="9"/>
  <c r="P220" i="9"/>
  <c r="P216" i="9"/>
  <c r="P226" i="9"/>
  <c r="R214" i="9"/>
  <c r="AF221" i="9"/>
  <c r="N213" i="9"/>
  <c r="I223" i="9"/>
  <c r="I224" i="9" s="1"/>
  <c r="U224" i="9" s="1"/>
  <c r="O245" i="9"/>
  <c r="I245" i="9"/>
  <c r="P211" i="9"/>
  <c r="I241" i="9"/>
  <c r="I242" i="9" s="1"/>
  <c r="M229" i="9"/>
  <c r="R239" i="9"/>
  <c r="R223" i="9"/>
  <c r="R235" i="9"/>
  <c r="K223" i="9"/>
  <c r="N245" i="9"/>
  <c r="J241" i="9"/>
  <c r="J242" i="9" s="1"/>
  <c r="O241" i="9"/>
  <c r="O242" i="9" s="1"/>
  <c r="I214" i="9"/>
  <c r="M214" i="9"/>
  <c r="R220" i="9"/>
  <c r="N217" i="9"/>
  <c r="L248" i="9"/>
  <c r="K235" i="9"/>
  <c r="L229" i="9"/>
  <c r="G238" i="9"/>
  <c r="S238" i="9" s="1"/>
  <c r="H241" i="9"/>
  <c r="O223" i="9"/>
  <c r="J223" i="9"/>
  <c r="J224" i="9" s="1"/>
  <c r="V224" i="9" s="1"/>
  <c r="N238" i="9"/>
  <c r="Z238" i="9" s="1"/>
  <c r="Q235" i="9"/>
  <c r="M245" i="9"/>
  <c r="O226" i="9"/>
  <c r="R241" i="9"/>
  <c r="L246" i="9"/>
  <c r="M226" i="9"/>
  <c r="M216" i="9"/>
  <c r="Q248" i="9"/>
  <c r="P213" i="9"/>
  <c r="H215" i="9"/>
  <c r="O216" i="9"/>
  <c r="K241" i="9"/>
  <c r="P229" i="9"/>
  <c r="K216" i="9"/>
  <c r="J232" i="9"/>
  <c r="J233" i="9" s="1"/>
  <c r="V233" i="9" s="1"/>
  <c r="R232" i="9"/>
  <c r="G215" i="9"/>
  <c r="H212" i="9"/>
  <c r="N239" i="9"/>
  <c r="N235" i="9"/>
  <c r="O232" i="9"/>
  <c r="I220" i="9"/>
  <c r="G223" i="9"/>
  <c r="R245" i="9"/>
  <c r="N241" i="9"/>
  <c r="P217" i="9"/>
  <c r="R238" i="9"/>
  <c r="AD238" i="9" s="1"/>
  <c r="H229" i="9"/>
  <c r="H230" i="9" s="1"/>
  <c r="Q214" i="9"/>
  <c r="N226" i="9"/>
  <c r="N227" i="9" s="1"/>
  <c r="Z227" i="9" s="1"/>
  <c r="J229" i="9"/>
  <c r="R248" i="9"/>
  <c r="H245" i="9"/>
  <c r="N246" i="9"/>
  <c r="L213" i="9"/>
  <c r="K246" i="9"/>
  <c r="M232" i="9"/>
  <c r="M233" i="9" s="1"/>
  <c r="Y233" i="9" s="1"/>
  <c r="H213" i="9"/>
  <c r="K226" i="9"/>
  <c r="Q245" i="9"/>
  <c r="P246" i="9"/>
  <c r="AG111" i="9"/>
  <c r="L192" i="9"/>
  <c r="L239" i="9"/>
  <c r="K211" i="9"/>
  <c r="K239" i="9"/>
  <c r="R212" i="9"/>
  <c r="J211" i="9"/>
  <c r="R213" i="9"/>
  <c r="R217" i="9"/>
  <c r="M211" i="9"/>
  <c r="P245" i="9"/>
  <c r="G235" i="9"/>
  <c r="AF246" i="9"/>
  <c r="L232" i="9"/>
  <c r="P248" i="9"/>
  <c r="K220" i="9"/>
  <c r="K221" i="9" s="1"/>
  <c r="W221" i="9" s="1"/>
  <c r="J220" i="9"/>
  <c r="J221" i="9" s="1"/>
  <c r="V221" i="9" s="1"/>
  <c r="J215" i="9"/>
  <c r="O214" i="9"/>
  <c r="G248" i="9"/>
  <c r="L226" i="9"/>
  <c r="R229" i="9"/>
  <c r="M248" i="9"/>
  <c r="AF80" i="2"/>
  <c r="AF80" i="9" s="1"/>
  <c r="AF79" i="9"/>
  <c r="V92" i="2"/>
  <c r="J91" i="9"/>
  <c r="J92" i="9" s="1"/>
  <c r="U92" i="2"/>
  <c r="I91" i="9"/>
  <c r="I92" i="9" s="1"/>
  <c r="AG121" i="9"/>
  <c r="L171" i="9"/>
  <c r="X171" i="9" s="1"/>
  <c r="AF180" i="2"/>
  <c r="AF180" i="9" s="1"/>
  <c r="AF179" i="9"/>
  <c r="AC92" i="2"/>
  <c r="Q91" i="9"/>
  <c r="Q92" i="9" s="1"/>
  <c r="Q217" i="9"/>
  <c r="Q246" i="9"/>
  <c r="P174" i="9"/>
  <c r="AB174" i="9" s="1"/>
  <c r="K213" i="9"/>
  <c r="AA92" i="2"/>
  <c r="O91" i="9"/>
  <c r="O92" i="9" s="1"/>
  <c r="P180" i="9"/>
  <c r="AF215" i="9"/>
  <c r="AF232" i="9"/>
  <c r="J246" i="9"/>
  <c r="O183" i="9"/>
  <c r="AA183" i="9" s="1"/>
  <c r="G226" i="9"/>
  <c r="I186" i="9"/>
  <c r="U186" i="9" s="1"/>
  <c r="O192" i="9"/>
  <c r="L238" i="9"/>
  <c r="X238" i="9" s="1"/>
  <c r="O171" i="9"/>
  <c r="AA171" i="9" s="1"/>
  <c r="AF242" i="9"/>
  <c r="O177" i="9"/>
  <c r="AA177" i="9" s="1"/>
  <c r="AG139" i="9"/>
  <c r="AH139" i="9"/>
  <c r="J212" i="9"/>
  <c r="M215" i="9"/>
  <c r="Q223" i="9"/>
  <c r="L235" i="9"/>
  <c r="X92" i="2"/>
  <c r="L91" i="9"/>
  <c r="L92" i="9" s="1"/>
  <c r="M241" i="9"/>
  <c r="R211" i="9"/>
  <c r="S211" i="9" s="1"/>
  <c r="I226" i="9"/>
  <c r="Z92" i="2"/>
  <c r="N91" i="9"/>
  <c r="N92" i="9" s="1"/>
  <c r="AG124" i="9"/>
  <c r="AG116" i="9"/>
  <c r="AG118" i="9"/>
  <c r="AG130" i="9"/>
  <c r="AG142" i="9"/>
  <c r="AG136" i="9"/>
  <c r="AG295" i="2"/>
  <c r="AG296" i="2" s="1"/>
  <c r="G180" i="9"/>
  <c r="AG167" i="9"/>
  <c r="S92" i="2"/>
  <c r="G91" i="9"/>
  <c r="P177" i="9"/>
  <c r="AB177" i="9" s="1"/>
  <c r="J235" i="9"/>
  <c r="J236" i="9" s="1"/>
  <c r="V236" i="9" s="1"/>
  <c r="I232" i="9"/>
  <c r="J216" i="9"/>
  <c r="P214" i="9"/>
  <c r="R216" i="9"/>
  <c r="R226" i="9"/>
  <c r="N180" i="9"/>
  <c r="G177" i="9"/>
  <c r="S177" i="9" s="1"/>
  <c r="AG176" i="9"/>
  <c r="G186" i="9"/>
  <c r="S186" i="9" s="1"/>
  <c r="AG185" i="9"/>
  <c r="P186" i="9"/>
  <c r="AB186" i="9" s="1"/>
  <c r="N171" i="9"/>
  <c r="Z171" i="9" s="1"/>
  <c r="N186" i="9"/>
  <c r="Z186" i="9" s="1"/>
  <c r="I174" i="9"/>
  <c r="U174" i="9" s="1"/>
  <c r="AG179" i="9"/>
  <c r="AG188" i="9"/>
  <c r="G174" i="9"/>
  <c r="S174" i="9" s="1"/>
  <c r="AG173" i="9"/>
  <c r="L180" i="9"/>
  <c r="O180" i="9"/>
  <c r="AG165" i="9"/>
  <c r="J192" i="9"/>
  <c r="O186" i="9"/>
  <c r="AA186" i="9" s="1"/>
  <c r="N177" i="9"/>
  <c r="Z177" i="9" s="1"/>
  <c r="I171" i="9"/>
  <c r="U171" i="9" s="1"/>
  <c r="L183" i="9"/>
  <c r="X183" i="9" s="1"/>
  <c r="AG162" i="9"/>
  <c r="P192" i="9"/>
  <c r="M186" i="9"/>
  <c r="Y186" i="9" s="1"/>
  <c r="AG163" i="9"/>
  <c r="N174" i="9"/>
  <c r="Z174" i="9" s="1"/>
  <c r="I180" i="9"/>
  <c r="J177" i="9"/>
  <c r="V177" i="9" s="1"/>
  <c r="N183" i="9"/>
  <c r="Z183" i="9" s="1"/>
  <c r="AG127" i="9"/>
  <c r="I177" i="9"/>
  <c r="U177" i="9" s="1"/>
  <c r="L174" i="9"/>
  <c r="X174" i="9" s="1"/>
  <c r="J174" i="9"/>
  <c r="V174" i="9" s="1"/>
  <c r="O174" i="9"/>
  <c r="AA174" i="9" s="1"/>
  <c r="AG1329" i="2"/>
  <c r="AG1330" i="2" s="1"/>
  <c r="AD1313" i="2"/>
  <c r="AD1305" i="2"/>
  <c r="AD1311" i="2"/>
  <c r="AD1317" i="2"/>
  <c r="AD1320" i="2"/>
  <c r="AD1302" i="2"/>
  <c r="AD1308" i="2"/>
  <c r="AG1301" i="2"/>
  <c r="AG182" i="9"/>
  <c r="G183" i="9"/>
  <c r="S183" i="9" s="1"/>
  <c r="G192" i="9"/>
  <c r="AG191" i="9"/>
  <c r="Q192" i="9"/>
  <c r="Q174" i="9"/>
  <c r="AC174" i="9" s="1"/>
  <c r="AG114" i="9"/>
  <c r="AG148" i="9" s="1"/>
  <c r="I183" i="9"/>
  <c r="U183" i="9" s="1"/>
  <c r="J183" i="9"/>
  <c r="V183" i="9" s="1"/>
  <c r="H180" i="9"/>
  <c r="P171" i="9"/>
  <c r="AB171" i="9" s="1"/>
  <c r="Q183" i="9"/>
  <c r="AC183" i="9" s="1"/>
  <c r="G171" i="9"/>
  <c r="S171" i="9" s="1"/>
  <c r="AG170" i="9"/>
  <c r="Q177" i="9"/>
  <c r="AC177" i="9" s="1"/>
  <c r="R42" i="9"/>
  <c r="AG41" i="9"/>
  <c r="AG42" i="9" s="1"/>
  <c r="N353" i="11"/>
  <c r="U41" i="8" s="1"/>
  <c r="O294" i="11"/>
  <c r="O235" i="11"/>
  <c r="O176" i="11"/>
  <c r="P127" i="11"/>
  <c r="P186" i="11" s="1"/>
  <c r="P166" i="11"/>
  <c r="P232" i="11" s="1"/>
  <c r="P136" i="11"/>
  <c r="P195" i="11" s="1"/>
  <c r="P259" i="11"/>
  <c r="P318" i="11" s="1"/>
  <c r="P126" i="11"/>
  <c r="P185" i="11" s="1"/>
  <c r="P146" i="11"/>
  <c r="P205" i="11" s="1"/>
  <c r="P267" i="11"/>
  <c r="P326" i="11" s="1"/>
  <c r="P155" i="11"/>
  <c r="P214" i="11" s="1"/>
  <c r="P270" i="11"/>
  <c r="P329" i="11" s="1"/>
  <c r="P145" i="11"/>
  <c r="P204" i="11" s="1"/>
  <c r="O317" i="11"/>
  <c r="P125" i="11"/>
  <c r="P184" i="11" s="1"/>
  <c r="O307" i="11"/>
  <c r="P161" i="11"/>
  <c r="P227" i="11" s="1"/>
  <c r="O312" i="11"/>
  <c r="Q49" i="11"/>
  <c r="P129" i="11"/>
  <c r="P188" i="11" s="1"/>
  <c r="P248" i="11"/>
  <c r="P307" i="11" s="1"/>
  <c r="P162" i="11"/>
  <c r="P228" i="11" s="1"/>
  <c r="O322" i="11"/>
  <c r="P139" i="11"/>
  <c r="P198" i="11" s="1"/>
  <c r="Q54" i="11"/>
  <c r="P252" i="11"/>
  <c r="P311" i="11" s="1"/>
  <c r="P163" i="11"/>
  <c r="P229" i="11" s="1"/>
  <c r="O315" i="11"/>
  <c r="P135" i="11"/>
  <c r="P194" i="11" s="1"/>
  <c r="P153" i="11"/>
  <c r="P212" i="11" s="1"/>
  <c r="Q50" i="11"/>
  <c r="Q29" i="11"/>
  <c r="Q265" i="11" s="1"/>
  <c r="Q20" i="11"/>
  <c r="Q256" i="11" s="1"/>
  <c r="P140" i="11"/>
  <c r="P199" i="11" s="1"/>
  <c r="Q34" i="11"/>
  <c r="Q270" i="11" s="1"/>
  <c r="P154" i="11"/>
  <c r="P213" i="11" s="1"/>
  <c r="Q16" i="11"/>
  <c r="Q134" i="11" s="1"/>
  <c r="Q193" i="11" s="1"/>
  <c r="O319" i="11"/>
  <c r="Q25" i="11"/>
  <c r="Q261" i="11" s="1"/>
  <c r="O320" i="11"/>
  <c r="Q28" i="11"/>
  <c r="Q264" i="11" s="1"/>
  <c r="Q43" i="11"/>
  <c r="P148" i="11"/>
  <c r="P207" i="11" s="1"/>
  <c r="Q53" i="11"/>
  <c r="P157" i="11"/>
  <c r="P216" i="11" s="1"/>
  <c r="Q9" i="11"/>
  <c r="Q127" i="11" s="1"/>
  <c r="Q186" i="11" s="1"/>
  <c r="Q51" i="11"/>
  <c r="O305" i="11"/>
  <c r="Q12" i="11"/>
  <c r="Q248" i="11" s="1"/>
  <c r="Q10" i="11"/>
  <c r="Q246" i="11" s="1"/>
  <c r="P128" i="11"/>
  <c r="P187" i="11" s="1"/>
  <c r="P260" i="11"/>
  <c r="P319" i="11" s="1"/>
  <c r="Q38" i="11"/>
  <c r="Q274" i="11" s="1"/>
  <c r="Q40" i="11"/>
  <c r="P156" i="11"/>
  <c r="P215" i="11" s="1"/>
  <c r="P167" i="11"/>
  <c r="P233" i="11" s="1"/>
  <c r="P269" i="11"/>
  <c r="P328" i="11" s="1"/>
  <c r="O303" i="11"/>
  <c r="Q17" i="11"/>
  <c r="Q253" i="11" s="1"/>
  <c r="Q7" i="11"/>
  <c r="Q125" i="11" s="1"/>
  <c r="Q184" i="11" s="1"/>
  <c r="Q27" i="11"/>
  <c r="Q145" i="11" s="1"/>
  <c r="Q204" i="11" s="1"/>
  <c r="Q55" i="11"/>
  <c r="P138" i="11"/>
  <c r="P197" i="11" s="1"/>
  <c r="Q18" i="11"/>
  <c r="Q254" i="11" s="1"/>
  <c r="P58" i="11"/>
  <c r="Q41" i="11"/>
  <c r="Q26" i="11"/>
  <c r="Q262" i="11" s="1"/>
  <c r="P147" i="11"/>
  <c r="P206" i="11" s="1"/>
  <c r="P137" i="11"/>
  <c r="P196" i="11" s="1"/>
  <c r="Q45" i="11"/>
  <c r="P150" i="11"/>
  <c r="P209" i="11" s="1"/>
  <c r="Q19" i="11"/>
  <c r="Q137" i="11" s="1"/>
  <c r="Q196" i="11" s="1"/>
  <c r="Q56" i="11"/>
  <c r="P251" i="11"/>
  <c r="P310" i="11" s="1"/>
  <c r="P131" i="11"/>
  <c r="P190" i="11" s="1"/>
  <c r="Q46" i="11"/>
  <c r="P262" i="11"/>
  <c r="P321" i="11" s="1"/>
  <c r="Q48" i="11"/>
  <c r="Q39" i="11"/>
  <c r="Q275" i="11" s="1"/>
  <c r="Q31" i="11"/>
  <c r="Q267" i="11" s="1"/>
  <c r="Q24" i="11"/>
  <c r="Q260" i="11" s="1"/>
  <c r="Q44" i="11"/>
  <c r="Q23" i="11"/>
  <c r="Q259" i="11" s="1"/>
  <c r="Q36" i="11"/>
  <c r="Q272" i="11" s="1"/>
  <c r="Q22" i="11"/>
  <c r="Q140" i="11" s="1"/>
  <c r="Q199" i="11" s="1"/>
  <c r="Q14" i="11"/>
  <c r="Q250" i="11" s="1"/>
  <c r="R6" i="11"/>
  <c r="R40" i="11" s="1"/>
  <c r="R276" i="11" s="1"/>
  <c r="Q32" i="11"/>
  <c r="Q268" i="11" s="1"/>
  <c r="Q8" i="11"/>
  <c r="Q244" i="11" s="1"/>
  <c r="Q30" i="11"/>
  <c r="Q148" i="11" s="1"/>
  <c r="Q207" i="11" s="1"/>
  <c r="Q37" i="11"/>
  <c r="Q273" i="11" s="1"/>
  <c r="O302" i="11"/>
  <c r="Q11" i="11"/>
  <c r="Q247" i="11" s="1"/>
  <c r="Q35" i="11"/>
  <c r="Q271" i="11" s="1"/>
  <c r="Q42" i="11"/>
  <c r="Q15" i="11"/>
  <c r="Q133" i="11" s="1"/>
  <c r="Q192" i="11" s="1"/>
  <c r="Q13" i="11"/>
  <c r="Q249" i="11" s="1"/>
  <c r="Q47" i="11"/>
  <c r="P143" i="11"/>
  <c r="P202" i="11" s="1"/>
  <c r="O314" i="11"/>
  <c r="O308" i="11"/>
  <c r="Q33" i="11"/>
  <c r="Q151" i="11" s="1"/>
  <c r="Q210" i="11" s="1"/>
  <c r="Q21" i="11"/>
  <c r="Q139" i="11" s="1"/>
  <c r="Q198" i="11" s="1"/>
  <c r="O311" i="11"/>
  <c r="O306" i="11"/>
  <c r="O309" i="11"/>
  <c r="O310" i="11"/>
  <c r="O318" i="11"/>
  <c r="O321" i="11"/>
  <c r="P309" i="11"/>
  <c r="F140" i="1"/>
  <c r="F130" i="1"/>
  <c r="F135" i="1"/>
  <c r="D94" i="1"/>
  <c r="D100" i="1" s="1"/>
  <c r="D117" i="1" s="1"/>
  <c r="F121" i="1"/>
  <c r="G50" i="1"/>
  <c r="G128" i="1"/>
  <c r="D50" i="1"/>
  <c r="F128" i="1"/>
  <c r="D42" i="1"/>
  <c r="N367" i="4"/>
  <c r="N377" i="4" s="1"/>
  <c r="D127" i="1"/>
  <c r="E163" i="1"/>
  <c r="F27" i="1"/>
  <c r="F38" i="1"/>
  <c r="F39" i="1" s="1"/>
  <c r="AF1080" i="2"/>
  <c r="AF1081" i="2" s="1"/>
  <c r="AF91" i="2"/>
  <c r="K530" i="2"/>
  <c r="K541" i="2"/>
  <c r="K542" i="2" s="1"/>
  <c r="I738" i="2"/>
  <c r="J677" i="2"/>
  <c r="J688" i="2"/>
  <c r="J689" i="2" s="1"/>
  <c r="J971" i="2"/>
  <c r="J982" i="2"/>
  <c r="J983" i="2" s="1"/>
  <c r="J1118" i="2"/>
  <c r="J1129" i="2"/>
  <c r="J1130" i="2" s="1"/>
  <c r="J725" i="2"/>
  <c r="AG91" i="2"/>
  <c r="AG92" i="2" s="1"/>
  <c r="I1130" i="2"/>
  <c r="AF191" i="2"/>
  <c r="H292" i="2"/>
  <c r="AF291" i="2"/>
  <c r="AF292" i="2" s="1"/>
  <c r="I689" i="2"/>
  <c r="AF639" i="2"/>
  <c r="AF640" i="2" s="1"/>
  <c r="H640" i="2"/>
  <c r="K671" i="2"/>
  <c r="K676" i="2"/>
  <c r="J729" i="2"/>
  <c r="J723" i="2"/>
  <c r="K1112" i="2"/>
  <c r="J732" i="2"/>
  <c r="K965" i="2"/>
  <c r="J720" i="2"/>
  <c r="K680" i="2"/>
  <c r="K974" i="2"/>
  <c r="K674" i="2"/>
  <c r="K1109" i="2"/>
  <c r="K1117" i="2"/>
  <c r="K962" i="2"/>
  <c r="K668" i="2"/>
  <c r="K970" i="2"/>
  <c r="K968" i="2"/>
  <c r="K1115" i="2"/>
  <c r="K977" i="2"/>
  <c r="K732" i="2"/>
  <c r="K729" i="2"/>
  <c r="L533" i="2"/>
  <c r="L527" i="2"/>
  <c r="K725" i="2"/>
  <c r="K723" i="2"/>
  <c r="L664" i="2"/>
  <c r="L524" i="2"/>
  <c r="K1124" i="2"/>
  <c r="L958" i="2"/>
  <c r="L521" i="2"/>
  <c r="K1121" i="2"/>
  <c r="L529" i="2"/>
  <c r="L536" i="2"/>
  <c r="M517" i="2"/>
  <c r="L713" i="2"/>
  <c r="K720" i="2"/>
  <c r="L1105" i="2"/>
  <c r="K717" i="2"/>
  <c r="E27" i="1"/>
  <c r="N707" i="2"/>
  <c r="M709" i="2"/>
  <c r="N658" i="2"/>
  <c r="M660" i="2"/>
  <c r="M662" i="2" s="1"/>
  <c r="M692" i="2" s="1"/>
  <c r="N952" i="2"/>
  <c r="M954" i="2"/>
  <c r="M956" i="2" s="1"/>
  <c r="M986" i="2" s="1"/>
  <c r="O511" i="2"/>
  <c r="N513" i="2"/>
  <c r="N515" i="2" s="1"/>
  <c r="N545" i="2" s="1"/>
  <c r="N1099" i="2"/>
  <c r="M1101" i="2"/>
  <c r="M1103" i="2" s="1"/>
  <c r="M1133" i="2" s="1"/>
  <c r="N314" i="4"/>
  <c r="M188" i="4"/>
  <c r="N143" i="4"/>
  <c r="N206" i="4"/>
  <c r="N186" i="4"/>
  <c r="N249" i="4"/>
  <c r="N174" i="4"/>
  <c r="N237" i="4" s="1"/>
  <c r="N162" i="4"/>
  <c r="N225" i="4" s="1"/>
  <c r="N146" i="4"/>
  <c r="N209" i="4" s="1"/>
  <c r="N168" i="4"/>
  <c r="N231" i="4" s="1"/>
  <c r="N134" i="4"/>
  <c r="N197" i="4" s="1"/>
  <c r="N187" i="4"/>
  <c r="N250" i="4" s="1"/>
  <c r="N163" i="4"/>
  <c r="N226" i="4"/>
  <c r="N157" i="4"/>
  <c r="N220" i="4" s="1"/>
  <c r="N170" i="4"/>
  <c r="N233" i="4" s="1"/>
  <c r="N150" i="4"/>
  <c r="N213" i="4" s="1"/>
  <c r="N138" i="4"/>
  <c r="N201" i="4" s="1"/>
  <c r="N164" i="4"/>
  <c r="N227" i="4" s="1"/>
  <c r="N169" i="4"/>
  <c r="N232" i="4" s="1"/>
  <c r="N177" i="4"/>
  <c r="N240" i="4" s="1"/>
  <c r="N137" i="4"/>
  <c r="N200" i="4" s="1"/>
  <c r="N160" i="4"/>
  <c r="N223" i="4" s="1"/>
  <c r="N141" i="4"/>
  <c r="N204" i="4"/>
  <c r="N161" i="4"/>
  <c r="N224" i="4"/>
  <c r="N148" i="4"/>
  <c r="N211" i="4" s="1"/>
  <c r="N182" i="4"/>
  <c r="N245" i="4" s="1"/>
  <c r="N158" i="4"/>
  <c r="N221" i="4" s="1"/>
  <c r="N156" i="4"/>
  <c r="N219" i="4"/>
  <c r="N142" i="4"/>
  <c r="N205" i="4" s="1"/>
  <c r="N136" i="4"/>
  <c r="N199" i="4"/>
  <c r="N179" i="4"/>
  <c r="N242" i="4" s="1"/>
  <c r="N154" i="4"/>
  <c r="N217" i="4" s="1"/>
  <c r="N155" i="4"/>
  <c r="N218" i="4" s="1"/>
  <c r="N166" i="4"/>
  <c r="N229" i="4"/>
  <c r="N145" i="4"/>
  <c r="N208" i="4" s="1"/>
  <c r="N147" i="4"/>
  <c r="N210" i="4" s="1"/>
  <c r="N167" i="4"/>
  <c r="N230" i="4"/>
  <c r="N152" i="4"/>
  <c r="N215" i="4" s="1"/>
  <c r="N183" i="4"/>
  <c r="N246" i="4" s="1"/>
  <c r="N181" i="4"/>
  <c r="N244" i="4" s="1"/>
  <c r="N140" i="4"/>
  <c r="N203" i="4"/>
  <c r="N180" i="4"/>
  <c r="N243" i="4" s="1"/>
  <c r="N176" i="4"/>
  <c r="N239" i="4" s="1"/>
  <c r="N185" i="4"/>
  <c r="N248" i="4" s="1"/>
  <c r="N165" i="4"/>
  <c r="N228" i="4"/>
  <c r="N151" i="4"/>
  <c r="N214" i="4" s="1"/>
  <c r="N173" i="4"/>
  <c r="N236" i="4" s="1"/>
  <c r="N159" i="4"/>
  <c r="N222" i="4" s="1"/>
  <c r="N171" i="4"/>
  <c r="N234" i="4" s="1"/>
  <c r="N135" i="4"/>
  <c r="N198" i="4"/>
  <c r="N149" i="4"/>
  <c r="N212" i="4" s="1"/>
  <c r="N153" i="4"/>
  <c r="N216" i="4"/>
  <c r="N133" i="4"/>
  <c r="N196" i="4"/>
  <c r="N178" i="4"/>
  <c r="N241" i="4" s="1"/>
  <c r="N172" i="4"/>
  <c r="N235" i="4" s="1"/>
  <c r="N175" i="4"/>
  <c r="N238" i="4" s="1"/>
  <c r="N144" i="4"/>
  <c r="N207" i="4" s="1"/>
  <c r="N184" i="4"/>
  <c r="N247" i="4" s="1"/>
  <c r="N139" i="4"/>
  <c r="N202" i="4" s="1"/>
  <c r="P69" i="4"/>
  <c r="N62" i="4"/>
  <c r="N125" i="4"/>
  <c r="P6" i="4"/>
  <c r="O10" i="4"/>
  <c r="O262" i="4" s="1"/>
  <c r="O325" i="4" s="1"/>
  <c r="O8" i="4"/>
  <c r="O260" i="4" s="1"/>
  <c r="O323" i="4" s="1"/>
  <c r="O13" i="4"/>
  <c r="O265" i="4" s="1"/>
  <c r="O328" i="4" s="1"/>
  <c r="O28" i="4"/>
  <c r="O280" i="4" s="1"/>
  <c r="O343" i="4" s="1"/>
  <c r="O36" i="4"/>
  <c r="O288" i="4" s="1"/>
  <c r="O351" i="4" s="1"/>
  <c r="O19" i="4"/>
  <c r="O271" i="4" s="1"/>
  <c r="O334" i="4" s="1"/>
  <c r="O34" i="4"/>
  <c r="O286" i="4" s="1"/>
  <c r="O349" i="4" s="1"/>
  <c r="O48" i="4"/>
  <c r="O300" i="4" s="1"/>
  <c r="O363" i="4" s="1"/>
  <c r="O33" i="4"/>
  <c r="O285" i="4" s="1"/>
  <c r="O348" i="4" s="1"/>
  <c r="O43" i="4"/>
  <c r="O295" i="4" s="1"/>
  <c r="O358" i="4" s="1"/>
  <c r="O31" i="4"/>
  <c r="O283" i="4" s="1"/>
  <c r="O346" i="4" s="1"/>
  <c r="O29" i="4"/>
  <c r="O281" i="4" s="1"/>
  <c r="O344" i="4" s="1"/>
  <c r="O16" i="4"/>
  <c r="O268" i="4" s="1"/>
  <c r="O331" i="4" s="1"/>
  <c r="O56" i="4"/>
  <c r="O308" i="4" s="1"/>
  <c r="O371" i="4" s="1"/>
  <c r="O38" i="4"/>
  <c r="O290" i="4" s="1"/>
  <c r="O353" i="4" s="1"/>
  <c r="O11" i="4"/>
  <c r="O263" i="4" s="1"/>
  <c r="O326" i="4" s="1"/>
  <c r="O61" i="4"/>
  <c r="O313" i="4" s="1"/>
  <c r="O376" i="4" s="1"/>
  <c r="O21" i="4"/>
  <c r="O273" i="4" s="1"/>
  <c r="O336" i="4" s="1"/>
  <c r="O58" i="4"/>
  <c r="O310" i="4" s="1"/>
  <c r="O373" i="4" s="1"/>
  <c r="O32" i="4"/>
  <c r="O284" i="4" s="1"/>
  <c r="O347" i="4" s="1"/>
  <c r="O37" i="4"/>
  <c r="O289" i="4" s="1"/>
  <c r="O352" i="4" s="1"/>
  <c r="O60" i="4"/>
  <c r="O312" i="4" s="1"/>
  <c r="O375" i="4" s="1"/>
  <c r="O55" i="4"/>
  <c r="O307" i="4" s="1"/>
  <c r="O370" i="4" s="1"/>
  <c r="O15" i="4"/>
  <c r="O267" i="4" s="1"/>
  <c r="O330" i="4" s="1"/>
  <c r="O39" i="4"/>
  <c r="O291" i="4" s="1"/>
  <c r="O354" i="4" s="1"/>
  <c r="O20" i="4"/>
  <c r="O272" i="4" s="1"/>
  <c r="O335" i="4" s="1"/>
  <c r="O42" i="4"/>
  <c r="O294" i="4" s="1"/>
  <c r="O357" i="4" s="1"/>
  <c r="O47" i="4"/>
  <c r="O299" i="4" s="1"/>
  <c r="O362" i="4" s="1"/>
  <c r="O14" i="4"/>
  <c r="O266" i="4" s="1"/>
  <c r="O329" i="4" s="1"/>
  <c r="O7" i="4"/>
  <c r="O259" i="4" s="1"/>
  <c r="O322" i="4" s="1"/>
  <c r="O53" i="4"/>
  <c r="O305" i="4" s="1"/>
  <c r="O368" i="4" s="1"/>
  <c r="O44" i="4"/>
  <c r="O296" i="4" s="1"/>
  <c r="O359" i="4" s="1"/>
  <c r="O12" i="4"/>
  <c r="O264" i="4" s="1"/>
  <c r="O327" i="4" s="1"/>
  <c r="O45" i="4"/>
  <c r="O297" i="4" s="1"/>
  <c r="O360" i="4" s="1"/>
  <c r="O49" i="4"/>
  <c r="O301" i="4" s="1"/>
  <c r="O364" i="4" s="1"/>
  <c r="O26" i="4"/>
  <c r="O278" i="4" s="1"/>
  <c r="O341" i="4" s="1"/>
  <c r="O40" i="4"/>
  <c r="O292" i="4" s="1"/>
  <c r="O355" i="4" s="1"/>
  <c r="O23" i="4"/>
  <c r="O275" i="4" s="1"/>
  <c r="O338" i="4" s="1"/>
  <c r="O57" i="4"/>
  <c r="O309" i="4" s="1"/>
  <c r="O372" i="4" s="1"/>
  <c r="O17" i="4"/>
  <c r="O269" i="4" s="1"/>
  <c r="O332" i="4" s="1"/>
  <c r="O9" i="4"/>
  <c r="O261" i="4" s="1"/>
  <c r="O324" i="4" s="1"/>
  <c r="O30" i="4"/>
  <c r="O282" i="4" s="1"/>
  <c r="O345" i="4" s="1"/>
  <c r="O51" i="4"/>
  <c r="O303" i="4" s="1"/>
  <c r="O366" i="4" s="1"/>
  <c r="O24" i="4"/>
  <c r="O276" i="4" s="1"/>
  <c r="O339" i="4" s="1"/>
  <c r="O52" i="4"/>
  <c r="O22" i="4"/>
  <c r="O274" i="4" s="1"/>
  <c r="O337" i="4" s="1"/>
  <c r="O27" i="4"/>
  <c r="O279" i="4" s="1"/>
  <c r="O342" i="4" s="1"/>
  <c r="O18" i="4"/>
  <c r="O270" i="4" s="1"/>
  <c r="O333" i="4" s="1"/>
  <c r="O41" i="4"/>
  <c r="O293" i="4" s="1"/>
  <c r="O356" i="4" s="1"/>
  <c r="O59" i="4"/>
  <c r="O311" i="4" s="1"/>
  <c r="O374" i="4" s="1"/>
  <c r="O25" i="4"/>
  <c r="O277" i="4" s="1"/>
  <c r="O340" i="4" s="1"/>
  <c r="O46" i="4"/>
  <c r="O298" i="4" s="1"/>
  <c r="O361" i="4" s="1"/>
  <c r="O50" i="4"/>
  <c r="O302" i="4" s="1"/>
  <c r="O365" i="4" s="1"/>
  <c r="O54" i="4"/>
  <c r="O306" i="4" s="1"/>
  <c r="O369" i="4" s="1"/>
  <c r="O35" i="4"/>
  <c r="O287" i="4" s="1"/>
  <c r="O350" i="4" s="1"/>
  <c r="B261" i="2"/>
  <c r="C261" i="2" s="1"/>
  <c r="B296" i="2"/>
  <c r="C296" i="2" s="1"/>
  <c r="B285" i="2"/>
  <c r="C285" i="2" s="1"/>
  <c r="B273" i="2"/>
  <c r="C273" i="2" s="1"/>
  <c r="B260" i="2"/>
  <c r="B284" i="2"/>
  <c r="C284" i="2" s="1"/>
  <c r="B272" i="2"/>
  <c r="C272" i="2" s="1"/>
  <c r="B291" i="2"/>
  <c r="C291" i="2" s="1"/>
  <c r="B280" i="2"/>
  <c r="C280" i="2" s="1"/>
  <c r="B290" i="2"/>
  <c r="C290" i="2" s="1"/>
  <c r="B266" i="2"/>
  <c r="C266" i="2" s="1"/>
  <c r="B259" i="2"/>
  <c r="B288" i="2"/>
  <c r="C288" i="2" s="1"/>
  <c r="B276" i="2"/>
  <c r="C276" i="2" s="1"/>
  <c r="B258" i="2"/>
  <c r="B287" i="2"/>
  <c r="C287" i="2" s="1"/>
  <c r="B275" i="2"/>
  <c r="C275" i="2" s="1"/>
  <c r="B257" i="2"/>
  <c r="B295" i="2"/>
  <c r="C295" i="2" s="1"/>
  <c r="B294" i="2"/>
  <c r="C294" i="2" s="1"/>
  <c r="B283" i="2"/>
  <c r="C283" i="2" s="1"/>
  <c r="B271" i="2"/>
  <c r="C271" i="2" s="1"/>
  <c r="B256" i="2"/>
  <c r="B293" i="2"/>
  <c r="C293" i="2" s="1"/>
  <c r="B278" i="2"/>
  <c r="C278" i="2" s="1"/>
  <c r="B279" i="2"/>
  <c r="C279" i="2" s="1"/>
  <c r="B268" i="2"/>
  <c r="C268" i="2" s="1"/>
  <c r="B255" i="2"/>
  <c r="B265" i="2"/>
  <c r="C265" i="2" s="1"/>
  <c r="B253" i="2"/>
  <c r="B289" i="2"/>
  <c r="C289" i="2" s="1"/>
  <c r="B298" i="2"/>
  <c r="C298" i="2" s="1"/>
  <c r="B262" i="2"/>
  <c r="C262" i="2" s="1"/>
  <c r="B264" i="2"/>
  <c r="C264" i="2" s="1"/>
  <c r="B297" i="2"/>
  <c r="C297" i="2" s="1"/>
  <c r="B286" i="2"/>
  <c r="C286" i="2" s="1"/>
  <c r="B274" i="2"/>
  <c r="C274" i="2" s="1"/>
  <c r="B277" i="2"/>
  <c r="C277" i="2" s="1"/>
  <c r="B282" i="2"/>
  <c r="C282" i="2" s="1"/>
  <c r="B270" i="2"/>
  <c r="C270" i="2" s="1"/>
  <c r="B267" i="2"/>
  <c r="C267" i="2" s="1"/>
  <c r="B292" i="2"/>
  <c r="C292" i="2" s="1"/>
  <c r="B281" i="2"/>
  <c r="C281" i="2" s="1"/>
  <c r="B269" i="2"/>
  <c r="C269" i="2" s="1"/>
  <c r="P324" i="11" l="1"/>
  <c r="Q347" i="11"/>
  <c r="P348" i="11"/>
  <c r="P341" i="11"/>
  <c r="P219" i="11"/>
  <c r="P351" i="11"/>
  <c r="P222" i="11"/>
  <c r="P340" i="11"/>
  <c r="P220" i="11"/>
  <c r="P225" i="11"/>
  <c r="P304" i="11"/>
  <c r="P332" i="11"/>
  <c r="G236" i="9"/>
  <c r="S236" i="9" s="1"/>
  <c r="O230" i="9"/>
  <c r="M224" i="9"/>
  <c r="Y224" i="9" s="1"/>
  <c r="G224" i="9"/>
  <c r="S224" i="9" s="1"/>
  <c r="O224" i="9"/>
  <c r="AA224" i="9" s="1"/>
  <c r="O221" i="9"/>
  <c r="AA221" i="9" s="1"/>
  <c r="N236" i="9"/>
  <c r="Z236" i="9" s="1"/>
  <c r="O268" i="9"/>
  <c r="M268" i="9"/>
  <c r="H268" i="9"/>
  <c r="L268" i="9"/>
  <c r="K268" i="9"/>
  <c r="R268" i="9"/>
  <c r="I268" i="9"/>
  <c r="G268" i="9"/>
  <c r="W16" i="9"/>
  <c r="V46" i="9"/>
  <c r="J268" i="9"/>
  <c r="N268" i="9"/>
  <c r="Q268" i="9"/>
  <c r="Z96" i="8"/>
  <c r="Q278" i="11"/>
  <c r="P336" i="11"/>
  <c r="Q286" i="11"/>
  <c r="Q168" i="11"/>
  <c r="P344" i="11"/>
  <c r="Q163" i="11"/>
  <c r="Q229" i="11" s="1"/>
  <c r="Q281" i="11"/>
  <c r="P345" i="11"/>
  <c r="Q292" i="11"/>
  <c r="Q174" i="11"/>
  <c r="Q158" i="11"/>
  <c r="Q217" i="11" s="1"/>
  <c r="Q276" i="11"/>
  <c r="Q335" i="11" s="1"/>
  <c r="Q327" i="11"/>
  <c r="Q287" i="11"/>
  <c r="Q169" i="11"/>
  <c r="V92" i="8"/>
  <c r="V163" i="8" s="1"/>
  <c r="Q164" i="11"/>
  <c r="Q230" i="11" s="1"/>
  <c r="Q282" i="11"/>
  <c r="Q341" i="11" s="1"/>
  <c r="Q223" i="11"/>
  <c r="Q159" i="11"/>
  <c r="Q218" i="11" s="1"/>
  <c r="Q277" i="11"/>
  <c r="P346" i="11"/>
  <c r="Q290" i="11"/>
  <c r="Q172" i="11"/>
  <c r="Q291" i="11"/>
  <c r="Q173" i="11"/>
  <c r="Q331" i="11"/>
  <c r="Q171" i="11"/>
  <c r="Q289" i="11"/>
  <c r="P223" i="11"/>
  <c r="P235" i="11" s="1"/>
  <c r="P335" i="11"/>
  <c r="P331" i="11"/>
  <c r="Q162" i="11"/>
  <c r="Q228" i="11" s="1"/>
  <c r="Q280" i="11"/>
  <c r="Q339" i="11" s="1"/>
  <c r="U128" i="8"/>
  <c r="P330" i="11"/>
  <c r="Q161" i="11"/>
  <c r="Q227" i="11" s="1"/>
  <c r="Q279" i="11"/>
  <c r="Q338" i="11" s="1"/>
  <c r="Q220" i="11"/>
  <c r="Q167" i="11"/>
  <c r="Q233" i="11" s="1"/>
  <c r="Q285" i="11"/>
  <c r="Q344" i="11" s="1"/>
  <c r="P339" i="11"/>
  <c r="P323" i="11"/>
  <c r="Q165" i="11"/>
  <c r="Q231" i="11" s="1"/>
  <c r="Q224" i="11"/>
  <c r="Q283" i="11"/>
  <c r="Q284" i="11"/>
  <c r="P221" i="11"/>
  <c r="P333" i="11"/>
  <c r="P325" i="11"/>
  <c r="P350" i="11"/>
  <c r="P338" i="11"/>
  <c r="AA56" i="8"/>
  <c r="Z159" i="8"/>
  <c r="AC11" i="9"/>
  <c r="AB13" i="9"/>
  <c r="I227" i="9"/>
  <c r="U227" i="9" s="1"/>
  <c r="M227" i="9"/>
  <c r="Y227" i="9" s="1"/>
  <c r="M236" i="9"/>
  <c r="Y236" i="9" s="1"/>
  <c r="O227" i="9"/>
  <c r="AA227" i="9" s="1"/>
  <c r="M242" i="9"/>
  <c r="I233" i="9"/>
  <c r="U233" i="9" s="1"/>
  <c r="I221" i="9"/>
  <c r="U221" i="9" s="1"/>
  <c r="L236" i="9"/>
  <c r="X236" i="9" s="1"/>
  <c r="M230" i="9"/>
  <c r="M221" i="9"/>
  <c r="Y221" i="9" s="1"/>
  <c r="K236" i="9"/>
  <c r="W236" i="9" s="1"/>
  <c r="G230" i="9"/>
  <c r="Z999" i="9"/>
  <c r="Z1002" i="9" s="1"/>
  <c r="Z1440" i="9"/>
  <c r="Z1443" i="9" s="1"/>
  <c r="Z656" i="9"/>
  <c r="Z659" i="9" s="1"/>
  <c r="Z1097" i="9"/>
  <c r="Z1100" i="9"/>
  <c r="Z309" i="9"/>
  <c r="Z312" i="9" s="1"/>
  <c r="Z1342" i="9"/>
  <c r="S196" i="9"/>
  <c r="T166" i="9"/>
  <c r="L233" i="9"/>
  <c r="X233" i="9" s="1"/>
  <c r="AH238" i="9"/>
  <c r="Z607" i="9"/>
  <c r="Z610" i="9" s="1"/>
  <c r="Z1489" i="9"/>
  <c r="Z1492" i="9" s="1"/>
  <c r="L230" i="9"/>
  <c r="Z558" i="9"/>
  <c r="Z561" i="9" s="1"/>
  <c r="Z1146" i="9"/>
  <c r="Z1149" i="9" s="1"/>
  <c r="V111" i="9"/>
  <c r="U113" i="9"/>
  <c r="Z950" i="9"/>
  <c r="Z953" i="9" s="1"/>
  <c r="Z1195" i="9"/>
  <c r="Z1198" i="9" s="1"/>
  <c r="V61" i="9"/>
  <c r="U63" i="9"/>
  <c r="Z409" i="9"/>
  <c r="Z412" i="9" s="1"/>
  <c r="K242" i="9"/>
  <c r="K233" i="9"/>
  <c r="W233" i="9" s="1"/>
  <c r="Z1538" i="9"/>
  <c r="Z1541" i="9" s="1"/>
  <c r="Z59" i="9"/>
  <c r="Z62" i="9" s="1"/>
  <c r="Z754" i="9"/>
  <c r="Z757" i="9" s="1"/>
  <c r="S216" i="9"/>
  <c r="U116" i="9"/>
  <c r="T146" i="9"/>
  <c r="Z359" i="9"/>
  <c r="Z362" i="9" s="1"/>
  <c r="Z109" i="9"/>
  <c r="Z112" i="9" s="1"/>
  <c r="Z1293" i="9"/>
  <c r="Z1296" i="9"/>
  <c r="Z705" i="9"/>
  <c r="Z708" i="9" s="1"/>
  <c r="Z509" i="9"/>
  <c r="Z512" i="9" s="1"/>
  <c r="U161" i="9"/>
  <c r="T163" i="9"/>
  <c r="Z159" i="9"/>
  <c r="Z162" i="9" s="1"/>
  <c r="Z901" i="9"/>
  <c r="Z904" i="9" s="1"/>
  <c r="Z259" i="9"/>
  <c r="Z262" i="9" s="1"/>
  <c r="Z1244" i="9"/>
  <c r="Z1247" i="9" s="1"/>
  <c r="Z459" i="9"/>
  <c r="Z462" i="9" s="1"/>
  <c r="T211" i="9"/>
  <c r="S213" i="9"/>
  <c r="K224" i="9"/>
  <c r="W224" i="9" s="1"/>
  <c r="Z1391" i="9"/>
  <c r="Z1394" i="9" s="1"/>
  <c r="Z1048" i="9"/>
  <c r="Z1051" i="9" s="1"/>
  <c r="Z209" i="9"/>
  <c r="Z212" i="9" s="1"/>
  <c r="Z852" i="9"/>
  <c r="Z855" i="9" s="1"/>
  <c r="T66" i="9"/>
  <c r="S96" i="9"/>
  <c r="Z803" i="9"/>
  <c r="Z806" i="9" s="1"/>
  <c r="AD342" i="2"/>
  <c r="AG341" i="2"/>
  <c r="AG342" i="2" s="1"/>
  <c r="H242" i="9"/>
  <c r="H236" i="9"/>
  <c r="T236" i="9" s="1"/>
  <c r="AG1354" i="2"/>
  <c r="AG1360" i="2"/>
  <c r="AG1357" i="2"/>
  <c r="AG1369" i="2"/>
  <c r="AG1366" i="2"/>
  <c r="AG1351" i="2"/>
  <c r="AG213" i="9"/>
  <c r="G221" i="9"/>
  <c r="S221" i="9" s="1"/>
  <c r="R230" i="9"/>
  <c r="AG1458" i="2"/>
  <c r="AG1455" i="2"/>
  <c r="AG1464" i="2"/>
  <c r="AG1452" i="2"/>
  <c r="AG1449" i="2"/>
  <c r="AG1467" i="2"/>
  <c r="AD1363" i="2"/>
  <c r="AD1374" i="2"/>
  <c r="AG1362" i="2"/>
  <c r="AG1363" i="2" s="1"/>
  <c r="AD1461" i="2"/>
  <c r="AD1472" i="2"/>
  <c r="AG1460" i="2"/>
  <c r="AG1461" i="2" s="1"/>
  <c r="AG217" i="9"/>
  <c r="AG218" i="9" s="1"/>
  <c r="R227" i="9"/>
  <c r="AD227" i="9" s="1"/>
  <c r="AG180" i="9"/>
  <c r="AG192" i="9"/>
  <c r="AG161" i="9"/>
  <c r="AG183" i="9"/>
  <c r="O263" i="9"/>
  <c r="AG171" i="9"/>
  <c r="N279" i="9"/>
  <c r="P291" i="9"/>
  <c r="R296" i="9"/>
  <c r="R233" i="9"/>
  <c r="AD233" i="9" s="1"/>
  <c r="M289" i="9"/>
  <c r="H285" i="9"/>
  <c r="J296" i="9"/>
  <c r="O291" i="9"/>
  <c r="I285" i="9"/>
  <c r="O273" i="9"/>
  <c r="N261" i="9"/>
  <c r="AD1325" i="2"/>
  <c r="AD1314" i="2"/>
  <c r="AG1313" i="2"/>
  <c r="AG1314" i="2" s="1"/>
  <c r="AG164" i="9"/>
  <c r="AG198" i="9" s="1"/>
  <c r="P285" i="9"/>
  <c r="G92" i="9"/>
  <c r="AG91" i="9"/>
  <c r="AG92" i="9" s="1"/>
  <c r="H273" i="9"/>
  <c r="L270" i="9"/>
  <c r="M264" i="9"/>
  <c r="N295" i="9"/>
  <c r="N296" i="9"/>
  <c r="H264" i="9"/>
  <c r="K285" i="9"/>
  <c r="K289" i="9"/>
  <c r="H295" i="9"/>
  <c r="L265" i="9"/>
  <c r="O285" i="9"/>
  <c r="M262" i="9"/>
  <c r="Q261" i="9"/>
  <c r="N264" i="9"/>
  <c r="H266" i="9"/>
  <c r="M285" i="9"/>
  <c r="G296" i="9"/>
  <c r="G289" i="9"/>
  <c r="N282" i="9"/>
  <c r="J289" i="9"/>
  <c r="G288" i="9"/>
  <c r="S288" i="9" s="1"/>
  <c r="Q291" i="9"/>
  <c r="N242" i="9"/>
  <c r="L261" i="9"/>
  <c r="AG174" i="9"/>
  <c r="G265" i="9"/>
  <c r="P236" i="9"/>
  <c r="AB236" i="9" s="1"/>
  <c r="O298" i="9"/>
  <c r="H262" i="9"/>
  <c r="G263" i="9"/>
  <c r="J298" i="9"/>
  <c r="Q285" i="9"/>
  <c r="AF263" i="9"/>
  <c r="Q276" i="9"/>
  <c r="G227" i="9"/>
  <c r="S227" i="9" s="1"/>
  <c r="AG226" i="9"/>
  <c r="M276" i="9"/>
  <c r="H267" i="9"/>
  <c r="I273" i="9"/>
  <c r="R289" i="9"/>
  <c r="P230" i="9"/>
  <c r="AF288" i="9"/>
  <c r="H291" i="9"/>
  <c r="G270" i="9"/>
  <c r="Q295" i="9"/>
  <c r="H289" i="9"/>
  <c r="O282" i="9"/>
  <c r="L289" i="9"/>
  <c r="AG220" i="9"/>
  <c r="R221" i="9"/>
  <c r="AD221" i="9" s="1"/>
  <c r="R288" i="9"/>
  <c r="AD288" i="9" s="1"/>
  <c r="N276" i="9"/>
  <c r="G298" i="9"/>
  <c r="AF261" i="9"/>
  <c r="P295" i="9"/>
  <c r="K288" i="9"/>
  <c r="W288" i="9" s="1"/>
  <c r="H288" i="9"/>
  <c r="T288" i="9" s="1"/>
  <c r="M288" i="9"/>
  <c r="Y288" i="9" s="1"/>
  <c r="G282" i="9"/>
  <c r="R242" i="9"/>
  <c r="L266" i="9"/>
  <c r="G264" i="9"/>
  <c r="L267" i="9"/>
  <c r="Q265" i="9"/>
  <c r="J282" i="9"/>
  <c r="G273" i="9"/>
  <c r="AG189" i="9"/>
  <c r="AH189" i="9"/>
  <c r="I295" i="9"/>
  <c r="O289" i="9"/>
  <c r="AG166" i="9"/>
  <c r="AG168" i="9"/>
  <c r="O276" i="9"/>
  <c r="L273" i="9"/>
  <c r="K298" i="9"/>
  <c r="J270" i="9"/>
  <c r="Q279" i="9"/>
  <c r="N270" i="9"/>
  <c r="R285" i="9"/>
  <c r="M265" i="9"/>
  <c r="AG238" i="9"/>
  <c r="H298" i="9"/>
  <c r="O262" i="9"/>
  <c r="AG223" i="9"/>
  <c r="R224" i="9"/>
  <c r="AD224" i="9" s="1"/>
  <c r="L262" i="9"/>
  <c r="I264" i="9"/>
  <c r="M298" i="9"/>
  <c r="J261" i="9"/>
  <c r="L288" i="9"/>
  <c r="X288" i="9" s="1"/>
  <c r="O279" i="9"/>
  <c r="K262" i="9"/>
  <c r="Q236" i="9"/>
  <c r="AC236" i="9" s="1"/>
  <c r="I291" i="9"/>
  <c r="AG1320" i="2"/>
  <c r="AG1308" i="2"/>
  <c r="AG1311" i="2"/>
  <c r="AG1317" i="2"/>
  <c r="AG1305" i="2"/>
  <c r="AG1302" i="2"/>
  <c r="AG186" i="9"/>
  <c r="G295" i="9"/>
  <c r="AF265" i="9"/>
  <c r="G266" i="9"/>
  <c r="K273" i="9"/>
  <c r="H296" i="9"/>
  <c r="Q224" i="9"/>
  <c r="AC224" i="9" s="1"/>
  <c r="R298" i="9"/>
  <c r="M296" i="9"/>
  <c r="AF192" i="2"/>
  <c r="AF192" i="9" s="1"/>
  <c r="AF191" i="9"/>
  <c r="R295" i="9"/>
  <c r="AG177" i="9"/>
  <c r="J291" i="9"/>
  <c r="K261" i="9"/>
  <c r="M295" i="9"/>
  <c r="P298" i="9"/>
  <c r="L295" i="9"/>
  <c r="AG215" i="9"/>
  <c r="AF292" i="9"/>
  <c r="P265" i="9"/>
  <c r="O266" i="9"/>
  <c r="N291" i="9"/>
  <c r="AF274" i="9"/>
  <c r="AF264" i="9"/>
  <c r="I263" i="9"/>
  <c r="K266" i="9"/>
  <c r="I296" i="9"/>
  <c r="M263" i="9"/>
  <c r="J276" i="9"/>
  <c r="R261" i="9"/>
  <c r="S261" i="9" s="1"/>
  <c r="AF279" i="9"/>
  <c r="N263" i="9"/>
  <c r="AF282" i="9"/>
  <c r="K296" i="9"/>
  <c r="H265" i="9"/>
  <c r="I261" i="9"/>
  <c r="P264" i="9"/>
  <c r="I267" i="9"/>
  <c r="H282" i="9"/>
  <c r="R267" i="9"/>
  <c r="I279" i="9"/>
  <c r="P267" i="9"/>
  <c r="M261" i="9"/>
  <c r="L285" i="9"/>
  <c r="Q282" i="9"/>
  <c r="N273" i="9"/>
  <c r="K270" i="9"/>
  <c r="AF291" i="9"/>
  <c r="G279" i="9"/>
  <c r="L282" i="9"/>
  <c r="H279" i="9"/>
  <c r="N288" i="9"/>
  <c r="Z288" i="9" s="1"/>
  <c r="K291" i="9"/>
  <c r="K264" i="9"/>
  <c r="AF296" i="9"/>
  <c r="M266" i="9"/>
  <c r="L296" i="9"/>
  <c r="I262" i="9"/>
  <c r="R265" i="9"/>
  <c r="K282" i="9"/>
  <c r="Q270" i="9"/>
  <c r="AF286" i="9"/>
  <c r="M279" i="9"/>
  <c r="AF295" i="9"/>
  <c r="H276" i="9"/>
  <c r="AF285" i="9"/>
  <c r="P266" i="9"/>
  <c r="K263" i="9"/>
  <c r="AF283" i="9"/>
  <c r="J285" i="9"/>
  <c r="Q262" i="9"/>
  <c r="AF277" i="9"/>
  <c r="R263" i="9"/>
  <c r="O295" i="9"/>
  <c r="Q273" i="9"/>
  <c r="P288" i="9"/>
  <c r="AB288" i="9" s="1"/>
  <c r="J263" i="9"/>
  <c r="L279" i="9"/>
  <c r="R273" i="9"/>
  <c r="AF267" i="9"/>
  <c r="H263" i="9"/>
  <c r="G276" i="9"/>
  <c r="M267" i="9"/>
  <c r="I265" i="9"/>
  <c r="AF280" i="9"/>
  <c r="M270" i="9"/>
  <c r="G267" i="9"/>
  <c r="AF271" i="9"/>
  <c r="O267" i="9"/>
  <c r="H270" i="9"/>
  <c r="O264" i="9"/>
  <c r="J288" i="9"/>
  <c r="V288" i="9" s="1"/>
  <c r="J279" i="9"/>
  <c r="O261" i="9"/>
  <c r="K295" i="9"/>
  <c r="I266" i="9"/>
  <c r="L276" i="9"/>
  <c r="L277" i="9" s="1"/>
  <c r="X277" i="9" s="1"/>
  <c r="R264" i="9"/>
  <c r="L298" i="9"/>
  <c r="R262" i="9"/>
  <c r="J262" i="9"/>
  <c r="N267" i="9"/>
  <c r="N277" i="9" s="1"/>
  <c r="Z277" i="9" s="1"/>
  <c r="I270" i="9"/>
  <c r="M282" i="9"/>
  <c r="P263" i="9"/>
  <c r="AF273" i="9"/>
  <c r="Q289" i="9"/>
  <c r="Q298" i="9"/>
  <c r="N265" i="9"/>
  <c r="R282" i="9"/>
  <c r="N298" i="9"/>
  <c r="I288" i="9"/>
  <c r="U288" i="9" s="1"/>
  <c r="AF270" i="9"/>
  <c r="L263" i="9"/>
  <c r="K279" i="9"/>
  <c r="G291" i="9"/>
  <c r="M291" i="9"/>
  <c r="P276" i="9"/>
  <c r="N262" i="9"/>
  <c r="G261" i="9"/>
  <c r="P279" i="9"/>
  <c r="P280" i="9" s="1"/>
  <c r="O265" i="9"/>
  <c r="R276" i="9"/>
  <c r="J295" i="9"/>
  <c r="N266" i="9"/>
  <c r="P296" i="9"/>
  <c r="O296" i="9"/>
  <c r="Q296" i="9"/>
  <c r="K267" i="9"/>
  <c r="M273" i="9"/>
  <c r="AF276" i="9"/>
  <c r="I282" i="9"/>
  <c r="I283" i="9" s="1"/>
  <c r="U283" i="9" s="1"/>
  <c r="J267" i="9"/>
  <c r="J280" i="9" s="1"/>
  <c r="L264" i="9"/>
  <c r="Q266" i="9"/>
  <c r="Q288" i="9"/>
  <c r="AC288" i="9" s="1"/>
  <c r="P270" i="9"/>
  <c r="O270" i="9"/>
  <c r="L291" i="9"/>
  <c r="L292" i="9" s="1"/>
  <c r="AF266" i="9"/>
  <c r="I298" i="9"/>
  <c r="Q263" i="9"/>
  <c r="Q264" i="9"/>
  <c r="AF262" i="9"/>
  <c r="P273" i="9"/>
  <c r="P274" i="9" s="1"/>
  <c r="AB274" i="9" s="1"/>
  <c r="H261" i="9"/>
  <c r="R266" i="9"/>
  <c r="I289" i="9"/>
  <c r="J264" i="9"/>
  <c r="G285" i="9"/>
  <c r="P261" i="9"/>
  <c r="K276" i="9"/>
  <c r="P282" i="9"/>
  <c r="AF92" i="2"/>
  <c r="AF92" i="9" s="1"/>
  <c r="AF91" i="9"/>
  <c r="I276" i="9"/>
  <c r="I277" i="9" s="1"/>
  <c r="U277" i="9" s="1"/>
  <c r="J265" i="9"/>
  <c r="O288" i="9"/>
  <c r="AA288" i="9" s="1"/>
  <c r="R270" i="9"/>
  <c r="G262" i="9"/>
  <c r="J273" i="9"/>
  <c r="K265" i="9"/>
  <c r="P262" i="9"/>
  <c r="P289" i="9"/>
  <c r="AG196" i="9"/>
  <c r="J266" i="9"/>
  <c r="Q267" i="9"/>
  <c r="N285" i="9"/>
  <c r="N289" i="9"/>
  <c r="L224" i="9"/>
  <c r="X224" i="9" s="1"/>
  <c r="N230" i="9"/>
  <c r="P227" i="9"/>
  <c r="AB227" i="9" s="1"/>
  <c r="O233" i="9"/>
  <c r="AA233" i="9" s="1"/>
  <c r="H233" i="9"/>
  <c r="T233" i="9" s="1"/>
  <c r="Q230" i="9"/>
  <c r="AG212" i="9"/>
  <c r="AG211" i="9" s="1"/>
  <c r="Q227" i="9"/>
  <c r="AC227" i="9" s="1"/>
  <c r="N221" i="9"/>
  <c r="Z221" i="9" s="1"/>
  <c r="H224" i="9"/>
  <c r="T224" i="9" s="1"/>
  <c r="L221" i="9"/>
  <c r="X221" i="9" s="1"/>
  <c r="Q242" i="9"/>
  <c r="J230" i="9"/>
  <c r="AG235" i="9"/>
  <c r="R236" i="9"/>
  <c r="AD236" i="9" s="1"/>
  <c r="P221" i="9"/>
  <c r="AB221" i="9" s="1"/>
  <c r="H221" i="9"/>
  <c r="T221" i="9" s="1"/>
  <c r="L227" i="9"/>
  <c r="X227" i="9" s="1"/>
  <c r="I230" i="9"/>
  <c r="O236" i="9"/>
  <c r="AA236" i="9" s="1"/>
  <c r="AG277" i="2"/>
  <c r="AG274" i="2"/>
  <c r="AG271" i="2"/>
  <c r="AG286" i="2"/>
  <c r="AG283" i="2"/>
  <c r="AG268" i="2"/>
  <c r="AG245" i="9"/>
  <c r="P224" i="9"/>
  <c r="AB224" i="9" s="1"/>
  <c r="AG229" i="9"/>
  <c r="K227" i="9"/>
  <c r="W227" i="9" s="1"/>
  <c r="Q233" i="9"/>
  <c r="AC233" i="9" s="1"/>
  <c r="R279" i="9"/>
  <c r="AD280" i="2"/>
  <c r="AD291" i="2"/>
  <c r="AG279" i="2"/>
  <c r="AG280" i="2" s="1"/>
  <c r="N233" i="9"/>
  <c r="Z233" i="9" s="1"/>
  <c r="AG232" i="9"/>
  <c r="G233" i="9"/>
  <c r="S233" i="9" s="1"/>
  <c r="P242" i="9"/>
  <c r="H227" i="9"/>
  <c r="T227" i="9" s="1"/>
  <c r="L242" i="9"/>
  <c r="P233" i="9"/>
  <c r="AB233" i="9" s="1"/>
  <c r="G242" i="9"/>
  <c r="AG241" i="9"/>
  <c r="Q221" i="9"/>
  <c r="AC221" i="9" s="1"/>
  <c r="K230" i="9"/>
  <c r="N224" i="9"/>
  <c r="Z224" i="9" s="1"/>
  <c r="P294" i="11"/>
  <c r="O353" i="11"/>
  <c r="V41" i="8" s="1"/>
  <c r="P303" i="11"/>
  <c r="Q147" i="11"/>
  <c r="Q206" i="11" s="1"/>
  <c r="Q128" i="11"/>
  <c r="Q187" i="11" s="1"/>
  <c r="P313" i="11"/>
  <c r="Q152" i="11"/>
  <c r="Q211" i="11" s="1"/>
  <c r="P306" i="11"/>
  <c r="Q146" i="11"/>
  <c r="Q205" i="11" s="1"/>
  <c r="Q266" i="11"/>
  <c r="Q325" i="11" s="1"/>
  <c r="P322" i="11"/>
  <c r="Q234" i="11"/>
  <c r="Q252" i="11"/>
  <c r="Q311" i="11" s="1"/>
  <c r="P176" i="11"/>
  <c r="P317" i="11"/>
  <c r="Q58" i="11"/>
  <c r="Q143" i="11"/>
  <c r="Q202" i="11" s="1"/>
  <c r="Q149" i="11"/>
  <c r="Q208" i="11" s="1"/>
  <c r="P316" i="11"/>
  <c r="P302" i="11"/>
  <c r="Q263" i="11"/>
  <c r="Q322" i="11" s="1"/>
  <c r="Q157" i="11"/>
  <c r="Q216" i="11" s="1"/>
  <c r="P305" i="11"/>
  <c r="Q257" i="11"/>
  <c r="Q316" i="11" s="1"/>
  <c r="Q258" i="11"/>
  <c r="Q317" i="11" s="1"/>
  <c r="Q251" i="11"/>
  <c r="Q310" i="11" s="1"/>
  <c r="Q142" i="11"/>
  <c r="Q201" i="11" s="1"/>
  <c r="R26" i="11"/>
  <c r="R262" i="11" s="1"/>
  <c r="P312" i="11"/>
  <c r="Q166" i="11"/>
  <c r="Q232" i="11" s="1"/>
  <c r="Q138" i="11"/>
  <c r="Q197" i="11" s="1"/>
  <c r="Q131" i="11"/>
  <c r="Q190" i="11" s="1"/>
  <c r="Q243" i="11"/>
  <c r="Q302" i="11" s="1"/>
  <c r="Q135" i="11"/>
  <c r="Q194" i="11" s="1"/>
  <c r="Q269" i="11"/>
  <c r="Q328" i="11" s="1"/>
  <c r="Q245" i="11"/>
  <c r="Q304" i="11" s="1"/>
  <c r="P320" i="11"/>
  <c r="Q144" i="11"/>
  <c r="Q203" i="11" s="1"/>
  <c r="Q130" i="11"/>
  <c r="Q189" i="11" s="1"/>
  <c r="P315" i="11"/>
  <c r="Q153" i="11"/>
  <c r="Q212" i="11" s="1"/>
  <c r="P314" i="11"/>
  <c r="R51" i="11"/>
  <c r="Q129" i="11"/>
  <c r="Q188" i="11" s="1"/>
  <c r="Q155" i="11"/>
  <c r="Q214" i="11" s="1"/>
  <c r="Q136" i="11"/>
  <c r="Q195" i="11" s="1"/>
  <c r="Q156" i="11"/>
  <c r="Q215" i="11" s="1"/>
  <c r="Q126" i="11"/>
  <c r="Q185" i="11" s="1"/>
  <c r="R37" i="11"/>
  <c r="R155" i="11" s="1"/>
  <c r="R214" i="11" s="1"/>
  <c r="R11" i="11"/>
  <c r="R247" i="11" s="1"/>
  <c r="R13" i="11"/>
  <c r="R249" i="11" s="1"/>
  <c r="R45" i="11"/>
  <c r="R50" i="11"/>
  <c r="Q160" i="11"/>
  <c r="Q226" i="11" s="1"/>
  <c r="R41" i="11"/>
  <c r="R21" i="11"/>
  <c r="R139" i="11" s="1"/>
  <c r="R198" i="11" s="1"/>
  <c r="R55" i="11"/>
  <c r="R43" i="11"/>
  <c r="R17" i="11"/>
  <c r="R135" i="11" s="1"/>
  <c r="R194" i="11" s="1"/>
  <c r="R15" i="11"/>
  <c r="R251" i="11" s="1"/>
  <c r="Q132" i="11"/>
  <c r="Q191" i="11" s="1"/>
  <c r="R19" i="11"/>
  <c r="R255" i="11" s="1"/>
  <c r="R44" i="11"/>
  <c r="R33" i="11"/>
  <c r="R269" i="11" s="1"/>
  <c r="Q150" i="11"/>
  <c r="Q209" i="11" s="1"/>
  <c r="R46" i="11"/>
  <c r="R49" i="11"/>
  <c r="R285" i="11" s="1"/>
  <c r="R36" i="11"/>
  <c r="R154" i="11" s="1"/>
  <c r="R213" i="11" s="1"/>
  <c r="R48" i="11"/>
  <c r="R54" i="11"/>
  <c r="R31" i="11"/>
  <c r="R267" i="11" s="1"/>
  <c r="R29" i="11"/>
  <c r="R147" i="11" s="1"/>
  <c r="R206" i="11" s="1"/>
  <c r="R42" i="11"/>
  <c r="R7" i="11"/>
  <c r="R243" i="11" s="1"/>
  <c r="R53" i="11"/>
  <c r="R56" i="11"/>
  <c r="R47" i="11"/>
  <c r="R32" i="11"/>
  <c r="R150" i="11" s="1"/>
  <c r="R209" i="11" s="1"/>
  <c r="R12" i="11"/>
  <c r="R248" i="11" s="1"/>
  <c r="R52" i="11"/>
  <c r="R10" i="11"/>
  <c r="R246" i="11" s="1"/>
  <c r="Q255" i="11"/>
  <c r="Q314" i="11" s="1"/>
  <c r="R34" i="11"/>
  <c r="R270" i="11" s="1"/>
  <c r="R14" i="11"/>
  <c r="R250" i="11" s="1"/>
  <c r="R27" i="11"/>
  <c r="R145" i="11" s="1"/>
  <c r="R204" i="11" s="1"/>
  <c r="R20" i="11"/>
  <c r="R256" i="11" s="1"/>
  <c r="Q154" i="11"/>
  <c r="Q213" i="11" s="1"/>
  <c r="R18" i="11"/>
  <c r="R254" i="11" s="1"/>
  <c r="R9" i="11"/>
  <c r="R245" i="11" s="1"/>
  <c r="R25" i="11"/>
  <c r="R261" i="11" s="1"/>
  <c r="R38" i="11"/>
  <c r="R274" i="11" s="1"/>
  <c r="R23" i="11"/>
  <c r="R259" i="11" s="1"/>
  <c r="R16" i="11"/>
  <c r="R252" i="11" s="1"/>
  <c r="R30" i="11"/>
  <c r="R148" i="11" s="1"/>
  <c r="R207" i="11" s="1"/>
  <c r="Q141" i="11"/>
  <c r="Q200" i="11" s="1"/>
  <c r="P308" i="11"/>
  <c r="R28" i="11"/>
  <c r="R264" i="11" s="1"/>
  <c r="R22" i="11"/>
  <c r="R258" i="11" s="1"/>
  <c r="R35" i="11"/>
  <c r="R153" i="11" s="1"/>
  <c r="R212" i="11" s="1"/>
  <c r="R39" i="11"/>
  <c r="R24" i="11"/>
  <c r="R260" i="11" s="1"/>
  <c r="R8" i="11"/>
  <c r="R244" i="11" s="1"/>
  <c r="S6" i="11"/>
  <c r="T6" i="11" s="1"/>
  <c r="R158" i="11"/>
  <c r="R217" i="11" s="1"/>
  <c r="P305" i="4"/>
  <c r="O377" i="4"/>
  <c r="H50" i="1"/>
  <c r="H51" i="1" s="1"/>
  <c r="D51" i="1"/>
  <c r="D53" i="1"/>
  <c r="D61" i="1" s="1"/>
  <c r="H128" i="1"/>
  <c r="F163" i="1"/>
  <c r="E127" i="1"/>
  <c r="H122" i="1"/>
  <c r="G122" i="1"/>
  <c r="H42" i="1"/>
  <c r="K677" i="2"/>
  <c r="K688" i="2"/>
  <c r="K689" i="2" s="1"/>
  <c r="J726" i="2"/>
  <c r="J737" i="2"/>
  <c r="K726" i="2"/>
  <c r="K737" i="2"/>
  <c r="K738" i="2" s="1"/>
  <c r="K971" i="2"/>
  <c r="K982" i="2"/>
  <c r="K983" i="2" s="1"/>
  <c r="L530" i="2"/>
  <c r="L541" i="2"/>
  <c r="K1118" i="2"/>
  <c r="K1129" i="2"/>
  <c r="K1130" i="2" s="1"/>
  <c r="L1109" i="2"/>
  <c r="L668" i="2"/>
  <c r="L1115" i="2"/>
  <c r="L676" i="2"/>
  <c r="L974" i="2"/>
  <c r="L1124" i="2"/>
  <c r="L1121" i="2"/>
  <c r="L680" i="2"/>
  <c r="H57" i="1"/>
  <c r="H33" i="1"/>
  <c r="H18" i="1"/>
  <c r="H24" i="1"/>
  <c r="H26" i="1"/>
  <c r="H21" i="1"/>
  <c r="H45" i="1"/>
  <c r="H30" i="1"/>
  <c r="L725" i="2"/>
  <c r="M529" i="2"/>
  <c r="L732" i="2"/>
  <c r="L720" i="2"/>
  <c r="M536" i="2"/>
  <c r="L717" i="2"/>
  <c r="M527" i="2"/>
  <c r="M524" i="2"/>
  <c r="M521" i="2"/>
  <c r="L965" i="2"/>
  <c r="N517" i="2"/>
  <c r="M958" i="2"/>
  <c r="L968" i="2"/>
  <c r="M1105" i="2"/>
  <c r="L970" i="2"/>
  <c r="M664" i="2"/>
  <c r="L674" i="2"/>
  <c r="L729" i="2"/>
  <c r="L1112" i="2"/>
  <c r="L977" i="2"/>
  <c r="L962" i="2"/>
  <c r="M533" i="2"/>
  <c r="L671" i="2"/>
  <c r="L683" i="2"/>
  <c r="G26" i="1"/>
  <c r="G38" i="1" s="1"/>
  <c r="G33" i="1"/>
  <c r="G18" i="1"/>
  <c r="G21" i="1"/>
  <c r="G24" i="1"/>
  <c r="G30" i="1"/>
  <c r="G57" i="1"/>
  <c r="G45" i="1"/>
  <c r="G42" i="1"/>
  <c r="G51" i="1"/>
  <c r="L723" i="2"/>
  <c r="L1117" i="2"/>
  <c r="F53" i="1"/>
  <c r="F61" i="1" s="1"/>
  <c r="E39" i="1"/>
  <c r="E53" i="1"/>
  <c r="E61" i="1" s="1"/>
  <c r="O707" i="2"/>
  <c r="N709" i="2"/>
  <c r="N711" i="2" s="1"/>
  <c r="N741" i="2" s="1"/>
  <c r="M711" i="2"/>
  <c r="M741" i="2" s="1"/>
  <c r="O1099" i="2"/>
  <c r="N1101" i="2"/>
  <c r="N1103" i="2" s="1"/>
  <c r="N1133" i="2" s="1"/>
  <c r="O952" i="2"/>
  <c r="N954" i="2"/>
  <c r="N956" i="2" s="1"/>
  <c r="N986" i="2" s="1"/>
  <c r="P511" i="2"/>
  <c r="O513" i="2"/>
  <c r="O515" i="2" s="1"/>
  <c r="O545" i="2" s="1"/>
  <c r="O658" i="2"/>
  <c r="N660" i="2"/>
  <c r="N662" i="2" s="1"/>
  <c r="N692" i="2" s="1"/>
  <c r="O314" i="4"/>
  <c r="N188" i="4"/>
  <c r="O178" i="4"/>
  <c r="O241" i="4" s="1"/>
  <c r="O181" i="4"/>
  <c r="O244" i="4" s="1"/>
  <c r="O183" i="4"/>
  <c r="O246" i="4" s="1"/>
  <c r="O184" i="4"/>
  <c r="O247" i="4"/>
  <c r="O150" i="4"/>
  <c r="O213" i="4" s="1"/>
  <c r="O186" i="4"/>
  <c r="O249" i="4" s="1"/>
  <c r="O163" i="4"/>
  <c r="O226" i="4" s="1"/>
  <c r="O158" i="4"/>
  <c r="O221" i="4" s="1"/>
  <c r="O149" i="4"/>
  <c r="O212" i="4" s="1"/>
  <c r="O147" i="4"/>
  <c r="O210" i="4"/>
  <c r="O165" i="4"/>
  <c r="O228" i="4" s="1"/>
  <c r="O177" i="4"/>
  <c r="O240" i="4" s="1"/>
  <c r="O141" i="4"/>
  <c r="O204" i="4" s="1"/>
  <c r="O134" i="4"/>
  <c r="O197" i="4" s="1"/>
  <c r="O135" i="4"/>
  <c r="O198" i="4" s="1"/>
  <c r="O137" i="4"/>
  <c r="O200" i="4" s="1"/>
  <c r="O162" i="4"/>
  <c r="O225" i="4" s="1"/>
  <c r="O139" i="4"/>
  <c r="O202" i="4"/>
  <c r="O156" i="4"/>
  <c r="O219" i="4" s="1"/>
  <c r="O136" i="4"/>
  <c r="O199" i="4" s="1"/>
  <c r="O143" i="4"/>
  <c r="O206" i="4"/>
  <c r="O166" i="4"/>
  <c r="O229" i="4" s="1"/>
  <c r="O187" i="4"/>
  <c r="O250" i="4" s="1"/>
  <c r="O152" i="4"/>
  <c r="O215" i="4" s="1"/>
  <c r="O161" i="4"/>
  <c r="O224" i="4" s="1"/>
  <c r="O175" i="4"/>
  <c r="O238" i="4" s="1"/>
  <c r="O164" i="4"/>
  <c r="O227" i="4" s="1"/>
  <c r="O154" i="4"/>
  <c r="O217" i="4" s="1"/>
  <c r="O171" i="4"/>
  <c r="O234" i="4" s="1"/>
  <c r="O176" i="4"/>
  <c r="O239" i="4"/>
  <c r="O155" i="4"/>
  <c r="O218" i="4" s="1"/>
  <c r="O179" i="4"/>
  <c r="O242" i="4" s="1"/>
  <c r="O169" i="4"/>
  <c r="O232" i="4" s="1"/>
  <c r="O174" i="4"/>
  <c r="O237" i="4" s="1"/>
  <c r="O182" i="4"/>
  <c r="O245" i="4" s="1"/>
  <c r="O138" i="4"/>
  <c r="O201" i="4" s="1"/>
  <c r="O172" i="4"/>
  <c r="O235" i="4"/>
  <c r="O151" i="4"/>
  <c r="O214" i="4"/>
  <c r="O133" i="4"/>
  <c r="O196" i="4" s="1"/>
  <c r="O167" i="4"/>
  <c r="O230" i="4" s="1"/>
  <c r="O140" i="4"/>
  <c r="O203" i="4" s="1"/>
  <c r="O159" i="4"/>
  <c r="O222" i="4"/>
  <c r="O173" i="4"/>
  <c r="O236" i="4" s="1"/>
  <c r="O153" i="4"/>
  <c r="O216" i="4"/>
  <c r="O168" i="4"/>
  <c r="O231" i="4" s="1"/>
  <c r="O160" i="4"/>
  <c r="O223" i="4" s="1"/>
  <c r="O180" i="4"/>
  <c r="O243" i="4"/>
  <c r="O142" i="4"/>
  <c r="O205" i="4" s="1"/>
  <c r="O170" i="4"/>
  <c r="O233" i="4"/>
  <c r="O157" i="4"/>
  <c r="O220" i="4"/>
  <c r="O185" i="4"/>
  <c r="O248" i="4" s="1"/>
  <c r="O144" i="4"/>
  <c r="O207" i="4" s="1"/>
  <c r="O148" i="4"/>
  <c r="O211" i="4" s="1"/>
  <c r="O146" i="4"/>
  <c r="O209" i="4" s="1"/>
  <c r="O145" i="4"/>
  <c r="O208" i="4" s="1"/>
  <c r="Q69" i="4"/>
  <c r="O125" i="4"/>
  <c r="Q6" i="4"/>
  <c r="P53" i="4"/>
  <c r="P29" i="4"/>
  <c r="P281" i="4" s="1"/>
  <c r="P344" i="4" s="1"/>
  <c r="P28" i="4"/>
  <c r="P280" i="4" s="1"/>
  <c r="P343" i="4" s="1"/>
  <c r="P49" i="4"/>
  <c r="P301" i="4" s="1"/>
  <c r="P364" i="4" s="1"/>
  <c r="P10" i="4"/>
  <c r="P262" i="4" s="1"/>
  <c r="P325" i="4" s="1"/>
  <c r="P48" i="4"/>
  <c r="P300" i="4" s="1"/>
  <c r="P363" i="4" s="1"/>
  <c r="P33" i="4"/>
  <c r="P285" i="4" s="1"/>
  <c r="P348" i="4" s="1"/>
  <c r="P56" i="4"/>
  <c r="P308" i="4" s="1"/>
  <c r="P371" i="4" s="1"/>
  <c r="P13" i="4"/>
  <c r="P265" i="4" s="1"/>
  <c r="P328" i="4" s="1"/>
  <c r="P43" i="4"/>
  <c r="P295" i="4" s="1"/>
  <c r="P358" i="4" s="1"/>
  <c r="P8" i="4"/>
  <c r="P260" i="4" s="1"/>
  <c r="P323" i="4" s="1"/>
  <c r="P54" i="4"/>
  <c r="P306" i="4" s="1"/>
  <c r="P369" i="4" s="1"/>
  <c r="P41" i="4"/>
  <c r="P293" i="4" s="1"/>
  <c r="P356" i="4" s="1"/>
  <c r="P23" i="4"/>
  <c r="P275" i="4" s="1"/>
  <c r="P338" i="4" s="1"/>
  <c r="P38" i="4"/>
  <c r="P290" i="4" s="1"/>
  <c r="P353" i="4" s="1"/>
  <c r="P37" i="4"/>
  <c r="P289" i="4" s="1"/>
  <c r="P352" i="4" s="1"/>
  <c r="P51" i="4"/>
  <c r="P303" i="4" s="1"/>
  <c r="P366" i="4" s="1"/>
  <c r="P7" i="4"/>
  <c r="P259" i="4" s="1"/>
  <c r="P322" i="4" s="1"/>
  <c r="P50" i="4"/>
  <c r="P302" i="4" s="1"/>
  <c r="P365" i="4" s="1"/>
  <c r="P24" i="4"/>
  <c r="P276" i="4" s="1"/>
  <c r="P339" i="4" s="1"/>
  <c r="P45" i="4"/>
  <c r="P297" i="4" s="1"/>
  <c r="P360" i="4" s="1"/>
  <c r="P20" i="4"/>
  <c r="P272" i="4" s="1"/>
  <c r="P335" i="4" s="1"/>
  <c r="P9" i="4"/>
  <c r="P261" i="4" s="1"/>
  <c r="P324" i="4" s="1"/>
  <c r="P42" i="4"/>
  <c r="P294" i="4" s="1"/>
  <c r="P357" i="4" s="1"/>
  <c r="P55" i="4"/>
  <c r="P307" i="4" s="1"/>
  <c r="P370" i="4" s="1"/>
  <c r="P21" i="4"/>
  <c r="P273" i="4" s="1"/>
  <c r="P336" i="4" s="1"/>
  <c r="P58" i="4"/>
  <c r="P310" i="4" s="1"/>
  <c r="P373" i="4" s="1"/>
  <c r="P14" i="4"/>
  <c r="P266" i="4" s="1"/>
  <c r="P329" i="4" s="1"/>
  <c r="P47" i="4"/>
  <c r="P299" i="4" s="1"/>
  <c r="P362" i="4" s="1"/>
  <c r="P61" i="4"/>
  <c r="P313" i="4" s="1"/>
  <c r="P376" i="4" s="1"/>
  <c r="P46" i="4"/>
  <c r="P298" i="4" s="1"/>
  <c r="P361" i="4" s="1"/>
  <c r="P11" i="4"/>
  <c r="P263" i="4" s="1"/>
  <c r="P326" i="4" s="1"/>
  <c r="P12" i="4"/>
  <c r="P264" i="4" s="1"/>
  <c r="P327" i="4" s="1"/>
  <c r="P44" i="4"/>
  <c r="P296" i="4" s="1"/>
  <c r="P359" i="4" s="1"/>
  <c r="P60" i="4"/>
  <c r="P312" i="4" s="1"/>
  <c r="P375" i="4" s="1"/>
  <c r="P36" i="4"/>
  <c r="P288" i="4" s="1"/>
  <c r="P351" i="4" s="1"/>
  <c r="P32" i="4"/>
  <c r="P284" i="4" s="1"/>
  <c r="P347" i="4" s="1"/>
  <c r="P40" i="4"/>
  <c r="P292" i="4" s="1"/>
  <c r="P355" i="4" s="1"/>
  <c r="P17" i="4"/>
  <c r="P269" i="4" s="1"/>
  <c r="P332" i="4" s="1"/>
  <c r="P34" i="4"/>
  <c r="P286" i="4" s="1"/>
  <c r="P349" i="4" s="1"/>
  <c r="P59" i="4"/>
  <c r="P311" i="4" s="1"/>
  <c r="P374" i="4" s="1"/>
  <c r="P31" i="4"/>
  <c r="P283" i="4" s="1"/>
  <c r="P346" i="4" s="1"/>
  <c r="P52" i="4"/>
  <c r="P304" i="4" s="1"/>
  <c r="P367" i="4" s="1"/>
  <c r="P19" i="4"/>
  <c r="P271" i="4" s="1"/>
  <c r="P334" i="4" s="1"/>
  <c r="P26" i="4"/>
  <c r="P278" i="4" s="1"/>
  <c r="P341" i="4" s="1"/>
  <c r="P16" i="4"/>
  <c r="P268" i="4" s="1"/>
  <c r="P331" i="4" s="1"/>
  <c r="P22" i="4"/>
  <c r="P274" i="4" s="1"/>
  <c r="P337" i="4" s="1"/>
  <c r="P57" i="4"/>
  <c r="P309" i="4" s="1"/>
  <c r="P372" i="4" s="1"/>
  <c r="P27" i="4"/>
  <c r="P279" i="4" s="1"/>
  <c r="P342" i="4" s="1"/>
  <c r="P39" i="4"/>
  <c r="P291" i="4" s="1"/>
  <c r="P354" i="4" s="1"/>
  <c r="P15" i="4"/>
  <c r="P267" i="4" s="1"/>
  <c r="P330" i="4" s="1"/>
  <c r="P25" i="4"/>
  <c r="P277" i="4" s="1"/>
  <c r="P340" i="4" s="1"/>
  <c r="P30" i="4"/>
  <c r="P282" i="4" s="1"/>
  <c r="P345" i="4" s="1"/>
  <c r="P18" i="4"/>
  <c r="P270" i="4" s="1"/>
  <c r="P333" i="4" s="1"/>
  <c r="P35" i="4"/>
  <c r="P287" i="4" s="1"/>
  <c r="P350" i="4" s="1"/>
  <c r="O62" i="4"/>
  <c r="B311" i="2"/>
  <c r="C311" i="2" s="1"/>
  <c r="B346" i="2"/>
  <c r="C346" i="2" s="1"/>
  <c r="B335" i="2"/>
  <c r="C335" i="2" s="1"/>
  <c r="B323" i="2"/>
  <c r="C323" i="2" s="1"/>
  <c r="B310" i="2"/>
  <c r="B334" i="2"/>
  <c r="C334" i="2" s="1"/>
  <c r="B322" i="2"/>
  <c r="C322" i="2" s="1"/>
  <c r="B341" i="2"/>
  <c r="C341" i="2" s="1"/>
  <c r="B330" i="2"/>
  <c r="C330" i="2" s="1"/>
  <c r="B340" i="2"/>
  <c r="C340" i="2" s="1"/>
  <c r="B316" i="2"/>
  <c r="C316" i="2" s="1"/>
  <c r="B309" i="2"/>
  <c r="B338" i="2"/>
  <c r="C338" i="2" s="1"/>
  <c r="B326" i="2"/>
  <c r="C326" i="2" s="1"/>
  <c r="B313" i="2"/>
  <c r="C313" i="2" s="1"/>
  <c r="B308" i="2"/>
  <c r="B337" i="2"/>
  <c r="C337" i="2" s="1"/>
  <c r="B325" i="2"/>
  <c r="C325" i="2" s="1"/>
  <c r="B307" i="2"/>
  <c r="B345" i="2"/>
  <c r="C345" i="2" s="1"/>
  <c r="B344" i="2"/>
  <c r="C344" i="2" s="1"/>
  <c r="B333" i="2"/>
  <c r="C333" i="2" s="1"/>
  <c r="B321" i="2"/>
  <c r="C321" i="2" s="1"/>
  <c r="B306" i="2"/>
  <c r="B343" i="2"/>
  <c r="C343" i="2" s="1"/>
  <c r="B339" i="2"/>
  <c r="C339" i="2" s="1"/>
  <c r="B327" i="2"/>
  <c r="C327" i="2" s="1"/>
  <c r="B329" i="2"/>
  <c r="C329" i="2" s="1"/>
  <c r="B318" i="2"/>
  <c r="C318" i="2" s="1"/>
  <c r="B305" i="2"/>
  <c r="B312" i="2"/>
  <c r="C312" i="2" s="1"/>
  <c r="B328" i="2"/>
  <c r="C328" i="2" s="1"/>
  <c r="B315" i="2"/>
  <c r="C315" i="2" s="1"/>
  <c r="B303" i="2"/>
  <c r="B348" i="2"/>
  <c r="C348" i="2" s="1"/>
  <c r="B347" i="2"/>
  <c r="C347" i="2" s="1"/>
  <c r="B336" i="2"/>
  <c r="C336" i="2" s="1"/>
  <c r="B324" i="2"/>
  <c r="C324" i="2" s="1"/>
  <c r="B314" i="2"/>
  <c r="C314" i="2" s="1"/>
  <c r="B332" i="2"/>
  <c r="C332" i="2" s="1"/>
  <c r="B320" i="2"/>
  <c r="C320" i="2" s="1"/>
  <c r="B342" i="2"/>
  <c r="C342" i="2" s="1"/>
  <c r="B331" i="2"/>
  <c r="C331" i="2" s="1"/>
  <c r="B319" i="2"/>
  <c r="C319" i="2" s="1"/>
  <c r="B317" i="2"/>
  <c r="C317" i="2" s="1"/>
  <c r="Q345" i="11" l="1"/>
  <c r="Q336" i="11"/>
  <c r="Q333" i="11"/>
  <c r="Q221" i="11"/>
  <c r="Q348" i="11"/>
  <c r="Q340" i="11"/>
  <c r="Q222" i="11"/>
  <c r="H313" i="9"/>
  <c r="L274" i="9"/>
  <c r="X274" i="9" s="1"/>
  <c r="L283" i="9"/>
  <c r="X283" i="9" s="1"/>
  <c r="N286" i="9"/>
  <c r="Z286" i="9" s="1"/>
  <c r="L280" i="9"/>
  <c r="AG214" i="9"/>
  <c r="X16" i="9"/>
  <c r="W46" i="9"/>
  <c r="AA96" i="8"/>
  <c r="R280" i="11"/>
  <c r="Q351" i="11"/>
  <c r="V128" i="8"/>
  <c r="Q350" i="11"/>
  <c r="R157" i="11"/>
  <c r="R216" i="11" s="1"/>
  <c r="R275" i="11"/>
  <c r="R334" i="11" s="1"/>
  <c r="R288" i="11"/>
  <c r="R170" i="11"/>
  <c r="Q334" i="11"/>
  <c r="R287" i="11"/>
  <c r="R169" i="11"/>
  <c r="Q326" i="11"/>
  <c r="Q349" i="11"/>
  <c r="R279" i="11"/>
  <c r="R338" i="11" s="1"/>
  <c r="R220" i="11"/>
  <c r="Q323" i="11"/>
  <c r="R283" i="11"/>
  <c r="R291" i="11"/>
  <c r="R173" i="11"/>
  <c r="Q330" i="11"/>
  <c r="R292" i="11"/>
  <c r="R174" i="11"/>
  <c r="R289" i="11"/>
  <c r="R348" i="11" s="1"/>
  <c r="R171" i="11"/>
  <c r="R277" i="11"/>
  <c r="R160" i="11"/>
  <c r="R226" i="11" s="1"/>
  <c r="R219" i="11"/>
  <c r="R278" i="11"/>
  <c r="R337" i="11" s="1"/>
  <c r="R286" i="11"/>
  <c r="R168" i="11"/>
  <c r="Q332" i="11"/>
  <c r="R281" i="11"/>
  <c r="Q324" i="11"/>
  <c r="W92" i="8"/>
  <c r="W163" i="8" s="1"/>
  <c r="R290" i="11"/>
  <c r="R172" i="11"/>
  <c r="R166" i="11"/>
  <c r="R232" i="11" s="1"/>
  <c r="R284" i="11"/>
  <c r="R343" i="11" s="1"/>
  <c r="Q343" i="11"/>
  <c r="Q329" i="11"/>
  <c r="Q225" i="11"/>
  <c r="Q346" i="11"/>
  <c r="Q337" i="11"/>
  <c r="R282" i="11"/>
  <c r="Q342" i="11"/>
  <c r="R335" i="11"/>
  <c r="Q219" i="11"/>
  <c r="AA159" i="8"/>
  <c r="AE159" i="8" s="1"/>
  <c r="AE56" i="8"/>
  <c r="AD11" i="9"/>
  <c r="AC13" i="9"/>
  <c r="AG230" i="9"/>
  <c r="AG242" i="9"/>
  <c r="AG227" i="9"/>
  <c r="K292" i="9"/>
  <c r="AG233" i="9"/>
  <c r="AG221" i="9"/>
  <c r="AG236" i="9"/>
  <c r="I271" i="9"/>
  <c r="U271" i="9" s="1"/>
  <c r="AG224" i="9"/>
  <c r="AA901" i="9"/>
  <c r="AA904" i="9" s="1"/>
  <c r="AA109" i="9"/>
  <c r="AA112" i="9" s="1"/>
  <c r="AA803" i="9"/>
  <c r="AA806" i="9" s="1"/>
  <c r="AA309" i="9"/>
  <c r="AA312" i="9" s="1"/>
  <c r="AA159" i="9"/>
  <c r="AA162" i="9"/>
  <c r="AA359" i="9"/>
  <c r="AA362" i="9" s="1"/>
  <c r="U66" i="9"/>
  <c r="T96" i="9"/>
  <c r="AA1489" i="9"/>
  <c r="AA1492" i="9" s="1"/>
  <c r="AA1342" i="9"/>
  <c r="AA1345" i="9" s="1"/>
  <c r="H280" i="9"/>
  <c r="V116" i="9"/>
  <c r="U146" i="9"/>
  <c r="T261" i="9"/>
  <c r="S263" i="9"/>
  <c r="AA852" i="9"/>
  <c r="AA855" i="9" s="1"/>
  <c r="V161" i="9"/>
  <c r="U163" i="9"/>
  <c r="T216" i="9"/>
  <c r="S246" i="9"/>
  <c r="W111" i="9"/>
  <c r="V113" i="9"/>
  <c r="AA607" i="9"/>
  <c r="AA610" i="9" s="1"/>
  <c r="AA1097" i="9"/>
  <c r="AA1100" i="9" s="1"/>
  <c r="H271" i="9"/>
  <c r="T271" i="9" s="1"/>
  <c r="AA209" i="9"/>
  <c r="AA212" i="9" s="1"/>
  <c r="AA656" i="9"/>
  <c r="AA659" i="9" s="1"/>
  <c r="U211" i="9"/>
  <c r="T213" i="9"/>
  <c r="AA1048" i="9"/>
  <c r="AA1051" i="9" s="1"/>
  <c r="AA409" i="9"/>
  <c r="AA412" i="9" s="1"/>
  <c r="H277" i="9"/>
  <c r="T277" i="9" s="1"/>
  <c r="AA459" i="9"/>
  <c r="AA462" i="9" s="1"/>
  <c r="AA1440" i="9"/>
  <c r="AA1443" i="9" s="1"/>
  <c r="AA1146" i="9"/>
  <c r="AA1149" i="9" s="1"/>
  <c r="AA1244" i="9"/>
  <c r="AA1247" i="9" s="1"/>
  <c r="AA509" i="9"/>
  <c r="AA512" i="9"/>
  <c r="U166" i="9"/>
  <c r="T196" i="9"/>
  <c r="AA999" i="9"/>
  <c r="AA1002" i="9" s="1"/>
  <c r="AA1391" i="9"/>
  <c r="AA1394" i="9" s="1"/>
  <c r="AA59" i="9"/>
  <c r="AA62" i="9" s="1"/>
  <c r="AA1195" i="9"/>
  <c r="AA1198" i="9" s="1"/>
  <c r="V63" i="9"/>
  <c r="W61" i="9"/>
  <c r="S266" i="9"/>
  <c r="H292" i="9"/>
  <c r="AA259" i="9"/>
  <c r="AA262" i="9" s="1"/>
  <c r="AA705" i="9"/>
  <c r="AA708" i="9"/>
  <c r="AA1538" i="9"/>
  <c r="AA1541" i="9" s="1"/>
  <c r="AA950" i="9"/>
  <c r="AA953" i="9" s="1"/>
  <c r="AH288" i="9"/>
  <c r="AA1293" i="9"/>
  <c r="AA1296" i="9" s="1"/>
  <c r="P277" i="9"/>
  <c r="AB277" i="9" s="1"/>
  <c r="AA558" i="9"/>
  <c r="AA561" i="9"/>
  <c r="AA754" i="9"/>
  <c r="AA757" i="9" s="1"/>
  <c r="J274" i="9"/>
  <c r="V274" i="9" s="1"/>
  <c r="P271" i="9"/>
  <c r="AB271" i="9" s="1"/>
  <c r="Z1345" i="9"/>
  <c r="O271" i="9"/>
  <c r="AA271" i="9" s="1"/>
  <c r="I280" i="9"/>
  <c r="K277" i="9"/>
  <c r="W277" i="9" s="1"/>
  <c r="AD1473" i="2"/>
  <c r="AG1472" i="2"/>
  <c r="AG1473" i="2" s="1"/>
  <c r="AD1375" i="2"/>
  <c r="AG1374" i="2"/>
  <c r="AG1375" i="2" s="1"/>
  <c r="AG246" i="9"/>
  <c r="R277" i="9"/>
  <c r="AD277" i="9" s="1"/>
  <c r="R271" i="9"/>
  <c r="AD271" i="9" s="1"/>
  <c r="R274" i="9"/>
  <c r="AD274" i="9" s="1"/>
  <c r="AG262" i="9"/>
  <c r="R280" i="9"/>
  <c r="G292" i="9"/>
  <c r="AD292" i="2"/>
  <c r="AG291" i="2"/>
  <c r="AG292" i="2" s="1"/>
  <c r="R291" i="9"/>
  <c r="R292" i="9" s="1"/>
  <c r="R341" i="9"/>
  <c r="G280" i="9"/>
  <c r="AG267" i="9"/>
  <c r="AG282" i="9"/>
  <c r="R283" i="9"/>
  <c r="AD283" i="9" s="1"/>
  <c r="M283" i="9"/>
  <c r="Y283" i="9" s="1"/>
  <c r="M271" i="9"/>
  <c r="Y271" i="9" s="1"/>
  <c r="M280" i="9"/>
  <c r="Q283" i="9"/>
  <c r="AC283" i="9" s="1"/>
  <c r="O286" i="9"/>
  <c r="AA286" i="9" s="1"/>
  <c r="Q274" i="9"/>
  <c r="AC274" i="9" s="1"/>
  <c r="M274" i="9"/>
  <c r="Y274" i="9" s="1"/>
  <c r="G277" i="9"/>
  <c r="S277" i="9" s="1"/>
  <c r="AG276" i="9"/>
  <c r="K280" i="9"/>
  <c r="AG265" i="9"/>
  <c r="M292" i="9"/>
  <c r="J286" i="9"/>
  <c r="V286" i="9" s="1"/>
  <c r="O274" i="9"/>
  <c r="AA274" i="9" s="1"/>
  <c r="G286" i="9"/>
  <c r="S286" i="9" s="1"/>
  <c r="AG285" i="9"/>
  <c r="AG263" i="9"/>
  <c r="I274" i="9"/>
  <c r="U274" i="9" s="1"/>
  <c r="Q271" i="9"/>
  <c r="AC271" i="9" s="1"/>
  <c r="K271" i="9"/>
  <c r="W271" i="9" s="1"/>
  <c r="N271" i="9"/>
  <c r="Z271" i="9" s="1"/>
  <c r="G274" i="9"/>
  <c r="S274" i="9" s="1"/>
  <c r="AG273" i="9"/>
  <c r="L286" i="9"/>
  <c r="X286" i="9" s="1"/>
  <c r="K286" i="9"/>
  <c r="W286" i="9" s="1"/>
  <c r="L271" i="9"/>
  <c r="X271" i="9" s="1"/>
  <c r="AG279" i="9"/>
  <c r="N274" i="9"/>
  <c r="Z274" i="9" s="1"/>
  <c r="P286" i="9"/>
  <c r="AB286" i="9" s="1"/>
  <c r="J277" i="9"/>
  <c r="V277" i="9" s="1"/>
  <c r="H283" i="9"/>
  <c r="T283" i="9" s="1"/>
  <c r="J271" i="9"/>
  <c r="V271" i="9" s="1"/>
  <c r="M277" i="9"/>
  <c r="Y277" i="9" s="1"/>
  <c r="K283" i="9"/>
  <c r="W283" i="9" s="1"/>
  <c r="O283" i="9"/>
  <c r="AA283" i="9" s="1"/>
  <c r="G271" i="9"/>
  <c r="S271" i="9" s="1"/>
  <c r="AG270" i="9"/>
  <c r="P283" i="9"/>
  <c r="AB283" i="9" s="1"/>
  <c r="K274" i="9"/>
  <c r="W274" i="9" s="1"/>
  <c r="R286" i="9"/>
  <c r="AD286" i="9" s="1"/>
  <c r="O292" i="9"/>
  <c r="AD1326" i="2"/>
  <c r="AG1325" i="2"/>
  <c r="AG1326" i="2" s="1"/>
  <c r="I286" i="9"/>
  <c r="U286" i="9" s="1"/>
  <c r="J292" i="9"/>
  <c r="G283" i="9"/>
  <c r="S283" i="9" s="1"/>
  <c r="Q292" i="9"/>
  <c r="M286" i="9"/>
  <c r="Y286" i="9" s="1"/>
  <c r="J283" i="9"/>
  <c r="V283" i="9" s="1"/>
  <c r="H286" i="9"/>
  <c r="T286" i="9" s="1"/>
  <c r="AG288" i="9"/>
  <c r="N283" i="9"/>
  <c r="Z283" i="9" s="1"/>
  <c r="H274" i="9"/>
  <c r="T274" i="9" s="1"/>
  <c r="Q277" i="9"/>
  <c r="AC277" i="9" s="1"/>
  <c r="N280" i="9"/>
  <c r="AG248" i="9"/>
  <c r="O280" i="9"/>
  <c r="AG239" i="9"/>
  <c r="AH239" i="9"/>
  <c r="Q286" i="9"/>
  <c r="AC286" i="9" s="1"/>
  <c r="AG295" i="9"/>
  <c r="I292" i="9"/>
  <c r="AG216" i="9"/>
  <c r="P292" i="9"/>
  <c r="N292" i="9"/>
  <c r="Q280" i="9"/>
  <c r="O277" i="9"/>
  <c r="AA277" i="9" s="1"/>
  <c r="P353" i="11"/>
  <c r="W41" i="8" s="1"/>
  <c r="Q235" i="11"/>
  <c r="Q176" i="11"/>
  <c r="Q305" i="11"/>
  <c r="R163" i="11"/>
  <c r="R229" i="11" s="1"/>
  <c r="R272" i="11"/>
  <c r="R331" i="11" s="1"/>
  <c r="Q320" i="11"/>
  <c r="R257" i="11"/>
  <c r="R316" i="11" s="1"/>
  <c r="Q312" i="11"/>
  <c r="R263" i="11"/>
  <c r="R322" i="11" s="1"/>
  <c r="S52" i="11"/>
  <c r="R131" i="11"/>
  <c r="R190" i="11" s="1"/>
  <c r="Q315" i="11"/>
  <c r="S32" i="11"/>
  <c r="S268" i="11" s="1"/>
  <c r="S41" i="11"/>
  <c r="S10" i="11"/>
  <c r="S128" i="11" s="1"/>
  <c r="S187" i="11" s="1"/>
  <c r="Q313" i="11"/>
  <c r="Q319" i="11"/>
  <c r="S9" i="11"/>
  <c r="S245" i="11" s="1"/>
  <c r="S14" i="11"/>
  <c r="S132" i="11" s="1"/>
  <c r="S191" i="11" s="1"/>
  <c r="S13" i="11"/>
  <c r="S249" i="11" s="1"/>
  <c r="R129" i="11"/>
  <c r="R188" i="11" s="1"/>
  <c r="R167" i="11"/>
  <c r="R233" i="11" s="1"/>
  <c r="S50" i="11"/>
  <c r="S43" i="11"/>
  <c r="S31" i="11"/>
  <c r="S267" i="11" s="1"/>
  <c r="S22" i="11"/>
  <c r="S258" i="11" s="1"/>
  <c r="R266" i="11"/>
  <c r="R325" i="11" s="1"/>
  <c r="S47" i="11"/>
  <c r="R138" i="11"/>
  <c r="R197" i="11" s="1"/>
  <c r="S37" i="11"/>
  <c r="S273" i="11" s="1"/>
  <c r="S30" i="11"/>
  <c r="S148" i="11" s="1"/>
  <c r="S207" i="11" s="1"/>
  <c r="S25" i="11"/>
  <c r="S261" i="11" s="1"/>
  <c r="S16" i="11"/>
  <c r="S134" i="11" s="1"/>
  <c r="S193" i="11" s="1"/>
  <c r="S27" i="11"/>
  <c r="S263" i="11" s="1"/>
  <c r="S7" i="11"/>
  <c r="S243" i="11" s="1"/>
  <c r="R253" i="11"/>
  <c r="R312" i="11" s="1"/>
  <c r="S29" i="11"/>
  <c r="S265" i="11" s="1"/>
  <c r="S36" i="11"/>
  <c r="S154" i="11" s="1"/>
  <c r="S213" i="11" s="1"/>
  <c r="S34" i="11"/>
  <c r="S270" i="11" s="1"/>
  <c r="S28" i="11"/>
  <c r="S264" i="11" s="1"/>
  <c r="S39" i="11"/>
  <c r="S275" i="11" s="1"/>
  <c r="S19" i="11"/>
  <c r="S255" i="11" s="1"/>
  <c r="R165" i="11"/>
  <c r="R231" i="11" s="1"/>
  <c r="S23" i="11"/>
  <c r="S141" i="11" s="1"/>
  <c r="S200" i="11" s="1"/>
  <c r="S24" i="11"/>
  <c r="S142" i="11" s="1"/>
  <c r="S201" i="11" s="1"/>
  <c r="S8" i="11"/>
  <c r="S244" i="11" s="1"/>
  <c r="S44" i="11"/>
  <c r="R265" i="11"/>
  <c r="R324" i="11" s="1"/>
  <c r="S33" i="11"/>
  <c r="S269" i="11" s="1"/>
  <c r="S49" i="11"/>
  <c r="S285" i="11" s="1"/>
  <c r="Q309" i="11"/>
  <c r="Q294" i="11"/>
  <c r="R273" i="11"/>
  <c r="R332" i="11" s="1"/>
  <c r="R133" i="11"/>
  <c r="R192" i="11" s="1"/>
  <c r="R268" i="11"/>
  <c r="R327" i="11" s="1"/>
  <c r="R144" i="11"/>
  <c r="R203" i="11" s="1"/>
  <c r="Q306" i="11"/>
  <c r="Q308" i="11"/>
  <c r="S20" i="11"/>
  <c r="S138" i="11" s="1"/>
  <c r="S197" i="11" s="1"/>
  <c r="Q307" i="11"/>
  <c r="S54" i="11"/>
  <c r="R143" i="11"/>
  <c r="R202" i="11" s="1"/>
  <c r="S53" i="11"/>
  <c r="S48" i="11"/>
  <c r="R156" i="11"/>
  <c r="R215" i="11" s="1"/>
  <c r="S46" i="11"/>
  <c r="R130" i="11"/>
  <c r="R189" i="11" s="1"/>
  <c r="R164" i="11"/>
  <c r="R230" i="11" s="1"/>
  <c r="S18" i="11"/>
  <c r="S254" i="11" s="1"/>
  <c r="S51" i="11"/>
  <c r="R126" i="11"/>
  <c r="R185" i="11" s="1"/>
  <c r="R127" i="11"/>
  <c r="R186" i="11" s="1"/>
  <c r="S38" i="11"/>
  <c r="S274" i="11" s="1"/>
  <c r="S12" i="11"/>
  <c r="S130" i="11" s="1"/>
  <c r="S189" i="11" s="1"/>
  <c r="S40" i="11"/>
  <c r="S276" i="11" s="1"/>
  <c r="S42" i="11"/>
  <c r="S56" i="11"/>
  <c r="R151" i="11"/>
  <c r="R210" i="11" s="1"/>
  <c r="R152" i="11"/>
  <c r="R211" i="11" s="1"/>
  <c r="R149" i="11"/>
  <c r="R208" i="11" s="1"/>
  <c r="Q303" i="11"/>
  <c r="R142" i="11"/>
  <c r="R201" i="11" s="1"/>
  <c r="R159" i="11"/>
  <c r="R218" i="11" s="1"/>
  <c r="R132" i="11"/>
  <c r="R191" i="11" s="1"/>
  <c r="Q321" i="11"/>
  <c r="R137" i="11"/>
  <c r="R196" i="11" s="1"/>
  <c r="R162" i="11"/>
  <c r="R228" i="11" s="1"/>
  <c r="R134" i="11"/>
  <c r="R193" i="11" s="1"/>
  <c r="R141" i="11"/>
  <c r="R200" i="11" s="1"/>
  <c r="R136" i="11"/>
  <c r="R195" i="11" s="1"/>
  <c r="R58" i="11"/>
  <c r="R161" i="11"/>
  <c r="R227" i="11" s="1"/>
  <c r="R271" i="11"/>
  <c r="R330" i="11" s="1"/>
  <c r="Q318" i="11"/>
  <c r="R125" i="11"/>
  <c r="R184" i="11" s="1"/>
  <c r="S26" i="11"/>
  <c r="S262" i="11" s="1"/>
  <c r="S45" i="11"/>
  <c r="S55" i="11"/>
  <c r="R140" i="11"/>
  <c r="R199" i="11" s="1"/>
  <c r="R128" i="11"/>
  <c r="R187" i="11" s="1"/>
  <c r="R234" i="11"/>
  <c r="S17" i="11"/>
  <c r="S253" i="11" s="1"/>
  <c r="S11" i="11"/>
  <c r="S247" i="11" s="1"/>
  <c r="S35" i="11"/>
  <c r="S271" i="11" s="1"/>
  <c r="R146" i="11"/>
  <c r="R205" i="11" s="1"/>
  <c r="S21" i="11"/>
  <c r="S139" i="11" s="1"/>
  <c r="S198" i="11" s="1"/>
  <c r="S15" i="11"/>
  <c r="S251" i="11" s="1"/>
  <c r="T56" i="11"/>
  <c r="T51" i="11"/>
  <c r="T35" i="11"/>
  <c r="T9" i="11"/>
  <c r="T55" i="11"/>
  <c r="T30" i="11"/>
  <c r="T16" i="11"/>
  <c r="T25" i="11"/>
  <c r="T34" i="11"/>
  <c r="T20" i="11"/>
  <c r="T29" i="11"/>
  <c r="T12" i="11"/>
  <c r="T19" i="11"/>
  <c r="T10" i="11"/>
  <c r="T31" i="11"/>
  <c r="T48" i="11"/>
  <c r="T46" i="11"/>
  <c r="T24" i="11"/>
  <c r="T49" i="11"/>
  <c r="T285" i="11" s="1"/>
  <c r="T50" i="11"/>
  <c r="T15" i="11"/>
  <c r="T8" i="11"/>
  <c r="T47" i="11"/>
  <c r="T44" i="11"/>
  <c r="T43" i="11"/>
  <c r="T41" i="11"/>
  <c r="T33" i="11"/>
  <c r="T11" i="11"/>
  <c r="T45" i="11"/>
  <c r="T28" i="11"/>
  <c r="T23" i="11"/>
  <c r="T52" i="11"/>
  <c r="T42" i="11"/>
  <c r="T39" i="11"/>
  <c r="T275" i="11" s="1"/>
  <c r="T38" i="11"/>
  <c r="T18" i="11"/>
  <c r="T7" i="11"/>
  <c r="T53" i="11"/>
  <c r="T40" i="11"/>
  <c r="T276" i="11" s="1"/>
  <c r="T32" i="11"/>
  <c r="T14" i="11"/>
  <c r="T37" i="11"/>
  <c r="T27" i="11"/>
  <c r="T22" i="11"/>
  <c r="T36" i="11"/>
  <c r="T26" i="11"/>
  <c r="T54" i="11"/>
  <c r="T17" i="11"/>
  <c r="T13" i="11"/>
  <c r="T21" i="11"/>
  <c r="H140" i="1"/>
  <c r="H130" i="1"/>
  <c r="H135" i="1"/>
  <c r="G140" i="1"/>
  <c r="G130" i="1"/>
  <c r="G135" i="1"/>
  <c r="I50" i="1"/>
  <c r="I51" i="1" s="1"/>
  <c r="H121" i="1"/>
  <c r="G121" i="1"/>
  <c r="I128" i="1"/>
  <c r="P368" i="4"/>
  <c r="P377" i="4" s="1"/>
  <c r="G163" i="1"/>
  <c r="F127" i="1"/>
  <c r="D54" i="1"/>
  <c r="I122" i="1"/>
  <c r="I45" i="1"/>
  <c r="F62" i="1"/>
  <c r="F66" i="1"/>
  <c r="F70" i="1" s="1"/>
  <c r="H27" i="1"/>
  <c r="H38" i="1"/>
  <c r="H53" i="1" s="1"/>
  <c r="L1118" i="2"/>
  <c r="L1129" i="2"/>
  <c r="L1130" i="2" s="1"/>
  <c r="L542" i="2"/>
  <c r="L971" i="2"/>
  <c r="L982" i="2"/>
  <c r="J738" i="2"/>
  <c r="L677" i="2"/>
  <c r="L688" i="2"/>
  <c r="M530" i="2"/>
  <c r="M541" i="2"/>
  <c r="M542" i="2" s="1"/>
  <c r="L726" i="2"/>
  <c r="L737" i="2"/>
  <c r="L738" i="2" s="1"/>
  <c r="I18" i="1"/>
  <c r="I21" i="1"/>
  <c r="I24" i="1"/>
  <c r="I57" i="1"/>
  <c r="I33" i="1"/>
  <c r="I30" i="1"/>
  <c r="I42" i="1"/>
  <c r="I26" i="1"/>
  <c r="M962" i="2"/>
  <c r="N521" i="2"/>
  <c r="N524" i="2"/>
  <c r="N527" i="2"/>
  <c r="M970" i="2"/>
  <c r="N536" i="2"/>
  <c r="N529" i="2"/>
  <c r="N533" i="2"/>
  <c r="M671" i="2"/>
  <c r="M668" i="2"/>
  <c r="M676" i="2"/>
  <c r="M674" i="2"/>
  <c r="M968" i="2"/>
  <c r="M683" i="2"/>
  <c r="M680" i="2"/>
  <c r="M965" i="2"/>
  <c r="M1124" i="2"/>
  <c r="F54" i="1"/>
  <c r="O517" i="2"/>
  <c r="M713" i="2"/>
  <c r="M732" i="2" s="1"/>
  <c r="M1121" i="2"/>
  <c r="M1109" i="2"/>
  <c r="N713" i="2"/>
  <c r="M1112" i="2"/>
  <c r="G27" i="1"/>
  <c r="N664" i="2"/>
  <c r="M1115" i="2"/>
  <c r="M977" i="2"/>
  <c r="N958" i="2"/>
  <c r="N962" i="2" s="1"/>
  <c r="M1117" i="2"/>
  <c r="N1105" i="2"/>
  <c r="M974" i="2"/>
  <c r="E54" i="1"/>
  <c r="P707" i="2"/>
  <c r="O709" i="2"/>
  <c r="P658" i="2"/>
  <c r="O660" i="2"/>
  <c r="O662" i="2" s="1"/>
  <c r="O692" i="2" s="1"/>
  <c r="Q511" i="2"/>
  <c r="P513" i="2"/>
  <c r="P515" i="2" s="1"/>
  <c r="P545" i="2" s="1"/>
  <c r="P952" i="2"/>
  <c r="O954" i="2"/>
  <c r="O956" i="2" s="1"/>
  <c r="O986" i="2" s="1"/>
  <c r="P1099" i="2"/>
  <c r="O1101" i="2"/>
  <c r="O1103" i="2" s="1"/>
  <c r="O1133" i="2" s="1"/>
  <c r="P314" i="4"/>
  <c r="O188" i="4"/>
  <c r="P154" i="4"/>
  <c r="P217" i="4"/>
  <c r="P157" i="4"/>
  <c r="P220" i="4" s="1"/>
  <c r="P155" i="4"/>
  <c r="P218" i="4" s="1"/>
  <c r="P147" i="4"/>
  <c r="P210" i="4"/>
  <c r="P181" i="4"/>
  <c r="P244" i="4"/>
  <c r="P178" i="4"/>
  <c r="P241" i="4" s="1"/>
  <c r="P135" i="4"/>
  <c r="P198" i="4"/>
  <c r="P146" i="4"/>
  <c r="P209" i="4"/>
  <c r="P185" i="4"/>
  <c r="P248" i="4"/>
  <c r="P171" i="4"/>
  <c r="P234" i="4" s="1"/>
  <c r="P179" i="4"/>
  <c r="P242" i="4" s="1"/>
  <c r="P136" i="4"/>
  <c r="P199" i="4"/>
  <c r="P145" i="4"/>
  <c r="P208" i="4"/>
  <c r="P143" i="4"/>
  <c r="P206" i="4"/>
  <c r="P176" i="4"/>
  <c r="P239" i="4"/>
  <c r="P174" i="4"/>
  <c r="P237" i="4" s="1"/>
  <c r="P152" i="4"/>
  <c r="P215" i="4"/>
  <c r="P168" i="4"/>
  <c r="P231" i="4" s="1"/>
  <c r="P166" i="4"/>
  <c r="P229" i="4" s="1"/>
  <c r="P133" i="4"/>
  <c r="P196" i="4"/>
  <c r="P142" i="4"/>
  <c r="P205" i="4" s="1"/>
  <c r="P177" i="4"/>
  <c r="P240" i="4"/>
  <c r="P158" i="4"/>
  <c r="P221" i="4" s="1"/>
  <c r="P162" i="4"/>
  <c r="P225" i="4" s="1"/>
  <c r="P163" i="4"/>
  <c r="P226" i="4"/>
  <c r="P161" i="4"/>
  <c r="P224" i="4"/>
  <c r="P170" i="4"/>
  <c r="P233" i="4"/>
  <c r="P149" i="4"/>
  <c r="P212" i="4" s="1"/>
  <c r="P138" i="4"/>
  <c r="P201" i="4" s="1"/>
  <c r="P167" i="4"/>
  <c r="P230" i="4"/>
  <c r="P180" i="4"/>
  <c r="P243" i="4" s="1"/>
  <c r="P160" i="4"/>
  <c r="P223" i="4" s="1"/>
  <c r="P151" i="4"/>
  <c r="P214" i="4"/>
  <c r="P169" i="4"/>
  <c r="P232" i="4"/>
  <c r="P156" i="4"/>
  <c r="P219" i="4"/>
  <c r="P134" i="4"/>
  <c r="P197" i="4"/>
  <c r="P173" i="4"/>
  <c r="P236" i="4"/>
  <c r="P150" i="4"/>
  <c r="P213" i="4" s="1"/>
  <c r="P186" i="4"/>
  <c r="P249" i="4"/>
  <c r="P172" i="4"/>
  <c r="P235" i="4"/>
  <c r="P140" i="4"/>
  <c r="P203" i="4" s="1"/>
  <c r="P175" i="4"/>
  <c r="P238" i="4"/>
  <c r="P164" i="4"/>
  <c r="P227" i="4" s="1"/>
  <c r="P144" i="4"/>
  <c r="P207" i="4" s="1"/>
  <c r="P137" i="4"/>
  <c r="P200" i="4"/>
  <c r="P141" i="4"/>
  <c r="P204" i="4" s="1"/>
  <c r="P165" i="4"/>
  <c r="P228" i="4"/>
  <c r="P187" i="4"/>
  <c r="P250" i="4"/>
  <c r="P153" i="4"/>
  <c r="P216" i="4"/>
  <c r="P139" i="4"/>
  <c r="P202" i="4"/>
  <c r="P183" i="4"/>
  <c r="P246" i="4" s="1"/>
  <c r="P182" i="4"/>
  <c r="P245" i="4"/>
  <c r="P148" i="4"/>
  <c r="P211" i="4" s="1"/>
  <c r="P184" i="4"/>
  <c r="P247" i="4" s="1"/>
  <c r="P159" i="4"/>
  <c r="P222" i="4"/>
  <c r="R69" i="4"/>
  <c r="P62" i="4"/>
  <c r="P125" i="4"/>
  <c r="R6" i="4"/>
  <c r="Q53" i="4"/>
  <c r="Q305" i="4" s="1"/>
  <c r="Q368" i="4" s="1"/>
  <c r="Q51" i="4"/>
  <c r="Q303" i="4" s="1"/>
  <c r="Q366" i="4" s="1"/>
  <c r="Q36" i="4"/>
  <c r="Q288" i="4" s="1"/>
  <c r="Q351" i="4" s="1"/>
  <c r="Q12" i="4"/>
  <c r="Q264" i="4" s="1"/>
  <c r="Q327" i="4" s="1"/>
  <c r="Q48" i="4"/>
  <c r="Q300" i="4" s="1"/>
  <c r="Q363" i="4" s="1"/>
  <c r="Q23" i="4"/>
  <c r="Q275" i="4" s="1"/>
  <c r="Q338" i="4" s="1"/>
  <c r="Q33" i="4"/>
  <c r="Q285" i="4" s="1"/>
  <c r="Q348" i="4" s="1"/>
  <c r="Q10" i="4"/>
  <c r="Q262" i="4" s="1"/>
  <c r="Q325" i="4" s="1"/>
  <c r="Q56" i="4"/>
  <c r="Q308" i="4" s="1"/>
  <c r="Q371" i="4" s="1"/>
  <c r="Q28" i="4"/>
  <c r="Q280" i="4" s="1"/>
  <c r="Q343" i="4" s="1"/>
  <c r="Q38" i="4"/>
  <c r="Q290" i="4" s="1"/>
  <c r="Q353" i="4" s="1"/>
  <c r="Q60" i="4"/>
  <c r="Q312" i="4" s="1"/>
  <c r="Q375" i="4" s="1"/>
  <c r="Q54" i="4"/>
  <c r="Q306" i="4" s="1"/>
  <c r="Q369" i="4" s="1"/>
  <c r="Q43" i="4"/>
  <c r="Q295" i="4" s="1"/>
  <c r="Q358" i="4" s="1"/>
  <c r="Q30" i="4"/>
  <c r="Q282" i="4" s="1"/>
  <c r="Q345" i="4" s="1"/>
  <c r="Q21" i="4"/>
  <c r="Q273" i="4" s="1"/>
  <c r="Q336" i="4" s="1"/>
  <c r="Q59" i="4"/>
  <c r="Q311" i="4" s="1"/>
  <c r="Q374" i="4" s="1"/>
  <c r="Q41" i="4"/>
  <c r="Q293" i="4" s="1"/>
  <c r="Q356" i="4" s="1"/>
  <c r="Q20" i="4"/>
  <c r="Q272" i="4" s="1"/>
  <c r="Q335" i="4" s="1"/>
  <c r="Q24" i="4"/>
  <c r="Q276" i="4" s="1"/>
  <c r="Q339" i="4" s="1"/>
  <c r="Q32" i="4"/>
  <c r="Q284" i="4" s="1"/>
  <c r="Q347" i="4" s="1"/>
  <c r="Q17" i="4"/>
  <c r="Q269" i="4" s="1"/>
  <c r="Q332" i="4" s="1"/>
  <c r="Q47" i="4"/>
  <c r="Q299" i="4" s="1"/>
  <c r="Q362" i="4" s="1"/>
  <c r="Q42" i="4"/>
  <c r="Q294" i="4" s="1"/>
  <c r="Q357" i="4" s="1"/>
  <c r="Q7" i="4"/>
  <c r="Q259" i="4" s="1"/>
  <c r="Q322" i="4" s="1"/>
  <c r="Q31" i="4"/>
  <c r="Q283" i="4" s="1"/>
  <c r="Q346" i="4" s="1"/>
  <c r="Q50" i="4"/>
  <c r="Q302" i="4" s="1"/>
  <c r="Q365" i="4" s="1"/>
  <c r="Q27" i="4"/>
  <c r="Q279" i="4" s="1"/>
  <c r="Q342" i="4" s="1"/>
  <c r="Q34" i="4"/>
  <c r="Q286" i="4" s="1"/>
  <c r="Q349" i="4" s="1"/>
  <c r="Q9" i="4"/>
  <c r="Q261" i="4" s="1"/>
  <c r="Q324" i="4" s="1"/>
  <c r="Q57" i="4"/>
  <c r="Q309" i="4" s="1"/>
  <c r="Q372" i="4" s="1"/>
  <c r="Q14" i="4"/>
  <c r="Q266" i="4" s="1"/>
  <c r="Q329" i="4" s="1"/>
  <c r="Q8" i="4"/>
  <c r="Q260" i="4" s="1"/>
  <c r="Q323" i="4" s="1"/>
  <c r="Q11" i="4"/>
  <c r="Q263" i="4" s="1"/>
  <c r="Q326" i="4" s="1"/>
  <c r="Q26" i="4"/>
  <c r="Q278" i="4" s="1"/>
  <c r="Q341" i="4" s="1"/>
  <c r="Q49" i="4"/>
  <c r="Q301" i="4" s="1"/>
  <c r="Q364" i="4" s="1"/>
  <c r="Q61" i="4"/>
  <c r="Q313" i="4" s="1"/>
  <c r="Q376" i="4" s="1"/>
  <c r="Q25" i="4"/>
  <c r="Q277" i="4" s="1"/>
  <c r="Q340" i="4" s="1"/>
  <c r="Q18" i="4"/>
  <c r="Q270" i="4" s="1"/>
  <c r="Q333" i="4" s="1"/>
  <c r="Q19" i="4"/>
  <c r="Q271" i="4" s="1"/>
  <c r="Q334" i="4" s="1"/>
  <c r="Q13" i="4"/>
  <c r="Q265" i="4" s="1"/>
  <c r="Q328" i="4" s="1"/>
  <c r="Q16" i="4"/>
  <c r="Q268" i="4" s="1"/>
  <c r="Q331" i="4" s="1"/>
  <c r="Q39" i="4"/>
  <c r="Q291" i="4" s="1"/>
  <c r="Q354" i="4" s="1"/>
  <c r="Q52" i="4"/>
  <c r="Q304" i="4" s="1"/>
  <c r="Q367" i="4" s="1"/>
  <c r="Q15" i="4"/>
  <c r="Q267" i="4" s="1"/>
  <c r="Q330" i="4" s="1"/>
  <c r="Q22" i="4"/>
  <c r="Q274" i="4" s="1"/>
  <c r="Q337" i="4" s="1"/>
  <c r="Q44" i="4"/>
  <c r="Q296" i="4" s="1"/>
  <c r="Q359" i="4" s="1"/>
  <c r="Q45" i="4"/>
  <c r="Q297" i="4" s="1"/>
  <c r="Q360" i="4" s="1"/>
  <c r="Q40" i="4"/>
  <c r="Q292" i="4" s="1"/>
  <c r="Q355" i="4" s="1"/>
  <c r="Q46" i="4"/>
  <c r="Q298" i="4" s="1"/>
  <c r="Q361" i="4" s="1"/>
  <c r="Q58" i="4"/>
  <c r="Q310" i="4" s="1"/>
  <c r="Q373" i="4" s="1"/>
  <c r="Q29" i="4"/>
  <c r="Q281" i="4" s="1"/>
  <c r="Q344" i="4" s="1"/>
  <c r="Q55" i="4"/>
  <c r="Q307" i="4" s="1"/>
  <c r="Q370" i="4" s="1"/>
  <c r="Q37" i="4"/>
  <c r="Q289" i="4" s="1"/>
  <c r="Q352" i="4" s="1"/>
  <c r="Q35" i="4"/>
  <c r="Q287" i="4" s="1"/>
  <c r="Q350" i="4" s="1"/>
  <c r="B387" i="2"/>
  <c r="C387" i="2" s="1"/>
  <c r="B375" i="2"/>
  <c r="C375" i="2" s="1"/>
  <c r="B357" i="2"/>
  <c r="B392" i="2"/>
  <c r="C392" i="2" s="1"/>
  <c r="B381" i="2"/>
  <c r="C381" i="2" s="1"/>
  <c r="B388" i="2"/>
  <c r="C388" i="2" s="1"/>
  <c r="B379" i="2"/>
  <c r="C379" i="2" s="1"/>
  <c r="B373" i="2"/>
  <c r="C373" i="2" s="1"/>
  <c r="B362" i="2"/>
  <c r="C362" i="2" s="1"/>
  <c r="B378" i="2"/>
  <c r="C378" i="2" s="1"/>
  <c r="B372" i="2"/>
  <c r="C372" i="2" s="1"/>
  <c r="B365" i="2"/>
  <c r="C365" i="2" s="1"/>
  <c r="B391" i="2"/>
  <c r="C391" i="2" s="1"/>
  <c r="B386" i="2"/>
  <c r="C386" i="2" s="1"/>
  <c r="B377" i="2"/>
  <c r="C377" i="2" s="1"/>
  <c r="B385" i="2"/>
  <c r="C385" i="2" s="1"/>
  <c r="B371" i="2"/>
  <c r="C371" i="2" s="1"/>
  <c r="B368" i="2"/>
  <c r="C368" i="2" s="1"/>
  <c r="B361" i="2"/>
  <c r="C361" i="2" s="1"/>
  <c r="B384" i="2"/>
  <c r="C384" i="2" s="1"/>
  <c r="B360" i="2"/>
  <c r="B376" i="2"/>
  <c r="C376" i="2" s="1"/>
  <c r="B364" i="2"/>
  <c r="C364" i="2" s="1"/>
  <c r="B398" i="2"/>
  <c r="C398" i="2" s="1"/>
  <c r="B383" i="2"/>
  <c r="C383" i="2" s="1"/>
  <c r="B359" i="2"/>
  <c r="B397" i="2"/>
  <c r="C397" i="2" s="1"/>
  <c r="B358" i="2"/>
  <c r="B370" i="2"/>
  <c r="C370" i="2" s="1"/>
  <c r="B367" i="2"/>
  <c r="C367" i="2" s="1"/>
  <c r="B396" i="2"/>
  <c r="C396" i="2" s="1"/>
  <c r="B369" i="2"/>
  <c r="C369" i="2" s="1"/>
  <c r="B356" i="2"/>
  <c r="B382" i="2"/>
  <c r="C382" i="2" s="1"/>
  <c r="B374" i="2"/>
  <c r="C374" i="2" s="1"/>
  <c r="B363" i="2"/>
  <c r="C363" i="2" s="1"/>
  <c r="B355" i="2"/>
  <c r="B395" i="2"/>
  <c r="C395" i="2" s="1"/>
  <c r="B353" i="2"/>
  <c r="B394" i="2"/>
  <c r="C394" i="2" s="1"/>
  <c r="B389" i="2"/>
  <c r="C389" i="2" s="1"/>
  <c r="B380" i="2"/>
  <c r="C380" i="2" s="1"/>
  <c r="B390" i="2"/>
  <c r="C390" i="2" s="1"/>
  <c r="B393" i="2"/>
  <c r="C393" i="2" s="1"/>
  <c r="B366" i="2"/>
  <c r="C366" i="2" s="1"/>
  <c r="R223" i="11" l="1"/>
  <c r="R351" i="11"/>
  <c r="R349" i="11"/>
  <c r="R340" i="11"/>
  <c r="R347" i="11"/>
  <c r="R341" i="11"/>
  <c r="Y16" i="9"/>
  <c r="X46" i="9"/>
  <c r="R323" i="11"/>
  <c r="T282" i="11"/>
  <c r="S284" i="11"/>
  <c r="S161" i="11"/>
  <c r="S227" i="11" s="1"/>
  <c r="S279" i="11"/>
  <c r="R344" i="11"/>
  <c r="R222" i="11"/>
  <c r="T284" i="11"/>
  <c r="T334" i="11"/>
  <c r="S290" i="11"/>
  <c r="S172" i="11"/>
  <c r="R345" i="11"/>
  <c r="T278" i="11"/>
  <c r="T170" i="11"/>
  <c r="T288" i="11"/>
  <c r="S173" i="11"/>
  <c r="S291" i="11"/>
  <c r="R326" i="11"/>
  <c r="R346" i="11"/>
  <c r="S281" i="11"/>
  <c r="S292" i="11"/>
  <c r="S351" i="11" s="1"/>
  <c r="S174" i="11"/>
  <c r="S324" i="11"/>
  <c r="R336" i="11"/>
  <c r="R328" i="11"/>
  <c r="T222" i="11"/>
  <c r="T281" i="11"/>
  <c r="T340" i="11" s="1"/>
  <c r="S278" i="11"/>
  <c r="R225" i="11"/>
  <c r="T290" i="11"/>
  <c r="T172" i="11"/>
  <c r="S277" i="11"/>
  <c r="R329" i="11"/>
  <c r="T279" i="11"/>
  <c r="T173" i="11"/>
  <c r="T291" i="11"/>
  <c r="T350" i="11" s="1"/>
  <c r="S332" i="11"/>
  <c r="S288" i="11"/>
  <c r="S347" i="11" s="1"/>
  <c r="S170" i="11"/>
  <c r="T289" i="11"/>
  <c r="T171" i="11"/>
  <c r="S168" i="11"/>
  <c r="S286" i="11"/>
  <c r="T169" i="11"/>
  <c r="T287" i="11"/>
  <c r="T346" i="11" s="1"/>
  <c r="X92" i="8"/>
  <c r="X163" i="8" s="1"/>
  <c r="T218" i="11"/>
  <c r="T277" i="11"/>
  <c r="T336" i="11" s="1"/>
  <c r="S287" i="11"/>
  <c r="S169" i="11"/>
  <c r="T174" i="11"/>
  <c r="T292" i="11"/>
  <c r="T351" i="11" s="1"/>
  <c r="S283" i="11"/>
  <c r="R333" i="11"/>
  <c r="R350" i="11"/>
  <c r="T280" i="11"/>
  <c r="T221" i="11"/>
  <c r="T283" i="11"/>
  <c r="T168" i="11"/>
  <c r="T286" i="11"/>
  <c r="T345" i="11" s="1"/>
  <c r="S280" i="11"/>
  <c r="R342" i="11"/>
  <c r="R339" i="11"/>
  <c r="S171" i="11"/>
  <c r="S289" i="11"/>
  <c r="S344" i="11"/>
  <c r="S223" i="11"/>
  <c r="S282" i="11"/>
  <c r="S341" i="11" s="1"/>
  <c r="W128" i="8"/>
  <c r="R224" i="11"/>
  <c r="R221" i="11"/>
  <c r="AD13" i="9"/>
  <c r="AB259" i="9"/>
  <c r="AB262" i="9" s="1"/>
  <c r="AB209" i="9"/>
  <c r="AB212" i="9" s="1"/>
  <c r="AB852" i="9"/>
  <c r="AB855" i="9"/>
  <c r="AB1146" i="9"/>
  <c r="AB1149" i="9"/>
  <c r="AB359" i="9"/>
  <c r="AB362" i="9" s="1"/>
  <c r="T266" i="9"/>
  <c r="S296" i="9"/>
  <c r="U261" i="9"/>
  <c r="T263" i="9"/>
  <c r="W63" i="9"/>
  <c r="X61" i="9"/>
  <c r="AB1440" i="9"/>
  <c r="AB1443" i="9" s="1"/>
  <c r="AB159" i="9"/>
  <c r="AB1293" i="9"/>
  <c r="AB1296" i="9" s="1"/>
  <c r="V211" i="9"/>
  <c r="U213" i="9"/>
  <c r="V146" i="9"/>
  <c r="W116" i="9"/>
  <c r="AB1195" i="9"/>
  <c r="AB1198" i="9" s="1"/>
  <c r="AB459" i="9"/>
  <c r="AB462" i="9" s="1"/>
  <c r="AB309" i="9"/>
  <c r="AB312" i="9"/>
  <c r="AB59" i="9"/>
  <c r="AB62" i="9"/>
  <c r="AB656" i="9"/>
  <c r="AB659" i="9" s="1"/>
  <c r="AB1097" i="9"/>
  <c r="AB1100" i="9" s="1"/>
  <c r="AB950" i="9"/>
  <c r="AB953" i="9" s="1"/>
  <c r="AB1391" i="9"/>
  <c r="AB1394" i="9" s="1"/>
  <c r="AB409" i="9"/>
  <c r="AB412" i="9"/>
  <c r="AB803" i="9"/>
  <c r="AB806" i="9" s="1"/>
  <c r="AB1538" i="9"/>
  <c r="AB1541" i="9" s="1"/>
  <c r="AB999" i="9"/>
  <c r="AB1002" i="9"/>
  <c r="AB1048" i="9"/>
  <c r="AB1051" i="9" s="1"/>
  <c r="W113" i="9"/>
  <c r="X111" i="9"/>
  <c r="AB109" i="9"/>
  <c r="AB112" i="9" s="1"/>
  <c r="U196" i="9"/>
  <c r="V166" i="9"/>
  <c r="AB607" i="9"/>
  <c r="AB610" i="9" s="1"/>
  <c r="AB1489" i="9"/>
  <c r="AB1492" i="9"/>
  <c r="AB901" i="9"/>
  <c r="AB904" i="9" s="1"/>
  <c r="AB754" i="9"/>
  <c r="AB757" i="9" s="1"/>
  <c r="AB509" i="9"/>
  <c r="AB512" i="9" s="1"/>
  <c r="U216" i="9"/>
  <c r="T246" i="9"/>
  <c r="V66" i="9"/>
  <c r="U96" i="9"/>
  <c r="AB1342" i="9"/>
  <c r="AB558" i="9"/>
  <c r="AB561" i="9"/>
  <c r="AB705" i="9"/>
  <c r="AB708" i="9" s="1"/>
  <c r="AB1244" i="9"/>
  <c r="AB1247" i="9" s="1"/>
  <c r="W161" i="9"/>
  <c r="V163" i="9"/>
  <c r="AG271" i="9"/>
  <c r="AG261" i="9"/>
  <c r="AG283" i="9"/>
  <c r="AG274" i="9"/>
  <c r="AG277" i="9"/>
  <c r="AG264" i="9"/>
  <c r="AG298" i="9" s="1"/>
  <c r="AG280" i="9"/>
  <c r="AG266" i="9"/>
  <c r="AG268" i="9"/>
  <c r="AG286" i="9"/>
  <c r="AH289" i="9"/>
  <c r="AG289" i="9"/>
  <c r="AG291" i="9"/>
  <c r="AG292" i="9" s="1"/>
  <c r="AG296" i="9"/>
  <c r="Q353" i="11"/>
  <c r="X41" i="8" s="1"/>
  <c r="R294" i="11"/>
  <c r="R235" i="11"/>
  <c r="S252" i="11"/>
  <c r="S311" i="11" s="1"/>
  <c r="S145" i="11"/>
  <c r="S204" i="11" s="1"/>
  <c r="S137" i="11"/>
  <c r="S196" i="11" s="1"/>
  <c r="S147" i="11"/>
  <c r="S206" i="11" s="1"/>
  <c r="S266" i="11"/>
  <c r="S325" i="11" s="1"/>
  <c r="S131" i="11"/>
  <c r="S190" i="11" s="1"/>
  <c r="S127" i="11"/>
  <c r="S186" i="11" s="1"/>
  <c r="S165" i="11"/>
  <c r="S231" i="11" s="1"/>
  <c r="S272" i="11"/>
  <c r="S331" i="11" s="1"/>
  <c r="S166" i="11"/>
  <c r="S232" i="11" s="1"/>
  <c r="S164" i="11"/>
  <c r="S230" i="11" s="1"/>
  <c r="S250" i="11"/>
  <c r="S309" i="11" s="1"/>
  <c r="S260" i="11"/>
  <c r="S319" i="11" s="1"/>
  <c r="S133" i="11"/>
  <c r="S192" i="11" s="1"/>
  <c r="R311" i="11"/>
  <c r="S157" i="11"/>
  <c r="S216" i="11" s="1"/>
  <c r="R308" i="11"/>
  <c r="R321" i="11"/>
  <c r="R304" i="11"/>
  <c r="S259" i="11"/>
  <c r="S318" i="11" s="1"/>
  <c r="S150" i="11"/>
  <c r="S209" i="11" s="1"/>
  <c r="R315" i="11"/>
  <c r="S256" i="11"/>
  <c r="S315" i="11" s="1"/>
  <c r="R306" i="11"/>
  <c r="S140" i="11"/>
  <c r="S199" i="11" s="1"/>
  <c r="S151" i="11"/>
  <c r="S210" i="11" s="1"/>
  <c r="R176" i="11"/>
  <c r="S125" i="11"/>
  <c r="S184" i="11" s="1"/>
  <c r="S152" i="11"/>
  <c r="S211" i="11" s="1"/>
  <c r="S159" i="11"/>
  <c r="S218" i="11" s="1"/>
  <c r="R320" i="11"/>
  <c r="S136" i="11"/>
  <c r="S195" i="11" s="1"/>
  <c r="S146" i="11"/>
  <c r="S205" i="11" s="1"/>
  <c r="S246" i="11"/>
  <c r="S305" i="11" s="1"/>
  <c r="S126" i="11"/>
  <c r="S185" i="11" s="1"/>
  <c r="S162" i="11"/>
  <c r="S228" i="11" s="1"/>
  <c r="R319" i="11"/>
  <c r="S234" i="11"/>
  <c r="S58" i="11"/>
  <c r="R307" i="11"/>
  <c r="S167" i="11"/>
  <c r="S233" i="11" s="1"/>
  <c r="S143" i="11"/>
  <c r="S202" i="11" s="1"/>
  <c r="S160" i="11"/>
  <c r="S226" i="11" s="1"/>
  <c r="S149" i="11"/>
  <c r="S208" i="11" s="1"/>
  <c r="S155" i="11"/>
  <c r="S214" i="11" s="1"/>
  <c r="S156" i="11"/>
  <c r="S215" i="11" s="1"/>
  <c r="S163" i="11"/>
  <c r="S229" i="11" s="1"/>
  <c r="S144" i="11"/>
  <c r="S203" i="11" s="1"/>
  <c r="R303" i="11"/>
  <c r="R310" i="11"/>
  <c r="S129" i="11"/>
  <c r="S188" i="11" s="1"/>
  <c r="S135" i="11"/>
  <c r="S194" i="11" s="1"/>
  <c r="S158" i="11"/>
  <c r="S217" i="11" s="1"/>
  <c r="R313" i="11"/>
  <c r="S248" i="11"/>
  <c r="S307" i="11" s="1"/>
  <c r="R317" i="11"/>
  <c r="S153" i="11"/>
  <c r="S212" i="11" s="1"/>
  <c r="R309" i="11"/>
  <c r="R314" i="11"/>
  <c r="S257" i="11"/>
  <c r="S316" i="11" s="1"/>
  <c r="R305" i="11"/>
  <c r="R318" i="11"/>
  <c r="R302" i="11"/>
  <c r="T253" i="11"/>
  <c r="T135" i="11"/>
  <c r="T194" i="11" s="1"/>
  <c r="T163" i="11"/>
  <c r="T229" i="11" s="1"/>
  <c r="T256" i="11"/>
  <c r="T138" i="11"/>
  <c r="T197" i="11" s="1"/>
  <c r="T247" i="11"/>
  <c r="T129" i="11"/>
  <c r="T188" i="11" s="1"/>
  <c r="T270" i="11"/>
  <c r="T152" i="11"/>
  <c r="T211" i="11" s="1"/>
  <c r="T262" i="11"/>
  <c r="T144" i="11"/>
  <c r="T203" i="11" s="1"/>
  <c r="T269" i="11"/>
  <c r="T151" i="11"/>
  <c r="T210" i="11" s="1"/>
  <c r="T261" i="11"/>
  <c r="T143" i="11"/>
  <c r="T202" i="11" s="1"/>
  <c r="T272" i="11"/>
  <c r="T154" i="11"/>
  <c r="T213" i="11" s="1"/>
  <c r="T159" i="11"/>
  <c r="T252" i="11"/>
  <c r="T134" i="11"/>
  <c r="T193" i="11" s="1"/>
  <c r="T258" i="11"/>
  <c r="T140" i="11"/>
  <c r="T199" i="11" s="1"/>
  <c r="T266" i="11"/>
  <c r="T148" i="11"/>
  <c r="T207" i="11" s="1"/>
  <c r="T263" i="11"/>
  <c r="T145" i="11"/>
  <c r="T204" i="11" s="1"/>
  <c r="T162" i="11"/>
  <c r="T228" i="11" s="1"/>
  <c r="T161" i="11"/>
  <c r="T227" i="11" s="1"/>
  <c r="T273" i="11"/>
  <c r="T332" i="11" s="1"/>
  <c r="T155" i="11"/>
  <c r="T214" i="11" s="1"/>
  <c r="T165" i="11"/>
  <c r="T231" i="11" s="1"/>
  <c r="T245" i="11"/>
  <c r="T127" i="11"/>
  <c r="T186" i="11" s="1"/>
  <c r="T268" i="11"/>
  <c r="T150" i="11"/>
  <c r="T209" i="11" s="1"/>
  <c r="T251" i="11"/>
  <c r="T133" i="11"/>
  <c r="T192" i="11" s="1"/>
  <c r="T271" i="11"/>
  <c r="T330" i="11" s="1"/>
  <c r="T153" i="11"/>
  <c r="T212" i="11" s="1"/>
  <c r="T244" i="11"/>
  <c r="T126" i="11"/>
  <c r="T185" i="11" s="1"/>
  <c r="T158" i="11"/>
  <c r="T217" i="11" s="1"/>
  <c r="T234" i="11"/>
  <c r="T250" i="11"/>
  <c r="T132" i="11"/>
  <c r="T191" i="11" s="1"/>
  <c r="T167" i="11"/>
  <c r="T233" i="11" s="1"/>
  <c r="T243" i="11"/>
  <c r="T125" i="11"/>
  <c r="T184" i="11" s="1"/>
  <c r="T58" i="11"/>
  <c r="T260" i="11"/>
  <c r="T142" i="11"/>
  <c r="T201" i="11" s="1"/>
  <c r="T254" i="11"/>
  <c r="T136" i="11"/>
  <c r="T195" i="11" s="1"/>
  <c r="T274" i="11"/>
  <c r="T156" i="11"/>
  <c r="T215" i="11" s="1"/>
  <c r="T166" i="11"/>
  <c r="T232" i="11" s="1"/>
  <c r="T164" i="11"/>
  <c r="T230" i="11" s="1"/>
  <c r="T157" i="11"/>
  <c r="T216" i="11" s="1"/>
  <c r="T267" i="11"/>
  <c r="T149" i="11"/>
  <c r="T208" i="11" s="1"/>
  <c r="T259" i="11"/>
  <c r="T141" i="11"/>
  <c r="T200" i="11" s="1"/>
  <c r="T255" i="11"/>
  <c r="T137" i="11"/>
  <c r="T196" i="11" s="1"/>
  <c r="T160" i="11"/>
  <c r="T226" i="11" s="1"/>
  <c r="T257" i="11"/>
  <c r="T139" i="11"/>
  <c r="T198" i="11" s="1"/>
  <c r="T248" i="11"/>
  <c r="T130" i="11"/>
  <c r="T189" i="11" s="1"/>
  <c r="T246" i="11"/>
  <c r="T128" i="11"/>
  <c r="T187" i="11" s="1"/>
  <c r="T131" i="11"/>
  <c r="T190" i="11" s="1"/>
  <c r="T249" i="11"/>
  <c r="T264" i="11"/>
  <c r="T146" i="11"/>
  <c r="T205" i="11" s="1"/>
  <c r="T265" i="11"/>
  <c r="T147" i="11"/>
  <c r="T206" i="11" s="1"/>
  <c r="I140" i="1"/>
  <c r="I130" i="1"/>
  <c r="I135" i="1"/>
  <c r="H54" i="1"/>
  <c r="H61" i="1"/>
  <c r="I121" i="1"/>
  <c r="Q377" i="4"/>
  <c r="D66" i="1"/>
  <c r="D70" i="1" s="1"/>
  <c r="D62" i="1"/>
  <c r="J50" i="1"/>
  <c r="J128" i="1"/>
  <c r="H163" i="1"/>
  <c r="G127" i="1"/>
  <c r="E62" i="1"/>
  <c r="E66" i="1"/>
  <c r="E70" i="1" s="1"/>
  <c r="F72" i="1"/>
  <c r="F67" i="1"/>
  <c r="I38" i="1"/>
  <c r="I39" i="1" s="1"/>
  <c r="M971" i="2"/>
  <c r="M982" i="2"/>
  <c r="M983" i="2" s="1"/>
  <c r="L689" i="2"/>
  <c r="N530" i="2"/>
  <c r="N541" i="2"/>
  <c r="N542" i="2" s="1"/>
  <c r="L983" i="2"/>
  <c r="M677" i="2"/>
  <c r="M688" i="2"/>
  <c r="M689" i="2" s="1"/>
  <c r="M1118" i="2"/>
  <c r="M1129" i="2"/>
  <c r="I27" i="1"/>
  <c r="M717" i="2"/>
  <c r="O521" i="2"/>
  <c r="M729" i="2"/>
  <c r="N668" i="2"/>
  <c r="O524" i="2"/>
  <c r="N729" i="2"/>
  <c r="O533" i="2"/>
  <c r="N977" i="2"/>
  <c r="N732" i="2"/>
  <c r="H39" i="1"/>
  <c r="N671" i="2"/>
  <c r="N674" i="2"/>
  <c r="N683" i="2"/>
  <c r="O536" i="2"/>
  <c r="N720" i="2"/>
  <c r="N717" i="2"/>
  <c r="N723" i="2"/>
  <c r="O527" i="2"/>
  <c r="N725" i="2"/>
  <c r="N974" i="2"/>
  <c r="P517" i="2"/>
  <c r="P536" i="2" s="1"/>
  <c r="N970" i="2"/>
  <c r="M725" i="2"/>
  <c r="O958" i="2"/>
  <c r="O664" i="2"/>
  <c r="N1112" i="2"/>
  <c r="M723" i="2"/>
  <c r="N680" i="2"/>
  <c r="N1109" i="2"/>
  <c r="M720" i="2"/>
  <c r="N1124" i="2"/>
  <c r="G53" i="1"/>
  <c r="G61" i="1" s="1"/>
  <c r="G39" i="1"/>
  <c r="N968" i="2"/>
  <c r="N1121" i="2"/>
  <c r="N965" i="2"/>
  <c r="O529" i="2"/>
  <c r="N1117" i="2"/>
  <c r="N1115" i="2"/>
  <c r="O1105" i="2"/>
  <c r="N676" i="2"/>
  <c r="Q707" i="2"/>
  <c r="P709" i="2"/>
  <c r="P711" i="2" s="1"/>
  <c r="P741" i="2" s="1"/>
  <c r="O711" i="2"/>
  <c r="O741" i="2" s="1"/>
  <c r="Q1099" i="2"/>
  <c r="P1101" i="2"/>
  <c r="P1103" i="2" s="1"/>
  <c r="P1133" i="2" s="1"/>
  <c r="R511" i="2"/>
  <c r="Q513" i="2"/>
  <c r="Q515" i="2" s="1"/>
  <c r="Q545" i="2" s="1"/>
  <c r="Q952" i="2"/>
  <c r="P954" i="2"/>
  <c r="P956" i="2" s="1"/>
  <c r="P986" i="2" s="1"/>
  <c r="Q658" i="2"/>
  <c r="P660" i="2"/>
  <c r="P662" i="2" s="1"/>
  <c r="P692" i="2" s="1"/>
  <c r="Q314" i="4"/>
  <c r="P188" i="4"/>
  <c r="Q142" i="4"/>
  <c r="Q205" i="4"/>
  <c r="Q174" i="4"/>
  <c r="Q237" i="4"/>
  <c r="Q146" i="4"/>
  <c r="Q209" i="4" s="1"/>
  <c r="Q178" i="4"/>
  <c r="Q241" i="4"/>
  <c r="Q175" i="4"/>
  <c r="Q238" i="4" s="1"/>
  <c r="Q141" i="4"/>
  <c r="Q204" i="4" s="1"/>
  <c r="Q158" i="4"/>
  <c r="Q221" i="4" s="1"/>
  <c r="Q144" i="4"/>
  <c r="Q207" i="4" s="1"/>
  <c r="Q187" i="4"/>
  <c r="Q250" i="4"/>
  <c r="Q137" i="4"/>
  <c r="Q200" i="4"/>
  <c r="Q139" i="4"/>
  <c r="Q202" i="4"/>
  <c r="Q185" i="4"/>
  <c r="Q248" i="4" s="1"/>
  <c r="Q152" i="4"/>
  <c r="Q215" i="4"/>
  <c r="Q179" i="4"/>
  <c r="Q242" i="4"/>
  <c r="Q167" i="4"/>
  <c r="Q230" i="4" s="1"/>
  <c r="Q169" i="4"/>
  <c r="Q232" i="4"/>
  <c r="Q164" i="4"/>
  <c r="Q227" i="4"/>
  <c r="Q168" i="4"/>
  <c r="Q231" i="4" s="1"/>
  <c r="Q173" i="4"/>
  <c r="Q236" i="4" s="1"/>
  <c r="Q177" i="4"/>
  <c r="Q240" i="4" s="1"/>
  <c r="Q145" i="4"/>
  <c r="Q208" i="4" s="1"/>
  <c r="Q147" i="4"/>
  <c r="Q210" i="4" s="1"/>
  <c r="Q143" i="4"/>
  <c r="Q206" i="4" s="1"/>
  <c r="Q150" i="4"/>
  <c r="Q213" i="4" s="1"/>
  <c r="Q180" i="4"/>
  <c r="Q243" i="4" s="1"/>
  <c r="Q140" i="4"/>
  <c r="Q203" i="4"/>
  <c r="Q184" i="4"/>
  <c r="Q247" i="4"/>
  <c r="Q154" i="4"/>
  <c r="Q217" i="4"/>
  <c r="Q166" i="4"/>
  <c r="Q229" i="4" s="1"/>
  <c r="Q171" i="4"/>
  <c r="Q234" i="4"/>
  <c r="Q136" i="4"/>
  <c r="Q199" i="4" s="1"/>
  <c r="Q133" i="4"/>
  <c r="Q196" i="4"/>
  <c r="Q162" i="4"/>
  <c r="Q225" i="4" s="1"/>
  <c r="Q151" i="4"/>
  <c r="Q214" i="4" s="1"/>
  <c r="Q156" i="4"/>
  <c r="Q219" i="4"/>
  <c r="Q181" i="4"/>
  <c r="Q244" i="4"/>
  <c r="Q186" i="4"/>
  <c r="Q249" i="4"/>
  <c r="Q183" i="4"/>
  <c r="Q246" i="4" s="1"/>
  <c r="Q172" i="4"/>
  <c r="Q235" i="4" s="1"/>
  <c r="Q160" i="4"/>
  <c r="Q223" i="4" s="1"/>
  <c r="Q176" i="4"/>
  <c r="Q239" i="4"/>
  <c r="Q159" i="4"/>
  <c r="Q222" i="4"/>
  <c r="Q138" i="4"/>
  <c r="Q201" i="4" s="1"/>
  <c r="Q165" i="4"/>
  <c r="Q228" i="4"/>
  <c r="Q161" i="4"/>
  <c r="Q224" i="4"/>
  <c r="Q163" i="4"/>
  <c r="Q226" i="4"/>
  <c r="Q134" i="4"/>
  <c r="Q155" i="4"/>
  <c r="Q218" i="4"/>
  <c r="Q135" i="4"/>
  <c r="Q198" i="4"/>
  <c r="Q182" i="4"/>
  <c r="Q245" i="4" s="1"/>
  <c r="Q153" i="4"/>
  <c r="Q216" i="4" s="1"/>
  <c r="Q170" i="4"/>
  <c r="Q233" i="4"/>
  <c r="Q148" i="4"/>
  <c r="Q211" i="4"/>
  <c r="Q157" i="4"/>
  <c r="Q220" i="4"/>
  <c r="Q149" i="4"/>
  <c r="Q212" i="4"/>
  <c r="S69" i="4"/>
  <c r="Q125" i="4"/>
  <c r="S6" i="4"/>
  <c r="R53" i="4"/>
  <c r="R305" i="4" s="1"/>
  <c r="R368" i="4" s="1"/>
  <c r="R36" i="4"/>
  <c r="R288" i="4" s="1"/>
  <c r="R351" i="4" s="1"/>
  <c r="R23" i="4"/>
  <c r="R275" i="4" s="1"/>
  <c r="R338" i="4" s="1"/>
  <c r="R10" i="4"/>
  <c r="R262" i="4" s="1"/>
  <c r="R325" i="4" s="1"/>
  <c r="R56" i="4"/>
  <c r="R308" i="4" s="1"/>
  <c r="R371" i="4" s="1"/>
  <c r="R43" i="4"/>
  <c r="R295" i="4" s="1"/>
  <c r="R358" i="4" s="1"/>
  <c r="R30" i="4"/>
  <c r="R282" i="4" s="1"/>
  <c r="R345" i="4" s="1"/>
  <c r="R41" i="4"/>
  <c r="R293" i="4" s="1"/>
  <c r="R356" i="4" s="1"/>
  <c r="R55" i="4"/>
  <c r="R307" i="4" s="1"/>
  <c r="R370" i="4" s="1"/>
  <c r="R17" i="4"/>
  <c r="R269" i="4" s="1"/>
  <c r="R332" i="4" s="1"/>
  <c r="R50" i="4"/>
  <c r="R302" i="4" s="1"/>
  <c r="R365" i="4" s="1"/>
  <c r="R11" i="4"/>
  <c r="R263" i="4" s="1"/>
  <c r="R326" i="4" s="1"/>
  <c r="R49" i="4"/>
  <c r="R301" i="4" s="1"/>
  <c r="R364" i="4" s="1"/>
  <c r="R22" i="4"/>
  <c r="R274" i="4" s="1"/>
  <c r="R337" i="4" s="1"/>
  <c r="R27" i="4"/>
  <c r="R279" i="4" s="1"/>
  <c r="R342" i="4" s="1"/>
  <c r="R54" i="4"/>
  <c r="R306" i="4" s="1"/>
  <c r="R369" i="4" s="1"/>
  <c r="R20" i="4"/>
  <c r="R272" i="4" s="1"/>
  <c r="R335" i="4" s="1"/>
  <c r="R59" i="4"/>
  <c r="R311" i="4" s="1"/>
  <c r="R374" i="4" s="1"/>
  <c r="R38" i="4"/>
  <c r="R290" i="4" s="1"/>
  <c r="R353" i="4" s="1"/>
  <c r="R14" i="4"/>
  <c r="R266" i="4" s="1"/>
  <c r="R329" i="4" s="1"/>
  <c r="R8" i="4"/>
  <c r="R260" i="4" s="1"/>
  <c r="R323" i="4" s="1"/>
  <c r="R44" i="4"/>
  <c r="R296" i="4" s="1"/>
  <c r="R359" i="4" s="1"/>
  <c r="R37" i="4"/>
  <c r="R289" i="4" s="1"/>
  <c r="R352" i="4" s="1"/>
  <c r="R42" i="4"/>
  <c r="R294" i="4" s="1"/>
  <c r="R357" i="4" s="1"/>
  <c r="R21" i="4"/>
  <c r="R273" i="4" s="1"/>
  <c r="R336" i="4" s="1"/>
  <c r="R16" i="4"/>
  <c r="R268" i="4" s="1"/>
  <c r="R331" i="4" s="1"/>
  <c r="R9" i="4"/>
  <c r="R261" i="4" s="1"/>
  <c r="R324" i="4" s="1"/>
  <c r="R26" i="4"/>
  <c r="R278" i="4" s="1"/>
  <c r="R341" i="4" s="1"/>
  <c r="R45" i="4"/>
  <c r="R297" i="4" s="1"/>
  <c r="R360" i="4" s="1"/>
  <c r="R19" i="4"/>
  <c r="R271" i="4" s="1"/>
  <c r="R334" i="4" s="1"/>
  <c r="R33" i="4"/>
  <c r="R285" i="4" s="1"/>
  <c r="R348" i="4" s="1"/>
  <c r="R51" i="4"/>
  <c r="R303" i="4" s="1"/>
  <c r="R366" i="4" s="1"/>
  <c r="R32" i="4"/>
  <c r="R284" i="4" s="1"/>
  <c r="R347" i="4" s="1"/>
  <c r="R25" i="4"/>
  <c r="R277" i="4" s="1"/>
  <c r="R340" i="4" s="1"/>
  <c r="R24" i="4"/>
  <c r="R276" i="4" s="1"/>
  <c r="R339" i="4" s="1"/>
  <c r="R34" i="4"/>
  <c r="R286" i="4" s="1"/>
  <c r="R349" i="4" s="1"/>
  <c r="R39" i="4"/>
  <c r="R291" i="4" s="1"/>
  <c r="R354" i="4" s="1"/>
  <c r="R48" i="4"/>
  <c r="R300" i="4" s="1"/>
  <c r="R363" i="4" s="1"/>
  <c r="R60" i="4"/>
  <c r="R312" i="4" s="1"/>
  <c r="R375" i="4" s="1"/>
  <c r="R18" i="4"/>
  <c r="R270" i="4" s="1"/>
  <c r="R333" i="4" s="1"/>
  <c r="R47" i="4"/>
  <c r="R299" i="4" s="1"/>
  <c r="R362" i="4" s="1"/>
  <c r="R29" i="4"/>
  <c r="R281" i="4" s="1"/>
  <c r="R344" i="4" s="1"/>
  <c r="R52" i="4"/>
  <c r="R304" i="4" s="1"/>
  <c r="R367" i="4" s="1"/>
  <c r="R57" i="4"/>
  <c r="R309" i="4" s="1"/>
  <c r="R372" i="4" s="1"/>
  <c r="R31" i="4"/>
  <c r="R283" i="4" s="1"/>
  <c r="R346" i="4" s="1"/>
  <c r="R13" i="4"/>
  <c r="R265" i="4" s="1"/>
  <c r="R328" i="4" s="1"/>
  <c r="R40" i="4"/>
  <c r="R292" i="4" s="1"/>
  <c r="R355" i="4" s="1"/>
  <c r="R28" i="4"/>
  <c r="R280" i="4" s="1"/>
  <c r="R343" i="4" s="1"/>
  <c r="R12" i="4"/>
  <c r="R264" i="4" s="1"/>
  <c r="R327" i="4" s="1"/>
  <c r="R58" i="4"/>
  <c r="R310" i="4" s="1"/>
  <c r="R373" i="4" s="1"/>
  <c r="R46" i="4"/>
  <c r="R298" i="4" s="1"/>
  <c r="R361" i="4" s="1"/>
  <c r="R15" i="4"/>
  <c r="R267" i="4" s="1"/>
  <c r="R330" i="4" s="1"/>
  <c r="R7" i="4"/>
  <c r="R259" i="4" s="1"/>
  <c r="R322" i="4" s="1"/>
  <c r="R61" i="4"/>
  <c r="R313" i="4" s="1"/>
  <c r="R376" i="4" s="1"/>
  <c r="R35" i="4"/>
  <c r="R287" i="4" s="1"/>
  <c r="R350" i="4" s="1"/>
  <c r="Q62" i="4"/>
  <c r="B437" i="2"/>
  <c r="C437" i="2" s="1"/>
  <c r="B444" i="2"/>
  <c r="C444" i="2" s="1"/>
  <c r="B431" i="2"/>
  <c r="C431" i="2" s="1"/>
  <c r="B419" i="2"/>
  <c r="C419" i="2" s="1"/>
  <c r="B447" i="2"/>
  <c r="C447" i="2" s="1"/>
  <c r="B427" i="2"/>
  <c r="C427" i="2" s="1"/>
  <c r="B446" i="2"/>
  <c r="C446" i="2" s="1"/>
  <c r="B438" i="2"/>
  <c r="C438" i="2" s="1"/>
  <c r="B443" i="2"/>
  <c r="C443" i="2" s="1"/>
  <c r="B441" i="2"/>
  <c r="C441" i="2" s="1"/>
  <c r="B421" i="2"/>
  <c r="C421" i="2" s="1"/>
  <c r="B410" i="2"/>
  <c r="B432" i="2"/>
  <c r="C432" i="2" s="1"/>
  <c r="B416" i="2"/>
  <c r="C416" i="2" s="1"/>
  <c r="B405" i="2"/>
  <c r="B448" i="2"/>
  <c r="C448" i="2" s="1"/>
  <c r="B439" i="2"/>
  <c r="C439" i="2" s="1"/>
  <c r="B430" i="2"/>
  <c r="C430" i="2" s="1"/>
  <c r="B424" i="2"/>
  <c r="C424" i="2" s="1"/>
  <c r="B418" i="2"/>
  <c r="C418" i="2" s="1"/>
  <c r="B426" i="2"/>
  <c r="C426" i="2" s="1"/>
  <c r="B433" i="2"/>
  <c r="C433" i="2" s="1"/>
  <c r="B425" i="2"/>
  <c r="C425" i="2" s="1"/>
  <c r="B445" i="2"/>
  <c r="C445" i="2" s="1"/>
  <c r="B412" i="2"/>
  <c r="C412" i="2" s="1"/>
  <c r="B440" i="2"/>
  <c r="C440" i="2" s="1"/>
  <c r="B435" i="2"/>
  <c r="C435" i="2" s="1"/>
  <c r="B429" i="2"/>
  <c r="C429" i="2" s="1"/>
  <c r="B413" i="2"/>
  <c r="C413" i="2" s="1"/>
  <c r="B411" i="2"/>
  <c r="C411" i="2" s="1"/>
  <c r="B434" i="2"/>
  <c r="C434" i="2" s="1"/>
  <c r="B428" i="2"/>
  <c r="C428" i="2" s="1"/>
  <c r="B414" i="2"/>
  <c r="C414" i="2" s="1"/>
  <c r="B409" i="2"/>
  <c r="B420" i="2"/>
  <c r="C420" i="2" s="1"/>
  <c r="B415" i="2"/>
  <c r="C415" i="2" s="1"/>
  <c r="B408" i="2"/>
  <c r="B407" i="2"/>
  <c r="B423" i="2"/>
  <c r="C423" i="2" s="1"/>
  <c r="B422" i="2"/>
  <c r="C422" i="2" s="1"/>
  <c r="B406" i="2"/>
  <c r="B417" i="2"/>
  <c r="C417" i="2" s="1"/>
  <c r="B403" i="2"/>
  <c r="B436" i="2"/>
  <c r="C436" i="2" s="1"/>
  <c r="B442" i="2"/>
  <c r="C442" i="2" s="1"/>
  <c r="S338" i="11" l="1"/>
  <c r="S220" i="11"/>
  <c r="T339" i="11"/>
  <c r="S327" i="11"/>
  <c r="S323" i="11"/>
  <c r="T349" i="11"/>
  <c r="S334" i="11"/>
  <c r="Z16" i="9"/>
  <c r="Y46" i="9"/>
  <c r="T324" i="11"/>
  <c r="T331" i="11"/>
  <c r="T348" i="11"/>
  <c r="S342" i="11"/>
  <c r="T328" i="11"/>
  <c r="S224" i="11"/>
  <c r="S349" i="11"/>
  <c r="T344" i="11"/>
  <c r="T220" i="11"/>
  <c r="S222" i="11"/>
  <c r="T225" i="11"/>
  <c r="T335" i="11"/>
  <c r="T338" i="11"/>
  <c r="S340" i="11"/>
  <c r="T343" i="11"/>
  <c r="T329" i="11"/>
  <c r="S346" i="11"/>
  <c r="S348" i="11"/>
  <c r="S333" i="11"/>
  <c r="S350" i="11"/>
  <c r="X128" i="8"/>
  <c r="S336" i="11"/>
  <c r="T333" i="11"/>
  <c r="S329" i="11"/>
  <c r="T325" i="11"/>
  <c r="S339" i="11"/>
  <c r="Y92" i="8"/>
  <c r="Y163" i="8" s="1"/>
  <c r="T347" i="11"/>
  <c r="S343" i="11"/>
  <c r="S221" i="11"/>
  <c r="S328" i="11"/>
  <c r="S225" i="11"/>
  <c r="T327" i="11"/>
  <c r="T337" i="11"/>
  <c r="S330" i="11"/>
  <c r="S335" i="11"/>
  <c r="T219" i="11"/>
  <c r="T235" i="11" s="1"/>
  <c r="T341" i="11"/>
  <c r="T326" i="11"/>
  <c r="T342" i="11"/>
  <c r="S345" i="11"/>
  <c r="S337" i="11"/>
  <c r="S326" i="11"/>
  <c r="T223" i="11"/>
  <c r="T323" i="11"/>
  <c r="T224" i="11"/>
  <c r="S219" i="11"/>
  <c r="AH13" i="9"/>
  <c r="AH11" i="9" s="1"/>
  <c r="AC607" i="9"/>
  <c r="AC610" i="9" s="1"/>
  <c r="AC1391" i="9"/>
  <c r="AC1394" i="9" s="1"/>
  <c r="AC1146" i="9"/>
  <c r="AC1149" i="9" s="1"/>
  <c r="AC1048" i="9"/>
  <c r="AC1051" i="9" s="1"/>
  <c r="AC1440" i="9"/>
  <c r="AC1443" i="9" s="1"/>
  <c r="AC950" i="9"/>
  <c r="AC953" i="9" s="1"/>
  <c r="AC409" i="9"/>
  <c r="AC412" i="9"/>
  <c r="AC999" i="9"/>
  <c r="V216" i="9"/>
  <c r="U246" i="9"/>
  <c r="Y61" i="9"/>
  <c r="X63" i="9"/>
  <c r="AC509" i="9"/>
  <c r="AC512" i="9" s="1"/>
  <c r="AC852" i="9"/>
  <c r="AC855" i="9" s="1"/>
  <c r="V196" i="9"/>
  <c r="W166" i="9"/>
  <c r="AC1538" i="9"/>
  <c r="AC1541" i="9" s="1"/>
  <c r="AC459" i="9"/>
  <c r="AC462" i="9" s="1"/>
  <c r="AC159" i="9"/>
  <c r="AC162" i="9" s="1"/>
  <c r="X161" i="9"/>
  <c r="W163" i="9"/>
  <c r="AC754" i="9"/>
  <c r="AC757" i="9" s="1"/>
  <c r="AC209" i="9"/>
  <c r="AC212" i="9" s="1"/>
  <c r="AC1342" i="9"/>
  <c r="AC1345" i="9" s="1"/>
  <c r="AC1097" i="9"/>
  <c r="AC1100" i="9" s="1"/>
  <c r="AC1195" i="9"/>
  <c r="AC1198" i="9"/>
  <c r="U263" i="9"/>
  <c r="V261" i="9"/>
  <c r="AC1244" i="9"/>
  <c r="AC1247" i="9" s="1"/>
  <c r="AC259" i="9"/>
  <c r="AC262" i="9" s="1"/>
  <c r="AC803" i="9"/>
  <c r="AC806" i="9" s="1"/>
  <c r="AC656" i="9"/>
  <c r="AC659" i="9" s="1"/>
  <c r="T296" i="9"/>
  <c r="U266" i="9"/>
  <c r="AC705" i="9"/>
  <c r="AC708" i="9" s="1"/>
  <c r="AC109" i="9"/>
  <c r="AC112" i="9" s="1"/>
  <c r="W146" i="9"/>
  <c r="X116" i="9"/>
  <c r="AC359" i="9"/>
  <c r="AC362" i="9" s="1"/>
  <c r="V96" i="9"/>
  <c r="W66" i="9"/>
  <c r="AC558" i="9"/>
  <c r="AC561" i="9" s="1"/>
  <c r="AC901" i="9"/>
  <c r="AC904" i="9" s="1"/>
  <c r="X113" i="9"/>
  <c r="Y111" i="9"/>
  <c r="W211" i="9"/>
  <c r="V213" i="9"/>
  <c r="AC309" i="9"/>
  <c r="AC312" i="9" s="1"/>
  <c r="AC1489" i="9"/>
  <c r="AC1492" i="9" s="1"/>
  <c r="AC59" i="9"/>
  <c r="AC62" i="9"/>
  <c r="AB1345" i="9"/>
  <c r="AC1293" i="9"/>
  <c r="AC1296" i="9" s="1"/>
  <c r="AB162" i="9"/>
  <c r="S294" i="11"/>
  <c r="R353" i="11"/>
  <c r="Y41" i="8" s="1"/>
  <c r="S235" i="11"/>
  <c r="S322" i="11"/>
  <c r="S314" i="11"/>
  <c r="S304" i="11"/>
  <c r="S308" i="11"/>
  <c r="S310" i="11"/>
  <c r="S302" i="11"/>
  <c r="S176" i="11"/>
  <c r="S303" i="11"/>
  <c r="S317" i="11"/>
  <c r="S313" i="11"/>
  <c r="S321" i="11"/>
  <c r="S320" i="11"/>
  <c r="S312" i="11"/>
  <c r="S306" i="11"/>
  <c r="T308" i="11"/>
  <c r="T314" i="11"/>
  <c r="T310" i="11"/>
  <c r="T317" i="11"/>
  <c r="T321" i="11"/>
  <c r="T305" i="11"/>
  <c r="T318" i="11"/>
  <c r="T311" i="11"/>
  <c r="T307" i="11"/>
  <c r="T309" i="11"/>
  <c r="T319" i="11"/>
  <c r="T306" i="11"/>
  <c r="T176" i="11"/>
  <c r="T302" i="11"/>
  <c r="T294" i="11"/>
  <c r="T316" i="11"/>
  <c r="T304" i="11"/>
  <c r="T322" i="11"/>
  <c r="T315" i="11"/>
  <c r="T320" i="11"/>
  <c r="T313" i="11"/>
  <c r="T303" i="11"/>
  <c r="T312" i="11"/>
  <c r="F73" i="1"/>
  <c r="F158" i="1"/>
  <c r="F169" i="1" s="1"/>
  <c r="F179" i="1" s="1"/>
  <c r="K128" i="1"/>
  <c r="H127" i="1"/>
  <c r="R377" i="4"/>
  <c r="D72" i="1"/>
  <c r="D67" i="1"/>
  <c r="K50" i="1"/>
  <c r="K51" i="1" s="1"/>
  <c r="K122" i="1"/>
  <c r="J122" i="1"/>
  <c r="J51" i="1"/>
  <c r="K57" i="1"/>
  <c r="P533" i="2"/>
  <c r="H62" i="1"/>
  <c r="H66" i="1"/>
  <c r="H70" i="1" s="1"/>
  <c r="E72" i="1"/>
  <c r="E67" i="1"/>
  <c r="I53" i="1"/>
  <c r="M1130" i="2"/>
  <c r="M726" i="2"/>
  <c r="M737" i="2"/>
  <c r="N677" i="2"/>
  <c r="N688" i="2"/>
  <c r="N689" i="2" s="1"/>
  <c r="N971" i="2"/>
  <c r="N982" i="2"/>
  <c r="N1118" i="2"/>
  <c r="N1129" i="2"/>
  <c r="N1130" i="2" s="1"/>
  <c r="N726" i="2"/>
  <c r="N737" i="2"/>
  <c r="N738" i="2" s="1"/>
  <c r="O530" i="2"/>
  <c r="O541" i="2"/>
  <c r="P529" i="2"/>
  <c r="J24" i="1"/>
  <c r="J42" i="1"/>
  <c r="J30" i="1"/>
  <c r="J57" i="1"/>
  <c r="J18" i="1"/>
  <c r="J26" i="1"/>
  <c r="J21" i="1"/>
  <c r="J33" i="1"/>
  <c r="J45" i="1"/>
  <c r="O674" i="2"/>
  <c r="O1117" i="2"/>
  <c r="K26" i="1"/>
  <c r="K18" i="1"/>
  <c r="K33" i="1"/>
  <c r="K24" i="1"/>
  <c r="K21" i="1"/>
  <c r="K42" i="1"/>
  <c r="K45" i="1"/>
  <c r="O1115" i="2"/>
  <c r="K30" i="1"/>
  <c r="P527" i="2"/>
  <c r="O676" i="2"/>
  <c r="O1109" i="2"/>
  <c r="O668" i="2"/>
  <c r="P524" i="2"/>
  <c r="P521" i="2"/>
  <c r="O713" i="2"/>
  <c r="O725" i="2" s="1"/>
  <c r="P713" i="2"/>
  <c r="G54" i="1"/>
  <c r="O683" i="2"/>
  <c r="O680" i="2"/>
  <c r="O965" i="2"/>
  <c r="O1124" i="2"/>
  <c r="O962" i="2"/>
  <c r="O1121" i="2"/>
  <c r="O1112" i="2"/>
  <c r="O977" i="2"/>
  <c r="O974" i="2"/>
  <c r="P664" i="2"/>
  <c r="O671" i="2"/>
  <c r="Q517" i="2"/>
  <c r="O970" i="2"/>
  <c r="P958" i="2"/>
  <c r="P1105" i="2"/>
  <c r="O968" i="2"/>
  <c r="R707" i="2"/>
  <c r="Q709" i="2"/>
  <c r="R658" i="2"/>
  <c r="Q660" i="2"/>
  <c r="Q662" i="2" s="1"/>
  <c r="Q692" i="2" s="1"/>
  <c r="R952" i="2"/>
  <c r="Q954" i="2"/>
  <c r="Q956" i="2" s="1"/>
  <c r="Q986" i="2" s="1"/>
  <c r="S511" i="2"/>
  <c r="R513" i="2"/>
  <c r="AF511" i="2"/>
  <c r="R1099" i="2"/>
  <c r="Q1101" i="2"/>
  <c r="Q1103" i="2" s="1"/>
  <c r="Q1133" i="2" s="1"/>
  <c r="R314" i="4"/>
  <c r="Q188" i="4"/>
  <c r="R173" i="4"/>
  <c r="R236" i="4"/>
  <c r="R142" i="4"/>
  <c r="R205" i="4"/>
  <c r="Q197" i="4"/>
  <c r="R182" i="4"/>
  <c r="R245" i="4"/>
  <c r="R163" i="4"/>
  <c r="R226" i="4"/>
  <c r="R165" i="4"/>
  <c r="R228" i="4" s="1"/>
  <c r="R136" i="4"/>
  <c r="R199" i="4"/>
  <c r="R155" i="4"/>
  <c r="R218" i="4"/>
  <c r="R180" i="4"/>
  <c r="R243" i="4"/>
  <c r="R169" i="4"/>
  <c r="R232" i="4" s="1"/>
  <c r="R168" i="4"/>
  <c r="R231" i="4" s="1"/>
  <c r="R186" i="4"/>
  <c r="R249" i="4"/>
  <c r="R139" i="4"/>
  <c r="R202" i="4"/>
  <c r="R157" i="4"/>
  <c r="R220" i="4"/>
  <c r="R134" i="4"/>
  <c r="R197" i="4"/>
  <c r="R151" i="4"/>
  <c r="R214" i="4" s="1"/>
  <c r="R158" i="4"/>
  <c r="R221" i="4" s="1"/>
  <c r="R178" i="4"/>
  <c r="R241" i="4"/>
  <c r="R170" i="4"/>
  <c r="R233" i="4"/>
  <c r="R144" i="4"/>
  <c r="R207" i="4"/>
  <c r="R174" i="4"/>
  <c r="R237" i="4" s="1"/>
  <c r="R137" i="4"/>
  <c r="R200" i="4" s="1"/>
  <c r="R164" i="4"/>
  <c r="R227" i="4"/>
  <c r="R147" i="4"/>
  <c r="R210" i="4"/>
  <c r="R183" i="4"/>
  <c r="R246" i="4"/>
  <c r="R162" i="4"/>
  <c r="R225" i="4"/>
  <c r="R140" i="4"/>
  <c r="R203" i="4" s="1"/>
  <c r="R153" i="4"/>
  <c r="R216" i="4"/>
  <c r="R175" i="4"/>
  <c r="R238" i="4" s="1"/>
  <c r="R146" i="4"/>
  <c r="R209" i="4"/>
  <c r="R133" i="4"/>
  <c r="R196" i="4" s="1"/>
  <c r="R176" i="4"/>
  <c r="R239" i="4" s="1"/>
  <c r="R184" i="4"/>
  <c r="R247" i="4" s="1"/>
  <c r="R138" i="4"/>
  <c r="R201" i="4"/>
  <c r="R181" i="4"/>
  <c r="R244" i="4"/>
  <c r="R149" i="4"/>
  <c r="R212" i="4" s="1"/>
  <c r="R179" i="4"/>
  <c r="R242" i="4"/>
  <c r="R185" i="4"/>
  <c r="R248" i="4" s="1"/>
  <c r="R160" i="4"/>
  <c r="R223" i="4" s="1"/>
  <c r="R150" i="4"/>
  <c r="R213" i="4"/>
  <c r="R148" i="4"/>
  <c r="R211" i="4" s="1"/>
  <c r="R177" i="4"/>
  <c r="R240" i="4" s="1"/>
  <c r="R172" i="4"/>
  <c r="R235" i="4" s="1"/>
  <c r="R143" i="4"/>
  <c r="R206" i="4"/>
  <c r="R154" i="4"/>
  <c r="R217" i="4" s="1"/>
  <c r="R152" i="4"/>
  <c r="R215" i="4"/>
  <c r="R167" i="4"/>
  <c r="R230" i="4" s="1"/>
  <c r="R161" i="4"/>
  <c r="R224" i="4"/>
  <c r="R187" i="4"/>
  <c r="R250" i="4" s="1"/>
  <c r="R141" i="4"/>
  <c r="R204" i="4" s="1"/>
  <c r="R159" i="4"/>
  <c r="R222" i="4" s="1"/>
  <c r="R145" i="4"/>
  <c r="R208" i="4"/>
  <c r="R171" i="4"/>
  <c r="R234" i="4"/>
  <c r="R166" i="4"/>
  <c r="R229" i="4" s="1"/>
  <c r="R135" i="4"/>
  <c r="R198" i="4"/>
  <c r="R156" i="4"/>
  <c r="R219" i="4" s="1"/>
  <c r="T69" i="4"/>
  <c r="R125" i="4"/>
  <c r="R62" i="4"/>
  <c r="T6" i="4"/>
  <c r="S29" i="4"/>
  <c r="S281" i="4" s="1"/>
  <c r="S344" i="4" s="1"/>
  <c r="S28" i="4"/>
  <c r="S280" i="4" s="1"/>
  <c r="S343" i="4" s="1"/>
  <c r="S49" i="4"/>
  <c r="S301" i="4" s="1"/>
  <c r="S364" i="4" s="1"/>
  <c r="S23" i="4"/>
  <c r="S275" i="4" s="1"/>
  <c r="S338" i="4" s="1"/>
  <c r="S12" i="4"/>
  <c r="S264" i="4" s="1"/>
  <c r="S327" i="4" s="1"/>
  <c r="S48" i="4"/>
  <c r="S300" i="4" s="1"/>
  <c r="S363" i="4" s="1"/>
  <c r="S56" i="4"/>
  <c r="S308" i="4" s="1"/>
  <c r="S371" i="4" s="1"/>
  <c r="S19" i="4"/>
  <c r="S271" i="4" s="1"/>
  <c r="S334" i="4" s="1"/>
  <c r="S53" i="4"/>
  <c r="S305" i="4" s="1"/>
  <c r="S368" i="4" s="1"/>
  <c r="S36" i="4"/>
  <c r="S288" i="4" s="1"/>
  <c r="S351" i="4" s="1"/>
  <c r="S21" i="4"/>
  <c r="S273" i="4" s="1"/>
  <c r="S336" i="4" s="1"/>
  <c r="S18" i="4"/>
  <c r="S270" i="4" s="1"/>
  <c r="S333" i="4" s="1"/>
  <c r="S51" i="4"/>
  <c r="S303" i="4" s="1"/>
  <c r="S366" i="4" s="1"/>
  <c r="S30" i="4"/>
  <c r="S282" i="4" s="1"/>
  <c r="S345" i="4" s="1"/>
  <c r="S35" i="4"/>
  <c r="S287" i="4" s="1"/>
  <c r="S350" i="4" s="1"/>
  <c r="S24" i="4"/>
  <c r="S276" i="4" s="1"/>
  <c r="S339" i="4" s="1"/>
  <c r="S9" i="4"/>
  <c r="S261" i="4" s="1"/>
  <c r="S324" i="4" s="1"/>
  <c r="S54" i="4"/>
  <c r="S306" i="4" s="1"/>
  <c r="S11" i="4"/>
  <c r="S263" i="4" s="1"/>
  <c r="S326" i="4" s="1"/>
  <c r="S34" i="4"/>
  <c r="S286" i="4" s="1"/>
  <c r="S349" i="4" s="1"/>
  <c r="S14" i="4"/>
  <c r="S266" i="4" s="1"/>
  <c r="S329" i="4" s="1"/>
  <c r="S20" i="4"/>
  <c r="S272" i="4" s="1"/>
  <c r="S335" i="4" s="1"/>
  <c r="S25" i="4"/>
  <c r="S277" i="4" s="1"/>
  <c r="S340" i="4" s="1"/>
  <c r="S16" i="4"/>
  <c r="S268" i="4" s="1"/>
  <c r="S331" i="4" s="1"/>
  <c r="S43" i="4"/>
  <c r="S295" i="4" s="1"/>
  <c r="S358" i="4" s="1"/>
  <c r="S10" i="4"/>
  <c r="S262" i="4" s="1"/>
  <c r="S325" i="4" s="1"/>
  <c r="S45" i="4"/>
  <c r="S297" i="4" s="1"/>
  <c r="S360" i="4" s="1"/>
  <c r="S47" i="4"/>
  <c r="S299" i="4" s="1"/>
  <c r="S362" i="4" s="1"/>
  <c r="S7" i="4"/>
  <c r="S259" i="4" s="1"/>
  <c r="S322" i="4" s="1"/>
  <c r="S27" i="4"/>
  <c r="S279" i="4" s="1"/>
  <c r="S342" i="4" s="1"/>
  <c r="S26" i="4"/>
  <c r="S278" i="4" s="1"/>
  <c r="S341" i="4" s="1"/>
  <c r="S52" i="4"/>
  <c r="S304" i="4" s="1"/>
  <c r="S367" i="4" s="1"/>
  <c r="S59" i="4"/>
  <c r="S311" i="4" s="1"/>
  <c r="S374" i="4" s="1"/>
  <c r="S32" i="4"/>
  <c r="S284" i="4" s="1"/>
  <c r="S347" i="4" s="1"/>
  <c r="S15" i="4"/>
  <c r="S267" i="4" s="1"/>
  <c r="S330" i="4" s="1"/>
  <c r="S57" i="4"/>
  <c r="S309" i="4" s="1"/>
  <c r="S372" i="4" s="1"/>
  <c r="S42" i="4"/>
  <c r="S294" i="4" s="1"/>
  <c r="S357" i="4" s="1"/>
  <c r="S60" i="4"/>
  <c r="S312" i="4" s="1"/>
  <c r="S375" i="4" s="1"/>
  <c r="S41" i="4"/>
  <c r="S293" i="4" s="1"/>
  <c r="S356" i="4" s="1"/>
  <c r="S46" i="4"/>
  <c r="S298" i="4" s="1"/>
  <c r="S361" i="4" s="1"/>
  <c r="S58" i="4"/>
  <c r="S310" i="4" s="1"/>
  <c r="S373" i="4" s="1"/>
  <c r="S39" i="4"/>
  <c r="S291" i="4" s="1"/>
  <c r="S354" i="4" s="1"/>
  <c r="S50" i="4"/>
  <c r="S302" i="4" s="1"/>
  <c r="S365" i="4" s="1"/>
  <c r="S33" i="4"/>
  <c r="S285" i="4" s="1"/>
  <c r="S348" i="4" s="1"/>
  <c r="S22" i="4"/>
  <c r="S274" i="4" s="1"/>
  <c r="S337" i="4" s="1"/>
  <c r="S17" i="4"/>
  <c r="S269" i="4" s="1"/>
  <c r="S332" i="4" s="1"/>
  <c r="S61" i="4"/>
  <c r="S313" i="4" s="1"/>
  <c r="S376" i="4" s="1"/>
  <c r="S13" i="4"/>
  <c r="S265" i="4" s="1"/>
  <c r="S328" i="4" s="1"/>
  <c r="S38" i="4"/>
  <c r="S290" i="4" s="1"/>
  <c r="S353" i="4" s="1"/>
  <c r="S8" i="4"/>
  <c r="S260" i="4" s="1"/>
  <c r="S323" i="4" s="1"/>
  <c r="S37" i="4"/>
  <c r="S289" i="4" s="1"/>
  <c r="S352" i="4" s="1"/>
  <c r="S55" i="4"/>
  <c r="S307" i="4" s="1"/>
  <c r="S370" i="4" s="1"/>
  <c r="S31" i="4"/>
  <c r="S283" i="4" s="1"/>
  <c r="S346" i="4" s="1"/>
  <c r="S44" i="4"/>
  <c r="S296" i="4" s="1"/>
  <c r="S359" i="4" s="1"/>
  <c r="S40" i="4"/>
  <c r="S292" i="4" s="1"/>
  <c r="S355" i="4" s="1"/>
  <c r="B488" i="2"/>
  <c r="C488" i="2" s="1"/>
  <c r="B476" i="2"/>
  <c r="C476" i="2" s="1"/>
  <c r="B463" i="2"/>
  <c r="C463" i="2" s="1"/>
  <c r="B458" i="2"/>
  <c r="B493" i="2"/>
  <c r="C493" i="2" s="1"/>
  <c r="B492" i="2"/>
  <c r="C492" i="2" s="1"/>
  <c r="B481" i="2"/>
  <c r="C481" i="2" s="1"/>
  <c r="B469" i="2"/>
  <c r="C469" i="2" s="1"/>
  <c r="B496" i="2"/>
  <c r="C496" i="2" s="1"/>
  <c r="B485" i="2"/>
  <c r="C485" i="2" s="1"/>
  <c r="B473" i="2"/>
  <c r="C473" i="2" s="1"/>
  <c r="B460" i="2"/>
  <c r="B468" i="2"/>
  <c r="C468" i="2" s="1"/>
  <c r="B467" i="2"/>
  <c r="C467" i="2" s="1"/>
  <c r="B466" i="2"/>
  <c r="C466" i="2" s="1"/>
  <c r="B465" i="2"/>
  <c r="C465" i="2" s="1"/>
  <c r="B459" i="2"/>
  <c r="B487" i="2"/>
  <c r="C487" i="2" s="1"/>
  <c r="B455" i="2"/>
  <c r="B470" i="2"/>
  <c r="C470" i="2" s="1"/>
  <c r="B477" i="2"/>
  <c r="C477" i="2" s="1"/>
  <c r="B479" i="2"/>
  <c r="C479" i="2" s="1"/>
  <c r="B498" i="2"/>
  <c r="C498" i="2" s="1"/>
  <c r="B464" i="2"/>
  <c r="C464" i="2" s="1"/>
  <c r="B480" i="2"/>
  <c r="C480" i="2" s="1"/>
  <c r="B489" i="2"/>
  <c r="C489" i="2" s="1"/>
  <c r="B474" i="2"/>
  <c r="C474" i="2" s="1"/>
  <c r="B471" i="2"/>
  <c r="C471" i="2" s="1"/>
  <c r="B483" i="2"/>
  <c r="C483" i="2" s="1"/>
  <c r="B461" i="2"/>
  <c r="C461" i="2" s="1"/>
  <c r="B484" i="2"/>
  <c r="C484" i="2" s="1"/>
  <c r="B478" i="2"/>
  <c r="C478" i="2" s="1"/>
  <c r="B482" i="2"/>
  <c r="C482" i="2" s="1"/>
  <c r="B472" i="2"/>
  <c r="C472" i="2" s="1"/>
  <c r="B475" i="2"/>
  <c r="C475" i="2" s="1"/>
  <c r="B497" i="2"/>
  <c r="C497" i="2" s="1"/>
  <c r="B491" i="2"/>
  <c r="C491" i="2" s="1"/>
  <c r="B457" i="2"/>
  <c r="B495" i="2"/>
  <c r="C495" i="2" s="1"/>
  <c r="B490" i="2"/>
  <c r="C490" i="2" s="1"/>
  <c r="B494" i="2"/>
  <c r="C494" i="2" s="1"/>
  <c r="B462" i="2"/>
  <c r="C462" i="2" s="1"/>
  <c r="B456" i="2"/>
  <c r="B453" i="2"/>
  <c r="B486" i="2"/>
  <c r="C486" i="2" s="1"/>
  <c r="AA16" i="9" l="1"/>
  <c r="Z46" i="9"/>
  <c r="Y128" i="8"/>
  <c r="Z92" i="8"/>
  <c r="Z163" i="8" s="1"/>
  <c r="AD359" i="9"/>
  <c r="AD362" i="9"/>
  <c r="AH362" i="9" s="1"/>
  <c r="X146" i="9"/>
  <c r="Y116" i="9"/>
  <c r="AD1244" i="9"/>
  <c r="AD1247" i="9" s="1"/>
  <c r="AH1247" i="9" s="1"/>
  <c r="AD409" i="9"/>
  <c r="AD412" i="9" s="1"/>
  <c r="AH412" i="9" s="1"/>
  <c r="W261" i="9"/>
  <c r="V263" i="9"/>
  <c r="AD1293" i="9"/>
  <c r="AD1296" i="9" s="1"/>
  <c r="AH1296" i="9" s="1"/>
  <c r="AD754" i="9"/>
  <c r="AD757" i="9" s="1"/>
  <c r="AH757" i="9" s="1"/>
  <c r="AD509" i="9"/>
  <c r="AD512" i="9"/>
  <c r="AH512" i="9" s="1"/>
  <c r="AD1440" i="9"/>
  <c r="AD1443" i="9" s="1"/>
  <c r="AH1443" i="9" s="1"/>
  <c r="Y113" i="9"/>
  <c r="Z111" i="9"/>
  <c r="AD852" i="9"/>
  <c r="AD855" i="9" s="1"/>
  <c r="AH855" i="9" s="1"/>
  <c r="AD901" i="9"/>
  <c r="AD904" i="9"/>
  <c r="AH904" i="9" s="1"/>
  <c r="AD1195" i="9"/>
  <c r="AD1198" i="9" s="1"/>
  <c r="AH1198" i="9" s="1"/>
  <c r="AD950" i="9"/>
  <c r="AD953" i="9" s="1"/>
  <c r="AH953" i="9" s="1"/>
  <c r="X163" i="9"/>
  <c r="Y161" i="9"/>
  <c r="Y63" i="9"/>
  <c r="Z61" i="9"/>
  <c r="AD999" i="9"/>
  <c r="AD1002" i="9" s="1"/>
  <c r="AD109" i="9"/>
  <c r="AD112" i="9" s="1"/>
  <c r="AH112" i="9" s="1"/>
  <c r="AD1097" i="9"/>
  <c r="AD1100" i="9" s="1"/>
  <c r="AH1100" i="9" s="1"/>
  <c r="AD1048" i="9"/>
  <c r="AD1051" i="9" s="1"/>
  <c r="AH1051" i="9" s="1"/>
  <c r="AD159" i="9"/>
  <c r="AD162" i="9" s="1"/>
  <c r="AH162" i="9" s="1"/>
  <c r="AD705" i="9"/>
  <c r="AD708" i="9" s="1"/>
  <c r="AH708" i="9" s="1"/>
  <c r="W216" i="9"/>
  <c r="V246" i="9"/>
  <c r="AD1146" i="9"/>
  <c r="AD1149" i="9" s="1"/>
  <c r="AH1149" i="9" s="1"/>
  <c r="AD59" i="9"/>
  <c r="AD62" i="9" s="1"/>
  <c r="AH62" i="9" s="1"/>
  <c r="V266" i="9"/>
  <c r="U296" i="9"/>
  <c r="AD459" i="9"/>
  <c r="AD462" i="9" s="1"/>
  <c r="AH462" i="9" s="1"/>
  <c r="AD1391" i="9"/>
  <c r="AD1394" i="9" s="1"/>
  <c r="AH1394" i="9" s="1"/>
  <c r="AD1489" i="9"/>
  <c r="AD1492" i="9" s="1"/>
  <c r="AH1492" i="9" s="1"/>
  <c r="AD1342" i="9"/>
  <c r="AD1345" i="9" s="1"/>
  <c r="AH1345" i="9" s="1"/>
  <c r="AD1538" i="9"/>
  <c r="AD1541" i="9" s="1"/>
  <c r="AH1541" i="9" s="1"/>
  <c r="AD558" i="9"/>
  <c r="AD561" i="9" s="1"/>
  <c r="AH561" i="9" s="1"/>
  <c r="AD656" i="9"/>
  <c r="AD659" i="9" s="1"/>
  <c r="AH659" i="9" s="1"/>
  <c r="X166" i="9"/>
  <c r="W196" i="9"/>
  <c r="AD607" i="9"/>
  <c r="AD610" i="9" s="1"/>
  <c r="AH610" i="9" s="1"/>
  <c r="AD309" i="9"/>
  <c r="AD312" i="9" s="1"/>
  <c r="AH312" i="9" s="1"/>
  <c r="AD803" i="9"/>
  <c r="AD806" i="9" s="1"/>
  <c r="AH806" i="9" s="1"/>
  <c r="W213" i="9"/>
  <c r="X211" i="9"/>
  <c r="W96" i="9"/>
  <c r="X66" i="9"/>
  <c r="AD209" i="9"/>
  <c r="AD212" i="9" s="1"/>
  <c r="AH212" i="9" s="1"/>
  <c r="AD259" i="9"/>
  <c r="AD262" i="9" s="1"/>
  <c r="AH262" i="9" s="1"/>
  <c r="AC1002" i="9"/>
  <c r="S353" i="11"/>
  <c r="Z41" i="8" s="1"/>
  <c r="AA128" i="8" s="1"/>
  <c r="T353" i="11"/>
  <c r="AA41" i="8" s="1"/>
  <c r="J140" i="1"/>
  <c r="J130" i="1"/>
  <c r="J135" i="1"/>
  <c r="K140" i="1"/>
  <c r="K135" i="1"/>
  <c r="K130" i="1"/>
  <c r="E114" i="1"/>
  <c r="E116" i="1" s="1"/>
  <c r="E158" i="1"/>
  <c r="E169" i="1" s="1"/>
  <c r="E179" i="1" s="1"/>
  <c r="D73" i="1"/>
  <c r="D158" i="1"/>
  <c r="I163" i="1"/>
  <c r="I54" i="1"/>
  <c r="I61" i="1"/>
  <c r="J121" i="1"/>
  <c r="K121" i="1"/>
  <c r="S369" i="4"/>
  <c r="S377" i="4" s="1"/>
  <c r="T306" i="4"/>
  <c r="T369" i="4" s="1"/>
  <c r="L50" i="1"/>
  <c r="L51" i="1" s="1"/>
  <c r="L128" i="1"/>
  <c r="J163" i="1"/>
  <c r="I127" i="1"/>
  <c r="L122" i="1"/>
  <c r="L45" i="1"/>
  <c r="G62" i="1"/>
  <c r="G66" i="1"/>
  <c r="G70" i="1" s="1"/>
  <c r="E73" i="1"/>
  <c r="H72" i="1"/>
  <c r="H67" i="1"/>
  <c r="J27" i="1"/>
  <c r="J38" i="1"/>
  <c r="J53" i="1" s="1"/>
  <c r="J61" i="1" s="1"/>
  <c r="K27" i="1"/>
  <c r="K38" i="1"/>
  <c r="K53" i="1" s="1"/>
  <c r="O542" i="2"/>
  <c r="O726" i="2"/>
  <c r="O737" i="2"/>
  <c r="O738" i="2" s="1"/>
  <c r="O1118" i="2"/>
  <c r="O1129" i="2"/>
  <c r="O1130" i="2" s="1"/>
  <c r="N983" i="2"/>
  <c r="O971" i="2"/>
  <c r="O982" i="2"/>
  <c r="O983" i="2" s="1"/>
  <c r="M738" i="2"/>
  <c r="O677" i="2"/>
  <c r="O688" i="2"/>
  <c r="P530" i="2"/>
  <c r="P541" i="2"/>
  <c r="P542" i="2" s="1"/>
  <c r="P1112" i="2"/>
  <c r="P1109" i="2"/>
  <c r="P962" i="2"/>
  <c r="P974" i="2"/>
  <c r="P1124" i="2"/>
  <c r="P671" i="2"/>
  <c r="O720" i="2"/>
  <c r="O723" i="2"/>
  <c r="P723" i="2"/>
  <c r="P725" i="2"/>
  <c r="P683" i="2"/>
  <c r="P680" i="2"/>
  <c r="P977" i="2"/>
  <c r="P732" i="2"/>
  <c r="O732" i="2"/>
  <c r="P729" i="2"/>
  <c r="P720" i="2"/>
  <c r="P717" i="2"/>
  <c r="P965" i="2"/>
  <c r="P1121" i="2"/>
  <c r="P1117" i="2"/>
  <c r="P970" i="2"/>
  <c r="O729" i="2"/>
  <c r="P1115" i="2"/>
  <c r="O717" i="2"/>
  <c r="Q1105" i="2"/>
  <c r="P668" i="2"/>
  <c r="Q958" i="2"/>
  <c r="Q664" i="2"/>
  <c r="Q536" i="2"/>
  <c r="Q529" i="2"/>
  <c r="Q533" i="2"/>
  <c r="P674" i="2"/>
  <c r="P676" i="2"/>
  <c r="Q524" i="2"/>
  <c r="Q527" i="2"/>
  <c r="Q521" i="2"/>
  <c r="P968" i="2"/>
  <c r="L57" i="1"/>
  <c r="L24" i="1"/>
  <c r="L30" i="1"/>
  <c r="L21" i="1"/>
  <c r="L18" i="1"/>
  <c r="L26" i="1"/>
  <c r="L38" i="1" s="1"/>
  <c r="L33" i="1"/>
  <c r="L42" i="1"/>
  <c r="AF513" i="2"/>
  <c r="R515" i="2"/>
  <c r="R545" i="2" s="1"/>
  <c r="Q711" i="2"/>
  <c r="Q741" i="2" s="1"/>
  <c r="S707" i="2"/>
  <c r="R709" i="2"/>
  <c r="R711" i="2" s="1"/>
  <c r="R741" i="2" s="1"/>
  <c r="AF707" i="2"/>
  <c r="S1099" i="2"/>
  <c r="R1101" i="2"/>
  <c r="AF1099" i="2"/>
  <c r="T511" i="2"/>
  <c r="S513" i="2"/>
  <c r="S515" i="2" s="1"/>
  <c r="S545" i="2" s="1"/>
  <c r="S952" i="2"/>
  <c r="R954" i="2"/>
  <c r="AF952" i="2"/>
  <c r="S658" i="2"/>
  <c r="R660" i="2"/>
  <c r="AF658" i="2"/>
  <c r="AC56" i="1"/>
  <c r="AC56" i="8" s="1"/>
  <c r="S314" i="4"/>
  <c r="S159" i="4"/>
  <c r="S222" i="4"/>
  <c r="S175" i="4"/>
  <c r="S238" i="4"/>
  <c r="S160" i="4"/>
  <c r="S223" i="4"/>
  <c r="S142" i="4"/>
  <c r="S205" i="4" s="1"/>
  <c r="S176" i="4"/>
  <c r="S239" i="4" s="1"/>
  <c r="S184" i="4"/>
  <c r="S247" i="4" s="1"/>
  <c r="S155" i="4"/>
  <c r="S218" i="4"/>
  <c r="S183" i="4"/>
  <c r="S246" i="4"/>
  <c r="S167" i="4"/>
  <c r="S230" i="4" s="1"/>
  <c r="S154" i="4"/>
  <c r="S217" i="4" s="1"/>
  <c r="S180" i="4"/>
  <c r="S243" i="4"/>
  <c r="S151" i="4"/>
  <c r="S214" i="4" s="1"/>
  <c r="S185" i="4"/>
  <c r="S248" i="4" s="1"/>
  <c r="S156" i="4"/>
  <c r="S219" i="4" s="1"/>
  <c r="S186" i="4"/>
  <c r="S249" i="4" s="1"/>
  <c r="S152" i="4"/>
  <c r="S215" i="4"/>
  <c r="S146" i="4"/>
  <c r="S209" i="4"/>
  <c r="S172" i="4"/>
  <c r="S235" i="4" s="1"/>
  <c r="R188" i="4"/>
  <c r="S170" i="4"/>
  <c r="S233" i="4"/>
  <c r="S144" i="4"/>
  <c r="S207" i="4" s="1"/>
  <c r="S149" i="4"/>
  <c r="S212" i="4"/>
  <c r="S141" i="4"/>
  <c r="S204" i="4" s="1"/>
  <c r="S165" i="4"/>
  <c r="S228" i="4" s="1"/>
  <c r="S168" i="4"/>
  <c r="S231" i="4" s="1"/>
  <c r="S161" i="4"/>
  <c r="S224" i="4"/>
  <c r="S157" i="4"/>
  <c r="S220" i="4" s="1"/>
  <c r="S178" i="4"/>
  <c r="S241" i="4"/>
  <c r="S162" i="4"/>
  <c r="S225" i="4"/>
  <c r="S135" i="4"/>
  <c r="S198" i="4"/>
  <c r="S163" i="4"/>
  <c r="S226" i="4" s="1"/>
  <c r="S133" i="4"/>
  <c r="S196" i="4" s="1"/>
  <c r="S145" i="4"/>
  <c r="S208" i="4" s="1"/>
  <c r="S171" i="4"/>
  <c r="S234" i="4"/>
  <c r="S182" i="4"/>
  <c r="S245" i="4" s="1"/>
  <c r="S150" i="4"/>
  <c r="S213" i="4" s="1"/>
  <c r="S158" i="4"/>
  <c r="S221" i="4" s="1"/>
  <c r="S153" i="4"/>
  <c r="S216" i="4"/>
  <c r="S179" i="4"/>
  <c r="S242" i="4" s="1"/>
  <c r="S139" i="4"/>
  <c r="S202" i="4"/>
  <c r="S143" i="4"/>
  <c r="S206" i="4" s="1"/>
  <c r="S136" i="4"/>
  <c r="S199" i="4" s="1"/>
  <c r="S174" i="4"/>
  <c r="S237" i="4" s="1"/>
  <c r="S140" i="4"/>
  <c r="S203" i="4"/>
  <c r="S137" i="4"/>
  <c r="S200" i="4"/>
  <c r="S166" i="4"/>
  <c r="S229" i="4" s="1"/>
  <c r="S177" i="4"/>
  <c r="S240" i="4"/>
  <c r="S181" i="4"/>
  <c r="S244" i="4" s="1"/>
  <c r="S147" i="4"/>
  <c r="S210" i="4"/>
  <c r="S134" i="4"/>
  <c r="S197" i="4"/>
  <c r="S164" i="4"/>
  <c r="S227" i="4" s="1"/>
  <c r="S173" i="4"/>
  <c r="S236" i="4" s="1"/>
  <c r="S187" i="4"/>
  <c r="S250" i="4"/>
  <c r="S148" i="4"/>
  <c r="S211" i="4" s="1"/>
  <c r="S169" i="4"/>
  <c r="S232" i="4" s="1"/>
  <c r="S138" i="4"/>
  <c r="S201" i="4"/>
  <c r="U69" i="4"/>
  <c r="S125" i="4"/>
  <c r="S62" i="4"/>
  <c r="U6" i="4"/>
  <c r="T54" i="4"/>
  <c r="T36" i="4"/>
  <c r="T288" i="4" s="1"/>
  <c r="T351" i="4" s="1"/>
  <c r="T49" i="4"/>
  <c r="T301" i="4" s="1"/>
  <c r="T364" i="4" s="1"/>
  <c r="T17" i="4"/>
  <c r="T269" i="4" s="1"/>
  <c r="T332" i="4" s="1"/>
  <c r="T8" i="4"/>
  <c r="T260" i="4" s="1"/>
  <c r="T323" i="4" s="1"/>
  <c r="T51" i="4"/>
  <c r="T303" i="4" s="1"/>
  <c r="T366" i="4" s="1"/>
  <c r="T35" i="4"/>
  <c r="T287" i="4" s="1"/>
  <c r="T350" i="4" s="1"/>
  <c r="T43" i="4"/>
  <c r="T295" i="4" s="1"/>
  <c r="T358" i="4" s="1"/>
  <c r="T56" i="4"/>
  <c r="T308" i="4" s="1"/>
  <c r="T371" i="4" s="1"/>
  <c r="T41" i="4"/>
  <c r="T293" i="4" s="1"/>
  <c r="T356" i="4" s="1"/>
  <c r="T28" i="4"/>
  <c r="T280" i="4" s="1"/>
  <c r="T343" i="4" s="1"/>
  <c r="T53" i="4"/>
  <c r="T305" i="4" s="1"/>
  <c r="T368" i="4" s="1"/>
  <c r="T34" i="4"/>
  <c r="T286" i="4" s="1"/>
  <c r="T349" i="4" s="1"/>
  <c r="T12" i="4"/>
  <c r="T264" i="4" s="1"/>
  <c r="T327" i="4" s="1"/>
  <c r="T27" i="4"/>
  <c r="T279" i="4" s="1"/>
  <c r="T342" i="4" s="1"/>
  <c r="T48" i="4"/>
  <c r="T300" i="4" s="1"/>
  <c r="T363" i="4" s="1"/>
  <c r="T40" i="4"/>
  <c r="T292" i="4" s="1"/>
  <c r="T355" i="4" s="1"/>
  <c r="T19" i="4"/>
  <c r="T271" i="4" s="1"/>
  <c r="T334" i="4" s="1"/>
  <c r="T7" i="4"/>
  <c r="T259" i="4" s="1"/>
  <c r="T322" i="4" s="1"/>
  <c r="T24" i="4"/>
  <c r="T276" i="4" s="1"/>
  <c r="T339" i="4" s="1"/>
  <c r="T16" i="4"/>
  <c r="T45" i="4"/>
  <c r="T297" i="4" s="1"/>
  <c r="T360" i="4" s="1"/>
  <c r="T29" i="4"/>
  <c r="T281" i="4" s="1"/>
  <c r="T344" i="4" s="1"/>
  <c r="T23" i="4"/>
  <c r="T275" i="4" s="1"/>
  <c r="T338" i="4" s="1"/>
  <c r="T58" i="4"/>
  <c r="T310" i="4" s="1"/>
  <c r="T373" i="4" s="1"/>
  <c r="T9" i="4"/>
  <c r="T261" i="4" s="1"/>
  <c r="T324" i="4" s="1"/>
  <c r="T21" i="4"/>
  <c r="T273" i="4" s="1"/>
  <c r="T336" i="4" s="1"/>
  <c r="T14" i="4"/>
  <c r="T266" i="4" s="1"/>
  <c r="T329" i="4" s="1"/>
  <c r="T26" i="4"/>
  <c r="T278" i="4" s="1"/>
  <c r="T341" i="4" s="1"/>
  <c r="T15" i="4"/>
  <c r="T267" i="4" s="1"/>
  <c r="T330" i="4" s="1"/>
  <c r="T25" i="4"/>
  <c r="T277" i="4" s="1"/>
  <c r="T340" i="4" s="1"/>
  <c r="T60" i="4"/>
  <c r="T312" i="4" s="1"/>
  <c r="T375" i="4" s="1"/>
  <c r="T47" i="4"/>
  <c r="T299" i="4" s="1"/>
  <c r="T362" i="4" s="1"/>
  <c r="T18" i="4"/>
  <c r="T270" i="4" s="1"/>
  <c r="T333" i="4" s="1"/>
  <c r="T50" i="4"/>
  <c r="T302" i="4" s="1"/>
  <c r="T365" i="4" s="1"/>
  <c r="T11" i="4"/>
  <c r="T263" i="4" s="1"/>
  <c r="T326" i="4" s="1"/>
  <c r="T30" i="4"/>
  <c r="T282" i="4" s="1"/>
  <c r="T345" i="4" s="1"/>
  <c r="T37" i="4"/>
  <c r="T289" i="4" s="1"/>
  <c r="T352" i="4" s="1"/>
  <c r="T42" i="4"/>
  <c r="T294" i="4" s="1"/>
  <c r="T357" i="4" s="1"/>
  <c r="T39" i="4"/>
  <c r="T291" i="4" s="1"/>
  <c r="T354" i="4" s="1"/>
  <c r="T20" i="4"/>
  <c r="T272" i="4" s="1"/>
  <c r="T335" i="4" s="1"/>
  <c r="T44" i="4"/>
  <c r="T296" i="4" s="1"/>
  <c r="T359" i="4" s="1"/>
  <c r="T22" i="4"/>
  <c r="T274" i="4" s="1"/>
  <c r="T337" i="4" s="1"/>
  <c r="T31" i="4"/>
  <c r="T283" i="4" s="1"/>
  <c r="T346" i="4" s="1"/>
  <c r="T13" i="4"/>
  <c r="T265" i="4" s="1"/>
  <c r="T328" i="4" s="1"/>
  <c r="T32" i="4"/>
  <c r="T284" i="4" s="1"/>
  <c r="T347" i="4" s="1"/>
  <c r="T55" i="4"/>
  <c r="T307" i="4" s="1"/>
  <c r="T370" i="4" s="1"/>
  <c r="T59" i="4"/>
  <c r="T311" i="4" s="1"/>
  <c r="T374" i="4" s="1"/>
  <c r="T10" i="4"/>
  <c r="T262" i="4" s="1"/>
  <c r="T325" i="4" s="1"/>
  <c r="T52" i="4"/>
  <c r="T304" i="4" s="1"/>
  <c r="T367" i="4" s="1"/>
  <c r="T61" i="4"/>
  <c r="T313" i="4" s="1"/>
  <c r="T376" i="4" s="1"/>
  <c r="T33" i="4"/>
  <c r="T285" i="4" s="1"/>
  <c r="T348" i="4" s="1"/>
  <c r="T57" i="4"/>
  <c r="T309" i="4" s="1"/>
  <c r="T372" i="4" s="1"/>
  <c r="T46" i="4"/>
  <c r="T298" i="4" s="1"/>
  <c r="T361" i="4" s="1"/>
  <c r="T38" i="4"/>
  <c r="T290" i="4" s="1"/>
  <c r="T353" i="4" s="1"/>
  <c r="B511" i="2"/>
  <c r="C511" i="2" s="1"/>
  <c r="B541" i="2"/>
  <c r="C541" i="2" s="1"/>
  <c r="B530" i="2"/>
  <c r="C530" i="2" s="1"/>
  <c r="B529" i="2"/>
  <c r="C529" i="2" s="1"/>
  <c r="B518" i="2"/>
  <c r="C518" i="2" s="1"/>
  <c r="B505" i="2"/>
  <c r="B542" i="2"/>
  <c r="C542" i="2" s="1"/>
  <c r="B531" i="2"/>
  <c r="C531" i="2" s="1"/>
  <c r="B519" i="2"/>
  <c r="C519" i="2" s="1"/>
  <c r="B548" i="2"/>
  <c r="C548" i="2" s="1"/>
  <c r="B546" i="2"/>
  <c r="C546" i="2" s="1"/>
  <c r="B525" i="2"/>
  <c r="C525" i="2" s="1"/>
  <c r="B523" i="2"/>
  <c r="C523" i="2" s="1"/>
  <c r="B503" i="2"/>
  <c r="B547" i="2"/>
  <c r="C547" i="2" s="1"/>
  <c r="B545" i="2"/>
  <c r="C545" i="2" s="1"/>
  <c r="B524" i="2"/>
  <c r="C524" i="2" s="1"/>
  <c r="B522" i="2"/>
  <c r="C522" i="2" s="1"/>
  <c r="B544" i="2"/>
  <c r="C544" i="2" s="1"/>
  <c r="B521" i="2"/>
  <c r="C521" i="2" s="1"/>
  <c r="B520" i="2"/>
  <c r="C520" i="2" s="1"/>
  <c r="B543" i="2"/>
  <c r="C543" i="2" s="1"/>
  <c r="B540" i="2"/>
  <c r="C540" i="2" s="1"/>
  <c r="B528" i="2"/>
  <c r="C528" i="2" s="1"/>
  <c r="B533" i="2"/>
  <c r="C533" i="2" s="1"/>
  <c r="B510" i="2"/>
  <c r="B538" i="2"/>
  <c r="C538" i="2" s="1"/>
  <c r="B537" i="2"/>
  <c r="C537" i="2" s="1"/>
  <c r="B515" i="2"/>
  <c r="C515" i="2" s="1"/>
  <c r="B535" i="2"/>
  <c r="C535" i="2" s="1"/>
  <c r="B534" i="2"/>
  <c r="C534" i="2" s="1"/>
  <c r="B517" i="2"/>
  <c r="C517" i="2" s="1"/>
  <c r="B512" i="2"/>
  <c r="C512" i="2" s="1"/>
  <c r="B509" i="2"/>
  <c r="B536" i="2"/>
  <c r="C536" i="2" s="1"/>
  <c r="B532" i="2"/>
  <c r="C532" i="2" s="1"/>
  <c r="B508" i="2"/>
  <c r="B507" i="2"/>
  <c r="B514" i="2"/>
  <c r="C514" i="2" s="1"/>
  <c r="B526" i="2"/>
  <c r="C526" i="2" s="1"/>
  <c r="B516" i="2"/>
  <c r="C516" i="2" s="1"/>
  <c r="B506" i="2"/>
  <c r="B539" i="2"/>
  <c r="C539" i="2" s="1"/>
  <c r="B527" i="2"/>
  <c r="C527" i="2" s="1"/>
  <c r="B513" i="2"/>
  <c r="C513" i="2" s="1"/>
  <c r="AB16" i="9" l="1"/>
  <c r="AA46" i="9"/>
  <c r="Z128" i="8"/>
  <c r="AA92" i="8"/>
  <c r="AA163" i="8" s="1"/>
  <c r="AE163" i="8" s="1"/>
  <c r="AE41" i="8"/>
  <c r="AH1002" i="9"/>
  <c r="Y166" i="9"/>
  <c r="X196" i="9"/>
  <c r="V296" i="9"/>
  <c r="W266" i="9"/>
  <c r="W246" i="9"/>
  <c r="X216" i="9"/>
  <c r="Z113" i="9"/>
  <c r="AA111" i="9"/>
  <c r="W263" i="9"/>
  <c r="X261" i="9"/>
  <c r="Y66" i="9"/>
  <c r="X96" i="9"/>
  <c r="Z63" i="9"/>
  <c r="AA61" i="9"/>
  <c r="Y211" i="9"/>
  <c r="X213" i="9"/>
  <c r="Z116" i="9"/>
  <c r="Y146" i="9"/>
  <c r="Y163" i="9"/>
  <c r="Z161" i="9"/>
  <c r="D169" i="1"/>
  <c r="D179" i="1" s="1"/>
  <c r="L140" i="1"/>
  <c r="L130" i="1"/>
  <c r="L135" i="1"/>
  <c r="E94" i="1"/>
  <c r="E100" i="1" s="1"/>
  <c r="E117" i="1" s="1"/>
  <c r="F114" i="1"/>
  <c r="F116" i="1" s="1"/>
  <c r="H73" i="1"/>
  <c r="H158" i="1"/>
  <c r="H169" i="1" s="1"/>
  <c r="H179" i="1" s="1"/>
  <c r="M122" i="1"/>
  <c r="K54" i="1"/>
  <c r="K61" i="1"/>
  <c r="L121" i="1"/>
  <c r="T377" i="4"/>
  <c r="J127" i="1"/>
  <c r="M50" i="1"/>
  <c r="M51" i="1" s="1"/>
  <c r="M128" i="1"/>
  <c r="M57" i="1"/>
  <c r="AF545" i="2"/>
  <c r="J62" i="1"/>
  <c r="J66" i="1"/>
  <c r="J70" i="1" s="1"/>
  <c r="I62" i="1"/>
  <c r="I66" i="1"/>
  <c r="I70" i="1" s="1"/>
  <c r="G72" i="1"/>
  <c r="G67" i="1"/>
  <c r="P677" i="2"/>
  <c r="P688" i="2"/>
  <c r="P689" i="2" s="1"/>
  <c r="Q530" i="2"/>
  <c r="Q541" i="2"/>
  <c r="Q542" i="2" s="1"/>
  <c r="O689" i="2"/>
  <c r="P726" i="2"/>
  <c r="P737" i="2"/>
  <c r="P971" i="2"/>
  <c r="P982" i="2"/>
  <c r="P983" i="2" s="1"/>
  <c r="P1118" i="2"/>
  <c r="P1129" i="2"/>
  <c r="P1130" i="2" s="1"/>
  <c r="J54" i="1"/>
  <c r="J39" i="1"/>
  <c r="AF741" i="2"/>
  <c r="Q1112" i="2"/>
  <c r="Q1109" i="2"/>
  <c r="Q974" i="2"/>
  <c r="Q1117" i="2"/>
  <c r="Q1115" i="2"/>
  <c r="M24" i="1"/>
  <c r="K39" i="1"/>
  <c r="M45" i="1"/>
  <c r="Q671" i="2"/>
  <c r="Q962" i="2"/>
  <c r="M18" i="1"/>
  <c r="M33" i="1"/>
  <c r="M42" i="1"/>
  <c r="M21" i="1"/>
  <c r="M30" i="1"/>
  <c r="M26" i="1"/>
  <c r="Q965" i="2"/>
  <c r="Q977" i="2"/>
  <c r="Q968" i="2"/>
  <c r="Q1124" i="2"/>
  <c r="Q676" i="2"/>
  <c r="Q1121" i="2"/>
  <c r="Q674" i="2"/>
  <c r="S517" i="2"/>
  <c r="S529" i="2" s="1"/>
  <c r="Q668" i="2"/>
  <c r="Q713" i="2"/>
  <c r="Q723" i="2" s="1"/>
  <c r="Q683" i="2"/>
  <c r="Q970" i="2"/>
  <c r="Q680" i="2"/>
  <c r="L27" i="1"/>
  <c r="AF711" i="2"/>
  <c r="R713" i="2"/>
  <c r="AF515" i="2"/>
  <c r="R517" i="2"/>
  <c r="L39" i="1"/>
  <c r="L53" i="1"/>
  <c r="L61" i="1" s="1"/>
  <c r="AF954" i="2"/>
  <c r="R956" i="2"/>
  <c r="R986" i="2" s="1"/>
  <c r="AF986" i="2" s="1"/>
  <c r="AF1101" i="2"/>
  <c r="R1103" i="2"/>
  <c r="R1133" i="2" s="1"/>
  <c r="AF1133" i="2" s="1"/>
  <c r="AF660" i="2"/>
  <c r="R662" i="2"/>
  <c r="R692" i="2" s="1"/>
  <c r="AF692" i="2" s="1"/>
  <c r="T707" i="2"/>
  <c r="S709" i="2"/>
  <c r="AF709" i="2"/>
  <c r="T658" i="2"/>
  <c r="S660" i="2"/>
  <c r="S662" i="2" s="1"/>
  <c r="S692" i="2" s="1"/>
  <c r="T952" i="2"/>
  <c r="S954" i="2"/>
  <c r="S956" i="2" s="1"/>
  <c r="S986" i="2" s="1"/>
  <c r="U511" i="2"/>
  <c r="T513" i="2"/>
  <c r="T515" i="2" s="1"/>
  <c r="T545" i="2" s="1"/>
  <c r="T1099" i="2"/>
  <c r="S1101" i="2"/>
  <c r="S1103" i="2" s="1"/>
  <c r="S1133" i="2" s="1"/>
  <c r="T314" i="4"/>
  <c r="S188" i="4"/>
  <c r="T155" i="4"/>
  <c r="T218" i="4" s="1"/>
  <c r="T143" i="4"/>
  <c r="T206" i="4"/>
  <c r="T148" i="4"/>
  <c r="T211" i="4"/>
  <c r="T171" i="4"/>
  <c r="T234" i="4" s="1"/>
  <c r="T165" i="4"/>
  <c r="T228" i="4"/>
  <c r="T180" i="4"/>
  <c r="T243" i="4" s="1"/>
  <c r="T170" i="4"/>
  <c r="T233" i="4" s="1"/>
  <c r="T146" i="4"/>
  <c r="T209" i="4" s="1"/>
  <c r="T163" i="4"/>
  <c r="T226" i="4"/>
  <c r="T157" i="4"/>
  <c r="T220" i="4" s="1"/>
  <c r="T133" i="4"/>
  <c r="T196" i="4" s="1"/>
  <c r="T172" i="4"/>
  <c r="T235" i="4"/>
  <c r="T137" i="4"/>
  <c r="T200" i="4"/>
  <c r="T142" i="4"/>
  <c r="T205" i="4"/>
  <c r="T145" i="4"/>
  <c r="T208" i="4" s="1"/>
  <c r="T175" i="4"/>
  <c r="T238" i="4" s="1"/>
  <c r="T173" i="4"/>
  <c r="T236" i="4" s="1"/>
  <c r="T149" i="4"/>
  <c r="T212" i="4" s="1"/>
  <c r="T166" i="4"/>
  <c r="T229" i="4" s="1"/>
  <c r="T176" i="4"/>
  <c r="T239" i="4" s="1"/>
  <c r="T162" i="4"/>
  <c r="T225" i="4" s="1"/>
  <c r="T138" i="4"/>
  <c r="T201" i="4" s="1"/>
  <c r="T187" i="4"/>
  <c r="T250" i="4" s="1"/>
  <c r="T169" i="4"/>
  <c r="T232" i="4" s="1"/>
  <c r="T168" i="4"/>
  <c r="T231" i="4" s="1"/>
  <c r="T156" i="4"/>
  <c r="T219" i="4" s="1"/>
  <c r="T174" i="4"/>
  <c r="T237" i="4" s="1"/>
  <c r="T153" i="4"/>
  <c r="T216" i="4" s="1"/>
  <c r="T144" i="4"/>
  <c r="T207" i="4" s="1"/>
  <c r="T159" i="4"/>
  <c r="T222" i="4" s="1"/>
  <c r="T151" i="4"/>
  <c r="T214" i="4" s="1"/>
  <c r="T178" i="4"/>
  <c r="T241" i="4"/>
  <c r="T182" i="4"/>
  <c r="T245" i="4"/>
  <c r="T147" i="4"/>
  <c r="T210" i="4" s="1"/>
  <c r="T161" i="4"/>
  <c r="T224" i="4" s="1"/>
  <c r="T150" i="4"/>
  <c r="T213" i="4" s="1"/>
  <c r="T164" i="4"/>
  <c r="T227" i="4" s="1"/>
  <c r="T160" i="4"/>
  <c r="T223" i="4" s="1"/>
  <c r="T186" i="4"/>
  <c r="T249" i="4" s="1"/>
  <c r="T154" i="4"/>
  <c r="T217" i="4" s="1"/>
  <c r="T141" i="4"/>
  <c r="T204" i="4" s="1"/>
  <c r="T152" i="4"/>
  <c r="T215" i="4" s="1"/>
  <c r="T185" i="4"/>
  <c r="T248" i="4" s="1"/>
  <c r="T158" i="4"/>
  <c r="T221" i="4"/>
  <c r="T177" i="4"/>
  <c r="T240" i="4" s="1"/>
  <c r="T183" i="4"/>
  <c r="T246" i="4" s="1"/>
  <c r="T179" i="4"/>
  <c r="T242" i="4" s="1"/>
  <c r="T167" i="4"/>
  <c r="T230" i="4" s="1"/>
  <c r="T136" i="4"/>
  <c r="T199" i="4" s="1"/>
  <c r="T140" i="4"/>
  <c r="T203" i="4" s="1"/>
  <c r="T181" i="4"/>
  <c r="T244" i="4" s="1"/>
  <c r="T135" i="4"/>
  <c r="T198" i="4"/>
  <c r="T139" i="4"/>
  <c r="T202" i="4"/>
  <c r="T184" i="4"/>
  <c r="T247" i="4" s="1"/>
  <c r="T134" i="4"/>
  <c r="T197" i="4" s="1"/>
  <c r="U80" i="4"/>
  <c r="U75" i="4"/>
  <c r="U77" i="4"/>
  <c r="U79" i="4"/>
  <c r="U95" i="4"/>
  <c r="U73" i="4"/>
  <c r="U99" i="4"/>
  <c r="U91" i="4"/>
  <c r="U94" i="4"/>
  <c r="U104" i="4"/>
  <c r="U101" i="4"/>
  <c r="V69" i="4"/>
  <c r="U72" i="4"/>
  <c r="U78" i="4"/>
  <c r="U97" i="4"/>
  <c r="U121" i="4"/>
  <c r="U82" i="4"/>
  <c r="U96" i="4"/>
  <c r="U119" i="4"/>
  <c r="U107" i="4"/>
  <c r="U118" i="4"/>
  <c r="U103" i="4"/>
  <c r="U120" i="4"/>
  <c r="U83" i="4"/>
  <c r="U71" i="4"/>
  <c r="U105" i="4"/>
  <c r="U114" i="4"/>
  <c r="U122" i="4"/>
  <c r="U84" i="4"/>
  <c r="U106" i="4"/>
  <c r="U113" i="4"/>
  <c r="U86" i="4"/>
  <c r="U81" i="4"/>
  <c r="U70" i="4"/>
  <c r="U89" i="4"/>
  <c r="U92" i="4"/>
  <c r="U88" i="4"/>
  <c r="U108" i="4"/>
  <c r="U123" i="4"/>
  <c r="U90" i="4"/>
  <c r="U110" i="4"/>
  <c r="U124" i="4"/>
  <c r="U109" i="4"/>
  <c r="U87" i="4"/>
  <c r="U111" i="4"/>
  <c r="U112" i="4"/>
  <c r="U76" i="4"/>
  <c r="U98" i="4"/>
  <c r="U93" i="4"/>
  <c r="U100" i="4"/>
  <c r="U102" i="4"/>
  <c r="U85" i="4"/>
  <c r="U74" i="4"/>
  <c r="T125" i="4"/>
  <c r="T62" i="4"/>
  <c r="V6" i="4"/>
  <c r="U16" i="4"/>
  <c r="U268" i="4" s="1"/>
  <c r="U331" i="4" s="1"/>
  <c r="G331" i="4" s="1"/>
  <c r="U36" i="4"/>
  <c r="U288" i="4" s="1"/>
  <c r="U351" i="4" s="1"/>
  <c r="G351" i="4" s="1"/>
  <c r="U50" i="4"/>
  <c r="U302" i="4" s="1"/>
  <c r="U365" i="4" s="1"/>
  <c r="G365" i="4" s="1"/>
  <c r="U56" i="4"/>
  <c r="U308" i="4" s="1"/>
  <c r="U371" i="4" s="1"/>
  <c r="G371" i="4" s="1"/>
  <c r="U45" i="4"/>
  <c r="U297" i="4" s="1"/>
  <c r="U360" i="4" s="1"/>
  <c r="G360" i="4" s="1"/>
  <c r="U30" i="4"/>
  <c r="U282" i="4" s="1"/>
  <c r="U345" i="4" s="1"/>
  <c r="G345" i="4" s="1"/>
  <c r="U54" i="4"/>
  <c r="U306" i="4" s="1"/>
  <c r="U369" i="4" s="1"/>
  <c r="G369" i="4" s="1"/>
  <c r="U53" i="4"/>
  <c r="U305" i="4" s="1"/>
  <c r="U368" i="4" s="1"/>
  <c r="G368" i="4" s="1"/>
  <c r="U8" i="4"/>
  <c r="U260" i="4" s="1"/>
  <c r="U323" i="4" s="1"/>
  <c r="G323" i="4" s="1"/>
  <c r="U24" i="4"/>
  <c r="U276" i="4" s="1"/>
  <c r="U339" i="4" s="1"/>
  <c r="G339" i="4" s="1"/>
  <c r="U20" i="4"/>
  <c r="U272" i="4" s="1"/>
  <c r="U335" i="4" s="1"/>
  <c r="G335" i="4" s="1"/>
  <c r="U22" i="4"/>
  <c r="U274" i="4" s="1"/>
  <c r="U337" i="4" s="1"/>
  <c r="G337" i="4" s="1"/>
  <c r="U57" i="4"/>
  <c r="U309" i="4" s="1"/>
  <c r="U372" i="4" s="1"/>
  <c r="G372" i="4" s="1"/>
  <c r="U28" i="4"/>
  <c r="U280" i="4" s="1"/>
  <c r="U343" i="4" s="1"/>
  <c r="G343" i="4" s="1"/>
  <c r="U27" i="4"/>
  <c r="U279" i="4" s="1"/>
  <c r="U342" i="4" s="1"/>
  <c r="G342" i="4" s="1"/>
  <c r="U13" i="4"/>
  <c r="U265" i="4" s="1"/>
  <c r="U328" i="4" s="1"/>
  <c r="G328" i="4" s="1"/>
  <c r="U29" i="4"/>
  <c r="U281" i="4" s="1"/>
  <c r="U344" i="4" s="1"/>
  <c r="G344" i="4" s="1"/>
  <c r="U41" i="4"/>
  <c r="U293" i="4" s="1"/>
  <c r="U356" i="4" s="1"/>
  <c r="G356" i="4" s="1"/>
  <c r="U32" i="4"/>
  <c r="U284" i="4" s="1"/>
  <c r="U347" i="4" s="1"/>
  <c r="G347" i="4" s="1"/>
  <c r="U61" i="4"/>
  <c r="U313" i="4" s="1"/>
  <c r="U376" i="4" s="1"/>
  <c r="G376" i="4" s="1"/>
  <c r="U9" i="4"/>
  <c r="U261" i="4" s="1"/>
  <c r="U324" i="4" s="1"/>
  <c r="G324" i="4" s="1"/>
  <c r="U59" i="4"/>
  <c r="U311" i="4" s="1"/>
  <c r="U374" i="4" s="1"/>
  <c r="G374" i="4" s="1"/>
  <c r="U43" i="4"/>
  <c r="U295" i="4" s="1"/>
  <c r="U358" i="4" s="1"/>
  <c r="G358" i="4" s="1"/>
  <c r="U17" i="4"/>
  <c r="U269" i="4" s="1"/>
  <c r="U332" i="4" s="1"/>
  <c r="G332" i="4" s="1"/>
  <c r="U33" i="4"/>
  <c r="U285" i="4" s="1"/>
  <c r="U348" i="4" s="1"/>
  <c r="G348" i="4" s="1"/>
  <c r="U34" i="4"/>
  <c r="U286" i="4" s="1"/>
  <c r="U349" i="4" s="1"/>
  <c r="G349" i="4" s="1"/>
  <c r="U14" i="4"/>
  <c r="U266" i="4" s="1"/>
  <c r="U329" i="4" s="1"/>
  <c r="G329" i="4" s="1"/>
  <c r="U48" i="4"/>
  <c r="U300" i="4" s="1"/>
  <c r="U363" i="4" s="1"/>
  <c r="G363" i="4" s="1"/>
  <c r="U37" i="4"/>
  <c r="U289" i="4" s="1"/>
  <c r="U352" i="4" s="1"/>
  <c r="G352" i="4" s="1"/>
  <c r="U44" i="4"/>
  <c r="U296" i="4" s="1"/>
  <c r="U359" i="4" s="1"/>
  <c r="G359" i="4" s="1"/>
  <c r="U25" i="4"/>
  <c r="U277" i="4" s="1"/>
  <c r="U340" i="4" s="1"/>
  <c r="G340" i="4" s="1"/>
  <c r="U39" i="4"/>
  <c r="U291" i="4" s="1"/>
  <c r="U354" i="4" s="1"/>
  <c r="G354" i="4" s="1"/>
  <c r="U31" i="4"/>
  <c r="U283" i="4" s="1"/>
  <c r="U346" i="4" s="1"/>
  <c r="G346" i="4" s="1"/>
  <c r="U47" i="4"/>
  <c r="U299" i="4" s="1"/>
  <c r="U362" i="4" s="1"/>
  <c r="G362" i="4" s="1"/>
  <c r="U21" i="4"/>
  <c r="U273" i="4" s="1"/>
  <c r="U336" i="4" s="1"/>
  <c r="G336" i="4" s="1"/>
  <c r="U10" i="4"/>
  <c r="U262" i="4" s="1"/>
  <c r="U325" i="4" s="1"/>
  <c r="G325" i="4" s="1"/>
  <c r="U58" i="4"/>
  <c r="U310" i="4" s="1"/>
  <c r="U373" i="4" s="1"/>
  <c r="G373" i="4" s="1"/>
  <c r="U23" i="4"/>
  <c r="U275" i="4" s="1"/>
  <c r="U338" i="4" s="1"/>
  <c r="G338" i="4" s="1"/>
  <c r="U52" i="4"/>
  <c r="U304" i="4" s="1"/>
  <c r="U367" i="4" s="1"/>
  <c r="G367" i="4" s="1"/>
  <c r="U26" i="4"/>
  <c r="U278" i="4" s="1"/>
  <c r="U341" i="4" s="1"/>
  <c r="G341" i="4" s="1"/>
  <c r="U7" i="4"/>
  <c r="U259" i="4" s="1"/>
  <c r="U322" i="4" s="1"/>
  <c r="G322" i="4" s="1"/>
  <c r="U46" i="4"/>
  <c r="U298" i="4" s="1"/>
  <c r="U361" i="4" s="1"/>
  <c r="G361" i="4" s="1"/>
  <c r="U19" i="4"/>
  <c r="U271" i="4" s="1"/>
  <c r="U334" i="4" s="1"/>
  <c r="G334" i="4" s="1"/>
  <c r="U18" i="4"/>
  <c r="U270" i="4" s="1"/>
  <c r="U333" i="4" s="1"/>
  <c r="G333" i="4" s="1"/>
  <c r="U38" i="4"/>
  <c r="U290" i="4" s="1"/>
  <c r="U353" i="4" s="1"/>
  <c r="G353" i="4" s="1"/>
  <c r="U49" i="4"/>
  <c r="U301" i="4" s="1"/>
  <c r="U364" i="4" s="1"/>
  <c r="G364" i="4" s="1"/>
  <c r="U42" i="4"/>
  <c r="U294" i="4" s="1"/>
  <c r="U357" i="4" s="1"/>
  <c r="G357" i="4" s="1"/>
  <c r="U60" i="4"/>
  <c r="U312" i="4" s="1"/>
  <c r="U375" i="4" s="1"/>
  <c r="G375" i="4" s="1"/>
  <c r="U51" i="4"/>
  <c r="U303" i="4" s="1"/>
  <c r="U366" i="4" s="1"/>
  <c r="G366" i="4" s="1"/>
  <c r="U40" i="4"/>
  <c r="U292" i="4" s="1"/>
  <c r="U355" i="4" s="1"/>
  <c r="G355" i="4" s="1"/>
  <c r="U55" i="4"/>
  <c r="U307" i="4" s="1"/>
  <c r="U370" i="4" s="1"/>
  <c r="G370" i="4" s="1"/>
  <c r="U15" i="4"/>
  <c r="U267" i="4" s="1"/>
  <c r="U330" i="4" s="1"/>
  <c r="G330" i="4" s="1"/>
  <c r="U12" i="4"/>
  <c r="U264" i="4" s="1"/>
  <c r="U327" i="4" s="1"/>
  <c r="G327" i="4" s="1"/>
  <c r="U11" i="4"/>
  <c r="U263" i="4" s="1"/>
  <c r="U326" i="4" s="1"/>
  <c r="G326" i="4" s="1"/>
  <c r="U35" i="4"/>
  <c r="U287" i="4" s="1"/>
  <c r="U350" i="4" s="1"/>
  <c r="G350" i="4" s="1"/>
  <c r="B596" i="2"/>
  <c r="C596" i="2" s="1"/>
  <c r="B585" i="2"/>
  <c r="C585" i="2" s="1"/>
  <c r="B573" i="2"/>
  <c r="C573" i="2" s="1"/>
  <c r="B581" i="2"/>
  <c r="C581" i="2" s="1"/>
  <c r="B569" i="2"/>
  <c r="C569" i="2" s="1"/>
  <c r="B566" i="2"/>
  <c r="C566" i="2" s="1"/>
  <c r="B590" i="2"/>
  <c r="C590" i="2" s="1"/>
  <c r="B587" i="2"/>
  <c r="C587" i="2" s="1"/>
  <c r="B586" i="2"/>
  <c r="C586" i="2" s="1"/>
  <c r="B574" i="2"/>
  <c r="C574" i="2" s="1"/>
  <c r="B594" i="2"/>
  <c r="C594" i="2" s="1"/>
  <c r="B597" i="2"/>
  <c r="C597" i="2" s="1"/>
  <c r="B591" i="2"/>
  <c r="C591" i="2" s="1"/>
  <c r="B576" i="2"/>
  <c r="C576" i="2" s="1"/>
  <c r="B570" i="2"/>
  <c r="C570" i="2" s="1"/>
  <c r="B568" i="2"/>
  <c r="C568" i="2" s="1"/>
  <c r="B553" i="2"/>
  <c r="B575" i="2"/>
  <c r="C575" i="2" s="1"/>
  <c r="B561" i="2"/>
  <c r="C561" i="2" s="1"/>
  <c r="B578" i="2"/>
  <c r="C578" i="2" s="1"/>
  <c r="B577" i="2"/>
  <c r="C577" i="2" s="1"/>
  <c r="B579" i="2"/>
  <c r="C579" i="2" s="1"/>
  <c r="B580" i="2"/>
  <c r="C580" i="2" s="1"/>
  <c r="B560" i="2"/>
  <c r="C560" i="2" s="1"/>
  <c r="B593" i="2"/>
  <c r="C593" i="2" s="1"/>
  <c r="B559" i="2"/>
  <c r="B592" i="2"/>
  <c r="C592" i="2" s="1"/>
  <c r="B582" i="2"/>
  <c r="C582" i="2" s="1"/>
  <c r="B563" i="2"/>
  <c r="C563" i="2" s="1"/>
  <c r="B589" i="2"/>
  <c r="C589" i="2" s="1"/>
  <c r="B567" i="2"/>
  <c r="C567" i="2" s="1"/>
  <c r="B565" i="2"/>
  <c r="C565" i="2" s="1"/>
  <c r="B564" i="2"/>
  <c r="C564" i="2" s="1"/>
  <c r="B558" i="2"/>
  <c r="B584" i="2"/>
  <c r="C584" i="2" s="1"/>
  <c r="B557" i="2"/>
  <c r="B583" i="2"/>
  <c r="C583" i="2" s="1"/>
  <c r="B562" i="2"/>
  <c r="C562" i="2" s="1"/>
  <c r="B556" i="2"/>
  <c r="B588" i="2"/>
  <c r="C588" i="2" s="1"/>
  <c r="B555" i="2"/>
  <c r="B572" i="2"/>
  <c r="C572" i="2" s="1"/>
  <c r="B595" i="2"/>
  <c r="C595" i="2" s="1"/>
  <c r="B571" i="2"/>
  <c r="C571" i="2" s="1"/>
  <c r="B554" i="2"/>
  <c r="AC16" i="9" l="1"/>
  <c r="AB46" i="9"/>
  <c r="Z66" i="9"/>
  <c r="Y96" i="9"/>
  <c r="X263" i="9"/>
  <c r="Y261" i="9"/>
  <c r="Z166" i="9"/>
  <c r="Y196" i="9"/>
  <c r="Z163" i="9"/>
  <c r="AA161" i="9"/>
  <c r="AB111" i="9"/>
  <c r="AA113" i="9"/>
  <c r="Y216" i="9"/>
  <c r="X246" i="9"/>
  <c r="AA116" i="9"/>
  <c r="Z146" i="9"/>
  <c r="Y213" i="9"/>
  <c r="Z211" i="9"/>
  <c r="W296" i="9"/>
  <c r="X266" i="9"/>
  <c r="AA63" i="9"/>
  <c r="AB61" i="9"/>
  <c r="M140" i="1"/>
  <c r="M135" i="1"/>
  <c r="M130" i="1"/>
  <c r="F94" i="1"/>
  <c r="F100" i="1" s="1"/>
  <c r="F117" i="1" s="1"/>
  <c r="G114" i="1"/>
  <c r="G116" i="1" s="1"/>
  <c r="G158" i="1"/>
  <c r="K163" i="1"/>
  <c r="M121" i="1"/>
  <c r="G377" i="4"/>
  <c r="L163" i="1"/>
  <c r="K127" i="1"/>
  <c r="N50" i="1"/>
  <c r="N128" i="1"/>
  <c r="N122" i="1"/>
  <c r="AF546" i="2"/>
  <c r="K62" i="1"/>
  <c r="K66" i="1"/>
  <c r="K70" i="1" s="1"/>
  <c r="G73" i="1"/>
  <c r="I72" i="1"/>
  <c r="I67" i="1"/>
  <c r="J72" i="1"/>
  <c r="J67" i="1"/>
  <c r="AF742" i="2"/>
  <c r="Q732" i="2"/>
  <c r="M27" i="1"/>
  <c r="M38" i="1"/>
  <c r="M39" i="1" s="1"/>
  <c r="Q971" i="2"/>
  <c r="Q982" i="2"/>
  <c r="Q983" i="2" s="1"/>
  <c r="P738" i="2"/>
  <c r="S530" i="2"/>
  <c r="S541" i="2"/>
  <c r="S542" i="2" s="1"/>
  <c r="Q677" i="2"/>
  <c r="Q688" i="2"/>
  <c r="Q1118" i="2"/>
  <c r="Q1129" i="2"/>
  <c r="Q1130" i="2" s="1"/>
  <c r="S518" i="2"/>
  <c r="S536" i="2"/>
  <c r="S521" i="2"/>
  <c r="Q717" i="2"/>
  <c r="Q720" i="2"/>
  <c r="S527" i="2"/>
  <c r="Q729" i="2"/>
  <c r="Q725" i="2"/>
  <c r="S524" i="2"/>
  <c r="S533" i="2"/>
  <c r="S1105" i="2"/>
  <c r="S1124" i="2" s="1"/>
  <c r="S958" i="2"/>
  <c r="S959" i="2" s="1"/>
  <c r="T517" i="2"/>
  <c r="T529" i="2" s="1"/>
  <c r="S664" i="2"/>
  <c r="S671" i="2" s="1"/>
  <c r="R732" i="2"/>
  <c r="R533" i="2"/>
  <c r="R536" i="2"/>
  <c r="R725" i="2"/>
  <c r="R737" i="2" s="1"/>
  <c r="R729" i="2"/>
  <c r="R527" i="2"/>
  <c r="R529" i="2"/>
  <c r="R541" i="2" s="1"/>
  <c r="AF541" i="2" s="1"/>
  <c r="R720" i="2"/>
  <c r="R723" i="2"/>
  <c r="R521" i="2"/>
  <c r="R524" i="2"/>
  <c r="N45" i="1"/>
  <c r="N26" i="1"/>
  <c r="N38" i="1" s="1"/>
  <c r="N30" i="1"/>
  <c r="N57" i="1"/>
  <c r="N18" i="1"/>
  <c r="N42" i="1"/>
  <c r="N21" i="1"/>
  <c r="N24" i="1"/>
  <c r="N33" i="1"/>
  <c r="AF713" i="2"/>
  <c r="R717" i="2"/>
  <c r="AF517" i="2"/>
  <c r="AF1103" i="2"/>
  <c r="AF1134" i="2" s="1"/>
  <c r="R1105" i="2"/>
  <c r="AF956" i="2"/>
  <c r="AF987" i="2" s="1"/>
  <c r="R958" i="2"/>
  <c r="AF662" i="2"/>
  <c r="AF693" i="2" s="1"/>
  <c r="R664" i="2"/>
  <c r="L54" i="1"/>
  <c r="L66" i="1"/>
  <c r="L70" i="1" s="1"/>
  <c r="S711" i="2"/>
  <c r="S741" i="2" s="1"/>
  <c r="U707" i="2"/>
  <c r="T709" i="2"/>
  <c r="T711" i="2" s="1"/>
  <c r="T741" i="2" s="1"/>
  <c r="U1099" i="2"/>
  <c r="T1101" i="2"/>
  <c r="T1103" i="2" s="1"/>
  <c r="T1133" i="2" s="1"/>
  <c r="U952" i="2"/>
  <c r="T954" i="2"/>
  <c r="T956" i="2" s="1"/>
  <c r="T986" i="2" s="1"/>
  <c r="V511" i="2"/>
  <c r="U513" i="2"/>
  <c r="U515" i="2" s="1"/>
  <c r="U545" i="2" s="1"/>
  <c r="U658" i="2"/>
  <c r="T660" i="2"/>
  <c r="T662" i="2" s="1"/>
  <c r="T692" i="2" s="1"/>
  <c r="U377" i="4"/>
  <c r="U314" i="4"/>
  <c r="T188" i="4"/>
  <c r="U167" i="4"/>
  <c r="U230" i="4"/>
  <c r="U184" i="4"/>
  <c r="U247" i="4"/>
  <c r="U155" i="4"/>
  <c r="U218" i="4" s="1"/>
  <c r="U135" i="4"/>
  <c r="U198" i="4"/>
  <c r="U139" i="4"/>
  <c r="U202" i="4"/>
  <c r="U133" i="4"/>
  <c r="U196" i="4" s="1"/>
  <c r="U136" i="4"/>
  <c r="U199" i="4"/>
  <c r="U161" i="4"/>
  <c r="U224" i="4" s="1"/>
  <c r="U153" i="4"/>
  <c r="U216" i="4" s="1"/>
  <c r="U137" i="4"/>
  <c r="U200" i="4" s="1"/>
  <c r="U173" i="4"/>
  <c r="U236" i="4"/>
  <c r="U154" i="4"/>
  <c r="U217" i="4"/>
  <c r="U147" i="4"/>
  <c r="U210" i="4"/>
  <c r="U157" i="4"/>
  <c r="U220" i="4" s="1"/>
  <c r="U149" i="4"/>
  <c r="U212" i="4"/>
  <c r="U138" i="4"/>
  <c r="U201" i="4" s="1"/>
  <c r="U183" i="4"/>
  <c r="U246" i="4"/>
  <c r="U141" i="4"/>
  <c r="U204" i="4" s="1"/>
  <c r="U165" i="4"/>
  <c r="U228" i="4" s="1"/>
  <c r="U148" i="4"/>
  <c r="U211" i="4"/>
  <c r="U158" i="4"/>
  <c r="U221" i="4" s="1"/>
  <c r="U150" i="4"/>
  <c r="U213" i="4"/>
  <c r="U178" i="4"/>
  <c r="U241" i="4" s="1"/>
  <c r="U142" i="4"/>
  <c r="U205" i="4" s="1"/>
  <c r="U151" i="4"/>
  <c r="U214" i="4" s="1"/>
  <c r="U181" i="4"/>
  <c r="U244" i="4"/>
  <c r="U134" i="4"/>
  <c r="U197" i="4" s="1"/>
  <c r="U160" i="4"/>
  <c r="U223" i="4"/>
  <c r="U146" i="4"/>
  <c r="U209" i="4" s="1"/>
  <c r="U177" i="4"/>
  <c r="U240" i="4"/>
  <c r="U186" i="4"/>
  <c r="U249" i="4" s="1"/>
  <c r="U180" i="4"/>
  <c r="U243" i="4" s="1"/>
  <c r="U159" i="4"/>
  <c r="U222" i="4" s="1"/>
  <c r="U152" i="4"/>
  <c r="U215" i="4"/>
  <c r="U170" i="4"/>
  <c r="U233" i="4" s="1"/>
  <c r="U179" i="4"/>
  <c r="U242" i="4" s="1"/>
  <c r="U164" i="4"/>
  <c r="U227" i="4" s="1"/>
  <c r="U171" i="4"/>
  <c r="U234" i="4" s="1"/>
  <c r="U144" i="4"/>
  <c r="U207" i="4" s="1"/>
  <c r="U143" i="4"/>
  <c r="U206" i="4"/>
  <c r="U182" i="4"/>
  <c r="U245" i="4" s="1"/>
  <c r="U187" i="4"/>
  <c r="U250" i="4" s="1"/>
  <c r="U168" i="4"/>
  <c r="U231" i="4" s="1"/>
  <c r="U156" i="4"/>
  <c r="U219" i="4" s="1"/>
  <c r="U145" i="4"/>
  <c r="U208" i="4" s="1"/>
  <c r="U169" i="4"/>
  <c r="U232" i="4" s="1"/>
  <c r="U176" i="4"/>
  <c r="U239" i="4" s="1"/>
  <c r="U166" i="4"/>
  <c r="U229" i="4"/>
  <c r="U163" i="4"/>
  <c r="U226" i="4" s="1"/>
  <c r="U174" i="4"/>
  <c r="U237" i="4" s="1"/>
  <c r="U140" i="4"/>
  <c r="U203" i="4"/>
  <c r="U175" i="4"/>
  <c r="U238" i="4"/>
  <c r="U172" i="4"/>
  <c r="U235" i="4" s="1"/>
  <c r="U185" i="4"/>
  <c r="U248" i="4"/>
  <c r="U162" i="4"/>
  <c r="U225" i="4" s="1"/>
  <c r="W69" i="4"/>
  <c r="U125" i="4"/>
  <c r="U62" i="4"/>
  <c r="W6" i="4"/>
  <c r="V37" i="4"/>
  <c r="V289" i="4" s="1"/>
  <c r="V352" i="4" s="1"/>
  <c r="V17" i="4"/>
  <c r="V269" i="4" s="1"/>
  <c r="V332" i="4" s="1"/>
  <c r="V10" i="4"/>
  <c r="V262" i="4" s="1"/>
  <c r="V325" i="4" s="1"/>
  <c r="V57" i="4"/>
  <c r="V309" i="4" s="1"/>
  <c r="V50" i="4"/>
  <c r="V302" i="4" s="1"/>
  <c r="V365" i="4" s="1"/>
  <c r="V9" i="4"/>
  <c r="V261" i="4" s="1"/>
  <c r="V324" i="4" s="1"/>
  <c r="V14" i="4"/>
  <c r="V266" i="4" s="1"/>
  <c r="V329" i="4" s="1"/>
  <c r="V34" i="4"/>
  <c r="V286" i="4" s="1"/>
  <c r="V349" i="4" s="1"/>
  <c r="V21" i="4"/>
  <c r="V273" i="4" s="1"/>
  <c r="V336" i="4" s="1"/>
  <c r="V7" i="4"/>
  <c r="V259" i="4" s="1"/>
  <c r="V322" i="4" s="1"/>
  <c r="V19" i="4"/>
  <c r="V271" i="4" s="1"/>
  <c r="V334" i="4" s="1"/>
  <c r="V44" i="4"/>
  <c r="V296" i="4" s="1"/>
  <c r="V359" i="4" s="1"/>
  <c r="V26" i="4"/>
  <c r="V278" i="4" s="1"/>
  <c r="V341" i="4" s="1"/>
  <c r="V22" i="4"/>
  <c r="V274" i="4" s="1"/>
  <c r="V337" i="4" s="1"/>
  <c r="V54" i="4"/>
  <c r="V306" i="4" s="1"/>
  <c r="V369" i="4" s="1"/>
  <c r="V31" i="4"/>
  <c r="V283" i="4" s="1"/>
  <c r="V346" i="4" s="1"/>
  <c r="V55" i="4"/>
  <c r="V307" i="4" s="1"/>
  <c r="V39" i="4"/>
  <c r="V291" i="4" s="1"/>
  <c r="V354" i="4" s="1"/>
  <c r="V47" i="4"/>
  <c r="V299" i="4" s="1"/>
  <c r="V362" i="4" s="1"/>
  <c r="V46" i="4"/>
  <c r="V298" i="4" s="1"/>
  <c r="V361" i="4" s="1"/>
  <c r="V51" i="4"/>
  <c r="V303" i="4" s="1"/>
  <c r="V366" i="4" s="1"/>
  <c r="V52" i="4"/>
  <c r="V304" i="4" s="1"/>
  <c r="V367" i="4" s="1"/>
  <c r="V29" i="4"/>
  <c r="V281" i="4" s="1"/>
  <c r="V344" i="4" s="1"/>
  <c r="V25" i="4"/>
  <c r="V277" i="4" s="1"/>
  <c r="V340" i="4" s="1"/>
  <c r="V15" i="4"/>
  <c r="V267" i="4" s="1"/>
  <c r="V330" i="4" s="1"/>
  <c r="V49" i="4"/>
  <c r="V301" i="4" s="1"/>
  <c r="V364" i="4" s="1"/>
  <c r="V41" i="4"/>
  <c r="V293" i="4" s="1"/>
  <c r="V356" i="4" s="1"/>
  <c r="V36" i="4"/>
  <c r="V288" i="4" s="1"/>
  <c r="V351" i="4" s="1"/>
  <c r="V56" i="4"/>
  <c r="V308" i="4" s="1"/>
  <c r="V8" i="4"/>
  <c r="V260" i="4" s="1"/>
  <c r="V323" i="4" s="1"/>
  <c r="V13" i="4"/>
  <c r="V265" i="4" s="1"/>
  <c r="V328" i="4" s="1"/>
  <c r="V23" i="4"/>
  <c r="V275" i="4" s="1"/>
  <c r="V338" i="4" s="1"/>
  <c r="V45" i="4"/>
  <c r="V297" i="4" s="1"/>
  <c r="V360" i="4" s="1"/>
  <c r="V42" i="4"/>
  <c r="V294" i="4" s="1"/>
  <c r="V357" i="4" s="1"/>
  <c r="V61" i="4"/>
  <c r="V313" i="4" s="1"/>
  <c r="V58" i="4"/>
  <c r="V310" i="4" s="1"/>
  <c r="V32" i="4"/>
  <c r="V284" i="4" s="1"/>
  <c r="V347" i="4" s="1"/>
  <c r="V16" i="4"/>
  <c r="V268" i="4" s="1"/>
  <c r="V331" i="4" s="1"/>
  <c r="V18" i="4"/>
  <c r="V270" i="4" s="1"/>
  <c r="V333" i="4" s="1"/>
  <c r="V60" i="4"/>
  <c r="V312" i="4" s="1"/>
  <c r="V12" i="4"/>
  <c r="V264" i="4" s="1"/>
  <c r="V327" i="4" s="1"/>
  <c r="V27" i="4"/>
  <c r="V279" i="4" s="1"/>
  <c r="V342" i="4" s="1"/>
  <c r="V20" i="4"/>
  <c r="V272" i="4" s="1"/>
  <c r="V335" i="4" s="1"/>
  <c r="V28" i="4"/>
  <c r="V280" i="4" s="1"/>
  <c r="V343" i="4" s="1"/>
  <c r="V38" i="4"/>
  <c r="V290" i="4" s="1"/>
  <c r="V353" i="4" s="1"/>
  <c r="V35" i="4"/>
  <c r="V287" i="4" s="1"/>
  <c r="V350" i="4" s="1"/>
  <c r="V59" i="4"/>
  <c r="V311" i="4" s="1"/>
  <c r="V33" i="4"/>
  <c r="V285" i="4" s="1"/>
  <c r="V348" i="4" s="1"/>
  <c r="V40" i="4"/>
  <c r="V292" i="4" s="1"/>
  <c r="V355" i="4" s="1"/>
  <c r="V43" i="4"/>
  <c r="V295" i="4" s="1"/>
  <c r="V358" i="4" s="1"/>
  <c r="V30" i="4"/>
  <c r="V282" i="4" s="1"/>
  <c r="V345" i="4" s="1"/>
  <c r="V48" i="4"/>
  <c r="V300" i="4" s="1"/>
  <c r="V363" i="4" s="1"/>
  <c r="V24" i="4"/>
  <c r="V276" i="4" s="1"/>
  <c r="V339" i="4" s="1"/>
  <c r="V53" i="4"/>
  <c r="V305" i="4" s="1"/>
  <c r="V368" i="4" s="1"/>
  <c r="V11" i="4"/>
  <c r="V263" i="4" s="1"/>
  <c r="V326" i="4" s="1"/>
  <c r="B627" i="2"/>
  <c r="C627" i="2" s="1"/>
  <c r="B616" i="2"/>
  <c r="C616" i="2" s="1"/>
  <c r="B646" i="2"/>
  <c r="C646" i="2" s="1"/>
  <c r="B637" i="2"/>
  <c r="C637" i="2" s="1"/>
  <c r="B644" i="2"/>
  <c r="C644" i="2" s="1"/>
  <c r="B639" i="2"/>
  <c r="C639" i="2" s="1"/>
  <c r="B628" i="2"/>
  <c r="C628" i="2" s="1"/>
  <c r="B638" i="2"/>
  <c r="C638" i="2" s="1"/>
  <c r="B643" i="2"/>
  <c r="C643" i="2" s="1"/>
  <c r="B642" i="2"/>
  <c r="C642" i="2" s="1"/>
  <c r="B641" i="2"/>
  <c r="C641" i="2" s="1"/>
  <c r="B620" i="2"/>
  <c r="C620" i="2" s="1"/>
  <c r="B636" i="2"/>
  <c r="C636" i="2" s="1"/>
  <c r="B613" i="2"/>
  <c r="C613" i="2" s="1"/>
  <c r="B602" i="2"/>
  <c r="B640" i="2"/>
  <c r="C640" i="2" s="1"/>
  <c r="B618" i="2"/>
  <c r="C618" i="2" s="1"/>
  <c r="B615" i="2"/>
  <c r="C615" i="2" s="1"/>
  <c r="B609" i="2"/>
  <c r="C609" i="2" s="1"/>
  <c r="B608" i="2"/>
  <c r="B630" i="2"/>
  <c r="C630" i="2" s="1"/>
  <c r="B626" i="2"/>
  <c r="C626" i="2" s="1"/>
  <c r="B625" i="2"/>
  <c r="C625" i="2" s="1"/>
  <c r="B631" i="2"/>
  <c r="C631" i="2" s="1"/>
  <c r="B622" i="2"/>
  <c r="C622" i="2" s="1"/>
  <c r="B614" i="2"/>
  <c r="C614" i="2" s="1"/>
  <c r="B607" i="2"/>
  <c r="B633" i="2"/>
  <c r="C633" i="2" s="1"/>
  <c r="B611" i="2"/>
  <c r="C611" i="2" s="1"/>
  <c r="B606" i="2"/>
  <c r="B632" i="2"/>
  <c r="C632" i="2" s="1"/>
  <c r="B621" i="2"/>
  <c r="C621" i="2" s="1"/>
  <c r="B605" i="2"/>
  <c r="B603" i="2"/>
  <c r="B617" i="2"/>
  <c r="C617" i="2" s="1"/>
  <c r="B635" i="2"/>
  <c r="C635" i="2" s="1"/>
  <c r="B624" i="2"/>
  <c r="C624" i="2" s="1"/>
  <c r="B623" i="2"/>
  <c r="C623" i="2" s="1"/>
  <c r="B634" i="2"/>
  <c r="C634" i="2" s="1"/>
  <c r="B612" i="2"/>
  <c r="C612" i="2" s="1"/>
  <c r="B629" i="2"/>
  <c r="C629" i="2" s="1"/>
  <c r="B619" i="2"/>
  <c r="C619" i="2" s="1"/>
  <c r="B610" i="2"/>
  <c r="C610" i="2" s="1"/>
  <c r="B645" i="2"/>
  <c r="C645" i="2" s="1"/>
  <c r="B604" i="2"/>
  <c r="AD16" i="9" l="1"/>
  <c r="AD46" i="9" s="1"/>
  <c r="AC46" i="9"/>
  <c r="AB63" i="9"/>
  <c r="AC61" i="9"/>
  <c r="AC111" i="9"/>
  <c r="AB113" i="9"/>
  <c r="AB116" i="9"/>
  <c r="AA146" i="9"/>
  <c r="AA166" i="9"/>
  <c r="Z196" i="9"/>
  <c r="Z216" i="9"/>
  <c r="Y246" i="9"/>
  <c r="Y263" i="9"/>
  <c r="Z261" i="9"/>
  <c r="Y266" i="9"/>
  <c r="X296" i="9"/>
  <c r="Z213" i="9"/>
  <c r="AA211" i="9"/>
  <c r="AA66" i="9"/>
  <c r="Z96" i="9"/>
  <c r="AB161" i="9"/>
  <c r="AA163" i="9"/>
  <c r="G169" i="1"/>
  <c r="G179" i="1" s="1"/>
  <c r="N140" i="1"/>
  <c r="N135" i="1"/>
  <c r="N130" i="1"/>
  <c r="G94" i="1"/>
  <c r="G100" i="1" s="1"/>
  <c r="G117" i="1" s="1"/>
  <c r="J73" i="1"/>
  <c r="J158" i="1"/>
  <c r="J169" i="1" s="1"/>
  <c r="J179" i="1" s="1"/>
  <c r="I73" i="1"/>
  <c r="I158" i="1"/>
  <c r="I169" i="1" s="1"/>
  <c r="I179" i="1" s="1"/>
  <c r="H114" i="1"/>
  <c r="H116" i="1" s="1"/>
  <c r="N121" i="1"/>
  <c r="O50" i="1"/>
  <c r="AC50" i="1" s="1"/>
  <c r="AC50" i="8" s="1"/>
  <c r="V370" i="4"/>
  <c r="V375" i="4"/>
  <c r="V373" i="4"/>
  <c r="O128" i="1"/>
  <c r="V372" i="4"/>
  <c r="AC41" i="1"/>
  <c r="AC41" i="8" s="1"/>
  <c r="V371" i="4"/>
  <c r="L127" i="1"/>
  <c r="V376" i="4"/>
  <c r="V374" i="4"/>
  <c r="N51" i="1"/>
  <c r="AC76" i="1"/>
  <c r="AC76" i="8" s="1"/>
  <c r="K72" i="1"/>
  <c r="K67" i="1"/>
  <c r="L72" i="1"/>
  <c r="L67" i="1"/>
  <c r="R738" i="2"/>
  <c r="Q689" i="2"/>
  <c r="T530" i="2"/>
  <c r="T541" i="2"/>
  <c r="T542" i="2" s="1"/>
  <c r="Q726" i="2"/>
  <c r="Q737" i="2"/>
  <c r="Q738" i="2" s="1"/>
  <c r="R542" i="2"/>
  <c r="S1115" i="2"/>
  <c r="S1109" i="2"/>
  <c r="S683" i="2"/>
  <c r="S977" i="2"/>
  <c r="S974" i="2"/>
  <c r="T521" i="2"/>
  <c r="T518" i="2"/>
  <c r="M53" i="1"/>
  <c r="M61" i="1" s="1"/>
  <c r="S1106" i="2"/>
  <c r="S1112" i="2"/>
  <c r="S680" i="2"/>
  <c r="S676" i="2"/>
  <c r="S1117" i="2"/>
  <c r="AF725" i="2"/>
  <c r="AF726" i="2" s="1"/>
  <c r="S1121" i="2"/>
  <c r="S970" i="2"/>
  <c r="S968" i="2"/>
  <c r="S965" i="2"/>
  <c r="T536" i="2"/>
  <c r="S962" i="2"/>
  <c r="T527" i="2"/>
  <c r="T524" i="2"/>
  <c r="S713" i="2"/>
  <c r="T713" i="2"/>
  <c r="T732" i="2" s="1"/>
  <c r="T958" i="2"/>
  <c r="T965" i="2" s="1"/>
  <c r="T533" i="2"/>
  <c r="T1105" i="2"/>
  <c r="T1117" i="2" s="1"/>
  <c r="S668" i="2"/>
  <c r="S674" i="2"/>
  <c r="T664" i="2"/>
  <c r="T665" i="2" s="1"/>
  <c r="U517" i="2"/>
  <c r="U536" i="2" s="1"/>
  <c r="S665" i="2"/>
  <c r="AF536" i="2"/>
  <c r="AF542" i="2"/>
  <c r="AF732" i="2"/>
  <c r="R683" i="2"/>
  <c r="R977" i="2"/>
  <c r="R1124" i="2"/>
  <c r="R726" i="2"/>
  <c r="N27" i="1"/>
  <c r="R676" i="2"/>
  <c r="R680" i="2"/>
  <c r="R970" i="2"/>
  <c r="R974" i="2"/>
  <c r="R1117" i="2"/>
  <c r="R1121" i="2"/>
  <c r="AF723" i="2"/>
  <c r="AF729" i="2"/>
  <c r="AF527" i="2"/>
  <c r="AF533" i="2"/>
  <c r="AF529" i="2"/>
  <c r="AF530" i="2" s="1"/>
  <c r="R530" i="2"/>
  <c r="R1112" i="2"/>
  <c r="R1115" i="2"/>
  <c r="R671" i="2"/>
  <c r="R674" i="2"/>
  <c r="R965" i="2"/>
  <c r="R968" i="2"/>
  <c r="AF521" i="2"/>
  <c r="AF524" i="2"/>
  <c r="AF717" i="2"/>
  <c r="AF720" i="2"/>
  <c r="AF1105" i="2"/>
  <c r="R1109" i="2"/>
  <c r="AF958" i="2"/>
  <c r="R962" i="2"/>
  <c r="AF664" i="2"/>
  <c r="R668" i="2"/>
  <c r="L62" i="1"/>
  <c r="N53" i="1"/>
  <c r="N61" i="1" s="1"/>
  <c r="N39" i="1"/>
  <c r="V707" i="2"/>
  <c r="U709" i="2"/>
  <c r="U711" i="2" s="1"/>
  <c r="U741" i="2" s="1"/>
  <c r="V658" i="2"/>
  <c r="U660" i="2"/>
  <c r="U662" i="2" s="1"/>
  <c r="U692" i="2" s="1"/>
  <c r="W511" i="2"/>
  <c r="V513" i="2"/>
  <c r="V515" i="2" s="1"/>
  <c r="V545" i="2" s="1"/>
  <c r="V952" i="2"/>
  <c r="U954" i="2"/>
  <c r="U956" i="2" s="1"/>
  <c r="U986" i="2" s="1"/>
  <c r="V1099" i="2"/>
  <c r="U1101" i="2"/>
  <c r="U1103" i="2" s="1"/>
  <c r="U1133" i="2" s="1"/>
  <c r="V314" i="4"/>
  <c r="U188" i="4"/>
  <c r="V155" i="4"/>
  <c r="V218" i="4" s="1"/>
  <c r="V136" i="4"/>
  <c r="V199" i="4"/>
  <c r="V172" i="4"/>
  <c r="V235" i="4" s="1"/>
  <c r="V146" i="4"/>
  <c r="V209" i="4"/>
  <c r="V153" i="4"/>
  <c r="V216" i="4" s="1"/>
  <c r="V180" i="4"/>
  <c r="V243" i="4"/>
  <c r="V186" i="4"/>
  <c r="V249" i="4" s="1"/>
  <c r="V138" i="4"/>
  <c r="V201" i="4"/>
  <c r="V181" i="4"/>
  <c r="V244" i="4" s="1"/>
  <c r="V170" i="4"/>
  <c r="V233" i="4" s="1"/>
  <c r="V165" i="4"/>
  <c r="V228" i="4"/>
  <c r="V158" i="4"/>
  <c r="V221" i="4" s="1"/>
  <c r="V137" i="4"/>
  <c r="V200" i="4" s="1"/>
  <c r="V139" i="4"/>
  <c r="V202" i="4"/>
  <c r="V169" i="4"/>
  <c r="V232" i="4"/>
  <c r="V144" i="4"/>
  <c r="V207" i="4" s="1"/>
  <c r="V166" i="4"/>
  <c r="V229" i="4" s="1"/>
  <c r="V163" i="4"/>
  <c r="V226" i="4"/>
  <c r="V168" i="4"/>
  <c r="V231" i="4" s="1"/>
  <c r="V162" i="4"/>
  <c r="V225" i="4"/>
  <c r="V142" i="4"/>
  <c r="V205" i="4" s="1"/>
  <c r="V150" i="4"/>
  <c r="V213" i="4" s="1"/>
  <c r="V182" i="4"/>
  <c r="V245" i="4" s="1"/>
  <c r="V159" i="4"/>
  <c r="V222" i="4" s="1"/>
  <c r="V167" i="4"/>
  <c r="V230" i="4" s="1"/>
  <c r="V140" i="4"/>
  <c r="V203" i="4"/>
  <c r="V187" i="4"/>
  <c r="V250" i="4" s="1"/>
  <c r="V171" i="4"/>
  <c r="V234" i="4" s="1"/>
  <c r="V149" i="4"/>
  <c r="V212" i="4"/>
  <c r="V156" i="4"/>
  <c r="V219" i="4"/>
  <c r="V134" i="4"/>
  <c r="V197" i="4" s="1"/>
  <c r="V161" i="4"/>
  <c r="V224" i="4"/>
  <c r="V175" i="4"/>
  <c r="V238" i="4" s="1"/>
  <c r="V135" i="4"/>
  <c r="V198" i="4" s="1"/>
  <c r="V143" i="4"/>
  <c r="V206" i="4"/>
  <c r="V177" i="4"/>
  <c r="V240" i="4"/>
  <c r="V157" i="4"/>
  <c r="V220" i="4" s="1"/>
  <c r="V148" i="4"/>
  <c r="V211" i="4"/>
  <c r="V174" i="4"/>
  <c r="V237" i="4" s="1"/>
  <c r="V145" i="4"/>
  <c r="V208" i="4" s="1"/>
  <c r="V147" i="4"/>
  <c r="V210" i="4" s="1"/>
  <c r="V164" i="4"/>
  <c r="V227" i="4"/>
  <c r="V141" i="4"/>
  <c r="V204" i="4"/>
  <c r="V176" i="4"/>
  <c r="V239" i="4" s="1"/>
  <c r="V178" i="4"/>
  <c r="V241" i="4"/>
  <c r="V173" i="4"/>
  <c r="V236" i="4" s="1"/>
  <c r="V184" i="4"/>
  <c r="V247" i="4" s="1"/>
  <c r="V179" i="4"/>
  <c r="V242" i="4"/>
  <c r="V152" i="4"/>
  <c r="V215" i="4" s="1"/>
  <c r="V133" i="4"/>
  <c r="V196" i="4"/>
  <c r="V160" i="4"/>
  <c r="V223" i="4" s="1"/>
  <c r="V185" i="4"/>
  <c r="V248" i="4"/>
  <c r="V154" i="4"/>
  <c r="V217" i="4"/>
  <c r="V151" i="4"/>
  <c r="V214" i="4"/>
  <c r="V183" i="4"/>
  <c r="V246" i="4" s="1"/>
  <c r="X69" i="4"/>
  <c r="V62" i="4"/>
  <c r="W37" i="4"/>
  <c r="W289" i="4" s="1"/>
  <c r="W352" i="4" s="1"/>
  <c r="W52" i="4"/>
  <c r="W304" i="4" s="1"/>
  <c r="W367" i="4" s="1"/>
  <c r="W38" i="4"/>
  <c r="W290" i="4" s="1"/>
  <c r="W353" i="4" s="1"/>
  <c r="W7" i="4"/>
  <c r="W259" i="4" s="1"/>
  <c r="W322" i="4" s="1"/>
  <c r="W36" i="4"/>
  <c r="W288" i="4" s="1"/>
  <c r="W351" i="4" s="1"/>
  <c r="W40" i="4"/>
  <c r="W292" i="4" s="1"/>
  <c r="W355" i="4" s="1"/>
  <c r="W31" i="4"/>
  <c r="W283" i="4" s="1"/>
  <c r="W346" i="4" s="1"/>
  <c r="W47" i="4"/>
  <c r="W299" i="4" s="1"/>
  <c r="W362" i="4" s="1"/>
  <c r="W50" i="4"/>
  <c r="W302" i="4" s="1"/>
  <c r="W365" i="4" s="1"/>
  <c r="W21" i="4"/>
  <c r="W273" i="4" s="1"/>
  <c r="W336" i="4" s="1"/>
  <c r="W13" i="4"/>
  <c r="W265" i="4" s="1"/>
  <c r="W328" i="4" s="1"/>
  <c r="W26" i="4"/>
  <c r="W278" i="4" s="1"/>
  <c r="W341" i="4" s="1"/>
  <c r="W16" i="4"/>
  <c r="W268" i="4" s="1"/>
  <c r="W331" i="4" s="1"/>
  <c r="W17" i="4"/>
  <c r="W269" i="4" s="1"/>
  <c r="W332" i="4" s="1"/>
  <c r="W48" i="4"/>
  <c r="W300" i="4" s="1"/>
  <c r="W363" i="4" s="1"/>
  <c r="W55" i="4"/>
  <c r="W307" i="4" s="1"/>
  <c r="W370" i="4" s="1"/>
  <c r="W45" i="4"/>
  <c r="W297" i="4" s="1"/>
  <c r="W360" i="4" s="1"/>
  <c r="W54" i="4"/>
  <c r="W306" i="4" s="1"/>
  <c r="W369" i="4" s="1"/>
  <c r="W41" i="4"/>
  <c r="W293" i="4" s="1"/>
  <c r="W356" i="4" s="1"/>
  <c r="W43" i="4"/>
  <c r="W295" i="4" s="1"/>
  <c r="W358" i="4" s="1"/>
  <c r="W49" i="4"/>
  <c r="W301" i="4" s="1"/>
  <c r="W364" i="4" s="1"/>
  <c r="W56" i="4"/>
  <c r="W308" i="4" s="1"/>
  <c r="W371" i="4" s="1"/>
  <c r="W11" i="4"/>
  <c r="W263" i="4" s="1"/>
  <c r="W326" i="4" s="1"/>
  <c r="W44" i="4"/>
  <c r="W296" i="4" s="1"/>
  <c r="W359" i="4" s="1"/>
  <c r="W22" i="4"/>
  <c r="W274" i="4" s="1"/>
  <c r="W337" i="4" s="1"/>
  <c r="W39" i="4"/>
  <c r="W291" i="4" s="1"/>
  <c r="W354" i="4" s="1"/>
  <c r="W30" i="4"/>
  <c r="W282" i="4" s="1"/>
  <c r="W345" i="4" s="1"/>
  <c r="W14" i="4"/>
  <c r="W266" i="4" s="1"/>
  <c r="W329" i="4" s="1"/>
  <c r="W15" i="4"/>
  <c r="W267" i="4" s="1"/>
  <c r="W330" i="4" s="1"/>
  <c r="W10" i="4"/>
  <c r="W262" i="4" s="1"/>
  <c r="W325" i="4" s="1"/>
  <c r="W58" i="4"/>
  <c r="W310" i="4" s="1"/>
  <c r="W373" i="4" s="1"/>
  <c r="W32" i="4"/>
  <c r="W284" i="4" s="1"/>
  <c r="W347" i="4" s="1"/>
  <c r="W25" i="4"/>
  <c r="W277" i="4" s="1"/>
  <c r="W340" i="4" s="1"/>
  <c r="W34" i="4"/>
  <c r="W286" i="4" s="1"/>
  <c r="W349" i="4" s="1"/>
  <c r="W53" i="4"/>
  <c r="W305" i="4" s="1"/>
  <c r="W368" i="4" s="1"/>
  <c r="W57" i="4"/>
  <c r="W309" i="4" s="1"/>
  <c r="W372" i="4" s="1"/>
  <c r="W9" i="4"/>
  <c r="W261" i="4" s="1"/>
  <c r="W324" i="4" s="1"/>
  <c r="W59" i="4"/>
  <c r="W311" i="4" s="1"/>
  <c r="W374" i="4" s="1"/>
  <c r="W42" i="4"/>
  <c r="W294" i="4" s="1"/>
  <c r="W357" i="4" s="1"/>
  <c r="W28" i="4"/>
  <c r="W280" i="4" s="1"/>
  <c r="W343" i="4" s="1"/>
  <c r="W29" i="4"/>
  <c r="W281" i="4" s="1"/>
  <c r="W344" i="4" s="1"/>
  <c r="W60" i="4"/>
  <c r="W312" i="4" s="1"/>
  <c r="W375" i="4" s="1"/>
  <c r="W8" i="4"/>
  <c r="W260" i="4" s="1"/>
  <c r="W323" i="4" s="1"/>
  <c r="W24" i="4"/>
  <c r="W276" i="4" s="1"/>
  <c r="W339" i="4" s="1"/>
  <c r="W20" i="4"/>
  <c r="W272" i="4" s="1"/>
  <c r="W335" i="4" s="1"/>
  <c r="W27" i="4"/>
  <c r="W279" i="4" s="1"/>
  <c r="W342" i="4" s="1"/>
  <c r="X6" i="4"/>
  <c r="W19" i="4"/>
  <c r="W271" i="4" s="1"/>
  <c r="W334" i="4" s="1"/>
  <c r="W35" i="4"/>
  <c r="W287" i="4" s="1"/>
  <c r="W350" i="4" s="1"/>
  <c r="W33" i="4"/>
  <c r="W285" i="4" s="1"/>
  <c r="W348" i="4" s="1"/>
  <c r="W51" i="4"/>
  <c r="W303" i="4" s="1"/>
  <c r="W366" i="4" s="1"/>
  <c r="W46" i="4"/>
  <c r="W298" i="4" s="1"/>
  <c r="W361" i="4" s="1"/>
  <c r="W61" i="4"/>
  <c r="W313" i="4" s="1"/>
  <c r="W376" i="4" s="1"/>
  <c r="W12" i="4"/>
  <c r="W264" i="4" s="1"/>
  <c r="W327" i="4" s="1"/>
  <c r="W18" i="4"/>
  <c r="W270" i="4" s="1"/>
  <c r="W333" i="4" s="1"/>
  <c r="W23" i="4"/>
  <c r="W275" i="4" s="1"/>
  <c r="W338" i="4" s="1"/>
  <c r="V125" i="4"/>
  <c r="B681" i="2"/>
  <c r="C681" i="2" s="1"/>
  <c r="B688" i="2"/>
  <c r="C688" i="2" s="1"/>
  <c r="B677" i="2"/>
  <c r="C677" i="2" s="1"/>
  <c r="B695" i="2"/>
  <c r="C695" i="2" s="1"/>
  <c r="B694" i="2"/>
  <c r="C694" i="2" s="1"/>
  <c r="B683" i="2"/>
  <c r="C683" i="2" s="1"/>
  <c r="B686" i="2"/>
  <c r="C686" i="2" s="1"/>
  <c r="B691" i="2"/>
  <c r="C691" i="2" s="1"/>
  <c r="B669" i="2"/>
  <c r="C669" i="2" s="1"/>
  <c r="B663" i="2"/>
  <c r="C663" i="2" s="1"/>
  <c r="B656" i="2"/>
  <c r="B676" i="2"/>
  <c r="C676" i="2" s="1"/>
  <c r="B654" i="2"/>
  <c r="B685" i="2"/>
  <c r="C685" i="2" s="1"/>
  <c r="B668" i="2"/>
  <c r="C668" i="2" s="1"/>
  <c r="B653" i="2"/>
  <c r="B659" i="2"/>
  <c r="C659" i="2" s="1"/>
  <c r="B672" i="2"/>
  <c r="C672" i="2" s="1"/>
  <c r="B680" i="2"/>
  <c r="C680" i="2" s="1"/>
  <c r="B666" i="2"/>
  <c r="C666" i="2" s="1"/>
  <c r="B664" i="2"/>
  <c r="C664" i="2" s="1"/>
  <c r="B661" i="2"/>
  <c r="C661" i="2" s="1"/>
  <c r="B678" i="2"/>
  <c r="C678" i="2" s="1"/>
  <c r="B689" i="2"/>
  <c r="C689" i="2" s="1"/>
  <c r="B692" i="2"/>
  <c r="C692" i="2" s="1"/>
  <c r="B670" i="2"/>
  <c r="C670" i="2" s="1"/>
  <c r="B674" i="2"/>
  <c r="C674" i="2" s="1"/>
  <c r="B655" i="2"/>
  <c r="B665" i="2"/>
  <c r="C665" i="2" s="1"/>
  <c r="B660" i="2"/>
  <c r="C660" i="2" s="1"/>
  <c r="B651" i="2"/>
  <c r="B693" i="2"/>
  <c r="C693" i="2" s="1"/>
  <c r="B679" i="2"/>
  <c r="C679" i="2" s="1"/>
  <c r="B675" i="2"/>
  <c r="C675" i="2" s="1"/>
  <c r="B657" i="2"/>
  <c r="B673" i="2"/>
  <c r="C673" i="2" s="1"/>
  <c r="B687" i="2"/>
  <c r="C687" i="2" s="1"/>
  <c r="B690" i="2"/>
  <c r="C690" i="2" s="1"/>
  <c r="B662" i="2"/>
  <c r="C662" i="2" s="1"/>
  <c r="B682" i="2"/>
  <c r="C682" i="2" s="1"/>
  <c r="B658" i="2"/>
  <c r="C658" i="2" s="1"/>
  <c r="B667" i="2"/>
  <c r="C667" i="2" s="1"/>
  <c r="B671" i="2"/>
  <c r="C671" i="2" s="1"/>
  <c r="B652" i="2"/>
  <c r="B684" i="2"/>
  <c r="C684" i="2" s="1"/>
  <c r="AB66" i="9" l="1"/>
  <c r="AA96" i="9"/>
  <c r="AC116" i="9"/>
  <c r="AB146" i="9"/>
  <c r="AA213" i="9"/>
  <c r="AB211" i="9"/>
  <c r="Z266" i="9"/>
  <c r="Y296" i="9"/>
  <c r="AC113" i="9"/>
  <c r="AD111" i="9"/>
  <c r="AD113" i="9" s="1"/>
  <c r="AD61" i="9"/>
  <c r="AC63" i="9"/>
  <c r="Z263" i="9"/>
  <c r="AA261" i="9"/>
  <c r="AB163" i="9"/>
  <c r="AC161" i="9"/>
  <c r="AA216" i="9"/>
  <c r="Z246" i="9"/>
  <c r="AB166" i="9"/>
  <c r="AA196" i="9"/>
  <c r="H94" i="1"/>
  <c r="H100" i="1" s="1"/>
  <c r="H117" i="1" s="1"/>
  <c r="L73" i="1"/>
  <c r="L158" i="1"/>
  <c r="L169" i="1" s="1"/>
  <c r="L179" i="1" s="1"/>
  <c r="K73" i="1"/>
  <c r="K158" i="1"/>
  <c r="K169" i="1" s="1"/>
  <c r="K179" i="1" s="1"/>
  <c r="M163" i="1"/>
  <c r="I114" i="1"/>
  <c r="I116" i="1" s="1"/>
  <c r="M127" i="1"/>
  <c r="N163" i="1"/>
  <c r="W377" i="4"/>
  <c r="V377" i="4"/>
  <c r="P122" i="1"/>
  <c r="O122" i="1"/>
  <c r="T683" i="2"/>
  <c r="T1118" i="2"/>
  <c r="T1129" i="2"/>
  <c r="T1130" i="2" s="1"/>
  <c r="AF676" i="2"/>
  <c r="AF677" i="2" s="1"/>
  <c r="R688" i="2"/>
  <c r="S971" i="2"/>
  <c r="S982" i="2"/>
  <c r="S1118" i="2"/>
  <c r="S1129" i="2"/>
  <c r="AF1117" i="2"/>
  <c r="AF1118" i="2" s="1"/>
  <c r="R1129" i="2"/>
  <c r="S677" i="2"/>
  <c r="S688" i="2"/>
  <c r="S689" i="2" s="1"/>
  <c r="AF970" i="2"/>
  <c r="AF971" i="2" s="1"/>
  <c r="R982" i="2"/>
  <c r="AF737" i="2"/>
  <c r="AF738" i="2" s="1"/>
  <c r="T1115" i="2"/>
  <c r="T1112" i="2"/>
  <c r="T671" i="2"/>
  <c r="T962" i="2"/>
  <c r="T674" i="2"/>
  <c r="U518" i="2"/>
  <c r="T680" i="2"/>
  <c r="T974" i="2"/>
  <c r="U521" i="2"/>
  <c r="T970" i="2"/>
  <c r="T977" i="2"/>
  <c r="M54" i="1"/>
  <c r="S725" i="2"/>
  <c r="S717" i="2"/>
  <c r="S732" i="2"/>
  <c r="S723" i="2"/>
  <c r="R677" i="2"/>
  <c r="S714" i="2"/>
  <c r="T723" i="2"/>
  <c r="U533" i="2"/>
  <c r="T720" i="2"/>
  <c r="U529" i="2"/>
  <c r="T1124" i="2"/>
  <c r="S720" i="2"/>
  <c r="T676" i="2"/>
  <c r="T717" i="2"/>
  <c r="U527" i="2"/>
  <c r="T725" i="2"/>
  <c r="T714" i="2"/>
  <c r="U524" i="2"/>
  <c r="T1121" i="2"/>
  <c r="R1118" i="2"/>
  <c r="T959" i="2"/>
  <c r="S729" i="2"/>
  <c r="T968" i="2"/>
  <c r="T1109" i="2"/>
  <c r="T1106" i="2"/>
  <c r="T729" i="2"/>
  <c r="U664" i="2"/>
  <c r="U713" i="2"/>
  <c r="V517" i="2"/>
  <c r="V529" i="2" s="1"/>
  <c r="U1105" i="2"/>
  <c r="T668" i="2"/>
  <c r="U958" i="2"/>
  <c r="U959" i="2" s="1"/>
  <c r="AF683" i="2"/>
  <c r="AF977" i="2"/>
  <c r="AF1124" i="2"/>
  <c r="R971" i="2"/>
  <c r="AF1115" i="2"/>
  <c r="AF1121" i="2"/>
  <c r="AF968" i="2"/>
  <c r="AF974" i="2"/>
  <c r="AF674" i="2"/>
  <c r="AF680" i="2"/>
  <c r="AF962" i="2"/>
  <c r="AF965" i="2"/>
  <c r="AF1109" i="2"/>
  <c r="AF1112" i="2"/>
  <c r="AF668" i="2"/>
  <c r="AF671" i="2"/>
  <c r="P21" i="1"/>
  <c r="P26" i="1"/>
  <c r="P45" i="1"/>
  <c r="P18" i="1"/>
  <c r="P24" i="1"/>
  <c r="P57" i="1"/>
  <c r="P15" i="1"/>
  <c r="D15" i="8" s="1"/>
  <c r="P30" i="1"/>
  <c r="P33" i="1"/>
  <c r="O18" i="1"/>
  <c r="O24" i="1"/>
  <c r="O30" i="1"/>
  <c r="O45" i="1"/>
  <c r="O26" i="1"/>
  <c r="O38" i="1" s="1"/>
  <c r="O21" i="1"/>
  <c r="O51" i="1"/>
  <c r="O42" i="1"/>
  <c r="O33" i="1"/>
  <c r="AC14" i="1"/>
  <c r="AC14" i="8" s="1"/>
  <c r="AD15" i="8" s="1"/>
  <c r="O57" i="1"/>
  <c r="N54" i="1"/>
  <c r="N66" i="1"/>
  <c r="N70" i="1" s="1"/>
  <c r="W707" i="2"/>
  <c r="V709" i="2"/>
  <c r="W1099" i="2"/>
  <c r="V1101" i="2"/>
  <c r="V1103" i="2" s="1"/>
  <c r="V1133" i="2" s="1"/>
  <c r="W952" i="2"/>
  <c r="V954" i="2"/>
  <c r="V956" i="2" s="1"/>
  <c r="V986" i="2" s="1"/>
  <c r="X511" i="2"/>
  <c r="W513" i="2"/>
  <c r="W515" i="2" s="1"/>
  <c r="W545" i="2" s="1"/>
  <c r="W658" i="2"/>
  <c r="V660" i="2"/>
  <c r="V662" i="2" s="1"/>
  <c r="V692" i="2" s="1"/>
  <c r="W314" i="4"/>
  <c r="V188" i="4"/>
  <c r="W166" i="4"/>
  <c r="W229" i="4" s="1"/>
  <c r="W178" i="4"/>
  <c r="W241" i="4" s="1"/>
  <c r="W170" i="4"/>
  <c r="W233" i="4"/>
  <c r="W163" i="4"/>
  <c r="W226" i="4" s="1"/>
  <c r="W134" i="4"/>
  <c r="W197" i="4" s="1"/>
  <c r="W167" i="4"/>
  <c r="W230" i="4" s="1"/>
  <c r="W171" i="4"/>
  <c r="W234" i="4"/>
  <c r="W146" i="4"/>
  <c r="W209" i="4" s="1"/>
  <c r="W154" i="4"/>
  <c r="W217" i="4"/>
  <c r="W162" i="4"/>
  <c r="W225" i="4" s="1"/>
  <c r="W169" i="4"/>
  <c r="W232" i="4" s="1"/>
  <c r="W144" i="4"/>
  <c r="W207" i="4"/>
  <c r="W165" i="4"/>
  <c r="W228" i="4"/>
  <c r="W142" i="4"/>
  <c r="W205" i="4"/>
  <c r="W133" i="4"/>
  <c r="W196" i="4"/>
  <c r="W155" i="4"/>
  <c r="W218" i="4" s="1"/>
  <c r="W181" i="4"/>
  <c r="W244" i="4"/>
  <c r="W153" i="4"/>
  <c r="W216" i="4"/>
  <c r="W137" i="4"/>
  <c r="W200" i="4" s="1"/>
  <c r="W149" i="4"/>
  <c r="W212" i="4" s="1"/>
  <c r="V251" i="4"/>
  <c r="W164" i="4"/>
  <c r="W227" i="4" s="1"/>
  <c r="W168" i="4"/>
  <c r="W231" i="4"/>
  <c r="W135" i="4"/>
  <c r="W198" i="4" s="1"/>
  <c r="W183" i="4"/>
  <c r="W246" i="4"/>
  <c r="W179" i="4"/>
  <c r="W242" i="4" s="1"/>
  <c r="W143" i="4"/>
  <c r="W206" i="4" s="1"/>
  <c r="W172" i="4"/>
  <c r="W235" i="4"/>
  <c r="W184" i="4"/>
  <c r="W247" i="4"/>
  <c r="W139" i="4"/>
  <c r="W202" i="4"/>
  <c r="W159" i="4"/>
  <c r="W222" i="4" s="1"/>
  <c r="W136" i="4"/>
  <c r="W199" i="4" s="1"/>
  <c r="W147" i="4"/>
  <c r="W210" i="4" s="1"/>
  <c r="W175" i="4"/>
  <c r="W238" i="4"/>
  <c r="W185" i="4"/>
  <c r="W248" i="4" s="1"/>
  <c r="W174" i="4"/>
  <c r="W237" i="4"/>
  <c r="W187" i="4"/>
  <c r="W250" i="4" s="1"/>
  <c r="W158" i="4"/>
  <c r="W221" i="4" s="1"/>
  <c r="W161" i="4"/>
  <c r="W224" i="4" s="1"/>
  <c r="W141" i="4"/>
  <c r="W204" i="4" s="1"/>
  <c r="W176" i="4"/>
  <c r="W239" i="4" s="1"/>
  <c r="W150" i="4"/>
  <c r="W213" i="4" s="1"/>
  <c r="W186" i="4"/>
  <c r="W249" i="4" s="1"/>
  <c r="W160" i="4"/>
  <c r="W223" i="4"/>
  <c r="W145" i="4"/>
  <c r="W208" i="4" s="1"/>
  <c r="W140" i="4"/>
  <c r="W203" i="4"/>
  <c r="W173" i="4"/>
  <c r="W236" i="4" s="1"/>
  <c r="W148" i="4"/>
  <c r="W211" i="4"/>
  <c r="W182" i="4"/>
  <c r="W245" i="4"/>
  <c r="W180" i="4"/>
  <c r="W243" i="4" s="1"/>
  <c r="W138" i="4"/>
  <c r="W201" i="4" s="1"/>
  <c r="W151" i="4"/>
  <c r="W214" i="4" s="1"/>
  <c r="W152" i="4"/>
  <c r="W215" i="4" s="1"/>
  <c r="W177" i="4"/>
  <c r="W240" i="4" s="1"/>
  <c r="W156" i="4"/>
  <c r="W219" i="4"/>
  <c r="W157" i="4"/>
  <c r="W220" i="4" s="1"/>
  <c r="Y69" i="4"/>
  <c r="W62" i="4"/>
  <c r="W125" i="4"/>
  <c r="X7" i="4"/>
  <c r="X259" i="4" s="1"/>
  <c r="X322" i="4" s="1"/>
  <c r="X38" i="4"/>
  <c r="X290" i="4" s="1"/>
  <c r="X353" i="4" s="1"/>
  <c r="X43" i="4"/>
  <c r="X295" i="4" s="1"/>
  <c r="X358" i="4" s="1"/>
  <c r="X25" i="4"/>
  <c r="X277" i="4" s="1"/>
  <c r="X340" i="4" s="1"/>
  <c r="X55" i="4"/>
  <c r="X307" i="4" s="1"/>
  <c r="Y307" i="4" s="1"/>
  <c r="Y370" i="4" s="1"/>
  <c r="X56" i="4"/>
  <c r="X308" i="4" s="1"/>
  <c r="X371" i="4" s="1"/>
  <c r="X60" i="4"/>
  <c r="X312" i="4" s="1"/>
  <c r="X13" i="4"/>
  <c r="X265" i="4" s="1"/>
  <c r="X328" i="4" s="1"/>
  <c r="X51" i="4"/>
  <c r="X303" i="4" s="1"/>
  <c r="X366" i="4" s="1"/>
  <c r="X53" i="4"/>
  <c r="X305" i="4" s="1"/>
  <c r="X368" i="4" s="1"/>
  <c r="X10" i="4"/>
  <c r="X262" i="4" s="1"/>
  <c r="X325" i="4" s="1"/>
  <c r="X41" i="4"/>
  <c r="X293" i="4" s="1"/>
  <c r="X356" i="4" s="1"/>
  <c r="X26" i="4"/>
  <c r="X278" i="4" s="1"/>
  <c r="X341" i="4" s="1"/>
  <c r="X23" i="4"/>
  <c r="X275" i="4" s="1"/>
  <c r="X338" i="4" s="1"/>
  <c r="X31" i="4"/>
  <c r="X283" i="4" s="1"/>
  <c r="X346" i="4" s="1"/>
  <c r="X28" i="4"/>
  <c r="X280" i="4" s="1"/>
  <c r="X343" i="4" s="1"/>
  <c r="X20" i="4"/>
  <c r="X272" i="4" s="1"/>
  <c r="X335" i="4" s="1"/>
  <c r="X61" i="4"/>
  <c r="X313" i="4" s="1"/>
  <c r="X376" i="4" s="1"/>
  <c r="X46" i="4"/>
  <c r="X298" i="4" s="1"/>
  <c r="X361" i="4" s="1"/>
  <c r="X36" i="4"/>
  <c r="X288" i="4" s="1"/>
  <c r="X351" i="4" s="1"/>
  <c r="X48" i="4"/>
  <c r="X300" i="4" s="1"/>
  <c r="X363" i="4" s="1"/>
  <c r="X59" i="4"/>
  <c r="X311" i="4" s="1"/>
  <c r="X374" i="4" s="1"/>
  <c r="Y6" i="4"/>
  <c r="X54" i="4"/>
  <c r="X306" i="4" s="1"/>
  <c r="X369" i="4" s="1"/>
  <c r="X11" i="4"/>
  <c r="X263" i="4" s="1"/>
  <c r="X326" i="4" s="1"/>
  <c r="X52" i="4"/>
  <c r="X304" i="4" s="1"/>
  <c r="X367" i="4" s="1"/>
  <c r="X8" i="4"/>
  <c r="X260" i="4" s="1"/>
  <c r="X323" i="4" s="1"/>
  <c r="X17" i="4"/>
  <c r="X269" i="4" s="1"/>
  <c r="X332" i="4" s="1"/>
  <c r="X57" i="4"/>
  <c r="X309" i="4" s="1"/>
  <c r="X372" i="4" s="1"/>
  <c r="X49" i="4"/>
  <c r="X301" i="4" s="1"/>
  <c r="X364" i="4" s="1"/>
  <c r="X16" i="4"/>
  <c r="X268" i="4" s="1"/>
  <c r="X331" i="4" s="1"/>
  <c r="X44" i="4"/>
  <c r="X296" i="4" s="1"/>
  <c r="X359" i="4" s="1"/>
  <c r="X32" i="4"/>
  <c r="X284" i="4" s="1"/>
  <c r="X347" i="4" s="1"/>
  <c r="X27" i="4"/>
  <c r="X279" i="4" s="1"/>
  <c r="X342" i="4" s="1"/>
  <c r="X22" i="4"/>
  <c r="X274" i="4" s="1"/>
  <c r="X337" i="4" s="1"/>
  <c r="X58" i="4"/>
  <c r="X310" i="4" s="1"/>
  <c r="X12" i="4"/>
  <c r="X264" i="4" s="1"/>
  <c r="X327" i="4" s="1"/>
  <c r="X47" i="4"/>
  <c r="X299" i="4" s="1"/>
  <c r="X362" i="4" s="1"/>
  <c r="X39" i="4"/>
  <c r="X291" i="4" s="1"/>
  <c r="X354" i="4" s="1"/>
  <c r="X21" i="4"/>
  <c r="X273" i="4" s="1"/>
  <c r="X336" i="4" s="1"/>
  <c r="X29" i="4"/>
  <c r="X281" i="4" s="1"/>
  <c r="X344" i="4" s="1"/>
  <c r="X35" i="4"/>
  <c r="X287" i="4" s="1"/>
  <c r="X350" i="4" s="1"/>
  <c r="X14" i="4"/>
  <c r="X266" i="4" s="1"/>
  <c r="X329" i="4" s="1"/>
  <c r="X40" i="4"/>
  <c r="X292" i="4" s="1"/>
  <c r="X355" i="4" s="1"/>
  <c r="X42" i="4"/>
  <c r="X294" i="4" s="1"/>
  <c r="X357" i="4" s="1"/>
  <c r="X34" i="4"/>
  <c r="X286" i="4" s="1"/>
  <c r="X349" i="4" s="1"/>
  <c r="X15" i="4"/>
  <c r="X267" i="4" s="1"/>
  <c r="X330" i="4" s="1"/>
  <c r="X33" i="4"/>
  <c r="X285" i="4" s="1"/>
  <c r="X348" i="4" s="1"/>
  <c r="X19" i="4"/>
  <c r="X271" i="4" s="1"/>
  <c r="X334" i="4" s="1"/>
  <c r="X9" i="4"/>
  <c r="X261" i="4" s="1"/>
  <c r="X324" i="4" s="1"/>
  <c r="X50" i="4"/>
  <c r="X302" i="4" s="1"/>
  <c r="X365" i="4" s="1"/>
  <c r="X37" i="4"/>
  <c r="X289" i="4" s="1"/>
  <c r="X352" i="4" s="1"/>
  <c r="X30" i="4"/>
  <c r="X282" i="4" s="1"/>
  <c r="X345" i="4" s="1"/>
  <c r="X24" i="4"/>
  <c r="X276" i="4" s="1"/>
  <c r="X339" i="4" s="1"/>
  <c r="X18" i="4"/>
  <c r="X270" i="4" s="1"/>
  <c r="X333" i="4" s="1"/>
  <c r="X45" i="4"/>
  <c r="X297" i="4" s="1"/>
  <c r="X360" i="4" s="1"/>
  <c r="B744" i="2"/>
  <c r="C744" i="2" s="1"/>
  <c r="B735" i="2"/>
  <c r="C735" i="2" s="1"/>
  <c r="B723" i="2"/>
  <c r="C723" i="2" s="1"/>
  <c r="B710" i="2"/>
  <c r="C710" i="2" s="1"/>
  <c r="B733" i="2"/>
  <c r="C733" i="2" s="1"/>
  <c r="B721" i="2"/>
  <c r="C721" i="2" s="1"/>
  <c r="B743" i="2"/>
  <c r="C743" i="2" s="1"/>
  <c r="B728" i="2"/>
  <c r="C728" i="2" s="1"/>
  <c r="B718" i="2"/>
  <c r="C718" i="2" s="1"/>
  <c r="B711" i="2"/>
  <c r="C711" i="2" s="1"/>
  <c r="B736" i="2"/>
  <c r="C736" i="2" s="1"/>
  <c r="B738" i="2"/>
  <c r="C738" i="2" s="1"/>
  <c r="B715" i="2"/>
  <c r="C715" i="2" s="1"/>
  <c r="B704" i="2"/>
  <c r="B722" i="2"/>
  <c r="C722" i="2" s="1"/>
  <c r="B709" i="2"/>
  <c r="C709" i="2" s="1"/>
  <c r="B703" i="2"/>
  <c r="B741" i="2"/>
  <c r="C741" i="2" s="1"/>
  <c r="B742" i="2"/>
  <c r="C742" i="2" s="1"/>
  <c r="B731" i="2"/>
  <c r="C731" i="2" s="1"/>
  <c r="B720" i="2"/>
  <c r="C720" i="2" s="1"/>
  <c r="B732" i="2"/>
  <c r="C732" i="2" s="1"/>
  <c r="B730" i="2"/>
  <c r="C730" i="2" s="1"/>
  <c r="B734" i="2"/>
  <c r="C734" i="2" s="1"/>
  <c r="B729" i="2"/>
  <c r="C729" i="2" s="1"/>
  <c r="B708" i="2"/>
  <c r="C708" i="2" s="1"/>
  <c r="B726" i="2"/>
  <c r="C726" i="2" s="1"/>
  <c r="B739" i="2"/>
  <c r="C739" i="2" s="1"/>
  <c r="B714" i="2"/>
  <c r="C714" i="2" s="1"/>
  <c r="B702" i="2"/>
  <c r="B707" i="2"/>
  <c r="C707" i="2" s="1"/>
  <c r="B701" i="2"/>
  <c r="B706" i="2"/>
  <c r="B700" i="2"/>
  <c r="B719" i="2"/>
  <c r="C719" i="2" s="1"/>
  <c r="B712" i="2"/>
  <c r="C712" i="2" s="1"/>
  <c r="B717" i="2"/>
  <c r="C717" i="2" s="1"/>
  <c r="B737" i="2"/>
  <c r="C737" i="2" s="1"/>
  <c r="B705" i="2"/>
  <c r="B740" i="2"/>
  <c r="C740" i="2" s="1"/>
  <c r="B716" i="2"/>
  <c r="C716" i="2" s="1"/>
  <c r="B713" i="2"/>
  <c r="C713" i="2" s="1"/>
  <c r="B727" i="2"/>
  <c r="C727" i="2" s="1"/>
  <c r="B725" i="2"/>
  <c r="C725" i="2" s="1"/>
  <c r="B724" i="2"/>
  <c r="C724" i="2" s="1"/>
  <c r="D122" i="8" l="1"/>
  <c r="P136" i="1"/>
  <c r="D136" i="8" s="1"/>
  <c r="P136" i="8" s="1"/>
  <c r="AD63" i="9"/>
  <c r="AC163" i="9"/>
  <c r="AD161" i="9"/>
  <c r="AD163" i="9" s="1"/>
  <c r="AA266" i="9"/>
  <c r="Z296" i="9"/>
  <c r="AB216" i="9"/>
  <c r="AA246" i="9"/>
  <c r="AC166" i="9"/>
  <c r="AB196" i="9"/>
  <c r="AB213" i="9"/>
  <c r="AC211" i="9"/>
  <c r="AA263" i="9"/>
  <c r="AB261" i="9"/>
  <c r="AC146" i="9"/>
  <c r="AD116" i="9"/>
  <c r="AD146" i="9" s="1"/>
  <c r="AC66" i="9"/>
  <c r="AB96" i="9"/>
  <c r="O140" i="1"/>
  <c r="O135" i="1"/>
  <c r="O130" i="1"/>
  <c r="P140" i="1"/>
  <c r="D140" i="8" s="1"/>
  <c r="P135" i="1"/>
  <c r="D135" i="8" s="1"/>
  <c r="P135" i="8" s="1"/>
  <c r="P130" i="1"/>
  <c r="D130" i="8" s="1"/>
  <c r="P130" i="8" s="1"/>
  <c r="I94" i="1"/>
  <c r="I100" i="1" s="1"/>
  <c r="I117" i="1" s="1"/>
  <c r="J114" i="1"/>
  <c r="J116" i="1" s="1"/>
  <c r="O121" i="1"/>
  <c r="P121" i="1"/>
  <c r="D121" i="8" s="1"/>
  <c r="X373" i="4"/>
  <c r="P50" i="1"/>
  <c r="P51" i="1" s="1"/>
  <c r="P128" i="1"/>
  <c r="D128" i="8" s="1"/>
  <c r="Q128" i="1"/>
  <c r="E128" i="8" s="1"/>
  <c r="P42" i="1"/>
  <c r="X375" i="4"/>
  <c r="Q50" i="1"/>
  <c r="Q51" i="1" s="1"/>
  <c r="O163" i="1"/>
  <c r="AC163" i="1" s="1"/>
  <c r="AC163" i="8" s="1"/>
  <c r="N127" i="1"/>
  <c r="X370" i="4"/>
  <c r="Q122" i="1"/>
  <c r="R122" i="1"/>
  <c r="Q57" i="1"/>
  <c r="M62" i="1"/>
  <c r="M66" i="1"/>
  <c r="M70" i="1" s="1"/>
  <c r="N72" i="1"/>
  <c r="N67" i="1"/>
  <c r="P27" i="1"/>
  <c r="P38" i="1"/>
  <c r="P39" i="1" s="1"/>
  <c r="AF982" i="2"/>
  <c r="AF983" i="2" s="1"/>
  <c r="R983" i="2"/>
  <c r="S726" i="2"/>
  <c r="S737" i="2"/>
  <c r="AF1129" i="2"/>
  <c r="AF1130" i="2" s="1"/>
  <c r="R1130" i="2"/>
  <c r="S1130" i="2"/>
  <c r="T726" i="2"/>
  <c r="T737" i="2"/>
  <c r="T738" i="2" s="1"/>
  <c r="T971" i="2"/>
  <c r="T982" i="2"/>
  <c r="T983" i="2" s="1"/>
  <c r="S983" i="2"/>
  <c r="T677" i="2"/>
  <c r="T688" i="2"/>
  <c r="T689" i="2" s="1"/>
  <c r="V530" i="2"/>
  <c r="V541" i="2"/>
  <c r="V542" i="2" s="1"/>
  <c r="AF688" i="2"/>
  <c r="AF689" i="2" s="1"/>
  <c r="R689" i="2"/>
  <c r="U530" i="2"/>
  <c r="U541" i="2"/>
  <c r="U542" i="2" s="1"/>
  <c r="Q15" i="1"/>
  <c r="E15" i="8" s="1"/>
  <c r="Q24" i="1"/>
  <c r="Q45" i="1"/>
  <c r="Q42" i="1"/>
  <c r="Q26" i="1"/>
  <c r="Q18" i="1"/>
  <c r="Q30" i="1"/>
  <c r="Q33" i="1"/>
  <c r="Q21" i="1"/>
  <c r="U683" i="2"/>
  <c r="U676" i="2"/>
  <c r="U668" i="2"/>
  <c r="U674" i="2"/>
  <c r="U671" i="2"/>
  <c r="U665" i="2"/>
  <c r="U680" i="2"/>
  <c r="U714" i="2"/>
  <c r="U1106" i="2"/>
  <c r="U720" i="2"/>
  <c r="U717" i="2"/>
  <c r="U732" i="2"/>
  <c r="U729" i="2"/>
  <c r="U1124" i="2"/>
  <c r="V527" i="2"/>
  <c r="U974" i="2"/>
  <c r="V524" i="2"/>
  <c r="U970" i="2"/>
  <c r="V536" i="2"/>
  <c r="U725" i="2"/>
  <c r="U723" i="2"/>
  <c r="U1121" i="2"/>
  <c r="V521" i="2"/>
  <c r="V518" i="2"/>
  <c r="U1117" i="2"/>
  <c r="U1109" i="2"/>
  <c r="V1105" i="2"/>
  <c r="V1117" i="2" s="1"/>
  <c r="V664" i="2"/>
  <c r="V671" i="2" s="1"/>
  <c r="U968" i="2"/>
  <c r="U965" i="2"/>
  <c r="U962" i="2"/>
  <c r="U1115" i="2"/>
  <c r="V533" i="2"/>
  <c r="U977" i="2"/>
  <c r="W517" i="2"/>
  <c r="V958" i="2"/>
  <c r="V970" i="2" s="1"/>
  <c r="U1112" i="2"/>
  <c r="R26" i="1"/>
  <c r="R38" i="1" s="1"/>
  <c r="R33" i="1"/>
  <c r="R15" i="1"/>
  <c r="F15" i="8" s="1"/>
  <c r="R21" i="1"/>
  <c r="R24" i="1"/>
  <c r="R30" i="1"/>
  <c r="R45" i="1"/>
  <c r="R18" i="1"/>
  <c r="R57" i="1"/>
  <c r="N62" i="1"/>
  <c r="AC42" i="1"/>
  <c r="AC42" i="8" s="1"/>
  <c r="AC45" i="1"/>
  <c r="AC45" i="8" s="1"/>
  <c r="AC18" i="1"/>
  <c r="AC18" i="8" s="1"/>
  <c r="AC21" i="1"/>
  <c r="AC21" i="8" s="1"/>
  <c r="AC33" i="1"/>
  <c r="AC33" i="8" s="1"/>
  <c r="AC30" i="1"/>
  <c r="AC30" i="8" s="1"/>
  <c r="AC24" i="1"/>
  <c r="AC24" i="8" s="1"/>
  <c r="AC51" i="1"/>
  <c r="AC51" i="8" s="1"/>
  <c r="AC57" i="1"/>
  <c r="AC57" i="8" s="1"/>
  <c r="O27" i="1"/>
  <c r="AC26" i="1"/>
  <c r="V711" i="2"/>
  <c r="V741" i="2" s="1"/>
  <c r="X707" i="2"/>
  <c r="W709" i="2"/>
  <c r="W711" i="2" s="1"/>
  <c r="W741" i="2" s="1"/>
  <c r="Y511" i="2"/>
  <c r="X513" i="2"/>
  <c r="X515" i="2" s="1"/>
  <c r="X545" i="2" s="1"/>
  <c r="X952" i="2"/>
  <c r="W954" i="2"/>
  <c r="W956" i="2" s="1"/>
  <c r="W986" i="2" s="1"/>
  <c r="X1099" i="2"/>
  <c r="W1101" i="2"/>
  <c r="W1103" i="2" s="1"/>
  <c r="W1133" i="2" s="1"/>
  <c r="X658" i="2"/>
  <c r="W660" i="2"/>
  <c r="W662" i="2" s="1"/>
  <c r="W692" i="2" s="1"/>
  <c r="X314" i="4"/>
  <c r="X151" i="4"/>
  <c r="X214" i="4" s="1"/>
  <c r="X180" i="4"/>
  <c r="X243" i="4"/>
  <c r="X172" i="4"/>
  <c r="X235" i="4" s="1"/>
  <c r="X147" i="4"/>
  <c r="X210" i="4"/>
  <c r="X187" i="4"/>
  <c r="X250" i="4"/>
  <c r="X165" i="4"/>
  <c r="X228" i="4" s="1"/>
  <c r="X164" i="4"/>
  <c r="X227" i="4" s="1"/>
  <c r="X171" i="4"/>
  <c r="X234" i="4" s="1"/>
  <c r="W251" i="4"/>
  <c r="X185" i="4"/>
  <c r="X248" i="4"/>
  <c r="X173" i="4"/>
  <c r="X236" i="4" s="1"/>
  <c r="X154" i="4"/>
  <c r="X217" i="4" s="1"/>
  <c r="X156" i="4"/>
  <c r="X219" i="4" s="1"/>
  <c r="X166" i="4"/>
  <c r="X229" i="4" s="1"/>
  <c r="X140" i="4"/>
  <c r="X203" i="4" s="1"/>
  <c r="X161" i="4"/>
  <c r="X224" i="4" s="1"/>
  <c r="X146" i="4"/>
  <c r="X209" i="4" s="1"/>
  <c r="X184" i="4"/>
  <c r="X247" i="4" s="1"/>
  <c r="X157" i="4"/>
  <c r="X220" i="4"/>
  <c r="X167" i="4"/>
  <c r="X230" i="4"/>
  <c r="X150" i="4"/>
  <c r="X213" i="4" s="1"/>
  <c r="X136" i="4"/>
  <c r="X199" i="4" s="1"/>
  <c r="X133" i="4"/>
  <c r="X196" i="4"/>
  <c r="W188" i="4"/>
  <c r="X144" i="4"/>
  <c r="X207" i="4" s="1"/>
  <c r="X149" i="4"/>
  <c r="X212" i="4" s="1"/>
  <c r="X135" i="4"/>
  <c r="X198" i="4" s="1"/>
  <c r="X169" i="4"/>
  <c r="X232" i="4" s="1"/>
  <c r="X153" i="4"/>
  <c r="X216" i="4" s="1"/>
  <c r="X170" i="4"/>
  <c r="X233" i="4"/>
  <c r="X139" i="4"/>
  <c r="X202" i="4"/>
  <c r="X162" i="4"/>
  <c r="X225" i="4"/>
  <c r="X152" i="4"/>
  <c r="X215" i="4" s="1"/>
  <c r="X175" i="4"/>
  <c r="X238" i="4" s="1"/>
  <c r="X183" i="4"/>
  <c r="X246" i="4" s="1"/>
  <c r="X143" i="4"/>
  <c r="X206" i="4" s="1"/>
  <c r="X141" i="4"/>
  <c r="X204" i="4" s="1"/>
  <c r="X134" i="4"/>
  <c r="X197" i="4"/>
  <c r="X186" i="4"/>
  <c r="X249" i="4" s="1"/>
  <c r="X155" i="4"/>
  <c r="X218" i="4" s="1"/>
  <c r="X158" i="4"/>
  <c r="X221" i="4"/>
  <c r="X163" i="4"/>
  <c r="X226" i="4"/>
  <c r="X176" i="4"/>
  <c r="X239" i="4" s="1"/>
  <c r="X177" i="4"/>
  <c r="X240" i="4"/>
  <c r="X159" i="4"/>
  <c r="X222" i="4" s="1"/>
  <c r="X160" i="4"/>
  <c r="X223" i="4" s="1"/>
  <c r="X178" i="4"/>
  <c r="X241" i="4"/>
  <c r="X182" i="4"/>
  <c r="X245" i="4"/>
  <c r="X174" i="4"/>
  <c r="X237" i="4" s="1"/>
  <c r="X138" i="4"/>
  <c r="X201" i="4"/>
  <c r="X148" i="4"/>
  <c r="X211" i="4"/>
  <c r="X142" i="4"/>
  <c r="X205" i="4"/>
  <c r="X179" i="4"/>
  <c r="X242" i="4" s="1"/>
  <c r="X145" i="4"/>
  <c r="X208" i="4"/>
  <c r="X168" i="4"/>
  <c r="X231" i="4"/>
  <c r="X137" i="4"/>
  <c r="X200" i="4" s="1"/>
  <c r="X181" i="4"/>
  <c r="X244" i="4"/>
  <c r="Z69" i="4"/>
  <c r="X62" i="4"/>
  <c r="Y41" i="4"/>
  <c r="Y293" i="4" s="1"/>
  <c r="Y356" i="4" s="1"/>
  <c r="Y55" i="4"/>
  <c r="Y10" i="4"/>
  <c r="Y262" i="4" s="1"/>
  <c r="Y325" i="4" s="1"/>
  <c r="Y36" i="4"/>
  <c r="Y288" i="4" s="1"/>
  <c r="Y351" i="4" s="1"/>
  <c r="Y48" i="4"/>
  <c r="Y300" i="4" s="1"/>
  <c r="Y363" i="4" s="1"/>
  <c r="Y12" i="4"/>
  <c r="Y264" i="4" s="1"/>
  <c r="Y327" i="4" s="1"/>
  <c r="Y31" i="4"/>
  <c r="Y283" i="4" s="1"/>
  <c r="Y346" i="4" s="1"/>
  <c r="Y22" i="4"/>
  <c r="Y274" i="4" s="1"/>
  <c r="Y337" i="4" s="1"/>
  <c r="Y9" i="4"/>
  <c r="Y261" i="4" s="1"/>
  <c r="Y324" i="4" s="1"/>
  <c r="Y16" i="4"/>
  <c r="Y268" i="4" s="1"/>
  <c r="Y331" i="4" s="1"/>
  <c r="Y25" i="4"/>
  <c r="Y277" i="4" s="1"/>
  <c r="Y340" i="4" s="1"/>
  <c r="Y11" i="4"/>
  <c r="Y263" i="4" s="1"/>
  <c r="Y326" i="4" s="1"/>
  <c r="Y14" i="4"/>
  <c r="Y266" i="4" s="1"/>
  <c r="Y329" i="4" s="1"/>
  <c r="Y26" i="4"/>
  <c r="Y278" i="4" s="1"/>
  <c r="Y341" i="4" s="1"/>
  <c r="Y40" i="4"/>
  <c r="Y292" i="4" s="1"/>
  <c r="Y355" i="4" s="1"/>
  <c r="Y28" i="4"/>
  <c r="Y280" i="4" s="1"/>
  <c r="Y343" i="4" s="1"/>
  <c r="Y21" i="4"/>
  <c r="Y273" i="4" s="1"/>
  <c r="Y336" i="4" s="1"/>
  <c r="Y15" i="4"/>
  <c r="Y267" i="4" s="1"/>
  <c r="Y330" i="4" s="1"/>
  <c r="Y17" i="4"/>
  <c r="Y269" i="4" s="1"/>
  <c r="Y332" i="4" s="1"/>
  <c r="Y58" i="4"/>
  <c r="Y310" i="4" s="1"/>
  <c r="Y373" i="4" s="1"/>
  <c r="Y30" i="4"/>
  <c r="Y282" i="4" s="1"/>
  <c r="Y345" i="4" s="1"/>
  <c r="Y59" i="4"/>
  <c r="Y311" i="4" s="1"/>
  <c r="Y374" i="4" s="1"/>
  <c r="Y19" i="4"/>
  <c r="Y271" i="4" s="1"/>
  <c r="Y334" i="4" s="1"/>
  <c r="Y46" i="4"/>
  <c r="Y298" i="4" s="1"/>
  <c r="Y361" i="4" s="1"/>
  <c r="Y54" i="4"/>
  <c r="Y306" i="4" s="1"/>
  <c r="Y369" i="4" s="1"/>
  <c r="Y27" i="4"/>
  <c r="Y279" i="4" s="1"/>
  <c r="Y342" i="4" s="1"/>
  <c r="Y18" i="4"/>
  <c r="Y270" i="4" s="1"/>
  <c r="Y333" i="4" s="1"/>
  <c r="Y7" i="4"/>
  <c r="Y259" i="4" s="1"/>
  <c r="Y322" i="4" s="1"/>
  <c r="Y42" i="4"/>
  <c r="Y294" i="4" s="1"/>
  <c r="Y357" i="4" s="1"/>
  <c r="Y49" i="4"/>
  <c r="Y301" i="4" s="1"/>
  <c r="Y364" i="4" s="1"/>
  <c r="Y35" i="4"/>
  <c r="Y287" i="4" s="1"/>
  <c r="Y350" i="4" s="1"/>
  <c r="Y44" i="4"/>
  <c r="Y296" i="4" s="1"/>
  <c r="Y359" i="4" s="1"/>
  <c r="Y29" i="4"/>
  <c r="Y281" i="4" s="1"/>
  <c r="Y344" i="4" s="1"/>
  <c r="Z6" i="4"/>
  <c r="Y57" i="4"/>
  <c r="Y309" i="4" s="1"/>
  <c r="Y372" i="4" s="1"/>
  <c r="Y60" i="4"/>
  <c r="Y312" i="4" s="1"/>
  <c r="Y375" i="4" s="1"/>
  <c r="Y45" i="4"/>
  <c r="Y297" i="4" s="1"/>
  <c r="Y360" i="4" s="1"/>
  <c r="Y38" i="4"/>
  <c r="Y290" i="4" s="1"/>
  <c r="Y353" i="4" s="1"/>
  <c r="Y37" i="4"/>
  <c r="Y289" i="4" s="1"/>
  <c r="Y352" i="4" s="1"/>
  <c r="Y39" i="4"/>
  <c r="Y291" i="4" s="1"/>
  <c r="Y354" i="4" s="1"/>
  <c r="Y43" i="4"/>
  <c r="Y295" i="4" s="1"/>
  <c r="Y358" i="4" s="1"/>
  <c r="Y56" i="4"/>
  <c r="Y308" i="4" s="1"/>
  <c r="Y24" i="4"/>
  <c r="Y276" i="4" s="1"/>
  <c r="Y339" i="4" s="1"/>
  <c r="Y51" i="4"/>
  <c r="Y303" i="4" s="1"/>
  <c r="Y366" i="4" s="1"/>
  <c r="Y52" i="4"/>
  <c r="Y304" i="4" s="1"/>
  <c r="Y367" i="4" s="1"/>
  <c r="Y53" i="4"/>
  <c r="Y305" i="4" s="1"/>
  <c r="Y368" i="4" s="1"/>
  <c r="Y33" i="4"/>
  <c r="Y285" i="4" s="1"/>
  <c r="Y348" i="4" s="1"/>
  <c r="Y47" i="4"/>
  <c r="Y299" i="4" s="1"/>
  <c r="Y362" i="4" s="1"/>
  <c r="Y23" i="4"/>
  <c r="Y275" i="4" s="1"/>
  <c r="Y338" i="4" s="1"/>
  <c r="Y8" i="4"/>
  <c r="Y260" i="4" s="1"/>
  <c r="Y323" i="4" s="1"/>
  <c r="Y20" i="4"/>
  <c r="Y272" i="4" s="1"/>
  <c r="Y335" i="4" s="1"/>
  <c r="Y61" i="4"/>
  <c r="Y313" i="4" s="1"/>
  <c r="Y376" i="4" s="1"/>
  <c r="Y13" i="4"/>
  <c r="Y265" i="4" s="1"/>
  <c r="Y328" i="4" s="1"/>
  <c r="Y32" i="4"/>
  <c r="Y284" i="4" s="1"/>
  <c r="Y347" i="4" s="1"/>
  <c r="Y50" i="4"/>
  <c r="Y302" i="4" s="1"/>
  <c r="Y365" i="4" s="1"/>
  <c r="Y34" i="4"/>
  <c r="Y286" i="4" s="1"/>
  <c r="Y349" i="4" s="1"/>
  <c r="X125" i="4"/>
  <c r="B782" i="2"/>
  <c r="C782" i="2" s="1"/>
  <c r="B770" i="2"/>
  <c r="C770" i="2" s="1"/>
  <c r="B752" i="2"/>
  <c r="B774" i="2"/>
  <c r="C774" i="2" s="1"/>
  <c r="B763" i="2"/>
  <c r="C763" i="2" s="1"/>
  <c r="B787" i="2"/>
  <c r="C787" i="2" s="1"/>
  <c r="B791" i="2"/>
  <c r="C791" i="2" s="1"/>
  <c r="B780" i="2"/>
  <c r="C780" i="2" s="1"/>
  <c r="B768" i="2"/>
  <c r="C768" i="2" s="1"/>
  <c r="B764" i="2"/>
  <c r="C764" i="2" s="1"/>
  <c r="B758" i="2"/>
  <c r="C758" i="2" s="1"/>
  <c r="B750" i="2"/>
  <c r="B783" i="2"/>
  <c r="C783" i="2" s="1"/>
  <c r="B771" i="2"/>
  <c r="C771" i="2" s="1"/>
  <c r="B779" i="2"/>
  <c r="C779" i="2" s="1"/>
  <c r="B760" i="2"/>
  <c r="C760" i="2" s="1"/>
  <c r="B790" i="2"/>
  <c r="C790" i="2" s="1"/>
  <c r="B786" i="2"/>
  <c r="C786" i="2" s="1"/>
  <c r="B778" i="2"/>
  <c r="C778" i="2" s="1"/>
  <c r="B793" i="2"/>
  <c r="C793" i="2" s="1"/>
  <c r="B788" i="2"/>
  <c r="C788" i="2" s="1"/>
  <c r="B776" i="2"/>
  <c r="C776" i="2" s="1"/>
  <c r="B755" i="2"/>
  <c r="B792" i="2"/>
  <c r="C792" i="2" s="1"/>
  <c r="B775" i="2"/>
  <c r="C775" i="2" s="1"/>
  <c r="B759" i="2"/>
  <c r="C759" i="2" s="1"/>
  <c r="B773" i="2"/>
  <c r="C773" i="2" s="1"/>
  <c r="B762" i="2"/>
  <c r="C762" i="2" s="1"/>
  <c r="B765" i="2"/>
  <c r="C765" i="2" s="1"/>
  <c r="B757" i="2"/>
  <c r="C757" i="2" s="1"/>
  <c r="B772" i="2"/>
  <c r="C772" i="2" s="1"/>
  <c r="B767" i="2"/>
  <c r="C767" i="2" s="1"/>
  <c r="B784" i="2"/>
  <c r="C784" i="2" s="1"/>
  <c r="B753" i="2"/>
  <c r="B749" i="2"/>
  <c r="B766" i="2"/>
  <c r="C766" i="2" s="1"/>
  <c r="B789" i="2"/>
  <c r="C789" i="2" s="1"/>
  <c r="B785" i="2"/>
  <c r="C785" i="2" s="1"/>
  <c r="B756" i="2"/>
  <c r="C756" i="2" s="1"/>
  <c r="B777" i="2"/>
  <c r="C777" i="2" s="1"/>
  <c r="B761" i="2"/>
  <c r="C761" i="2" s="1"/>
  <c r="B754" i="2"/>
  <c r="B769" i="2"/>
  <c r="C769" i="2" s="1"/>
  <c r="B781" i="2"/>
  <c r="C781" i="2" s="1"/>
  <c r="B751" i="2"/>
  <c r="E122" i="8" l="1"/>
  <c r="Q136" i="1"/>
  <c r="E136" i="8" s="1"/>
  <c r="Q136" i="8" s="1"/>
  <c r="F122" i="8"/>
  <c r="R136" i="1"/>
  <c r="F136" i="8" s="1"/>
  <c r="R136" i="8" s="1"/>
  <c r="AC27" i="1"/>
  <c r="AC27" i="8" s="1"/>
  <c r="AC26" i="8"/>
  <c r="AD211" i="9"/>
  <c r="AC213" i="9"/>
  <c r="AD166" i="9"/>
  <c r="AD196" i="9" s="1"/>
  <c r="AC196" i="9"/>
  <c r="AC216" i="9"/>
  <c r="AB246" i="9"/>
  <c r="AB263" i="9"/>
  <c r="AC261" i="9"/>
  <c r="AB266" i="9"/>
  <c r="AA296" i="9"/>
  <c r="AC96" i="9"/>
  <c r="AD66" i="9"/>
  <c r="R140" i="1"/>
  <c r="F140" i="8" s="1"/>
  <c r="R135" i="1"/>
  <c r="F135" i="8" s="1"/>
  <c r="R135" i="8" s="1"/>
  <c r="R130" i="1"/>
  <c r="F130" i="8" s="1"/>
  <c r="R130" i="8" s="1"/>
  <c r="Q140" i="1"/>
  <c r="E140" i="8" s="1"/>
  <c r="Q135" i="1"/>
  <c r="E135" i="8" s="1"/>
  <c r="Q135" i="8" s="1"/>
  <c r="Q130" i="1"/>
  <c r="E130" i="8" s="1"/>
  <c r="Q130" i="8" s="1"/>
  <c r="W536" i="2"/>
  <c r="W524" i="2"/>
  <c r="J94" i="1"/>
  <c r="J100" i="1" s="1"/>
  <c r="J117" i="1" s="1"/>
  <c r="N73" i="1"/>
  <c r="N158" i="1"/>
  <c r="N169" i="1" s="1"/>
  <c r="N179" i="1" s="1"/>
  <c r="K114" i="1"/>
  <c r="K116" i="1" s="1"/>
  <c r="R121" i="1"/>
  <c r="F121" i="8" s="1"/>
  <c r="R121" i="8" s="1"/>
  <c r="Q121" i="1"/>
  <c r="E121" i="8" s="1"/>
  <c r="Q121" i="8" s="1"/>
  <c r="P163" i="1"/>
  <c r="O127" i="1"/>
  <c r="X377" i="4"/>
  <c r="Y371" i="4"/>
  <c r="Y377" i="4" s="1"/>
  <c r="Z308" i="4"/>
  <c r="Z371" i="4" s="1"/>
  <c r="M72" i="1"/>
  <c r="M158" i="1" s="1"/>
  <c r="M67" i="1"/>
  <c r="Q38" i="1"/>
  <c r="Q53" i="1" s="1"/>
  <c r="Q61" i="1" s="1"/>
  <c r="Q27" i="1"/>
  <c r="U677" i="2"/>
  <c r="U688" i="2"/>
  <c r="U726" i="2"/>
  <c r="U737" i="2"/>
  <c r="U738" i="2" s="1"/>
  <c r="U971" i="2"/>
  <c r="U982" i="2"/>
  <c r="U1118" i="2"/>
  <c r="U1129" i="2"/>
  <c r="S738" i="2"/>
  <c r="V971" i="2"/>
  <c r="V982" i="2"/>
  <c r="V983" i="2" s="1"/>
  <c r="V1118" i="2"/>
  <c r="V1129" i="2"/>
  <c r="V1130" i="2" s="1"/>
  <c r="V1109" i="2"/>
  <c r="V665" i="2"/>
  <c r="V1112" i="2"/>
  <c r="V676" i="2"/>
  <c r="V1124" i="2"/>
  <c r="V680" i="2"/>
  <c r="W527" i="2"/>
  <c r="V1106" i="2"/>
  <c r="V977" i="2"/>
  <c r="V668" i="2"/>
  <c r="V683" i="2"/>
  <c r="V1115" i="2"/>
  <c r="V968" i="2"/>
  <c r="V965" i="2"/>
  <c r="V674" i="2"/>
  <c r="V1121" i="2"/>
  <c r="W664" i="2"/>
  <c r="V962" i="2"/>
  <c r="V974" i="2"/>
  <c r="V959" i="2"/>
  <c r="W713" i="2"/>
  <c r="W732" i="2" s="1"/>
  <c r="W518" i="2"/>
  <c r="W529" i="2"/>
  <c r="V713" i="2"/>
  <c r="X517" i="2"/>
  <c r="X521" i="2" s="1"/>
  <c r="W521" i="2"/>
  <c r="W1105" i="2"/>
  <c r="W1124" i="2" s="1"/>
  <c r="W958" i="2"/>
  <c r="W977" i="2" s="1"/>
  <c r="W533" i="2"/>
  <c r="P53" i="1"/>
  <c r="R27" i="1"/>
  <c r="O39" i="1"/>
  <c r="O53" i="1"/>
  <c r="O61" i="1" s="1"/>
  <c r="AC38" i="1"/>
  <c r="R39" i="1"/>
  <c r="Y707" i="2"/>
  <c r="X709" i="2"/>
  <c r="X711" i="2" s="1"/>
  <c r="X741" i="2" s="1"/>
  <c r="Y658" i="2"/>
  <c r="X660" i="2"/>
  <c r="X662" i="2" s="1"/>
  <c r="X692" i="2" s="1"/>
  <c r="Y1099" i="2"/>
  <c r="X1101" i="2"/>
  <c r="X1103" i="2" s="1"/>
  <c r="X1133" i="2" s="1"/>
  <c r="Y952" i="2"/>
  <c r="X954" i="2"/>
  <c r="X956" i="2" s="1"/>
  <c r="X986" i="2" s="1"/>
  <c r="Z511" i="2"/>
  <c r="Y513" i="2"/>
  <c r="Y515" i="2" s="1"/>
  <c r="Y545" i="2" s="1"/>
  <c r="Y314" i="4"/>
  <c r="X188" i="4"/>
  <c r="Y185" i="4"/>
  <c r="Y248" i="4"/>
  <c r="Y150" i="4"/>
  <c r="Y213" i="4"/>
  <c r="Y172" i="4"/>
  <c r="Y235" i="4" s="1"/>
  <c r="Y147" i="4"/>
  <c r="Y210" i="4" s="1"/>
  <c r="Y177" i="4"/>
  <c r="Y240" i="4" s="1"/>
  <c r="Y167" i="4"/>
  <c r="Y230" i="4" s="1"/>
  <c r="Y164" i="4"/>
  <c r="Y227" i="4" s="1"/>
  <c r="Y136" i="4"/>
  <c r="Y199" i="4" s="1"/>
  <c r="Y156" i="4"/>
  <c r="Y219" i="4"/>
  <c r="Y171" i="4"/>
  <c r="Y234" i="4" s="1"/>
  <c r="Y140" i="4"/>
  <c r="Y203" i="4" s="1"/>
  <c r="Y162" i="4"/>
  <c r="Y225" i="4"/>
  <c r="Y143" i="4"/>
  <c r="Y206" i="4" s="1"/>
  <c r="Y176" i="4"/>
  <c r="Y239" i="4"/>
  <c r="Y151" i="4"/>
  <c r="Y214" i="4"/>
  <c r="Y183" i="4"/>
  <c r="Y246" i="4" s="1"/>
  <c r="Y163" i="4"/>
  <c r="Y226" i="4"/>
  <c r="Y160" i="4"/>
  <c r="Y223" i="4"/>
  <c r="Y152" i="4"/>
  <c r="Y215" i="4"/>
  <c r="X251" i="4"/>
  <c r="Y158" i="4"/>
  <c r="Y221" i="4" s="1"/>
  <c r="Y187" i="4"/>
  <c r="Y250" i="4"/>
  <c r="Y142" i="4"/>
  <c r="Y205" i="4"/>
  <c r="Y184" i="4"/>
  <c r="Y247" i="4" s="1"/>
  <c r="Y154" i="4"/>
  <c r="Y217" i="4" s="1"/>
  <c r="Y166" i="4"/>
  <c r="Y229" i="4"/>
  <c r="Y170" i="4"/>
  <c r="Y233" i="4" s="1"/>
  <c r="Y161" i="4"/>
  <c r="Y224" i="4" s="1"/>
  <c r="Y149" i="4"/>
  <c r="Y212" i="4"/>
  <c r="Y173" i="4"/>
  <c r="Y236" i="4"/>
  <c r="Y157" i="4"/>
  <c r="Y220" i="4" s="1"/>
  <c r="Y181" i="4"/>
  <c r="Y244" i="4" s="1"/>
  <c r="Y141" i="4"/>
  <c r="Y204" i="4"/>
  <c r="Y186" i="4"/>
  <c r="Y249" i="4" s="1"/>
  <c r="Y139" i="4"/>
  <c r="Y202" i="4"/>
  <c r="Y146" i="4"/>
  <c r="Y209" i="4" s="1"/>
  <c r="Y134" i="4"/>
  <c r="Y197" i="4"/>
  <c r="Y168" i="4"/>
  <c r="Y231" i="4" s="1"/>
  <c r="Y148" i="4"/>
  <c r="Y211" i="4"/>
  <c r="Y159" i="4"/>
  <c r="Y222" i="4"/>
  <c r="Y153" i="4"/>
  <c r="Y216" i="4" s="1"/>
  <c r="Y138" i="4"/>
  <c r="Y201" i="4"/>
  <c r="Y145" i="4"/>
  <c r="Y208" i="4"/>
  <c r="Y182" i="4"/>
  <c r="Y245" i="4"/>
  <c r="Y169" i="4"/>
  <c r="Y232" i="4" s="1"/>
  <c r="Y165" i="4"/>
  <c r="Y228" i="4" s="1"/>
  <c r="Y155" i="4"/>
  <c r="Y218" i="4"/>
  <c r="Y137" i="4"/>
  <c r="Y200" i="4" s="1"/>
  <c r="Y175" i="4"/>
  <c r="Y238" i="4"/>
  <c r="Y135" i="4"/>
  <c r="Y198" i="4" s="1"/>
  <c r="Y133" i="4"/>
  <c r="Y196" i="4" s="1"/>
  <c r="Y144" i="4"/>
  <c r="Y207" i="4"/>
  <c r="Y179" i="4"/>
  <c r="Y242" i="4" s="1"/>
  <c r="Y178" i="4"/>
  <c r="Y241" i="4"/>
  <c r="Y180" i="4"/>
  <c r="Y243" i="4" s="1"/>
  <c r="Y174" i="4"/>
  <c r="Y237" i="4"/>
  <c r="AA69" i="4"/>
  <c r="Y62" i="4"/>
  <c r="Z31" i="4"/>
  <c r="Z283" i="4" s="1"/>
  <c r="Z346" i="4" s="1"/>
  <c r="Z17" i="4"/>
  <c r="Z269" i="4" s="1"/>
  <c r="Z332" i="4" s="1"/>
  <c r="Z43" i="4"/>
  <c r="Z295" i="4" s="1"/>
  <c r="Z358" i="4" s="1"/>
  <c r="Z26" i="4"/>
  <c r="Z278" i="4" s="1"/>
  <c r="Z341" i="4" s="1"/>
  <c r="Z12" i="4"/>
  <c r="Z264" i="4" s="1"/>
  <c r="Z327" i="4" s="1"/>
  <c r="Z13" i="4"/>
  <c r="Z265" i="4" s="1"/>
  <c r="Z328" i="4" s="1"/>
  <c r="Z21" i="4"/>
  <c r="Z273" i="4" s="1"/>
  <c r="Z336" i="4" s="1"/>
  <c r="Z52" i="4"/>
  <c r="Z304" i="4" s="1"/>
  <c r="Z367" i="4" s="1"/>
  <c r="Z15" i="4"/>
  <c r="Z267" i="4" s="1"/>
  <c r="Z330" i="4" s="1"/>
  <c r="Z16" i="4"/>
  <c r="Z268" i="4" s="1"/>
  <c r="Z331" i="4" s="1"/>
  <c r="Z42" i="4"/>
  <c r="Z294" i="4" s="1"/>
  <c r="Z357" i="4" s="1"/>
  <c r="Z11" i="4"/>
  <c r="Z263" i="4" s="1"/>
  <c r="Z326" i="4" s="1"/>
  <c r="Z32" i="4"/>
  <c r="Z284" i="4" s="1"/>
  <c r="Z347" i="4" s="1"/>
  <c r="Z58" i="4"/>
  <c r="Z310" i="4" s="1"/>
  <c r="Z373" i="4" s="1"/>
  <c r="Z53" i="4"/>
  <c r="Z305" i="4" s="1"/>
  <c r="Z368" i="4" s="1"/>
  <c r="Z59" i="4"/>
  <c r="Z311" i="4" s="1"/>
  <c r="Z44" i="4"/>
  <c r="Z296" i="4" s="1"/>
  <c r="Z359" i="4" s="1"/>
  <c r="Z23" i="4"/>
  <c r="Z275" i="4" s="1"/>
  <c r="Z338" i="4" s="1"/>
  <c r="Z35" i="4"/>
  <c r="Z287" i="4" s="1"/>
  <c r="Z350" i="4" s="1"/>
  <c r="Z25" i="4"/>
  <c r="Z277" i="4" s="1"/>
  <c r="Z340" i="4" s="1"/>
  <c r="Z24" i="4"/>
  <c r="Z276" i="4" s="1"/>
  <c r="Z339" i="4" s="1"/>
  <c r="Z56" i="4"/>
  <c r="Z46" i="4"/>
  <c r="Z298" i="4" s="1"/>
  <c r="Z361" i="4" s="1"/>
  <c r="Z50" i="4"/>
  <c r="Z302" i="4" s="1"/>
  <c r="Z365" i="4" s="1"/>
  <c r="Z45" i="4"/>
  <c r="Z297" i="4" s="1"/>
  <c r="Z360" i="4" s="1"/>
  <c r="Z39" i="4"/>
  <c r="Z291" i="4" s="1"/>
  <c r="Z354" i="4" s="1"/>
  <c r="Z20" i="4"/>
  <c r="Z272" i="4" s="1"/>
  <c r="Z335" i="4" s="1"/>
  <c r="Z34" i="4"/>
  <c r="Z286" i="4" s="1"/>
  <c r="Z349" i="4" s="1"/>
  <c r="Z28" i="4"/>
  <c r="Z280" i="4" s="1"/>
  <c r="Z343" i="4" s="1"/>
  <c r="Z29" i="4"/>
  <c r="Z281" i="4" s="1"/>
  <c r="Z344" i="4" s="1"/>
  <c r="Z47" i="4"/>
  <c r="Z299" i="4" s="1"/>
  <c r="Z362" i="4" s="1"/>
  <c r="Z60" i="4"/>
  <c r="Z312" i="4" s="1"/>
  <c r="Z375" i="4" s="1"/>
  <c r="Z8" i="4"/>
  <c r="Z260" i="4" s="1"/>
  <c r="Z323" i="4" s="1"/>
  <c r="Z27" i="4"/>
  <c r="Z279" i="4" s="1"/>
  <c r="Z342" i="4" s="1"/>
  <c r="Z38" i="4"/>
  <c r="Z290" i="4" s="1"/>
  <c r="Z353" i="4" s="1"/>
  <c r="Z7" i="4"/>
  <c r="Z259" i="4" s="1"/>
  <c r="Z322" i="4" s="1"/>
  <c r="Z55" i="4"/>
  <c r="Z307" i="4" s="1"/>
  <c r="Z370" i="4" s="1"/>
  <c r="Z30" i="4"/>
  <c r="Z282" i="4" s="1"/>
  <c r="Z345" i="4" s="1"/>
  <c r="Z36" i="4"/>
  <c r="Z288" i="4" s="1"/>
  <c r="Z351" i="4" s="1"/>
  <c r="Z54" i="4"/>
  <c r="Z306" i="4" s="1"/>
  <c r="Z369" i="4" s="1"/>
  <c r="Z10" i="4"/>
  <c r="Z262" i="4" s="1"/>
  <c r="Z325" i="4" s="1"/>
  <c r="AA6" i="4"/>
  <c r="Z19" i="4"/>
  <c r="Z271" i="4" s="1"/>
  <c r="Z334" i="4" s="1"/>
  <c r="Z48" i="4"/>
  <c r="Z300" i="4" s="1"/>
  <c r="Z363" i="4" s="1"/>
  <c r="Z61" i="4"/>
  <c r="Z313" i="4" s="1"/>
  <c r="Z376" i="4" s="1"/>
  <c r="Z14" i="4"/>
  <c r="Z266" i="4" s="1"/>
  <c r="Z329" i="4" s="1"/>
  <c r="Z40" i="4"/>
  <c r="Z292" i="4" s="1"/>
  <c r="Z355" i="4" s="1"/>
  <c r="Z33" i="4"/>
  <c r="Z285" i="4" s="1"/>
  <c r="Z348" i="4" s="1"/>
  <c r="Z22" i="4"/>
  <c r="Z274" i="4" s="1"/>
  <c r="Z337" i="4" s="1"/>
  <c r="Z9" i="4"/>
  <c r="Z261" i="4" s="1"/>
  <c r="Z324" i="4" s="1"/>
  <c r="Z57" i="4"/>
  <c r="Z309" i="4" s="1"/>
  <c r="Z372" i="4" s="1"/>
  <c r="Z37" i="4"/>
  <c r="Z289" i="4" s="1"/>
  <c r="Z352" i="4" s="1"/>
  <c r="Z18" i="4"/>
  <c r="Z270" i="4" s="1"/>
  <c r="Z333" i="4" s="1"/>
  <c r="Z49" i="4"/>
  <c r="Z301" i="4" s="1"/>
  <c r="Z364" i="4" s="1"/>
  <c r="Z51" i="4"/>
  <c r="Z303" i="4" s="1"/>
  <c r="Z366" i="4" s="1"/>
  <c r="Z41" i="4"/>
  <c r="Z293" i="4" s="1"/>
  <c r="Z356" i="4" s="1"/>
  <c r="Y125" i="4"/>
  <c r="B835" i="2"/>
  <c r="C835" i="2" s="1"/>
  <c r="B834" i="2"/>
  <c r="C834" i="2" s="1"/>
  <c r="B837" i="2"/>
  <c r="C837" i="2" s="1"/>
  <c r="B831" i="2"/>
  <c r="C831" i="2" s="1"/>
  <c r="B811" i="2"/>
  <c r="C811" i="2" s="1"/>
  <c r="B828" i="2"/>
  <c r="C828" i="2" s="1"/>
  <c r="B827" i="2"/>
  <c r="C827" i="2" s="1"/>
  <c r="B804" i="2"/>
  <c r="B841" i="2"/>
  <c r="C841" i="2" s="1"/>
  <c r="B838" i="2"/>
  <c r="C838" i="2" s="1"/>
  <c r="B836" i="2"/>
  <c r="C836" i="2" s="1"/>
  <c r="B819" i="2"/>
  <c r="C819" i="2" s="1"/>
  <c r="B813" i="2"/>
  <c r="C813" i="2" s="1"/>
  <c r="B810" i="2"/>
  <c r="C810" i="2" s="1"/>
  <c r="B815" i="2"/>
  <c r="C815" i="2" s="1"/>
  <c r="B832" i="2"/>
  <c r="C832" i="2" s="1"/>
  <c r="B830" i="2"/>
  <c r="C830" i="2" s="1"/>
  <c r="B825" i="2"/>
  <c r="C825" i="2" s="1"/>
  <c r="B808" i="2"/>
  <c r="C808" i="2" s="1"/>
  <c r="B823" i="2"/>
  <c r="C823" i="2" s="1"/>
  <c r="B798" i="2"/>
  <c r="B822" i="2"/>
  <c r="C822" i="2" s="1"/>
  <c r="B807" i="2"/>
  <c r="C807" i="2" s="1"/>
  <c r="B818" i="2"/>
  <c r="C818" i="2" s="1"/>
  <c r="B800" i="2"/>
  <c r="B816" i="2"/>
  <c r="C816" i="2" s="1"/>
  <c r="B829" i="2"/>
  <c r="C829" i="2" s="1"/>
  <c r="B814" i="2"/>
  <c r="C814" i="2" s="1"/>
  <c r="B803" i="2"/>
  <c r="B839" i="2"/>
  <c r="C839" i="2" s="1"/>
  <c r="B826" i="2"/>
  <c r="C826" i="2" s="1"/>
  <c r="B801" i="2"/>
  <c r="B809" i="2"/>
  <c r="C809" i="2" s="1"/>
  <c r="B799" i="2"/>
  <c r="B806" i="2"/>
  <c r="C806" i="2" s="1"/>
  <c r="B824" i="2"/>
  <c r="C824" i="2" s="1"/>
  <c r="B820" i="2"/>
  <c r="C820" i="2" s="1"/>
  <c r="B833" i="2"/>
  <c r="C833" i="2" s="1"/>
  <c r="B840" i="2"/>
  <c r="C840" i="2" s="1"/>
  <c r="B805" i="2"/>
  <c r="C805" i="2" s="1"/>
  <c r="B821" i="2"/>
  <c r="C821" i="2" s="1"/>
  <c r="B842" i="2"/>
  <c r="C842" i="2" s="1"/>
  <c r="B802" i="2"/>
  <c r="B817" i="2"/>
  <c r="C817" i="2" s="1"/>
  <c r="B812" i="2"/>
  <c r="C812" i="2" s="1"/>
  <c r="D163" i="8" l="1"/>
  <c r="AC39" i="1"/>
  <c r="AC39" i="8" s="1"/>
  <c r="AC38" i="8"/>
  <c r="AD213" i="9"/>
  <c r="AB296" i="9"/>
  <c r="AC266" i="9"/>
  <c r="AD96" i="9"/>
  <c r="AC263" i="9"/>
  <c r="AD261" i="9"/>
  <c r="AD263" i="9" s="1"/>
  <c r="AD216" i="9"/>
  <c r="AC246" i="9"/>
  <c r="M169" i="1"/>
  <c r="M179" i="1" s="1"/>
  <c r="K94" i="1"/>
  <c r="K100" i="1" s="1"/>
  <c r="K117" i="1" s="1"/>
  <c r="L114" i="1"/>
  <c r="L116" i="1" s="1"/>
  <c r="P54" i="1"/>
  <c r="P61" i="1"/>
  <c r="R50" i="1"/>
  <c r="R128" i="1"/>
  <c r="F128" i="8" s="1"/>
  <c r="R42" i="1"/>
  <c r="S128" i="1"/>
  <c r="G128" i="8" s="1"/>
  <c r="P127" i="1"/>
  <c r="D127" i="8" s="1"/>
  <c r="P127" i="8" s="1"/>
  <c r="AB309" i="4"/>
  <c r="AB372" i="4" s="1"/>
  <c r="S50" i="1"/>
  <c r="S51" i="1" s="1"/>
  <c r="Z374" i="4"/>
  <c r="S122" i="1"/>
  <c r="S26" i="1"/>
  <c r="S38" i="1" s="1"/>
  <c r="M73" i="1"/>
  <c r="Q39" i="1"/>
  <c r="Q54" i="1"/>
  <c r="V677" i="2"/>
  <c r="V688" i="2"/>
  <c r="V689" i="2" s="1"/>
  <c r="U1130" i="2"/>
  <c r="U983" i="2"/>
  <c r="U689" i="2"/>
  <c r="W530" i="2"/>
  <c r="W541" i="2"/>
  <c r="W542" i="2" s="1"/>
  <c r="V732" i="2"/>
  <c r="V714" i="2"/>
  <c r="X533" i="2"/>
  <c r="X529" i="2"/>
  <c r="X518" i="2"/>
  <c r="V720" i="2"/>
  <c r="V717" i="2"/>
  <c r="W729" i="2"/>
  <c r="W683" i="2"/>
  <c r="W680" i="2"/>
  <c r="W725" i="2"/>
  <c r="W1109" i="2"/>
  <c r="W1106" i="2"/>
  <c r="X527" i="2"/>
  <c r="W717" i="2"/>
  <c r="W714" i="2"/>
  <c r="W671" i="2"/>
  <c r="W668" i="2"/>
  <c r="W720" i="2"/>
  <c r="W676" i="2"/>
  <c r="W674" i="2"/>
  <c r="W723" i="2"/>
  <c r="W970" i="2"/>
  <c r="W665" i="2"/>
  <c r="W1121" i="2"/>
  <c r="W1115" i="2"/>
  <c r="W1117" i="2"/>
  <c r="W1112" i="2"/>
  <c r="V729" i="2"/>
  <c r="X713" i="2"/>
  <c r="X725" i="2" s="1"/>
  <c r="X524" i="2"/>
  <c r="X536" i="2"/>
  <c r="W965" i="2"/>
  <c r="X958" i="2"/>
  <c r="X959" i="2" s="1"/>
  <c r="W962" i="2"/>
  <c r="W968" i="2"/>
  <c r="X1105" i="2"/>
  <c r="X1121" i="2" s="1"/>
  <c r="W959" i="2"/>
  <c r="V725" i="2"/>
  <c r="V723" i="2"/>
  <c r="Y517" i="2"/>
  <c r="Y529" i="2" s="1"/>
  <c r="X664" i="2"/>
  <c r="W974" i="2"/>
  <c r="S30" i="1"/>
  <c r="S33" i="1"/>
  <c r="S42" i="1"/>
  <c r="S57" i="1"/>
  <c r="S45" i="1"/>
  <c r="S15" i="1"/>
  <c r="G15" i="8" s="1"/>
  <c r="S18" i="1"/>
  <c r="S24" i="1"/>
  <c r="S21" i="1"/>
  <c r="O54" i="1"/>
  <c r="O66" i="1"/>
  <c r="O70" i="1" s="1"/>
  <c r="AC53" i="1"/>
  <c r="Z707" i="2"/>
  <c r="Y709" i="2"/>
  <c r="AA511" i="2"/>
  <c r="Z513" i="2"/>
  <c r="Z515" i="2" s="1"/>
  <c r="Z545" i="2" s="1"/>
  <c r="Z952" i="2"/>
  <c r="Y954" i="2"/>
  <c r="Y956" i="2" s="1"/>
  <c r="Y986" i="2" s="1"/>
  <c r="Z1099" i="2"/>
  <c r="Y1101" i="2"/>
  <c r="Y1103" i="2" s="1"/>
  <c r="Y1133" i="2" s="1"/>
  <c r="Z658" i="2"/>
  <c r="Y660" i="2"/>
  <c r="Y662" i="2" s="1"/>
  <c r="Y692" i="2" s="1"/>
  <c r="Z314" i="4"/>
  <c r="Y251" i="4"/>
  <c r="Z138" i="4"/>
  <c r="Z201" i="4"/>
  <c r="Z136" i="4"/>
  <c r="Z199" i="4"/>
  <c r="Z174" i="4"/>
  <c r="Z237" i="4" s="1"/>
  <c r="Z145" i="4"/>
  <c r="Z208" i="4" s="1"/>
  <c r="Z182" i="4"/>
  <c r="Z245" i="4" s="1"/>
  <c r="Z172" i="4"/>
  <c r="Z235" i="4" s="1"/>
  <c r="Z170" i="4"/>
  <c r="Z233" i="4"/>
  <c r="Z171" i="4"/>
  <c r="Z234" i="4"/>
  <c r="Z143" i="4"/>
  <c r="Z206" i="4"/>
  <c r="Z152" i="4"/>
  <c r="Z215" i="4" s="1"/>
  <c r="Z161" i="4"/>
  <c r="Z224" i="4" s="1"/>
  <c r="Z153" i="4"/>
  <c r="Z216" i="4" s="1"/>
  <c r="Z151" i="4"/>
  <c r="Z214" i="4"/>
  <c r="Z180" i="4"/>
  <c r="Z243" i="4" s="1"/>
  <c r="Y188" i="4"/>
  <c r="Z183" i="4"/>
  <c r="Z246" i="4"/>
  <c r="Z150" i="4"/>
  <c r="Z213" i="4" s="1"/>
  <c r="Z156" i="4"/>
  <c r="Z219" i="4" s="1"/>
  <c r="Z177" i="4"/>
  <c r="Z240" i="4" s="1"/>
  <c r="Z187" i="4"/>
  <c r="Z250" i="4"/>
  <c r="Z169" i="4"/>
  <c r="Z232" i="4" s="1"/>
  <c r="Z157" i="4"/>
  <c r="Z220" i="4" s="1"/>
  <c r="Z133" i="4"/>
  <c r="Z196" i="4"/>
  <c r="Z179" i="4"/>
  <c r="Z242" i="4" s="1"/>
  <c r="Z158" i="4"/>
  <c r="Z221" i="4"/>
  <c r="Z186" i="4"/>
  <c r="Z249" i="4" s="1"/>
  <c r="Z155" i="4"/>
  <c r="Z218" i="4"/>
  <c r="Z154" i="4"/>
  <c r="Z217" i="4" s="1"/>
  <c r="Z141" i="4"/>
  <c r="Z204" i="4"/>
  <c r="Z184" i="4"/>
  <c r="Z247" i="4"/>
  <c r="Z134" i="4"/>
  <c r="Z197" i="4" s="1"/>
  <c r="Z137" i="4"/>
  <c r="Z200" i="4" s="1"/>
  <c r="Z135" i="4"/>
  <c r="Z198" i="4"/>
  <c r="Z142" i="4"/>
  <c r="Z205" i="4"/>
  <c r="Z148" i="4"/>
  <c r="Z211" i="4" s="1"/>
  <c r="Z159" i="4"/>
  <c r="Z222" i="4" s="1"/>
  <c r="Z160" i="4"/>
  <c r="Z223" i="4" s="1"/>
  <c r="Z178" i="4"/>
  <c r="Z241" i="4" s="1"/>
  <c r="Z149" i="4"/>
  <c r="Z212" i="4" s="1"/>
  <c r="Z185" i="4"/>
  <c r="Z248" i="4"/>
  <c r="Z144" i="4"/>
  <c r="Z207" i="4" s="1"/>
  <c r="Z173" i="4"/>
  <c r="Z236" i="4" s="1"/>
  <c r="Z166" i="4"/>
  <c r="Z229" i="4"/>
  <c r="Z146" i="4"/>
  <c r="Z209" i="4"/>
  <c r="Z147" i="4"/>
  <c r="Z210" i="4" s="1"/>
  <c r="Z176" i="4"/>
  <c r="Z239" i="4"/>
  <c r="Z162" i="4"/>
  <c r="Z225" i="4"/>
  <c r="Z181" i="4"/>
  <c r="Z244" i="4" s="1"/>
  <c r="Z167" i="4"/>
  <c r="Z230" i="4" s="1"/>
  <c r="Z164" i="4"/>
  <c r="Z227" i="4"/>
  <c r="Z175" i="4"/>
  <c r="Z238" i="4"/>
  <c r="Z163" i="4"/>
  <c r="Z226" i="4" s="1"/>
  <c r="Z168" i="4"/>
  <c r="Z231" i="4"/>
  <c r="Z140" i="4"/>
  <c r="Z203" i="4"/>
  <c r="Z165" i="4"/>
  <c r="Z228" i="4" s="1"/>
  <c r="Z139" i="4"/>
  <c r="Z202" i="4"/>
  <c r="AB69" i="4"/>
  <c r="Z125" i="4"/>
  <c r="AA29" i="4"/>
  <c r="AA281" i="4" s="1"/>
  <c r="AA344" i="4" s="1"/>
  <c r="AA28" i="4"/>
  <c r="AA280" i="4" s="1"/>
  <c r="AA343" i="4" s="1"/>
  <c r="AA43" i="4"/>
  <c r="AA295" i="4" s="1"/>
  <c r="AA358" i="4" s="1"/>
  <c r="AA24" i="4"/>
  <c r="AA276" i="4" s="1"/>
  <c r="AA339" i="4" s="1"/>
  <c r="AA16" i="4"/>
  <c r="AA268" i="4" s="1"/>
  <c r="AA331" i="4" s="1"/>
  <c r="AA55" i="4"/>
  <c r="AA307" i="4" s="1"/>
  <c r="AA370" i="4" s="1"/>
  <c r="AA14" i="4"/>
  <c r="AA266" i="4" s="1"/>
  <c r="AA329" i="4" s="1"/>
  <c r="AA48" i="4"/>
  <c r="AA300" i="4" s="1"/>
  <c r="AA363" i="4" s="1"/>
  <c r="AA10" i="4"/>
  <c r="AA262" i="4" s="1"/>
  <c r="AA325" i="4" s="1"/>
  <c r="AA9" i="4"/>
  <c r="AA261" i="4" s="1"/>
  <c r="AA324" i="4" s="1"/>
  <c r="AA41" i="4"/>
  <c r="AA293" i="4" s="1"/>
  <c r="AA356" i="4" s="1"/>
  <c r="AA46" i="4"/>
  <c r="AA298" i="4" s="1"/>
  <c r="AA361" i="4" s="1"/>
  <c r="AA31" i="4"/>
  <c r="AA283" i="4" s="1"/>
  <c r="AA346" i="4" s="1"/>
  <c r="AA52" i="4"/>
  <c r="AA304" i="4" s="1"/>
  <c r="AA367" i="4" s="1"/>
  <c r="AA38" i="4"/>
  <c r="AA290" i="4" s="1"/>
  <c r="AA353" i="4" s="1"/>
  <c r="AA11" i="4"/>
  <c r="AA263" i="4" s="1"/>
  <c r="AA326" i="4" s="1"/>
  <c r="AA18" i="4"/>
  <c r="AA270" i="4" s="1"/>
  <c r="AA333" i="4" s="1"/>
  <c r="AA25" i="4"/>
  <c r="AA277" i="4" s="1"/>
  <c r="AA340" i="4" s="1"/>
  <c r="AA19" i="4"/>
  <c r="AA271" i="4" s="1"/>
  <c r="AA334" i="4" s="1"/>
  <c r="AA13" i="4"/>
  <c r="AA265" i="4" s="1"/>
  <c r="AA328" i="4" s="1"/>
  <c r="AA57" i="4"/>
  <c r="AA15" i="4"/>
  <c r="AA267" i="4" s="1"/>
  <c r="AA330" i="4" s="1"/>
  <c r="AA40" i="4"/>
  <c r="AA292" i="4" s="1"/>
  <c r="AA355" i="4" s="1"/>
  <c r="AA42" i="4"/>
  <c r="AA294" i="4" s="1"/>
  <c r="AA357" i="4" s="1"/>
  <c r="AA47" i="4"/>
  <c r="AA299" i="4" s="1"/>
  <c r="AA362" i="4" s="1"/>
  <c r="AA30" i="4"/>
  <c r="AA282" i="4" s="1"/>
  <c r="AA345" i="4" s="1"/>
  <c r="AA35" i="4"/>
  <c r="AA287" i="4" s="1"/>
  <c r="AA350" i="4" s="1"/>
  <c r="AA60" i="4"/>
  <c r="AA312" i="4" s="1"/>
  <c r="AA27" i="4"/>
  <c r="AA279" i="4" s="1"/>
  <c r="AA342" i="4" s="1"/>
  <c r="AA8" i="4"/>
  <c r="AA260" i="4" s="1"/>
  <c r="AA323" i="4" s="1"/>
  <c r="AA22" i="4"/>
  <c r="AA274" i="4" s="1"/>
  <c r="AA337" i="4" s="1"/>
  <c r="AA53" i="4"/>
  <c r="AA305" i="4" s="1"/>
  <c r="AA368" i="4" s="1"/>
  <c r="AB6" i="4"/>
  <c r="AA17" i="4"/>
  <c r="AA269" i="4" s="1"/>
  <c r="AA332" i="4" s="1"/>
  <c r="AA45" i="4"/>
  <c r="AA297" i="4" s="1"/>
  <c r="AA360" i="4" s="1"/>
  <c r="AA59" i="4"/>
  <c r="AA311" i="4" s="1"/>
  <c r="AA374" i="4" s="1"/>
  <c r="AA12" i="4"/>
  <c r="AA264" i="4" s="1"/>
  <c r="AA327" i="4" s="1"/>
  <c r="AA58" i="4"/>
  <c r="AA310" i="4" s="1"/>
  <c r="AA51" i="4"/>
  <c r="AA303" i="4" s="1"/>
  <c r="AA366" i="4" s="1"/>
  <c r="AA26" i="4"/>
  <c r="AA278" i="4" s="1"/>
  <c r="AA341" i="4" s="1"/>
  <c r="AA23" i="4"/>
  <c r="AA275" i="4" s="1"/>
  <c r="AA338" i="4" s="1"/>
  <c r="AA39" i="4"/>
  <c r="AA291" i="4" s="1"/>
  <c r="AA354" i="4" s="1"/>
  <c r="AA61" i="4"/>
  <c r="AA313" i="4" s="1"/>
  <c r="AA376" i="4" s="1"/>
  <c r="AA56" i="4"/>
  <c r="AA308" i="4" s="1"/>
  <c r="AA371" i="4" s="1"/>
  <c r="AA37" i="4"/>
  <c r="AA289" i="4" s="1"/>
  <c r="AA352" i="4" s="1"/>
  <c r="AA33" i="4"/>
  <c r="AA285" i="4" s="1"/>
  <c r="AA348" i="4" s="1"/>
  <c r="AA54" i="4"/>
  <c r="AA306" i="4" s="1"/>
  <c r="AA369" i="4" s="1"/>
  <c r="AA7" i="4"/>
  <c r="AA259" i="4" s="1"/>
  <c r="AA322" i="4" s="1"/>
  <c r="AA49" i="4"/>
  <c r="AA301" i="4" s="1"/>
  <c r="AA364" i="4" s="1"/>
  <c r="AA36" i="4"/>
  <c r="AA288" i="4" s="1"/>
  <c r="AA351" i="4" s="1"/>
  <c r="AA44" i="4"/>
  <c r="AA296" i="4" s="1"/>
  <c r="AA359" i="4" s="1"/>
  <c r="AA21" i="4"/>
  <c r="AA273" i="4" s="1"/>
  <c r="AA336" i="4" s="1"/>
  <c r="AA32" i="4"/>
  <c r="AA284" i="4" s="1"/>
  <c r="AA347" i="4" s="1"/>
  <c r="AA20" i="4"/>
  <c r="AA272" i="4" s="1"/>
  <c r="AA335" i="4" s="1"/>
  <c r="AA34" i="4"/>
  <c r="AA286" i="4" s="1"/>
  <c r="AA349" i="4" s="1"/>
  <c r="AA50" i="4"/>
  <c r="AA302" i="4" s="1"/>
  <c r="AA365" i="4" s="1"/>
  <c r="Z62" i="4"/>
  <c r="B885" i="2"/>
  <c r="C885" i="2" s="1"/>
  <c r="B874" i="2"/>
  <c r="C874" i="2" s="1"/>
  <c r="B862" i="2"/>
  <c r="C862" i="2" s="1"/>
  <c r="B860" i="2"/>
  <c r="C860" i="2" s="1"/>
  <c r="B882" i="2"/>
  <c r="C882" i="2" s="1"/>
  <c r="B870" i="2"/>
  <c r="C870" i="2" s="1"/>
  <c r="B857" i="2"/>
  <c r="C857" i="2" s="1"/>
  <c r="B884" i="2"/>
  <c r="C884" i="2" s="1"/>
  <c r="B873" i="2"/>
  <c r="C873" i="2" s="1"/>
  <c r="B849" i="2"/>
  <c r="B868" i="2"/>
  <c r="C868" i="2" s="1"/>
  <c r="B861" i="2"/>
  <c r="C861" i="2" s="1"/>
  <c r="B880" i="2"/>
  <c r="C880" i="2" s="1"/>
  <c r="B877" i="2"/>
  <c r="C877" i="2" s="1"/>
  <c r="B876" i="2"/>
  <c r="C876" i="2" s="1"/>
  <c r="B871" i="2"/>
  <c r="C871" i="2" s="1"/>
  <c r="B889" i="2"/>
  <c r="C889" i="2" s="1"/>
  <c r="B888" i="2"/>
  <c r="C888" i="2" s="1"/>
  <c r="B847" i="2"/>
  <c r="B891" i="2"/>
  <c r="C891" i="2" s="1"/>
  <c r="B887" i="2"/>
  <c r="C887" i="2" s="1"/>
  <c r="B883" i="2"/>
  <c r="C883" i="2" s="1"/>
  <c r="B848" i="2"/>
  <c r="B867" i="2"/>
  <c r="C867" i="2" s="1"/>
  <c r="B875" i="2"/>
  <c r="C875" i="2" s="1"/>
  <c r="B858" i="2"/>
  <c r="C858" i="2" s="1"/>
  <c r="B855" i="2"/>
  <c r="C855" i="2" s="1"/>
  <c r="B869" i="2"/>
  <c r="C869" i="2" s="1"/>
  <c r="B856" i="2"/>
  <c r="C856" i="2" s="1"/>
  <c r="B859" i="2"/>
  <c r="C859" i="2" s="1"/>
  <c r="B850" i="2"/>
  <c r="B878" i="2"/>
  <c r="C878" i="2" s="1"/>
  <c r="B881" i="2"/>
  <c r="C881" i="2" s="1"/>
  <c r="B852" i="2"/>
  <c r="B866" i="2"/>
  <c r="C866" i="2" s="1"/>
  <c r="B851" i="2"/>
  <c r="B865" i="2"/>
  <c r="C865" i="2" s="1"/>
  <c r="B890" i="2"/>
  <c r="C890" i="2" s="1"/>
  <c r="B854" i="2"/>
  <c r="C854" i="2" s="1"/>
  <c r="B886" i="2"/>
  <c r="C886" i="2" s="1"/>
  <c r="B872" i="2"/>
  <c r="C872" i="2" s="1"/>
  <c r="B863" i="2"/>
  <c r="C863" i="2" s="1"/>
  <c r="B879" i="2"/>
  <c r="C879" i="2" s="1"/>
  <c r="B853" i="2"/>
  <c r="B864" i="2"/>
  <c r="C864" i="2" s="1"/>
  <c r="G122" i="8" l="1"/>
  <c r="S136" i="1"/>
  <c r="G136" i="8" s="1"/>
  <c r="S136" i="8" s="1"/>
  <c r="AC54" i="1"/>
  <c r="AC54" i="8" s="1"/>
  <c r="AC53" i="8"/>
  <c r="AH213" i="9"/>
  <c r="AH211" i="9" s="1"/>
  <c r="AD246" i="9"/>
  <c r="AD266" i="9"/>
  <c r="AC296" i="9"/>
  <c r="AH263" i="9"/>
  <c r="AH261" i="9" s="1"/>
  <c r="S140" i="1"/>
  <c r="G140" i="8" s="1"/>
  <c r="S135" i="1"/>
  <c r="G135" i="8" s="1"/>
  <c r="S135" i="8" s="1"/>
  <c r="S130" i="1"/>
  <c r="G130" i="8" s="1"/>
  <c r="S130" i="8" s="1"/>
  <c r="L94" i="1"/>
  <c r="L100" i="1" s="1"/>
  <c r="L117" i="1" s="1"/>
  <c r="Q163" i="1"/>
  <c r="M114" i="1"/>
  <c r="M116" i="1" s="1"/>
  <c r="S121" i="1"/>
  <c r="G121" i="8" s="1"/>
  <c r="S121" i="8" s="1"/>
  <c r="AA375" i="4"/>
  <c r="Q127" i="1"/>
  <c r="E127" i="8" s="1"/>
  <c r="Q127" i="8" s="1"/>
  <c r="AA373" i="4"/>
  <c r="AB310" i="4"/>
  <c r="AB373" i="4" s="1"/>
  <c r="R51" i="1"/>
  <c r="R53" i="1"/>
  <c r="R61" i="1" s="1"/>
  <c r="Z377" i="4"/>
  <c r="T122" i="1"/>
  <c r="S27" i="1"/>
  <c r="P62" i="1"/>
  <c r="P66" i="1"/>
  <c r="P70" i="1" s="1"/>
  <c r="Q62" i="1"/>
  <c r="Q66" i="1"/>
  <c r="Q70" i="1" s="1"/>
  <c r="O72" i="1"/>
  <c r="O158" i="1" s="1"/>
  <c r="O67" i="1"/>
  <c r="AC66" i="1"/>
  <c r="AC66" i="8" s="1"/>
  <c r="W971" i="2"/>
  <c r="W982" i="2"/>
  <c r="X530" i="2"/>
  <c r="X541" i="2"/>
  <c r="X542" i="2" s="1"/>
  <c r="V726" i="2"/>
  <c r="V737" i="2"/>
  <c r="W677" i="2"/>
  <c r="W688" i="2"/>
  <c r="X726" i="2"/>
  <c r="X737" i="2"/>
  <c r="X738" i="2" s="1"/>
  <c r="W726" i="2"/>
  <c r="W737" i="2"/>
  <c r="W738" i="2" s="1"/>
  <c r="X671" i="2"/>
  <c r="Y530" i="2"/>
  <c r="Y541" i="2"/>
  <c r="Y542" i="2" s="1"/>
  <c r="X668" i="2"/>
  <c r="W1118" i="2"/>
  <c r="W1129" i="2"/>
  <c r="T57" i="1"/>
  <c r="T15" i="1"/>
  <c r="H15" i="8" s="1"/>
  <c r="T26" i="1"/>
  <c r="T30" i="1"/>
  <c r="T24" i="1"/>
  <c r="T33" i="1"/>
  <c r="T21" i="1"/>
  <c r="T45" i="1"/>
  <c r="T18" i="1"/>
  <c r="Y521" i="2"/>
  <c r="Y518" i="2"/>
  <c r="X1106" i="2"/>
  <c r="X965" i="2"/>
  <c r="X974" i="2"/>
  <c r="Y536" i="2"/>
  <c r="Y527" i="2"/>
  <c r="Y524" i="2"/>
  <c r="X723" i="2"/>
  <c r="X676" i="2"/>
  <c r="X674" i="2"/>
  <c r="Y533" i="2"/>
  <c r="X683" i="2"/>
  <c r="X680" i="2"/>
  <c r="X665" i="2"/>
  <c r="X1124" i="2"/>
  <c r="X977" i="2"/>
  <c r="X1109" i="2"/>
  <c r="X1117" i="2"/>
  <c r="X970" i="2"/>
  <c r="X968" i="2"/>
  <c r="X1115" i="2"/>
  <c r="X1112" i="2"/>
  <c r="Y1105" i="2"/>
  <c r="Y1112" i="2" s="1"/>
  <c r="X720" i="2"/>
  <c r="X732" i="2"/>
  <c r="Y664" i="2"/>
  <c r="Y671" i="2" s="1"/>
  <c r="Z517" i="2"/>
  <c r="Z524" i="2" s="1"/>
  <c r="X717" i="2"/>
  <c r="Y958" i="2"/>
  <c r="Y977" i="2" s="1"/>
  <c r="X714" i="2"/>
  <c r="X729" i="2"/>
  <c r="X962" i="2"/>
  <c r="S39" i="1"/>
  <c r="S53" i="1"/>
  <c r="S61" i="1" s="1"/>
  <c r="O62" i="1"/>
  <c r="AC61" i="1"/>
  <c r="Y711" i="2"/>
  <c r="Y741" i="2" s="1"/>
  <c r="AA707" i="2"/>
  <c r="Z709" i="2"/>
  <c r="Z711" i="2" s="1"/>
  <c r="Z741" i="2" s="1"/>
  <c r="AA1099" i="2"/>
  <c r="Z1101" i="2"/>
  <c r="Z1103" i="2" s="1"/>
  <c r="Z1133" i="2" s="1"/>
  <c r="AA658" i="2"/>
  <c r="Z660" i="2"/>
  <c r="Z662" i="2" s="1"/>
  <c r="Z692" i="2" s="1"/>
  <c r="AA952" i="2"/>
  <c r="Z954" i="2"/>
  <c r="Z956" i="2" s="1"/>
  <c r="Z986" i="2" s="1"/>
  <c r="AB511" i="2"/>
  <c r="AA513" i="2"/>
  <c r="AA515" i="2" s="1"/>
  <c r="AA545" i="2" s="1"/>
  <c r="AA314" i="4"/>
  <c r="Z188" i="4"/>
  <c r="AA141" i="4"/>
  <c r="AA204" i="4"/>
  <c r="AA155" i="4"/>
  <c r="AA218" i="4"/>
  <c r="AA187" i="4"/>
  <c r="AA250" i="4"/>
  <c r="AA152" i="4"/>
  <c r="AA215" i="4"/>
  <c r="AA166" i="4"/>
  <c r="AA229" i="4" s="1"/>
  <c r="AA182" i="4"/>
  <c r="AA245" i="4" s="1"/>
  <c r="AA165" i="4"/>
  <c r="AA228" i="4" s="1"/>
  <c r="AA169" i="4"/>
  <c r="AA232" i="4"/>
  <c r="AA149" i="4"/>
  <c r="AA212" i="4"/>
  <c r="AA154" i="4"/>
  <c r="AA217" i="4" s="1"/>
  <c r="AA171" i="4"/>
  <c r="AA234" i="4" s="1"/>
  <c r="AA178" i="4"/>
  <c r="AA241" i="4" s="1"/>
  <c r="AA144" i="4"/>
  <c r="AA207" i="4"/>
  <c r="AA157" i="4"/>
  <c r="AA220" i="4"/>
  <c r="AA145" i="4"/>
  <c r="AA208" i="4"/>
  <c r="AA176" i="4"/>
  <c r="AA239" i="4" s="1"/>
  <c r="AA147" i="4"/>
  <c r="AA210" i="4"/>
  <c r="AA177" i="4"/>
  <c r="AA240" i="4" s="1"/>
  <c r="AA185" i="4"/>
  <c r="AA248" i="4" s="1"/>
  <c r="AA167" i="4"/>
  <c r="AA230" i="4" s="1"/>
  <c r="AA150" i="4"/>
  <c r="AA213" i="4"/>
  <c r="AA183" i="4"/>
  <c r="AA246" i="4" s="1"/>
  <c r="AA151" i="4"/>
  <c r="AA214" i="4" s="1"/>
  <c r="AA143" i="4"/>
  <c r="AA206" i="4"/>
  <c r="Z251" i="4"/>
  <c r="AA153" i="4"/>
  <c r="AA216" i="4"/>
  <c r="AA138" i="4"/>
  <c r="AA201" i="4" s="1"/>
  <c r="AA160" i="4"/>
  <c r="AA223" i="4" s="1"/>
  <c r="AA146" i="4"/>
  <c r="AA209" i="4"/>
  <c r="AA172" i="4"/>
  <c r="AA235" i="4" s="1"/>
  <c r="AA170" i="4"/>
  <c r="AA233" i="4" s="1"/>
  <c r="AA133" i="4"/>
  <c r="AA196" i="4" s="1"/>
  <c r="AA186" i="4"/>
  <c r="AA249" i="4"/>
  <c r="AA174" i="4"/>
  <c r="AA237" i="4"/>
  <c r="AA168" i="4"/>
  <c r="AA231" i="4" s="1"/>
  <c r="AA179" i="4"/>
  <c r="AA242" i="4"/>
  <c r="AA148" i="4"/>
  <c r="AA211" i="4" s="1"/>
  <c r="AA134" i="4"/>
  <c r="AA197" i="4" s="1"/>
  <c r="AA175" i="4"/>
  <c r="AA238" i="4"/>
  <c r="AA136" i="4"/>
  <c r="AA199" i="4"/>
  <c r="AA180" i="4"/>
  <c r="AA243" i="4" s="1"/>
  <c r="AA161" i="4"/>
  <c r="AA224" i="4"/>
  <c r="AA140" i="4"/>
  <c r="AA203" i="4" s="1"/>
  <c r="AA139" i="4"/>
  <c r="AA202" i="4" s="1"/>
  <c r="AA184" i="4"/>
  <c r="AA247" i="4" s="1"/>
  <c r="AA137" i="4"/>
  <c r="AA200" i="4"/>
  <c r="AA158" i="4"/>
  <c r="AA221" i="4" s="1"/>
  <c r="AA135" i="4"/>
  <c r="AA198" i="4"/>
  <c r="AA159" i="4"/>
  <c r="AA222" i="4" s="1"/>
  <c r="AA156" i="4"/>
  <c r="AA219" i="4" s="1"/>
  <c r="AA181" i="4"/>
  <c r="AA244" i="4" s="1"/>
  <c r="AA164" i="4"/>
  <c r="AA227" i="4" s="1"/>
  <c r="AA162" i="4"/>
  <c r="AA225" i="4"/>
  <c r="AA163" i="4"/>
  <c r="AA226" i="4"/>
  <c r="AA173" i="4"/>
  <c r="AA236" i="4"/>
  <c r="AA142" i="4"/>
  <c r="AA205" i="4" s="1"/>
  <c r="AC69" i="4"/>
  <c r="AB30" i="4"/>
  <c r="AB282" i="4" s="1"/>
  <c r="AB345" i="4" s="1"/>
  <c r="AB12" i="4"/>
  <c r="AB264" i="4" s="1"/>
  <c r="AB327" i="4" s="1"/>
  <c r="AB13" i="4"/>
  <c r="AB265" i="4" s="1"/>
  <c r="AB328" i="4" s="1"/>
  <c r="AB29" i="4"/>
  <c r="AB281" i="4" s="1"/>
  <c r="AB344" i="4" s="1"/>
  <c r="AB20" i="4"/>
  <c r="AB272" i="4" s="1"/>
  <c r="AB335" i="4" s="1"/>
  <c r="AB38" i="4"/>
  <c r="AB290" i="4" s="1"/>
  <c r="AB353" i="4" s="1"/>
  <c r="AB10" i="4"/>
  <c r="AB262" i="4" s="1"/>
  <c r="AB325" i="4" s="1"/>
  <c r="AB21" i="4"/>
  <c r="AB273" i="4" s="1"/>
  <c r="AB336" i="4" s="1"/>
  <c r="AB41" i="4"/>
  <c r="AB293" i="4" s="1"/>
  <c r="AB356" i="4" s="1"/>
  <c r="AB14" i="4"/>
  <c r="AB266" i="4" s="1"/>
  <c r="AB329" i="4" s="1"/>
  <c r="AB49" i="4"/>
  <c r="AB301" i="4" s="1"/>
  <c r="AB364" i="4" s="1"/>
  <c r="AB52" i="4"/>
  <c r="AB304" i="4" s="1"/>
  <c r="AB367" i="4" s="1"/>
  <c r="AC6" i="4"/>
  <c r="AB16" i="4"/>
  <c r="AB268" i="4" s="1"/>
  <c r="AB331" i="4" s="1"/>
  <c r="AB25" i="4"/>
  <c r="AB277" i="4" s="1"/>
  <c r="AB340" i="4" s="1"/>
  <c r="AB7" i="4"/>
  <c r="AB259" i="4" s="1"/>
  <c r="AB322" i="4" s="1"/>
  <c r="AB9" i="4"/>
  <c r="AB261" i="4" s="1"/>
  <c r="AB324" i="4" s="1"/>
  <c r="AB28" i="4"/>
  <c r="AB280" i="4" s="1"/>
  <c r="AB343" i="4" s="1"/>
  <c r="AB59" i="4"/>
  <c r="AB311" i="4" s="1"/>
  <c r="AB31" i="4"/>
  <c r="AB283" i="4" s="1"/>
  <c r="AB346" i="4" s="1"/>
  <c r="AB34" i="4"/>
  <c r="AB286" i="4" s="1"/>
  <c r="AB349" i="4" s="1"/>
  <c r="AB26" i="4"/>
  <c r="AB278" i="4" s="1"/>
  <c r="AB341" i="4" s="1"/>
  <c r="AB57" i="4"/>
  <c r="AB23" i="4"/>
  <c r="AB275" i="4" s="1"/>
  <c r="AB338" i="4" s="1"/>
  <c r="AB40" i="4"/>
  <c r="AB292" i="4" s="1"/>
  <c r="AB355" i="4" s="1"/>
  <c r="AB46" i="4"/>
  <c r="AB298" i="4" s="1"/>
  <c r="AB361" i="4" s="1"/>
  <c r="AB8" i="4"/>
  <c r="AB260" i="4" s="1"/>
  <c r="AB323" i="4" s="1"/>
  <c r="AB47" i="4"/>
  <c r="AB299" i="4" s="1"/>
  <c r="AB362" i="4" s="1"/>
  <c r="AB15" i="4"/>
  <c r="AB267" i="4" s="1"/>
  <c r="AB330" i="4" s="1"/>
  <c r="AB56" i="4"/>
  <c r="AB308" i="4" s="1"/>
  <c r="AB371" i="4" s="1"/>
  <c r="AB36" i="4"/>
  <c r="AB288" i="4" s="1"/>
  <c r="AB351" i="4" s="1"/>
  <c r="AB48" i="4"/>
  <c r="AB300" i="4" s="1"/>
  <c r="AB363" i="4" s="1"/>
  <c r="AB18" i="4"/>
  <c r="AB270" i="4" s="1"/>
  <c r="AB333" i="4" s="1"/>
  <c r="AB44" i="4"/>
  <c r="AB296" i="4" s="1"/>
  <c r="AB359" i="4" s="1"/>
  <c r="AB61" i="4"/>
  <c r="AB313" i="4" s="1"/>
  <c r="AB376" i="4" s="1"/>
  <c r="AB11" i="4"/>
  <c r="AB263" i="4" s="1"/>
  <c r="AB326" i="4" s="1"/>
  <c r="AB39" i="4"/>
  <c r="AB291" i="4" s="1"/>
  <c r="AB354" i="4" s="1"/>
  <c r="AB19" i="4"/>
  <c r="AB271" i="4" s="1"/>
  <c r="AB334" i="4" s="1"/>
  <c r="AB22" i="4"/>
  <c r="AB274" i="4" s="1"/>
  <c r="AB337" i="4" s="1"/>
  <c r="AB35" i="4"/>
  <c r="AB287" i="4" s="1"/>
  <c r="AB350" i="4" s="1"/>
  <c r="AB54" i="4"/>
  <c r="AB306" i="4" s="1"/>
  <c r="AB369" i="4" s="1"/>
  <c r="AB33" i="4"/>
  <c r="AB285" i="4" s="1"/>
  <c r="AB348" i="4" s="1"/>
  <c r="AB17" i="4"/>
  <c r="AB269" i="4" s="1"/>
  <c r="AB332" i="4" s="1"/>
  <c r="AB60" i="4"/>
  <c r="AB312" i="4" s="1"/>
  <c r="AB375" i="4" s="1"/>
  <c r="AB42" i="4"/>
  <c r="AB294" i="4" s="1"/>
  <c r="AB357" i="4" s="1"/>
  <c r="AB58" i="4"/>
  <c r="AB32" i="4"/>
  <c r="AB284" i="4" s="1"/>
  <c r="AB347" i="4" s="1"/>
  <c r="AB53" i="4"/>
  <c r="AB305" i="4" s="1"/>
  <c r="AB368" i="4" s="1"/>
  <c r="AB55" i="4"/>
  <c r="AB307" i="4" s="1"/>
  <c r="AB370" i="4" s="1"/>
  <c r="AB37" i="4"/>
  <c r="AB289" i="4" s="1"/>
  <c r="AB352" i="4" s="1"/>
  <c r="AB51" i="4"/>
  <c r="AB303" i="4" s="1"/>
  <c r="AB366" i="4" s="1"/>
  <c r="AB24" i="4"/>
  <c r="AB276" i="4" s="1"/>
  <c r="AB339" i="4" s="1"/>
  <c r="AB50" i="4"/>
  <c r="AB302" i="4" s="1"/>
  <c r="AB365" i="4" s="1"/>
  <c r="AB45" i="4"/>
  <c r="AB297" i="4" s="1"/>
  <c r="AB360" i="4" s="1"/>
  <c r="AB27" i="4"/>
  <c r="AB279" i="4" s="1"/>
  <c r="AB342" i="4" s="1"/>
  <c r="AB43" i="4"/>
  <c r="AB295" i="4" s="1"/>
  <c r="AB358" i="4" s="1"/>
  <c r="AA125" i="4"/>
  <c r="AA62" i="4"/>
  <c r="B921" i="2"/>
  <c r="C921" i="2" s="1"/>
  <c r="B910" i="2"/>
  <c r="C910" i="2" s="1"/>
  <c r="B897" i="2"/>
  <c r="B920" i="2"/>
  <c r="C920" i="2" s="1"/>
  <c r="B907" i="2"/>
  <c r="C907" i="2" s="1"/>
  <c r="B896" i="2"/>
  <c r="B940" i="2"/>
  <c r="C940" i="2" s="1"/>
  <c r="B904" i="2"/>
  <c r="C904" i="2" s="1"/>
  <c r="B909" i="2"/>
  <c r="C909" i="2" s="1"/>
  <c r="B938" i="2"/>
  <c r="C938" i="2" s="1"/>
  <c r="B930" i="2"/>
  <c r="C930" i="2" s="1"/>
  <c r="B914" i="2"/>
  <c r="C914" i="2" s="1"/>
  <c r="B935" i="2"/>
  <c r="C935" i="2" s="1"/>
  <c r="B934" i="2"/>
  <c r="C934" i="2" s="1"/>
  <c r="B926" i="2"/>
  <c r="C926" i="2" s="1"/>
  <c r="B931" i="2"/>
  <c r="C931" i="2" s="1"/>
  <c r="B933" i="2"/>
  <c r="C933" i="2" s="1"/>
  <c r="B912" i="2"/>
  <c r="C912" i="2" s="1"/>
  <c r="B923" i="2"/>
  <c r="C923" i="2" s="1"/>
  <c r="B922" i="2"/>
  <c r="C922" i="2" s="1"/>
  <c r="B918" i="2"/>
  <c r="C918" i="2" s="1"/>
  <c r="B913" i="2"/>
  <c r="C913" i="2" s="1"/>
  <c r="B917" i="2"/>
  <c r="C917" i="2" s="1"/>
  <c r="B925" i="2"/>
  <c r="C925" i="2" s="1"/>
  <c r="B901" i="2"/>
  <c r="B936" i="2"/>
  <c r="C936" i="2" s="1"/>
  <c r="B929" i="2"/>
  <c r="C929" i="2" s="1"/>
  <c r="B905" i="2"/>
  <c r="C905" i="2" s="1"/>
  <c r="B902" i="2"/>
  <c r="B899" i="2"/>
  <c r="B932" i="2"/>
  <c r="C932" i="2" s="1"/>
  <c r="B939" i="2"/>
  <c r="C939" i="2" s="1"/>
  <c r="B928" i="2"/>
  <c r="C928" i="2" s="1"/>
  <c r="B919" i="2"/>
  <c r="C919" i="2" s="1"/>
  <c r="B916" i="2"/>
  <c r="C916" i="2" s="1"/>
  <c r="B906" i="2"/>
  <c r="C906" i="2" s="1"/>
  <c r="B927" i="2"/>
  <c r="C927" i="2" s="1"/>
  <c r="B900" i="2"/>
  <c r="B915" i="2"/>
  <c r="C915" i="2" s="1"/>
  <c r="B924" i="2"/>
  <c r="C924" i="2" s="1"/>
  <c r="B898" i="2"/>
  <c r="B903" i="2"/>
  <c r="C903" i="2" s="1"/>
  <c r="B908" i="2"/>
  <c r="C908" i="2" s="1"/>
  <c r="B937" i="2"/>
  <c r="C937" i="2" s="1"/>
  <c r="B911" i="2"/>
  <c r="C911" i="2" s="1"/>
  <c r="H122" i="8" l="1"/>
  <c r="T136" i="1"/>
  <c r="H136" i="8" s="1"/>
  <c r="T136" i="8" s="1"/>
  <c r="AC62" i="1"/>
  <c r="AC62" i="8" s="1"/>
  <c r="AC61" i="8"/>
  <c r="E163" i="8"/>
  <c r="AD296" i="9"/>
  <c r="AH63" i="9"/>
  <c r="AH61" i="9" s="1"/>
  <c r="O169" i="1"/>
  <c r="O179" i="1" s="1"/>
  <c r="AC158" i="1"/>
  <c r="T140" i="1"/>
  <c r="H140" i="8" s="1"/>
  <c r="T130" i="1"/>
  <c r="H130" i="8" s="1"/>
  <c r="T130" i="8" s="1"/>
  <c r="T135" i="1"/>
  <c r="H135" i="8" s="1"/>
  <c r="T135" i="8" s="1"/>
  <c r="M94" i="1"/>
  <c r="M100" i="1" s="1"/>
  <c r="M117" i="1" s="1"/>
  <c r="R163" i="1"/>
  <c r="F163" i="8" s="1"/>
  <c r="N114" i="1"/>
  <c r="N116" i="1" s="1"/>
  <c r="T42" i="1"/>
  <c r="T121" i="1"/>
  <c r="H121" i="8" s="1"/>
  <c r="T121" i="8" s="1"/>
  <c r="T50" i="1"/>
  <c r="T51" i="1" s="1"/>
  <c r="T128" i="1"/>
  <c r="H128" i="8" s="1"/>
  <c r="R54" i="1"/>
  <c r="AB374" i="4"/>
  <c r="AB377" i="4" s="1"/>
  <c r="AA377" i="4"/>
  <c r="R127" i="1"/>
  <c r="F127" i="8" s="1"/>
  <c r="R127" i="8" s="1"/>
  <c r="U122" i="1"/>
  <c r="AC70" i="1"/>
  <c r="AC70" i="8" s="1"/>
  <c r="AC67" i="1"/>
  <c r="AC67" i="8" s="1"/>
  <c r="O73" i="1"/>
  <c r="AC72" i="1"/>
  <c r="Q72" i="1"/>
  <c r="Q67" i="1"/>
  <c r="P72" i="1"/>
  <c r="P158" i="1" s="1"/>
  <c r="D158" i="8" s="1"/>
  <c r="P67" i="1"/>
  <c r="T38" i="1"/>
  <c r="T39" i="1" s="1"/>
  <c r="T27" i="1"/>
  <c r="U45" i="1"/>
  <c r="U26" i="1"/>
  <c r="W1130" i="2"/>
  <c r="U33" i="1"/>
  <c r="U30" i="1"/>
  <c r="X971" i="2"/>
  <c r="X982" i="2"/>
  <c r="X983" i="2" s="1"/>
  <c r="U24" i="1"/>
  <c r="X1118" i="2"/>
  <c r="X1129" i="2"/>
  <c r="X1130" i="2" s="1"/>
  <c r="U57" i="1"/>
  <c r="W689" i="2"/>
  <c r="V738" i="2"/>
  <c r="X677" i="2"/>
  <c r="X688" i="2"/>
  <c r="X689" i="2" s="1"/>
  <c r="W983" i="2"/>
  <c r="U15" i="1"/>
  <c r="I15" i="8" s="1"/>
  <c r="U18" i="1"/>
  <c r="U21" i="1"/>
  <c r="Y962" i="2"/>
  <c r="Y974" i="2"/>
  <c r="Z529" i="2"/>
  <c r="Y1124" i="2"/>
  <c r="Y1109" i="2"/>
  <c r="Y1106" i="2"/>
  <c r="Y1117" i="2"/>
  <c r="Y968" i="2"/>
  <c r="Y965" i="2"/>
  <c r="Y1121" i="2"/>
  <c r="Y680" i="2"/>
  <c r="Y676" i="2"/>
  <c r="Z533" i="2"/>
  <c r="Z1105" i="2"/>
  <c r="Z1121" i="2" s="1"/>
  <c r="Z713" i="2"/>
  <c r="Z732" i="2" s="1"/>
  <c r="Y713" i="2"/>
  <c r="Y729" i="2" s="1"/>
  <c r="Y959" i="2"/>
  <c r="Z521" i="2"/>
  <c r="Y970" i="2"/>
  <c r="Y668" i="2"/>
  <c r="Y683" i="2"/>
  <c r="Y665" i="2"/>
  <c r="Y1115" i="2"/>
  <c r="AA517" i="2"/>
  <c r="AA529" i="2" s="1"/>
  <c r="Z536" i="2"/>
  <c r="Y674" i="2"/>
  <c r="Z958" i="2"/>
  <c r="Z959" i="2" s="1"/>
  <c r="Z518" i="2"/>
  <c r="Z527" i="2"/>
  <c r="Z664" i="2"/>
  <c r="S54" i="1"/>
  <c r="AB707" i="2"/>
  <c r="AA709" i="2"/>
  <c r="AA711" i="2" s="1"/>
  <c r="AA741" i="2" s="1"/>
  <c r="AC511" i="2"/>
  <c r="AB513" i="2"/>
  <c r="AB515" i="2" s="1"/>
  <c r="AB545" i="2" s="1"/>
  <c r="AB952" i="2"/>
  <c r="AA954" i="2"/>
  <c r="AA956" i="2" s="1"/>
  <c r="AA986" i="2" s="1"/>
  <c r="AB658" i="2"/>
  <c r="AA660" i="2"/>
  <c r="AA662" i="2" s="1"/>
  <c r="AA692" i="2" s="1"/>
  <c r="AB1099" i="2"/>
  <c r="AA1101" i="2"/>
  <c r="AA1103" i="2" s="1"/>
  <c r="AA1133" i="2" s="1"/>
  <c r="AB314" i="4"/>
  <c r="AA188" i="4"/>
  <c r="AB168" i="4"/>
  <c r="AB231" i="4"/>
  <c r="AB180" i="4"/>
  <c r="AB243" i="4"/>
  <c r="AB164" i="4"/>
  <c r="AB227" i="4"/>
  <c r="AB145" i="4"/>
  <c r="AB208" i="4"/>
  <c r="AB183" i="4"/>
  <c r="AB246" i="4" s="1"/>
  <c r="AB135" i="4"/>
  <c r="AB198" i="4" s="1"/>
  <c r="AB133" i="4"/>
  <c r="AB196" i="4"/>
  <c r="AB159" i="4"/>
  <c r="AB222" i="4"/>
  <c r="AB154" i="4"/>
  <c r="AB217" i="4"/>
  <c r="AB149" i="4"/>
  <c r="AB212" i="4" s="1"/>
  <c r="AB148" i="4"/>
  <c r="AB211" i="4" s="1"/>
  <c r="AB170" i="4"/>
  <c r="AB233" i="4" s="1"/>
  <c r="AB157" i="4"/>
  <c r="AB220" i="4"/>
  <c r="AB176" i="4"/>
  <c r="AB239" i="4"/>
  <c r="AB172" i="4"/>
  <c r="AB235" i="4"/>
  <c r="AB186" i="4"/>
  <c r="AB249" i="4" s="1"/>
  <c r="H249" i="4" s="1"/>
  <c r="AB152" i="4"/>
  <c r="AB215" i="4"/>
  <c r="AB174" i="4"/>
  <c r="AB237" i="4"/>
  <c r="AB184" i="4"/>
  <c r="AB247" i="4" s="1"/>
  <c r="AB165" i="4"/>
  <c r="AB228" i="4" s="1"/>
  <c r="AB169" i="4"/>
  <c r="AB232" i="4"/>
  <c r="AB142" i="4"/>
  <c r="AB205" i="4" s="1"/>
  <c r="AB146" i="4"/>
  <c r="AB209" i="4" s="1"/>
  <c r="AB139" i="4"/>
  <c r="AB202" i="4"/>
  <c r="AB153" i="4"/>
  <c r="AB216" i="4"/>
  <c r="AB175" i="4"/>
  <c r="AB238" i="4" s="1"/>
  <c r="AB140" i="4"/>
  <c r="AB203" i="4"/>
  <c r="AB166" i="4"/>
  <c r="AB229" i="4"/>
  <c r="AB160" i="4"/>
  <c r="AB223" i="4"/>
  <c r="AB185" i="4"/>
  <c r="AB248" i="4" s="1"/>
  <c r="AB137" i="4"/>
  <c r="AB200" i="4" s="1"/>
  <c r="AB187" i="4"/>
  <c r="AB250" i="4"/>
  <c r="AB144" i="4"/>
  <c r="AB207" i="4" s="1"/>
  <c r="AB162" i="4"/>
  <c r="AB225" i="4"/>
  <c r="AB181" i="4"/>
  <c r="AB244" i="4" s="1"/>
  <c r="AB167" i="4"/>
  <c r="AB230" i="4" s="1"/>
  <c r="AA251" i="4"/>
  <c r="AB155" i="4"/>
  <c r="AB218" i="4" s="1"/>
  <c r="AB138" i="4"/>
  <c r="AB201" i="4"/>
  <c r="AB161" i="4"/>
  <c r="AB224" i="4" s="1"/>
  <c r="AB151" i="4"/>
  <c r="AB214" i="4" s="1"/>
  <c r="AB171" i="4"/>
  <c r="AB234" i="4" s="1"/>
  <c r="AB178" i="4"/>
  <c r="AB241" i="4"/>
  <c r="AB182" i="4"/>
  <c r="AB245" i="4"/>
  <c r="AB179" i="4"/>
  <c r="AB242" i="4" s="1"/>
  <c r="AB173" i="4"/>
  <c r="AB236" i="4" s="1"/>
  <c r="AB147" i="4"/>
  <c r="AB210" i="4"/>
  <c r="AB143" i="4"/>
  <c r="AB206" i="4" s="1"/>
  <c r="AB156" i="4"/>
  <c r="AB219" i="4" s="1"/>
  <c r="AB150" i="4"/>
  <c r="AB213" i="4"/>
  <c r="AB177" i="4"/>
  <c r="AB240" i="4" s="1"/>
  <c r="AB163" i="4"/>
  <c r="AB226" i="4" s="1"/>
  <c r="AB141" i="4"/>
  <c r="AB204" i="4" s="1"/>
  <c r="AB158" i="4"/>
  <c r="AB221" i="4"/>
  <c r="AB134" i="4"/>
  <c r="AB197" i="4"/>
  <c r="AB136" i="4"/>
  <c r="AB199" i="4"/>
  <c r="AD69" i="4"/>
  <c r="AB62" i="4"/>
  <c r="AC54" i="4"/>
  <c r="AC306" i="4" s="1"/>
  <c r="AC369" i="4" s="1"/>
  <c r="AC31" i="4"/>
  <c r="AC283" i="4" s="1"/>
  <c r="AC346" i="4" s="1"/>
  <c r="AC21" i="4"/>
  <c r="AC273" i="4" s="1"/>
  <c r="AC336" i="4" s="1"/>
  <c r="AC49" i="4"/>
  <c r="AC301" i="4" s="1"/>
  <c r="AC364" i="4" s="1"/>
  <c r="AC25" i="4"/>
  <c r="AC277" i="4" s="1"/>
  <c r="AC340" i="4" s="1"/>
  <c r="AC18" i="4"/>
  <c r="AC270" i="4" s="1"/>
  <c r="AC333" i="4" s="1"/>
  <c r="AC61" i="4"/>
  <c r="AC313" i="4" s="1"/>
  <c r="AC376" i="4" s="1"/>
  <c r="AC7" i="4"/>
  <c r="AC259" i="4" s="1"/>
  <c r="AC322" i="4" s="1"/>
  <c r="AC27" i="4"/>
  <c r="AC279" i="4" s="1"/>
  <c r="AC342" i="4" s="1"/>
  <c r="AC47" i="4"/>
  <c r="AC299" i="4" s="1"/>
  <c r="AC362" i="4" s="1"/>
  <c r="AC16" i="4"/>
  <c r="AC268" i="4" s="1"/>
  <c r="AC331" i="4" s="1"/>
  <c r="AC41" i="4"/>
  <c r="AC293" i="4" s="1"/>
  <c r="AC356" i="4" s="1"/>
  <c r="AC39" i="4"/>
  <c r="AC291" i="4" s="1"/>
  <c r="AC354" i="4" s="1"/>
  <c r="AC34" i="4"/>
  <c r="AC286" i="4" s="1"/>
  <c r="AC349" i="4" s="1"/>
  <c r="AC32" i="4"/>
  <c r="AC284" i="4" s="1"/>
  <c r="AC347" i="4" s="1"/>
  <c r="AC29" i="4"/>
  <c r="AC281" i="4" s="1"/>
  <c r="AC344" i="4" s="1"/>
  <c r="AC15" i="4"/>
  <c r="AC267" i="4" s="1"/>
  <c r="AC330" i="4" s="1"/>
  <c r="AC58" i="4"/>
  <c r="AC310" i="4" s="1"/>
  <c r="AC373" i="4" s="1"/>
  <c r="AC11" i="4"/>
  <c r="AC263" i="4" s="1"/>
  <c r="AC326" i="4" s="1"/>
  <c r="AC38" i="4"/>
  <c r="AC290" i="4" s="1"/>
  <c r="AC353" i="4" s="1"/>
  <c r="AC43" i="4"/>
  <c r="AC295" i="4" s="1"/>
  <c r="AC358" i="4" s="1"/>
  <c r="AC44" i="4"/>
  <c r="AC296" i="4" s="1"/>
  <c r="AC359" i="4" s="1"/>
  <c r="AC30" i="4"/>
  <c r="AC282" i="4" s="1"/>
  <c r="AC345" i="4" s="1"/>
  <c r="AC26" i="4"/>
  <c r="AC278" i="4" s="1"/>
  <c r="AC341" i="4" s="1"/>
  <c r="AC33" i="4"/>
  <c r="AC285" i="4" s="1"/>
  <c r="AC348" i="4" s="1"/>
  <c r="AC8" i="4"/>
  <c r="AC260" i="4" s="1"/>
  <c r="AC323" i="4" s="1"/>
  <c r="AC46" i="4"/>
  <c r="AC298" i="4" s="1"/>
  <c r="AC361" i="4" s="1"/>
  <c r="AC24" i="4"/>
  <c r="AC276" i="4" s="1"/>
  <c r="AC339" i="4" s="1"/>
  <c r="AC19" i="4"/>
  <c r="AC271" i="4" s="1"/>
  <c r="AC334" i="4" s="1"/>
  <c r="AC22" i="4"/>
  <c r="AC274" i="4" s="1"/>
  <c r="AC337" i="4" s="1"/>
  <c r="AC9" i="4"/>
  <c r="AC261" i="4" s="1"/>
  <c r="AC324" i="4" s="1"/>
  <c r="AC52" i="4"/>
  <c r="AC304" i="4" s="1"/>
  <c r="AC367" i="4" s="1"/>
  <c r="AC59" i="4"/>
  <c r="AC311" i="4" s="1"/>
  <c r="AD311" i="4" s="1"/>
  <c r="AD374" i="4" s="1"/>
  <c r="AC12" i="4"/>
  <c r="AC264" i="4" s="1"/>
  <c r="AC327" i="4" s="1"/>
  <c r="AC51" i="4"/>
  <c r="AC303" i="4" s="1"/>
  <c r="AC366" i="4" s="1"/>
  <c r="AC57" i="4"/>
  <c r="AC309" i="4" s="1"/>
  <c r="AC372" i="4" s="1"/>
  <c r="AC35" i="4"/>
  <c r="AC287" i="4" s="1"/>
  <c r="AC350" i="4" s="1"/>
  <c r="AC10" i="4"/>
  <c r="AC262" i="4" s="1"/>
  <c r="AC325" i="4" s="1"/>
  <c r="AC14" i="4"/>
  <c r="AC266" i="4" s="1"/>
  <c r="AC329" i="4" s="1"/>
  <c r="AC20" i="4"/>
  <c r="AC272" i="4" s="1"/>
  <c r="AC335" i="4" s="1"/>
  <c r="AC17" i="4"/>
  <c r="AC269" i="4" s="1"/>
  <c r="AC332" i="4" s="1"/>
  <c r="AC28" i="4"/>
  <c r="AC280" i="4" s="1"/>
  <c r="AC343" i="4" s="1"/>
  <c r="AC48" i="4"/>
  <c r="AC300" i="4" s="1"/>
  <c r="AC363" i="4" s="1"/>
  <c r="AC50" i="4"/>
  <c r="AC302" i="4" s="1"/>
  <c r="AC365" i="4" s="1"/>
  <c r="AD6" i="4"/>
  <c r="AC42" i="4"/>
  <c r="AC294" i="4" s="1"/>
  <c r="AC357" i="4" s="1"/>
  <c r="AC13" i="4"/>
  <c r="AC265" i="4" s="1"/>
  <c r="AC328" i="4" s="1"/>
  <c r="AC60" i="4"/>
  <c r="AC312" i="4" s="1"/>
  <c r="AC375" i="4" s="1"/>
  <c r="AC37" i="4"/>
  <c r="AC289" i="4" s="1"/>
  <c r="AC352" i="4" s="1"/>
  <c r="AC23" i="4"/>
  <c r="AC275" i="4" s="1"/>
  <c r="AC338" i="4" s="1"/>
  <c r="AC56" i="4"/>
  <c r="AC308" i="4" s="1"/>
  <c r="AC371" i="4" s="1"/>
  <c r="AC53" i="4"/>
  <c r="AC305" i="4" s="1"/>
  <c r="AC368" i="4" s="1"/>
  <c r="AC55" i="4"/>
  <c r="AC307" i="4" s="1"/>
  <c r="AC370" i="4" s="1"/>
  <c r="AC36" i="4"/>
  <c r="AC288" i="4" s="1"/>
  <c r="AC351" i="4" s="1"/>
  <c r="AC45" i="4"/>
  <c r="AC297" i="4" s="1"/>
  <c r="AC360" i="4" s="1"/>
  <c r="AC40" i="4"/>
  <c r="AC292" i="4" s="1"/>
  <c r="AC355" i="4" s="1"/>
  <c r="AB125" i="4"/>
  <c r="B973" i="2"/>
  <c r="C973" i="2" s="1"/>
  <c r="B980" i="2"/>
  <c r="C980" i="2" s="1"/>
  <c r="B985" i="2"/>
  <c r="C985" i="2" s="1"/>
  <c r="B984" i="2"/>
  <c r="C984" i="2" s="1"/>
  <c r="B953" i="2"/>
  <c r="C953" i="2" s="1"/>
  <c r="B983" i="2"/>
  <c r="C983" i="2" s="1"/>
  <c r="B977" i="2"/>
  <c r="C977" i="2" s="1"/>
  <c r="B965" i="2"/>
  <c r="C965" i="2" s="1"/>
  <c r="B982" i="2"/>
  <c r="C982" i="2" s="1"/>
  <c r="B976" i="2"/>
  <c r="C976" i="2" s="1"/>
  <c r="B981" i="2"/>
  <c r="C981" i="2" s="1"/>
  <c r="B975" i="2"/>
  <c r="C975" i="2" s="1"/>
  <c r="B961" i="2"/>
  <c r="C961" i="2" s="1"/>
  <c r="B960" i="2"/>
  <c r="C960" i="2" s="1"/>
  <c r="B958" i="2"/>
  <c r="C958" i="2" s="1"/>
  <c r="B968" i="2"/>
  <c r="C968" i="2" s="1"/>
  <c r="B955" i="2"/>
  <c r="C955" i="2" s="1"/>
  <c r="B974" i="2"/>
  <c r="C974" i="2" s="1"/>
  <c r="B964" i="2"/>
  <c r="C964" i="2" s="1"/>
  <c r="B951" i="2"/>
  <c r="B963" i="2"/>
  <c r="C963" i="2" s="1"/>
  <c r="B972" i="2"/>
  <c r="C972" i="2" s="1"/>
  <c r="B957" i="2"/>
  <c r="C957" i="2" s="1"/>
  <c r="B950" i="2"/>
  <c r="B952" i="2"/>
  <c r="C952" i="2" s="1"/>
  <c r="B971" i="2"/>
  <c r="C971" i="2" s="1"/>
  <c r="B967" i="2"/>
  <c r="C967" i="2" s="1"/>
  <c r="B954" i="2"/>
  <c r="C954" i="2" s="1"/>
  <c r="B949" i="2"/>
  <c r="B966" i="2"/>
  <c r="C966" i="2" s="1"/>
  <c r="B948" i="2"/>
  <c r="B979" i="2"/>
  <c r="C979" i="2" s="1"/>
  <c r="B962" i="2"/>
  <c r="C962" i="2" s="1"/>
  <c r="B947" i="2"/>
  <c r="B989" i="2"/>
  <c r="C989" i="2" s="1"/>
  <c r="B987" i="2"/>
  <c r="C987" i="2" s="1"/>
  <c r="B978" i="2"/>
  <c r="C978" i="2" s="1"/>
  <c r="B988" i="2"/>
  <c r="C988" i="2" s="1"/>
  <c r="B970" i="2"/>
  <c r="C970" i="2" s="1"/>
  <c r="B959" i="2"/>
  <c r="C959" i="2" s="1"/>
  <c r="B946" i="2"/>
  <c r="B986" i="2"/>
  <c r="C986" i="2" s="1"/>
  <c r="B969" i="2"/>
  <c r="C969" i="2" s="1"/>
  <c r="B956" i="2"/>
  <c r="C956" i="2" s="1"/>
  <c r="B945" i="2"/>
  <c r="I122" i="8" l="1"/>
  <c r="U136" i="1"/>
  <c r="I136" i="8" s="1"/>
  <c r="U136" i="8" s="1"/>
  <c r="AC169" i="1"/>
  <c r="AC158" i="8"/>
  <c r="AC73" i="1"/>
  <c r="AC73" i="8" s="1"/>
  <c r="AC72" i="8"/>
  <c r="AH163" i="9"/>
  <c r="AH161" i="9" s="1"/>
  <c r="P169" i="1"/>
  <c r="U140" i="1"/>
  <c r="I140" i="8" s="1"/>
  <c r="U130" i="1"/>
  <c r="I130" i="8" s="1"/>
  <c r="U130" i="8" s="1"/>
  <c r="U135" i="1"/>
  <c r="I135" i="8" s="1"/>
  <c r="U135" i="8" s="1"/>
  <c r="N94" i="1"/>
  <c r="N100" i="1" s="1"/>
  <c r="N117" i="1" s="1"/>
  <c r="Q73" i="1"/>
  <c r="Q158" i="1"/>
  <c r="S163" i="1"/>
  <c r="G163" i="8" s="1"/>
  <c r="O114" i="1"/>
  <c r="O116" i="1" s="1"/>
  <c r="U50" i="1"/>
  <c r="U51" i="1" s="1"/>
  <c r="U121" i="1"/>
  <c r="I121" i="8" s="1"/>
  <c r="U121" i="8" s="1"/>
  <c r="V50" i="1"/>
  <c r="V128" i="1"/>
  <c r="J128" i="8" s="1"/>
  <c r="S127" i="1"/>
  <c r="G127" i="8" s="1"/>
  <c r="S127" i="8" s="1"/>
  <c r="T163" i="1"/>
  <c r="H163" i="8" s="1"/>
  <c r="R62" i="1"/>
  <c r="R66" i="1"/>
  <c r="R70" i="1" s="1"/>
  <c r="AC374" i="4"/>
  <c r="AC377" i="4" s="1"/>
  <c r="U128" i="1"/>
  <c r="I128" i="8" s="1"/>
  <c r="U42" i="1"/>
  <c r="P73" i="1"/>
  <c r="S62" i="1"/>
  <c r="S66" i="1"/>
  <c r="S70" i="1" s="1"/>
  <c r="T53" i="1"/>
  <c r="T61" i="1" s="1"/>
  <c r="U27" i="1"/>
  <c r="U38" i="1"/>
  <c r="U39" i="1" s="1"/>
  <c r="Y677" i="2"/>
  <c r="Y688" i="2"/>
  <c r="Y689" i="2" s="1"/>
  <c r="Y1118" i="2"/>
  <c r="Y1129" i="2"/>
  <c r="Y1130" i="2" s="1"/>
  <c r="AA530" i="2"/>
  <c r="AA541" i="2"/>
  <c r="AA542" i="2" s="1"/>
  <c r="Z530" i="2"/>
  <c r="Z541" i="2"/>
  <c r="Z542" i="2" s="1"/>
  <c r="Y971" i="2"/>
  <c r="Y982" i="2"/>
  <c r="Y983" i="2" s="1"/>
  <c r="AA521" i="2"/>
  <c r="AA518" i="2"/>
  <c r="Z1112" i="2"/>
  <c r="AA524" i="2"/>
  <c r="Z720" i="2"/>
  <c r="Z1115" i="2"/>
  <c r="Y732" i="2"/>
  <c r="AA527" i="2"/>
  <c r="Z723" i="2"/>
  <c r="Z1124" i="2"/>
  <c r="Y723" i="2"/>
  <c r="Y720" i="2"/>
  <c r="Z665" i="2"/>
  <c r="Z676" i="2"/>
  <c r="Z674" i="2"/>
  <c r="Z729" i="2"/>
  <c r="Z725" i="2"/>
  <c r="Y725" i="2"/>
  <c r="Y717" i="2"/>
  <c r="Y714" i="2"/>
  <c r="Z1117" i="2"/>
  <c r="Z717" i="2"/>
  <c r="Z714" i="2"/>
  <c r="Z680" i="2"/>
  <c r="Z683" i="2"/>
  <c r="Z1109" i="2"/>
  <c r="AA536" i="2"/>
  <c r="Z1106" i="2"/>
  <c r="Z668" i="2"/>
  <c r="Z968" i="2"/>
  <c r="Z965" i="2"/>
  <c r="Z977" i="2"/>
  <c r="AA958" i="2"/>
  <c r="AA965" i="2" s="1"/>
  <c r="AA1105" i="2"/>
  <c r="AA1124" i="2" s="1"/>
  <c r="Z974" i="2"/>
  <c r="AB517" i="2"/>
  <c r="AB524" i="2" s="1"/>
  <c r="Z970" i="2"/>
  <c r="AA664" i="2"/>
  <c r="AA683" i="2" s="1"/>
  <c r="Z962" i="2"/>
  <c r="AA533" i="2"/>
  <c r="AA713" i="2"/>
  <c r="AA732" i="2" s="1"/>
  <c r="Z671" i="2"/>
  <c r="AC707" i="2"/>
  <c r="AB709" i="2"/>
  <c r="AB711" i="2" s="1"/>
  <c r="AB741" i="2" s="1"/>
  <c r="AC1099" i="2"/>
  <c r="AD1099" i="2" s="1"/>
  <c r="AB1101" i="2"/>
  <c r="AB1103" i="2" s="1"/>
  <c r="AB1133" i="2" s="1"/>
  <c r="AC952" i="2"/>
  <c r="AB954" i="2"/>
  <c r="AB956" i="2" s="1"/>
  <c r="AB986" i="2" s="1"/>
  <c r="AC658" i="2"/>
  <c r="AB660" i="2"/>
  <c r="AB662" i="2" s="1"/>
  <c r="AB692" i="2" s="1"/>
  <c r="AD511" i="2"/>
  <c r="AC513" i="2"/>
  <c r="AC515" i="2" s="1"/>
  <c r="AC545" i="2" s="1"/>
  <c r="AC314" i="4"/>
  <c r="AB188" i="4"/>
  <c r="AC174" i="4"/>
  <c r="AC237" i="4"/>
  <c r="AC170" i="4"/>
  <c r="AC233" i="4"/>
  <c r="AC175" i="4"/>
  <c r="AC238" i="4"/>
  <c r="AC146" i="4"/>
  <c r="AC209" i="4"/>
  <c r="AB251" i="4"/>
  <c r="AC136" i="4"/>
  <c r="AC199" i="4"/>
  <c r="AC151" i="4"/>
  <c r="AC214" i="4" s="1"/>
  <c r="AC180" i="4"/>
  <c r="AC243" i="4"/>
  <c r="AC140" i="4"/>
  <c r="AC203" i="4"/>
  <c r="AC169" i="4"/>
  <c r="AC232" i="4"/>
  <c r="AC177" i="4"/>
  <c r="AC240" i="4" s="1"/>
  <c r="AC157" i="4"/>
  <c r="AC220" i="4"/>
  <c r="AC184" i="4"/>
  <c r="AC247" i="4"/>
  <c r="AC160" i="4"/>
  <c r="AC223" i="4"/>
  <c r="AC155" i="4"/>
  <c r="AC218" i="4"/>
  <c r="AC152" i="4"/>
  <c r="AC215" i="4"/>
  <c r="AC154" i="4"/>
  <c r="AC217" i="4" s="1"/>
  <c r="AC164" i="4"/>
  <c r="AC227" i="4" s="1"/>
  <c r="AC179" i="4"/>
  <c r="AC242" i="4"/>
  <c r="AC141" i="4"/>
  <c r="AC204" i="4"/>
  <c r="AC138" i="4"/>
  <c r="AC201" i="4" s="1"/>
  <c r="AC183" i="4"/>
  <c r="AC246" i="4"/>
  <c r="AC173" i="4"/>
  <c r="AC236" i="4" s="1"/>
  <c r="AC147" i="4"/>
  <c r="AC210" i="4"/>
  <c r="AC165" i="4"/>
  <c r="AC228" i="4"/>
  <c r="AC178" i="4"/>
  <c r="AC241" i="4"/>
  <c r="AC153" i="4"/>
  <c r="AC216" i="4" s="1"/>
  <c r="AC176" i="4"/>
  <c r="AC239" i="4"/>
  <c r="AC143" i="4"/>
  <c r="AC206" i="4" s="1"/>
  <c r="AC137" i="4"/>
  <c r="AC200" i="4"/>
  <c r="AC171" i="4"/>
  <c r="AC234" i="4" s="1"/>
  <c r="AC185" i="4"/>
  <c r="AC248" i="4"/>
  <c r="AC167" i="4"/>
  <c r="AC230" i="4"/>
  <c r="AC135" i="4"/>
  <c r="AC198" i="4"/>
  <c r="AC148" i="4"/>
  <c r="AC211" i="4"/>
  <c r="AC186" i="4"/>
  <c r="AC249" i="4"/>
  <c r="AC150" i="4"/>
  <c r="AC213" i="4" s="1"/>
  <c r="AC133" i="4"/>
  <c r="AC196" i="4"/>
  <c r="AC159" i="4"/>
  <c r="AC222" i="4"/>
  <c r="AC156" i="4"/>
  <c r="AC219" i="4" s="1"/>
  <c r="AC161" i="4"/>
  <c r="AC224" i="4" s="1"/>
  <c r="AC166" i="4"/>
  <c r="AC229" i="4"/>
  <c r="AC158" i="4"/>
  <c r="AC221" i="4"/>
  <c r="AC162" i="4"/>
  <c r="AC225" i="4"/>
  <c r="AC181" i="4"/>
  <c r="AC244" i="4"/>
  <c r="AC142" i="4"/>
  <c r="AC205" i="4" s="1"/>
  <c r="AC163" i="4"/>
  <c r="AC226" i="4"/>
  <c r="AC139" i="4"/>
  <c r="AC202" i="4"/>
  <c r="AC172" i="4"/>
  <c r="AC235" i="4"/>
  <c r="AC187" i="4"/>
  <c r="AC250" i="4"/>
  <c r="AC182" i="4"/>
  <c r="AC245" i="4" s="1"/>
  <c r="AC149" i="4"/>
  <c r="AC212" i="4"/>
  <c r="AC145" i="4"/>
  <c r="AC208" i="4"/>
  <c r="AC168" i="4"/>
  <c r="AC231" i="4"/>
  <c r="AC134" i="4"/>
  <c r="AC197" i="4" s="1"/>
  <c r="AC144" i="4"/>
  <c r="AC207" i="4"/>
  <c r="AE69" i="4"/>
  <c r="AC125" i="4"/>
  <c r="AC62" i="4"/>
  <c r="AD29" i="4"/>
  <c r="AD281" i="4" s="1"/>
  <c r="AD344" i="4" s="1"/>
  <c r="AD15" i="4"/>
  <c r="AD267" i="4" s="1"/>
  <c r="AD330" i="4" s="1"/>
  <c r="AD13" i="4"/>
  <c r="AD265" i="4" s="1"/>
  <c r="AD328" i="4" s="1"/>
  <c r="AD57" i="4"/>
  <c r="AD309" i="4" s="1"/>
  <c r="AD372" i="4" s="1"/>
  <c r="AD52" i="4"/>
  <c r="AD304" i="4" s="1"/>
  <c r="AD367" i="4" s="1"/>
  <c r="AD53" i="4"/>
  <c r="AD305" i="4" s="1"/>
  <c r="AD368" i="4" s="1"/>
  <c r="AD42" i="4"/>
  <c r="AD294" i="4" s="1"/>
  <c r="AD357" i="4" s="1"/>
  <c r="AD31" i="4"/>
  <c r="AD283" i="4" s="1"/>
  <c r="AD346" i="4" s="1"/>
  <c r="AD24" i="4"/>
  <c r="AD276" i="4" s="1"/>
  <c r="AD339" i="4" s="1"/>
  <c r="AD60" i="4"/>
  <c r="AD312" i="4" s="1"/>
  <c r="AD375" i="4" s="1"/>
  <c r="AD36" i="4"/>
  <c r="AD288" i="4" s="1"/>
  <c r="AD351" i="4" s="1"/>
  <c r="AD14" i="4"/>
  <c r="AD266" i="4" s="1"/>
  <c r="AD329" i="4" s="1"/>
  <c r="AD45" i="4"/>
  <c r="AD297" i="4" s="1"/>
  <c r="AD360" i="4" s="1"/>
  <c r="AD10" i="4"/>
  <c r="AD262" i="4" s="1"/>
  <c r="AD325" i="4" s="1"/>
  <c r="AD9" i="4"/>
  <c r="AD261" i="4" s="1"/>
  <c r="AD324" i="4" s="1"/>
  <c r="AD35" i="4"/>
  <c r="AD287" i="4" s="1"/>
  <c r="AD350" i="4" s="1"/>
  <c r="AD21" i="4"/>
  <c r="AD273" i="4" s="1"/>
  <c r="AD336" i="4" s="1"/>
  <c r="AD48" i="4"/>
  <c r="AD300" i="4" s="1"/>
  <c r="AD363" i="4" s="1"/>
  <c r="AD26" i="4"/>
  <c r="AD278" i="4" s="1"/>
  <c r="AD341" i="4" s="1"/>
  <c r="AD41" i="4"/>
  <c r="AD293" i="4" s="1"/>
  <c r="AD356" i="4" s="1"/>
  <c r="AD56" i="4"/>
  <c r="AD308" i="4" s="1"/>
  <c r="AD371" i="4" s="1"/>
  <c r="AD37" i="4"/>
  <c r="AD289" i="4" s="1"/>
  <c r="AD352" i="4" s="1"/>
  <c r="AD19" i="4"/>
  <c r="AD271" i="4" s="1"/>
  <c r="AD334" i="4" s="1"/>
  <c r="AD55" i="4"/>
  <c r="AD307" i="4" s="1"/>
  <c r="AD370" i="4" s="1"/>
  <c r="AD38" i="4"/>
  <c r="AD290" i="4" s="1"/>
  <c r="AD353" i="4" s="1"/>
  <c r="AD25" i="4"/>
  <c r="AD277" i="4" s="1"/>
  <c r="AD340" i="4" s="1"/>
  <c r="AD28" i="4"/>
  <c r="AD280" i="4" s="1"/>
  <c r="AD343" i="4" s="1"/>
  <c r="AD27" i="4"/>
  <c r="AD279" i="4" s="1"/>
  <c r="AD342" i="4" s="1"/>
  <c r="AD20" i="4"/>
  <c r="AD272" i="4" s="1"/>
  <c r="AD335" i="4" s="1"/>
  <c r="AD47" i="4"/>
  <c r="AD299" i="4" s="1"/>
  <c r="AD362" i="4" s="1"/>
  <c r="AD44" i="4"/>
  <c r="AD296" i="4" s="1"/>
  <c r="AD359" i="4" s="1"/>
  <c r="AD61" i="4"/>
  <c r="AD313" i="4" s="1"/>
  <c r="AD376" i="4" s="1"/>
  <c r="AD46" i="4"/>
  <c r="AD298" i="4" s="1"/>
  <c r="AD361" i="4" s="1"/>
  <c r="AD32" i="4"/>
  <c r="AD284" i="4" s="1"/>
  <c r="AD347" i="4" s="1"/>
  <c r="AD40" i="4"/>
  <c r="AD292" i="4" s="1"/>
  <c r="AD355" i="4" s="1"/>
  <c r="AD34" i="4"/>
  <c r="AD286" i="4" s="1"/>
  <c r="AD349" i="4" s="1"/>
  <c r="AD33" i="4"/>
  <c r="AD285" i="4" s="1"/>
  <c r="AD348" i="4" s="1"/>
  <c r="AD50" i="4"/>
  <c r="AD302" i="4" s="1"/>
  <c r="AD365" i="4" s="1"/>
  <c r="AD22" i="4"/>
  <c r="AD274" i="4" s="1"/>
  <c r="AD337" i="4" s="1"/>
  <c r="AD11" i="4"/>
  <c r="AD263" i="4" s="1"/>
  <c r="AD326" i="4" s="1"/>
  <c r="AD23" i="4"/>
  <c r="AD275" i="4" s="1"/>
  <c r="AD338" i="4" s="1"/>
  <c r="AE6" i="4"/>
  <c r="AD17" i="4"/>
  <c r="AD269" i="4" s="1"/>
  <c r="AD332" i="4" s="1"/>
  <c r="AD8" i="4"/>
  <c r="AD260" i="4" s="1"/>
  <c r="AD323" i="4" s="1"/>
  <c r="AD43" i="4"/>
  <c r="AD295" i="4" s="1"/>
  <c r="AD358" i="4" s="1"/>
  <c r="AD59" i="4"/>
  <c r="AD12" i="4"/>
  <c r="AD264" i="4" s="1"/>
  <c r="AD327" i="4" s="1"/>
  <c r="AD58" i="4"/>
  <c r="AD310" i="4" s="1"/>
  <c r="AD373" i="4" s="1"/>
  <c r="AD7" i="4"/>
  <c r="AD259" i="4" s="1"/>
  <c r="AD322" i="4" s="1"/>
  <c r="AD49" i="4"/>
  <c r="AD301" i="4" s="1"/>
  <c r="AD364" i="4" s="1"/>
  <c r="AD30" i="4"/>
  <c r="AD282" i="4" s="1"/>
  <c r="AD345" i="4" s="1"/>
  <c r="AD16" i="4"/>
  <c r="AD268" i="4" s="1"/>
  <c r="AD331" i="4" s="1"/>
  <c r="AD54" i="4"/>
  <c r="AD306" i="4" s="1"/>
  <c r="AD369" i="4" s="1"/>
  <c r="AD51" i="4"/>
  <c r="AD303" i="4" s="1"/>
  <c r="AD366" i="4" s="1"/>
  <c r="AD18" i="4"/>
  <c r="AD270" i="4" s="1"/>
  <c r="AD333" i="4" s="1"/>
  <c r="AD39" i="4"/>
  <c r="AD291" i="4" s="1"/>
  <c r="AD354" i="4" s="1"/>
  <c r="B1031" i="2"/>
  <c r="C1031" i="2" s="1"/>
  <c r="B1020" i="2"/>
  <c r="C1020" i="2" s="1"/>
  <c r="B1030" i="2"/>
  <c r="C1030" i="2" s="1"/>
  <c r="B1032" i="2"/>
  <c r="C1032" i="2" s="1"/>
  <c r="B1021" i="2"/>
  <c r="C1021" i="2" s="1"/>
  <c r="B1028" i="2"/>
  <c r="C1028" i="2" s="1"/>
  <c r="B1005" i="2"/>
  <c r="C1005" i="2" s="1"/>
  <c r="B994" i="2"/>
  <c r="B1027" i="2"/>
  <c r="C1027" i="2" s="1"/>
  <c r="B1002" i="2"/>
  <c r="C1002" i="2" s="1"/>
  <c r="B1025" i="2"/>
  <c r="C1025" i="2" s="1"/>
  <c r="B1017" i="2"/>
  <c r="C1017" i="2" s="1"/>
  <c r="B1012" i="2"/>
  <c r="C1012" i="2" s="1"/>
  <c r="B1023" i="2"/>
  <c r="C1023" i="2" s="1"/>
  <c r="B1016" i="2"/>
  <c r="C1016" i="2" s="1"/>
  <c r="B1003" i="2"/>
  <c r="C1003" i="2" s="1"/>
  <c r="B998" i="2"/>
  <c r="B1022" i="2"/>
  <c r="C1022" i="2" s="1"/>
  <c r="B1015" i="2"/>
  <c r="C1015" i="2" s="1"/>
  <c r="B997" i="2"/>
  <c r="B1013" i="2"/>
  <c r="C1013" i="2" s="1"/>
  <c r="B1008" i="2"/>
  <c r="C1008" i="2" s="1"/>
  <c r="B1014" i="2"/>
  <c r="C1014" i="2" s="1"/>
  <c r="B999" i="2"/>
  <c r="B996" i="2"/>
  <c r="B1036" i="2"/>
  <c r="C1036" i="2" s="1"/>
  <c r="B995" i="2"/>
  <c r="B1001" i="2"/>
  <c r="C1001" i="2" s="1"/>
  <c r="B1029" i="2"/>
  <c r="C1029" i="2" s="1"/>
  <c r="B1024" i="2"/>
  <c r="C1024" i="2" s="1"/>
  <c r="B1000" i="2"/>
  <c r="B1010" i="2"/>
  <c r="C1010" i="2" s="1"/>
  <c r="B1004" i="2"/>
  <c r="C1004" i="2" s="1"/>
  <c r="B1038" i="2"/>
  <c r="C1038" i="2" s="1"/>
  <c r="B1026" i="2"/>
  <c r="C1026" i="2" s="1"/>
  <c r="B1009" i="2"/>
  <c r="C1009" i="2" s="1"/>
  <c r="B1037" i="2"/>
  <c r="C1037" i="2" s="1"/>
  <c r="B1035" i="2"/>
  <c r="C1035" i="2" s="1"/>
  <c r="B1034" i="2"/>
  <c r="C1034" i="2" s="1"/>
  <c r="B1019" i="2"/>
  <c r="C1019" i="2" s="1"/>
  <c r="B1011" i="2"/>
  <c r="C1011" i="2" s="1"/>
  <c r="B1033" i="2"/>
  <c r="C1033" i="2" s="1"/>
  <c r="B1018" i="2"/>
  <c r="C1018" i="2" s="1"/>
  <c r="B1006" i="2"/>
  <c r="C1006" i="2" s="1"/>
  <c r="B1007" i="2"/>
  <c r="C1007" i="2" s="1"/>
  <c r="Q169" i="1" l="1"/>
  <c r="E158" i="8"/>
  <c r="P179" i="1"/>
  <c r="D179" i="8" s="1"/>
  <c r="D169" i="8"/>
  <c r="AC179" i="1"/>
  <c r="AC179" i="8" s="1"/>
  <c r="AC169" i="8"/>
  <c r="AH113" i="9"/>
  <c r="AH111" i="9" s="1"/>
  <c r="O94" i="1"/>
  <c r="O100" i="1" s="1"/>
  <c r="O117" i="1" s="1"/>
  <c r="P114" i="1"/>
  <c r="P116" i="1" s="1"/>
  <c r="AD377" i="4"/>
  <c r="W50" i="1"/>
  <c r="W51" i="1" s="1"/>
  <c r="W128" i="1"/>
  <c r="K128" i="8" s="1"/>
  <c r="R72" i="1"/>
  <c r="R67" i="1"/>
  <c r="T127" i="1"/>
  <c r="H127" i="8" s="1"/>
  <c r="T127" i="8" s="1"/>
  <c r="W122" i="1"/>
  <c r="V122" i="1"/>
  <c r="V51" i="1"/>
  <c r="U53" i="1"/>
  <c r="T62" i="1"/>
  <c r="T66" i="1"/>
  <c r="T70" i="1" s="1"/>
  <c r="S72" i="1"/>
  <c r="S158" i="1" s="1"/>
  <c r="S67" i="1"/>
  <c r="T54" i="1"/>
  <c r="Z971" i="2"/>
  <c r="Z982" i="2"/>
  <c r="Z1118" i="2"/>
  <c r="Z1129" i="2"/>
  <c r="W18" i="1"/>
  <c r="W15" i="1"/>
  <c r="K15" i="8" s="1"/>
  <c r="Z726" i="2"/>
  <c r="Z737" i="2"/>
  <c r="Z738" i="2" s="1"/>
  <c r="W21" i="1"/>
  <c r="W42" i="1"/>
  <c r="Z677" i="2"/>
  <c r="Z688" i="2"/>
  <c r="W24" i="1"/>
  <c r="W26" i="1"/>
  <c r="W57" i="1"/>
  <c r="AB518" i="2"/>
  <c r="W33" i="1"/>
  <c r="W45" i="1"/>
  <c r="Y726" i="2"/>
  <c r="Y737" i="2"/>
  <c r="W30" i="1"/>
  <c r="V18" i="1"/>
  <c r="V57" i="1"/>
  <c r="V24" i="1"/>
  <c r="V21" i="1"/>
  <c r="V26" i="1"/>
  <c r="V45" i="1"/>
  <c r="V33" i="1"/>
  <c r="V42" i="1"/>
  <c r="V30" i="1"/>
  <c r="V15" i="1"/>
  <c r="J15" i="8" s="1"/>
  <c r="AA1112" i="2"/>
  <c r="AA962" i="2"/>
  <c r="AA959" i="2"/>
  <c r="AA1109" i="2"/>
  <c r="AA1106" i="2"/>
  <c r="AA1115" i="2"/>
  <c r="AA968" i="2"/>
  <c r="AA970" i="2"/>
  <c r="AA671" i="2"/>
  <c r="AB533" i="2"/>
  <c r="AB529" i="2"/>
  <c r="AA974" i="2"/>
  <c r="AA680" i="2"/>
  <c r="AA676" i="2"/>
  <c r="AA1121" i="2"/>
  <c r="AA668" i="2"/>
  <c r="AA1117" i="2"/>
  <c r="AA665" i="2"/>
  <c r="AA717" i="2"/>
  <c r="AA977" i="2"/>
  <c r="AB521" i="2"/>
  <c r="AC517" i="2"/>
  <c r="AC521" i="2" s="1"/>
  <c r="AB664" i="2"/>
  <c r="AB683" i="2" s="1"/>
  <c r="AA714" i="2"/>
  <c r="AB958" i="2"/>
  <c r="AB977" i="2" s="1"/>
  <c r="AA729" i="2"/>
  <c r="AA725" i="2"/>
  <c r="AA674" i="2"/>
  <c r="AB536" i="2"/>
  <c r="AA723" i="2"/>
  <c r="AA720" i="2"/>
  <c r="AB527" i="2"/>
  <c r="AB1105" i="2"/>
  <c r="AB1124" i="2" s="1"/>
  <c r="AB713" i="2"/>
  <c r="AD707" i="2"/>
  <c r="AC709" i="2"/>
  <c r="AC711" i="2" s="1"/>
  <c r="AC741" i="2" s="1"/>
  <c r="AD513" i="2"/>
  <c r="AG511" i="2"/>
  <c r="AD658" i="2"/>
  <c r="AC660" i="2"/>
  <c r="AC662" i="2" s="1"/>
  <c r="AC692" i="2" s="1"/>
  <c r="AD952" i="2"/>
  <c r="AC954" i="2"/>
  <c r="AC956" i="2" s="1"/>
  <c r="AC986" i="2" s="1"/>
  <c r="AC1101" i="2"/>
  <c r="AC1103" i="2" s="1"/>
  <c r="AC1133" i="2" s="1"/>
  <c r="AD314" i="4"/>
  <c r="AC188" i="4"/>
  <c r="AD149" i="4"/>
  <c r="AD212" i="4"/>
  <c r="AD137" i="4"/>
  <c r="AD200" i="4"/>
  <c r="AD181" i="4"/>
  <c r="AD244" i="4"/>
  <c r="AD141" i="4"/>
  <c r="AD204" i="4"/>
  <c r="AC251" i="4"/>
  <c r="AD161" i="4"/>
  <c r="AD224" i="4" s="1"/>
  <c r="AD134" i="4"/>
  <c r="AD197" i="4" s="1"/>
  <c r="AD163" i="4"/>
  <c r="AD226" i="4"/>
  <c r="AD148" i="4"/>
  <c r="AD211" i="4"/>
  <c r="AD160" i="4"/>
  <c r="AD223" i="4" s="1"/>
  <c r="AD142" i="4"/>
  <c r="AD205" i="4" s="1"/>
  <c r="AD152" i="4"/>
  <c r="AD215" i="4" s="1"/>
  <c r="AD135" i="4"/>
  <c r="AD198" i="4"/>
  <c r="AD145" i="4"/>
  <c r="AD208" i="4"/>
  <c r="AD155" i="4"/>
  <c r="AD218" i="4"/>
  <c r="AD174" i="4"/>
  <c r="AD237" i="4"/>
  <c r="AD165" i="4"/>
  <c r="AD228" i="4" s="1"/>
  <c r="AD187" i="4"/>
  <c r="AD250" i="4" s="1"/>
  <c r="AD183" i="4"/>
  <c r="AD246" i="4"/>
  <c r="AD166" i="4"/>
  <c r="AD229" i="4" s="1"/>
  <c r="AD158" i="4"/>
  <c r="AD221" i="4" s="1"/>
  <c r="AD180" i="4"/>
  <c r="AD243" i="4"/>
  <c r="AD140" i="4"/>
  <c r="AD203" i="4" s="1"/>
  <c r="AD146" i="4"/>
  <c r="AD209" i="4" s="1"/>
  <c r="AD153" i="4"/>
  <c r="AD216" i="4" s="1"/>
  <c r="AD157" i="4"/>
  <c r="AD220" i="4" s="1"/>
  <c r="AD159" i="4"/>
  <c r="AD222" i="4" s="1"/>
  <c r="AD156" i="4"/>
  <c r="AD219" i="4"/>
  <c r="AD186" i="4"/>
  <c r="AD249" i="4"/>
  <c r="AD133" i="4"/>
  <c r="AD196" i="4"/>
  <c r="AD184" i="4"/>
  <c r="AD247" i="4" s="1"/>
  <c r="AD138" i="4"/>
  <c r="AD201" i="4"/>
  <c r="AD154" i="4"/>
  <c r="AD217" i="4" s="1"/>
  <c r="AD168" i="4"/>
  <c r="AD231" i="4" s="1"/>
  <c r="AD139" i="4"/>
  <c r="AD202" i="4"/>
  <c r="AD182" i="4"/>
  <c r="AD245" i="4" s="1"/>
  <c r="AD167" i="4"/>
  <c r="AD230" i="4" s="1"/>
  <c r="AD176" i="4"/>
  <c r="AD239" i="4" s="1"/>
  <c r="AD136" i="4"/>
  <c r="AD199" i="4"/>
  <c r="AD171" i="4"/>
  <c r="AD234" i="4"/>
  <c r="AD170" i="4"/>
  <c r="AD233" i="4" s="1"/>
  <c r="AD175" i="4"/>
  <c r="AD238" i="4" s="1"/>
  <c r="AD150" i="4"/>
  <c r="AD213" i="4"/>
  <c r="AD185" i="4"/>
  <c r="AD248" i="4"/>
  <c r="AD151" i="4"/>
  <c r="AD214" i="4" s="1"/>
  <c r="AD179" i="4"/>
  <c r="AD242" i="4" s="1"/>
  <c r="AD143" i="4"/>
  <c r="AD206" i="4" s="1"/>
  <c r="AD147" i="4"/>
  <c r="AD210" i="4"/>
  <c r="AD144" i="4"/>
  <c r="AD207" i="4" s="1"/>
  <c r="AD177" i="4"/>
  <c r="AD240" i="4"/>
  <c r="AD172" i="4"/>
  <c r="AD235" i="4" s="1"/>
  <c r="AD162" i="4"/>
  <c r="AD225" i="4"/>
  <c r="AD173" i="4"/>
  <c r="AD236" i="4" s="1"/>
  <c r="AD169" i="4"/>
  <c r="AD232" i="4"/>
  <c r="AD164" i="4"/>
  <c r="AD227" i="4" s="1"/>
  <c r="AD178" i="4"/>
  <c r="AD241" i="4"/>
  <c r="AF69" i="4"/>
  <c r="AD125" i="4"/>
  <c r="AE27" i="4"/>
  <c r="AE279" i="4" s="1"/>
  <c r="AE342" i="4" s="1"/>
  <c r="AE48" i="4"/>
  <c r="AE300" i="4" s="1"/>
  <c r="AE363" i="4" s="1"/>
  <c r="AE54" i="4"/>
  <c r="AE306" i="4" s="1"/>
  <c r="AE369" i="4" s="1"/>
  <c r="AE55" i="4"/>
  <c r="AE307" i="4" s="1"/>
  <c r="AE370" i="4" s="1"/>
  <c r="AE33" i="4"/>
  <c r="AE285" i="4" s="1"/>
  <c r="AE348" i="4" s="1"/>
  <c r="AE20" i="4"/>
  <c r="AE272" i="4" s="1"/>
  <c r="AE335" i="4" s="1"/>
  <c r="AE22" i="4"/>
  <c r="AE274" i="4" s="1"/>
  <c r="AE337" i="4" s="1"/>
  <c r="AE41" i="4"/>
  <c r="AE293" i="4" s="1"/>
  <c r="AE356" i="4" s="1"/>
  <c r="AE53" i="4"/>
  <c r="AE305" i="4" s="1"/>
  <c r="AE368" i="4" s="1"/>
  <c r="AE43" i="4"/>
  <c r="AE295" i="4" s="1"/>
  <c r="AE358" i="4" s="1"/>
  <c r="AE10" i="4"/>
  <c r="AE262" i="4" s="1"/>
  <c r="AE325" i="4" s="1"/>
  <c r="AE17" i="4"/>
  <c r="AE269" i="4" s="1"/>
  <c r="AE332" i="4" s="1"/>
  <c r="AE31" i="4"/>
  <c r="AE283" i="4" s="1"/>
  <c r="AE346" i="4" s="1"/>
  <c r="AE46" i="4"/>
  <c r="AE298" i="4" s="1"/>
  <c r="AE361" i="4" s="1"/>
  <c r="AE59" i="4"/>
  <c r="AE311" i="4" s="1"/>
  <c r="AE374" i="4" s="1"/>
  <c r="AE58" i="4"/>
  <c r="AE310" i="4" s="1"/>
  <c r="AE373" i="4" s="1"/>
  <c r="AE30" i="4"/>
  <c r="AE282" i="4" s="1"/>
  <c r="AE345" i="4" s="1"/>
  <c r="AE12" i="4"/>
  <c r="AE264" i="4" s="1"/>
  <c r="AE327" i="4" s="1"/>
  <c r="AE9" i="4"/>
  <c r="AE261" i="4" s="1"/>
  <c r="AE324" i="4" s="1"/>
  <c r="AE39" i="4"/>
  <c r="AE291" i="4" s="1"/>
  <c r="AE354" i="4" s="1"/>
  <c r="AE29" i="4"/>
  <c r="AE281" i="4" s="1"/>
  <c r="AE344" i="4" s="1"/>
  <c r="AE50" i="4"/>
  <c r="AE302" i="4" s="1"/>
  <c r="AE365" i="4" s="1"/>
  <c r="AE44" i="4"/>
  <c r="AE296" i="4" s="1"/>
  <c r="AE359" i="4" s="1"/>
  <c r="AE15" i="4"/>
  <c r="AE267" i="4" s="1"/>
  <c r="AE330" i="4" s="1"/>
  <c r="AE56" i="4"/>
  <c r="AE308" i="4" s="1"/>
  <c r="AE371" i="4" s="1"/>
  <c r="AE34" i="4"/>
  <c r="AE286" i="4" s="1"/>
  <c r="AE349" i="4" s="1"/>
  <c r="AE7" i="4"/>
  <c r="AE259" i="4" s="1"/>
  <c r="AE322" i="4" s="1"/>
  <c r="AE14" i="4"/>
  <c r="AE266" i="4" s="1"/>
  <c r="AE329" i="4" s="1"/>
  <c r="AE38" i="4"/>
  <c r="AE290" i="4" s="1"/>
  <c r="AE353" i="4" s="1"/>
  <c r="AE26" i="4"/>
  <c r="AE278" i="4" s="1"/>
  <c r="AE341" i="4" s="1"/>
  <c r="AE8" i="4"/>
  <c r="AE260" i="4" s="1"/>
  <c r="AE323" i="4" s="1"/>
  <c r="AE51" i="4"/>
  <c r="AE303" i="4" s="1"/>
  <c r="AE366" i="4" s="1"/>
  <c r="AE60" i="4"/>
  <c r="AE312" i="4" s="1"/>
  <c r="AE11" i="4"/>
  <c r="AE263" i="4" s="1"/>
  <c r="AE326" i="4" s="1"/>
  <c r="AE40" i="4"/>
  <c r="AE292" i="4" s="1"/>
  <c r="AE355" i="4" s="1"/>
  <c r="AE19" i="4"/>
  <c r="AE271" i="4" s="1"/>
  <c r="AE334" i="4" s="1"/>
  <c r="AF6" i="4"/>
  <c r="AE21" i="4"/>
  <c r="AE273" i="4" s="1"/>
  <c r="AE336" i="4" s="1"/>
  <c r="AE13" i="4"/>
  <c r="AE265" i="4" s="1"/>
  <c r="AE328" i="4" s="1"/>
  <c r="AE61" i="4"/>
  <c r="AE313" i="4" s="1"/>
  <c r="AE37" i="4"/>
  <c r="AE289" i="4" s="1"/>
  <c r="AE352" i="4" s="1"/>
  <c r="AE52" i="4"/>
  <c r="AE304" i="4" s="1"/>
  <c r="AE367" i="4" s="1"/>
  <c r="AE45" i="4"/>
  <c r="AE297" i="4" s="1"/>
  <c r="AE360" i="4" s="1"/>
  <c r="AE25" i="4"/>
  <c r="AE277" i="4" s="1"/>
  <c r="AE340" i="4" s="1"/>
  <c r="AE23" i="4"/>
  <c r="AE275" i="4" s="1"/>
  <c r="AE338" i="4" s="1"/>
  <c r="AE36" i="4"/>
  <c r="AE288" i="4" s="1"/>
  <c r="AE351" i="4" s="1"/>
  <c r="AE35" i="4"/>
  <c r="AE287" i="4" s="1"/>
  <c r="AE350" i="4" s="1"/>
  <c r="AE32" i="4"/>
  <c r="AE284" i="4" s="1"/>
  <c r="AE347" i="4" s="1"/>
  <c r="AE47" i="4"/>
  <c r="AE299" i="4" s="1"/>
  <c r="AE362" i="4" s="1"/>
  <c r="AE16" i="4"/>
  <c r="AE268" i="4" s="1"/>
  <c r="AE331" i="4" s="1"/>
  <c r="AE42" i="4"/>
  <c r="AE294" i="4" s="1"/>
  <c r="AE357" i="4" s="1"/>
  <c r="AE18" i="4"/>
  <c r="AE270" i="4" s="1"/>
  <c r="AE333" i="4" s="1"/>
  <c r="AE49" i="4"/>
  <c r="AE301" i="4" s="1"/>
  <c r="AE364" i="4" s="1"/>
  <c r="AE57" i="4"/>
  <c r="AE309" i="4" s="1"/>
  <c r="AE372" i="4" s="1"/>
  <c r="AE28" i="4"/>
  <c r="AE280" i="4" s="1"/>
  <c r="AE343" i="4" s="1"/>
  <c r="AE24" i="4"/>
  <c r="AE276" i="4" s="1"/>
  <c r="AE339" i="4" s="1"/>
  <c r="AD62" i="4"/>
  <c r="B1068" i="2"/>
  <c r="C1068" i="2" s="1"/>
  <c r="B1087" i="2"/>
  <c r="C1087" i="2" s="1"/>
  <c r="B1073" i="2"/>
  <c r="C1073" i="2" s="1"/>
  <c r="B1070" i="2"/>
  <c r="C1070" i="2" s="1"/>
  <c r="B1056" i="2"/>
  <c r="C1056" i="2" s="1"/>
  <c r="B1053" i="2"/>
  <c r="C1053" i="2" s="1"/>
  <c r="B1050" i="2"/>
  <c r="C1050" i="2" s="1"/>
  <c r="B1075" i="2"/>
  <c r="C1075" i="2" s="1"/>
  <c r="B1065" i="2"/>
  <c r="C1065" i="2" s="1"/>
  <c r="B1057" i="2"/>
  <c r="C1057" i="2" s="1"/>
  <c r="B1044" i="2"/>
  <c r="B1084" i="2"/>
  <c r="C1084" i="2" s="1"/>
  <c r="B1063" i="2"/>
  <c r="C1063" i="2" s="1"/>
  <c r="B1085" i="2"/>
  <c r="C1085" i="2" s="1"/>
  <c r="B1083" i="2"/>
  <c r="C1083" i="2" s="1"/>
  <c r="B1072" i="2"/>
  <c r="C1072" i="2" s="1"/>
  <c r="B1082" i="2"/>
  <c r="C1082" i="2" s="1"/>
  <c r="B1081" i="2"/>
  <c r="C1081" i="2" s="1"/>
  <c r="B1080" i="2"/>
  <c r="C1080" i="2" s="1"/>
  <c r="B1066" i="2"/>
  <c r="C1066" i="2" s="1"/>
  <c r="B1069" i="2"/>
  <c r="C1069" i="2" s="1"/>
  <c r="B1074" i="2"/>
  <c r="C1074" i="2" s="1"/>
  <c r="B1055" i="2"/>
  <c r="C1055" i="2" s="1"/>
  <c r="B1043" i="2"/>
  <c r="B1078" i="2"/>
  <c r="C1078" i="2" s="1"/>
  <c r="B1086" i="2"/>
  <c r="C1086" i="2" s="1"/>
  <c r="B1071" i="2"/>
  <c r="C1071" i="2" s="1"/>
  <c r="B1064" i="2"/>
  <c r="C1064" i="2" s="1"/>
  <c r="B1051" i="2"/>
  <c r="C1051" i="2" s="1"/>
  <c r="B1048" i="2"/>
  <c r="B1047" i="2"/>
  <c r="B1077" i="2"/>
  <c r="C1077" i="2" s="1"/>
  <c r="B1046" i="2"/>
  <c r="B1076" i="2"/>
  <c r="C1076" i="2" s="1"/>
  <c r="B1067" i="2"/>
  <c r="C1067" i="2" s="1"/>
  <c r="B1045" i="2"/>
  <c r="B1060" i="2"/>
  <c r="C1060" i="2" s="1"/>
  <c r="B1054" i="2"/>
  <c r="C1054" i="2" s="1"/>
  <c r="B1052" i="2"/>
  <c r="C1052" i="2" s="1"/>
  <c r="B1049" i="2"/>
  <c r="B1059" i="2"/>
  <c r="C1059" i="2" s="1"/>
  <c r="B1079" i="2"/>
  <c r="C1079" i="2" s="1"/>
  <c r="B1058" i="2"/>
  <c r="C1058" i="2" s="1"/>
  <c r="B1062" i="2"/>
  <c r="C1062" i="2" s="1"/>
  <c r="B1061" i="2"/>
  <c r="C1061" i="2" s="1"/>
  <c r="J122" i="8" l="1"/>
  <c r="V136" i="1"/>
  <c r="J136" i="8" s="1"/>
  <c r="V136" i="8" s="1"/>
  <c r="K122" i="8"/>
  <c r="W136" i="1"/>
  <c r="K136" i="8" s="1"/>
  <c r="W136" i="8" s="1"/>
  <c r="S169" i="1"/>
  <c r="G158" i="8"/>
  <c r="Q179" i="1"/>
  <c r="E179" i="8" s="1"/>
  <c r="E169" i="8"/>
  <c r="V140" i="1"/>
  <c r="J140" i="8" s="1"/>
  <c r="V135" i="1"/>
  <c r="J135" i="8" s="1"/>
  <c r="V135" i="8" s="1"/>
  <c r="V130" i="1"/>
  <c r="J130" i="8" s="1"/>
  <c r="V130" i="8" s="1"/>
  <c r="W140" i="1"/>
  <c r="K140" i="8" s="1"/>
  <c r="W130" i="1"/>
  <c r="K130" i="8" s="1"/>
  <c r="W130" i="8" s="1"/>
  <c r="W135" i="1"/>
  <c r="K135" i="8" s="1"/>
  <c r="W135" i="8" s="1"/>
  <c r="P94" i="1"/>
  <c r="P100" i="1" s="1"/>
  <c r="P117" i="1" s="1"/>
  <c r="R73" i="1"/>
  <c r="R158" i="1"/>
  <c r="F158" i="8" s="1"/>
  <c r="U163" i="1"/>
  <c r="Q114" i="1"/>
  <c r="Q116" i="1" s="1"/>
  <c r="X122" i="1"/>
  <c r="X50" i="1"/>
  <c r="X51" i="1" s="1"/>
  <c r="U54" i="1"/>
  <c r="U61" i="1"/>
  <c r="U62" i="1" s="1"/>
  <c r="V121" i="1"/>
  <c r="J121" i="8" s="1"/>
  <c r="V121" i="8" s="1"/>
  <c r="W121" i="1"/>
  <c r="K121" i="8" s="1"/>
  <c r="W121" i="8" s="1"/>
  <c r="U127" i="1"/>
  <c r="I127" i="8" s="1"/>
  <c r="U127" i="8" s="1"/>
  <c r="X128" i="1"/>
  <c r="L128" i="8" s="1"/>
  <c r="AE376" i="4"/>
  <c r="AF313" i="4"/>
  <c r="AF376" i="4" s="1"/>
  <c r="AE375" i="4"/>
  <c r="AF312" i="4"/>
  <c r="AF375" i="4" s="1"/>
  <c r="X57" i="1"/>
  <c r="S73" i="1"/>
  <c r="T72" i="1"/>
  <c r="T67" i="1"/>
  <c r="W38" i="1"/>
  <c r="W39" i="1" s="1"/>
  <c r="V27" i="1"/>
  <c r="V38" i="1"/>
  <c r="V39" i="1" s="1"/>
  <c r="W27" i="1"/>
  <c r="Z689" i="2"/>
  <c r="AA677" i="2"/>
  <c r="AA688" i="2"/>
  <c r="AA689" i="2" s="1"/>
  <c r="AA1118" i="2"/>
  <c r="AA1129" i="2"/>
  <c r="AA1130" i="2" s="1"/>
  <c r="AB530" i="2"/>
  <c r="AB541" i="2"/>
  <c r="AA971" i="2"/>
  <c r="AA982" i="2"/>
  <c r="AA983" i="2" s="1"/>
  <c r="AA726" i="2"/>
  <c r="AA737" i="2"/>
  <c r="AA738" i="2" s="1"/>
  <c r="Y738" i="2"/>
  <c r="Z1130" i="2"/>
  <c r="Z983" i="2"/>
  <c r="X24" i="1"/>
  <c r="X45" i="1"/>
  <c r="X33" i="1"/>
  <c r="X15" i="1"/>
  <c r="L15" i="8" s="1"/>
  <c r="X26" i="1"/>
  <c r="X38" i="1" s="1"/>
  <c r="X39" i="1" s="1"/>
  <c r="X42" i="1"/>
  <c r="X18" i="1"/>
  <c r="X30" i="1"/>
  <c r="X21" i="1"/>
  <c r="AC518" i="2"/>
  <c r="AC527" i="2"/>
  <c r="AC524" i="2"/>
  <c r="AB732" i="2"/>
  <c r="AB723" i="2"/>
  <c r="AC536" i="2"/>
  <c r="AB729" i="2"/>
  <c r="AB720" i="2"/>
  <c r="AB674" i="2"/>
  <c r="AB965" i="2"/>
  <c r="AB671" i="2"/>
  <c r="AC533" i="2"/>
  <c r="AC529" i="2"/>
  <c r="AB668" i="2"/>
  <c r="AB725" i="2"/>
  <c r="AB665" i="2"/>
  <c r="AB974" i="2"/>
  <c r="AB970" i="2"/>
  <c r="AB717" i="2"/>
  <c r="AB714" i="2"/>
  <c r="AB680" i="2"/>
  <c r="AB968" i="2"/>
  <c r="AB676" i="2"/>
  <c r="AB962" i="2"/>
  <c r="AB959" i="2"/>
  <c r="AB1106" i="2"/>
  <c r="AB1121" i="2"/>
  <c r="AB1117" i="2"/>
  <c r="AC1105" i="2"/>
  <c r="AC1117" i="2" s="1"/>
  <c r="AB1115" i="2"/>
  <c r="AC958" i="2"/>
  <c r="AC970" i="2" s="1"/>
  <c r="AB1112" i="2"/>
  <c r="AB1109" i="2"/>
  <c r="AC664" i="2"/>
  <c r="AC713" i="2"/>
  <c r="AC714" i="2" s="1"/>
  <c r="AG513" i="2"/>
  <c r="AD515" i="2"/>
  <c r="AD545" i="2" s="1"/>
  <c r="AD709" i="2"/>
  <c r="AG707" i="2"/>
  <c r="AD1101" i="2"/>
  <c r="R1101" i="9" s="1"/>
  <c r="AG1099" i="2"/>
  <c r="AD954" i="2"/>
  <c r="AG952" i="2"/>
  <c r="AD660" i="2"/>
  <c r="AG658" i="2"/>
  <c r="AD56" i="1"/>
  <c r="AE314" i="4"/>
  <c r="AD188" i="4"/>
  <c r="AE151" i="4"/>
  <c r="AE214" i="4"/>
  <c r="AE155" i="4"/>
  <c r="AE218" i="4"/>
  <c r="AE181" i="4"/>
  <c r="AE244" i="4"/>
  <c r="AE174" i="4"/>
  <c r="AE237" i="4"/>
  <c r="AE182" i="4"/>
  <c r="AE245" i="4" s="1"/>
  <c r="AE156" i="4"/>
  <c r="AE219" i="4" s="1"/>
  <c r="AE141" i="4"/>
  <c r="AE204" i="4"/>
  <c r="AE178" i="4"/>
  <c r="AE241" i="4"/>
  <c r="AE154" i="4"/>
  <c r="AE217" i="4"/>
  <c r="AE149" i="4"/>
  <c r="AE212" i="4" s="1"/>
  <c r="AE135" i="4"/>
  <c r="AE198" i="4" s="1"/>
  <c r="AE184" i="4"/>
  <c r="AE247" i="4"/>
  <c r="AE143" i="4"/>
  <c r="AE206" i="4"/>
  <c r="AE159" i="4"/>
  <c r="AE222" i="4"/>
  <c r="AE170" i="4"/>
  <c r="AE233" i="4"/>
  <c r="AE163" i="4"/>
  <c r="AE226" i="4" s="1"/>
  <c r="AE134" i="4"/>
  <c r="AE197" i="4"/>
  <c r="AE139" i="4"/>
  <c r="AE202" i="4" s="1"/>
  <c r="AE180" i="4"/>
  <c r="AE243" i="4"/>
  <c r="AE153" i="4"/>
  <c r="AE216" i="4" s="1"/>
  <c r="AE147" i="4"/>
  <c r="AE210" i="4"/>
  <c r="AE185" i="4"/>
  <c r="AE248" i="4" s="1"/>
  <c r="AE177" i="4"/>
  <c r="AE240" i="4" s="1"/>
  <c r="AE168" i="4"/>
  <c r="AE231" i="4"/>
  <c r="AE169" i="4"/>
  <c r="AE232" i="4"/>
  <c r="AE179" i="4"/>
  <c r="AE242" i="4" s="1"/>
  <c r="AD251" i="4"/>
  <c r="AE176" i="4"/>
  <c r="AE239" i="4" s="1"/>
  <c r="AE165" i="4"/>
  <c r="AE228" i="4"/>
  <c r="AE137" i="4"/>
  <c r="AE200" i="4"/>
  <c r="AE157" i="4"/>
  <c r="AE220" i="4" s="1"/>
  <c r="AE136" i="4"/>
  <c r="AE199" i="4"/>
  <c r="AE142" i="4"/>
  <c r="AE205" i="4"/>
  <c r="AE158" i="4"/>
  <c r="AE221" i="4"/>
  <c r="AE140" i="4"/>
  <c r="AE203" i="4" s="1"/>
  <c r="AE167" i="4"/>
  <c r="AE230" i="4"/>
  <c r="AE171" i="4"/>
  <c r="AE234" i="4" s="1"/>
  <c r="AE145" i="4"/>
  <c r="AE208" i="4" s="1"/>
  <c r="AE166" i="4"/>
  <c r="AE229" i="4"/>
  <c r="AE183" i="4"/>
  <c r="AE246" i="4" s="1"/>
  <c r="AE175" i="4"/>
  <c r="AE238" i="4" s="1"/>
  <c r="AE173" i="4"/>
  <c r="AE236" i="4"/>
  <c r="AE161" i="4"/>
  <c r="AE224" i="4" s="1"/>
  <c r="AE133" i="4"/>
  <c r="AE196" i="4" s="1"/>
  <c r="AE148" i="4"/>
  <c r="AE211" i="4"/>
  <c r="AE187" i="4"/>
  <c r="AE250" i="4" s="1"/>
  <c r="AE138" i="4"/>
  <c r="AE201" i="4"/>
  <c r="AE150" i="4"/>
  <c r="AE213" i="4"/>
  <c r="AE172" i="4"/>
  <c r="AE235" i="4" s="1"/>
  <c r="AE186" i="4"/>
  <c r="AE249" i="4" s="1"/>
  <c r="AE144" i="4"/>
  <c r="AE207" i="4" s="1"/>
  <c r="AE152" i="4"/>
  <c r="AE215" i="4" s="1"/>
  <c r="AE164" i="4"/>
  <c r="AE227" i="4"/>
  <c r="AE162" i="4"/>
  <c r="AE225" i="4" s="1"/>
  <c r="AE160" i="4"/>
  <c r="AE223" i="4"/>
  <c r="AE146" i="4"/>
  <c r="AE209" i="4"/>
  <c r="AG69" i="4"/>
  <c r="AF33" i="4"/>
  <c r="AF285" i="4" s="1"/>
  <c r="AF348" i="4" s="1"/>
  <c r="AF20" i="4"/>
  <c r="AF272" i="4" s="1"/>
  <c r="AF335" i="4" s="1"/>
  <c r="AF21" i="4"/>
  <c r="AF273" i="4" s="1"/>
  <c r="AF336" i="4" s="1"/>
  <c r="AF14" i="4"/>
  <c r="AF266" i="4" s="1"/>
  <c r="AF329" i="4" s="1"/>
  <c r="AF52" i="4"/>
  <c r="AF304" i="4" s="1"/>
  <c r="AF367" i="4" s="1"/>
  <c r="AF19" i="4"/>
  <c r="AF271" i="4" s="1"/>
  <c r="AF334" i="4" s="1"/>
  <c r="AF50" i="4"/>
  <c r="AF302" i="4" s="1"/>
  <c r="AF365" i="4" s="1"/>
  <c r="AF12" i="4"/>
  <c r="AF264" i="4" s="1"/>
  <c r="AF327" i="4" s="1"/>
  <c r="AF48" i="4"/>
  <c r="AF300" i="4" s="1"/>
  <c r="AF363" i="4" s="1"/>
  <c r="AF30" i="4"/>
  <c r="AF282" i="4" s="1"/>
  <c r="AF345" i="4" s="1"/>
  <c r="AF28" i="4"/>
  <c r="AF280" i="4" s="1"/>
  <c r="AF343" i="4" s="1"/>
  <c r="AF15" i="4"/>
  <c r="AF267" i="4" s="1"/>
  <c r="AF330" i="4" s="1"/>
  <c r="AF46" i="4"/>
  <c r="AF298" i="4" s="1"/>
  <c r="AF361" i="4" s="1"/>
  <c r="AF9" i="4"/>
  <c r="AF261" i="4" s="1"/>
  <c r="AF324" i="4" s="1"/>
  <c r="AF47" i="4"/>
  <c r="AF299" i="4" s="1"/>
  <c r="AF362" i="4" s="1"/>
  <c r="AF37" i="4"/>
  <c r="AF289" i="4" s="1"/>
  <c r="AF352" i="4" s="1"/>
  <c r="AF17" i="4"/>
  <c r="AF269" i="4" s="1"/>
  <c r="AF332" i="4" s="1"/>
  <c r="AF57" i="4"/>
  <c r="AF309" i="4" s="1"/>
  <c r="AF372" i="4" s="1"/>
  <c r="AG6" i="4"/>
  <c r="AF35" i="4"/>
  <c r="AF287" i="4" s="1"/>
  <c r="AF350" i="4" s="1"/>
  <c r="AF23" i="4"/>
  <c r="AF275" i="4" s="1"/>
  <c r="AF338" i="4" s="1"/>
  <c r="AF10" i="4"/>
  <c r="AF262" i="4" s="1"/>
  <c r="AF325" i="4" s="1"/>
  <c r="AF61" i="4"/>
  <c r="AF8" i="4"/>
  <c r="AF260" i="4" s="1"/>
  <c r="AF323" i="4" s="1"/>
  <c r="AF59" i="4"/>
  <c r="AF311" i="4" s="1"/>
  <c r="AF374" i="4" s="1"/>
  <c r="AF22" i="4"/>
  <c r="AF274" i="4" s="1"/>
  <c r="AF337" i="4" s="1"/>
  <c r="AF18" i="4"/>
  <c r="AF270" i="4" s="1"/>
  <c r="AF333" i="4" s="1"/>
  <c r="AF41" i="4"/>
  <c r="AF293" i="4" s="1"/>
  <c r="AF356" i="4" s="1"/>
  <c r="AF54" i="4"/>
  <c r="AF306" i="4" s="1"/>
  <c r="AF369" i="4" s="1"/>
  <c r="AF29" i="4"/>
  <c r="AF281" i="4" s="1"/>
  <c r="AF344" i="4" s="1"/>
  <c r="AF13" i="4"/>
  <c r="AF265" i="4" s="1"/>
  <c r="AF328" i="4" s="1"/>
  <c r="AF31" i="4"/>
  <c r="AF283" i="4" s="1"/>
  <c r="AF346" i="4" s="1"/>
  <c r="AF56" i="4"/>
  <c r="AF308" i="4" s="1"/>
  <c r="AF371" i="4" s="1"/>
  <c r="AF34" i="4"/>
  <c r="AF286" i="4" s="1"/>
  <c r="AF349" i="4" s="1"/>
  <c r="AF26" i="4"/>
  <c r="AF278" i="4" s="1"/>
  <c r="AF341" i="4" s="1"/>
  <c r="AF11" i="4"/>
  <c r="AF263" i="4" s="1"/>
  <c r="AF326" i="4" s="1"/>
  <c r="AF51" i="4"/>
  <c r="AF303" i="4" s="1"/>
  <c r="AF366" i="4" s="1"/>
  <c r="AF32" i="4"/>
  <c r="AF284" i="4" s="1"/>
  <c r="AF347" i="4" s="1"/>
  <c r="AF60" i="4"/>
  <c r="AF16" i="4"/>
  <c r="AF268" i="4" s="1"/>
  <c r="AF331" i="4" s="1"/>
  <c r="AF39" i="4"/>
  <c r="AF291" i="4" s="1"/>
  <c r="AF354" i="4" s="1"/>
  <c r="AF25" i="4"/>
  <c r="AF277" i="4" s="1"/>
  <c r="AF340" i="4" s="1"/>
  <c r="AF7" i="4"/>
  <c r="AF259" i="4" s="1"/>
  <c r="AF322" i="4" s="1"/>
  <c r="AF44" i="4"/>
  <c r="AF296" i="4" s="1"/>
  <c r="AF359" i="4" s="1"/>
  <c r="AF55" i="4"/>
  <c r="AF307" i="4" s="1"/>
  <c r="AF370" i="4" s="1"/>
  <c r="AF45" i="4"/>
  <c r="AF297" i="4" s="1"/>
  <c r="AF360" i="4" s="1"/>
  <c r="AF43" i="4"/>
  <c r="AF295" i="4" s="1"/>
  <c r="AF358" i="4" s="1"/>
  <c r="AF42" i="4"/>
  <c r="AF294" i="4" s="1"/>
  <c r="AF357" i="4" s="1"/>
  <c r="AF40" i="4"/>
  <c r="AF292" i="4" s="1"/>
  <c r="AF355" i="4" s="1"/>
  <c r="AF49" i="4"/>
  <c r="AF301" i="4" s="1"/>
  <c r="AF364" i="4" s="1"/>
  <c r="AF27" i="4"/>
  <c r="AF279" i="4" s="1"/>
  <c r="AF342" i="4" s="1"/>
  <c r="AF38" i="4"/>
  <c r="AF290" i="4" s="1"/>
  <c r="AF353" i="4" s="1"/>
  <c r="AF36" i="4"/>
  <c r="AF288" i="4" s="1"/>
  <c r="AF351" i="4" s="1"/>
  <c r="AF58" i="4"/>
  <c r="AF310" i="4" s="1"/>
  <c r="AF373" i="4" s="1"/>
  <c r="AF53" i="4"/>
  <c r="AF305" i="4" s="1"/>
  <c r="AF368" i="4" s="1"/>
  <c r="AF24" i="4"/>
  <c r="AF276" i="4" s="1"/>
  <c r="AF339" i="4" s="1"/>
  <c r="AE62" i="4"/>
  <c r="AE125" i="4"/>
  <c r="B1135" i="2"/>
  <c r="C1135" i="2" s="1"/>
  <c r="B1134" i="2"/>
  <c r="C1134" i="2" s="1"/>
  <c r="B1124" i="2"/>
  <c r="C1124" i="2" s="1"/>
  <c r="B1112" i="2"/>
  <c r="C1112" i="2" s="1"/>
  <c r="B1119" i="2"/>
  <c r="C1119" i="2" s="1"/>
  <c r="B1107" i="2"/>
  <c r="C1107" i="2" s="1"/>
  <c r="B1130" i="2"/>
  <c r="C1130" i="2" s="1"/>
  <c r="B1104" i="2"/>
  <c r="C1104" i="2" s="1"/>
  <c r="B1128" i="2"/>
  <c r="C1128" i="2" s="1"/>
  <c r="B1097" i="2"/>
  <c r="B1129" i="2"/>
  <c r="C1129" i="2" s="1"/>
  <c r="B1095" i="2"/>
  <c r="B1122" i="2"/>
  <c r="C1122" i="2" s="1"/>
  <c r="B1113" i="2"/>
  <c r="C1113" i="2" s="1"/>
  <c r="B1136" i="2"/>
  <c r="C1136" i="2" s="1"/>
  <c r="B1127" i="2"/>
  <c r="C1127" i="2" s="1"/>
  <c r="B1099" i="2"/>
  <c r="C1099" i="2" s="1"/>
  <c r="B1120" i="2"/>
  <c r="C1120" i="2" s="1"/>
  <c r="B1111" i="2"/>
  <c r="C1111" i="2" s="1"/>
  <c r="B1106" i="2"/>
  <c r="C1106" i="2" s="1"/>
  <c r="B1096" i="2"/>
  <c r="B1121" i="2"/>
  <c r="C1121" i="2" s="1"/>
  <c r="B1094" i="2"/>
  <c r="B1109" i="2"/>
  <c r="C1109" i="2" s="1"/>
  <c r="B1133" i="2"/>
  <c r="C1133" i="2" s="1"/>
  <c r="B1105" i="2"/>
  <c r="C1105" i="2" s="1"/>
  <c r="B1110" i="2"/>
  <c r="C1110" i="2" s="1"/>
  <c r="B1126" i="2"/>
  <c r="C1126" i="2" s="1"/>
  <c r="B1125" i="2"/>
  <c r="C1125" i="2" s="1"/>
  <c r="B1100" i="2"/>
  <c r="C1100" i="2" s="1"/>
  <c r="B1103" i="2"/>
  <c r="C1103" i="2" s="1"/>
  <c r="B1098" i="2"/>
  <c r="B1131" i="2"/>
  <c r="C1131" i="2" s="1"/>
  <c r="B1123" i="2"/>
  <c r="C1123" i="2" s="1"/>
  <c r="B1117" i="2"/>
  <c r="C1117" i="2" s="1"/>
  <c r="B1116" i="2"/>
  <c r="C1116" i="2" s="1"/>
  <c r="B1114" i="2"/>
  <c r="C1114" i="2" s="1"/>
  <c r="B1108" i="2"/>
  <c r="C1108" i="2" s="1"/>
  <c r="B1102" i="2"/>
  <c r="C1102" i="2" s="1"/>
  <c r="B1118" i="2"/>
  <c r="C1118" i="2" s="1"/>
  <c r="B1093" i="2"/>
  <c r="B1092" i="2"/>
  <c r="B1132" i="2"/>
  <c r="C1132" i="2" s="1"/>
  <c r="B1115" i="2"/>
  <c r="C1115" i="2" s="1"/>
  <c r="B1101" i="2"/>
  <c r="C1101" i="2" s="1"/>
  <c r="L122" i="8" l="1"/>
  <c r="X136" i="1"/>
  <c r="L136" i="8" s="1"/>
  <c r="X136" i="8" s="1"/>
  <c r="I163" i="8"/>
  <c r="S179" i="1"/>
  <c r="G179" i="8" s="1"/>
  <c r="G169" i="8"/>
  <c r="R169" i="1"/>
  <c r="X140" i="1"/>
  <c r="L140" i="8" s="1"/>
  <c r="X130" i="1"/>
  <c r="L130" i="8" s="1"/>
  <c r="X130" i="8" s="1"/>
  <c r="X135" i="1"/>
  <c r="L135" i="8" s="1"/>
  <c r="X135" i="8" s="1"/>
  <c r="Q94" i="1"/>
  <c r="Q100" i="1" s="1"/>
  <c r="Q117" i="1" s="1"/>
  <c r="V127" i="1"/>
  <c r="J127" i="8" s="1"/>
  <c r="V127" i="8" s="1"/>
  <c r="T73" i="1"/>
  <c r="T158" i="1"/>
  <c r="V163" i="1"/>
  <c r="J163" i="8" s="1"/>
  <c r="X121" i="1"/>
  <c r="L121" i="8" s="1"/>
  <c r="X121" i="8" s="1"/>
  <c r="R114" i="1"/>
  <c r="R116" i="1" s="1"/>
  <c r="AE377" i="4"/>
  <c r="U66" i="1"/>
  <c r="AF377" i="4"/>
  <c r="Z50" i="1" s="1"/>
  <c r="Y122" i="1"/>
  <c r="Y21" i="1"/>
  <c r="AG545" i="2"/>
  <c r="W53" i="1"/>
  <c r="V53" i="1"/>
  <c r="X53" i="1"/>
  <c r="X27" i="1"/>
  <c r="AB677" i="2"/>
  <c r="AB688" i="2"/>
  <c r="AB689" i="2" s="1"/>
  <c r="AB542" i="2"/>
  <c r="AC530" i="2"/>
  <c r="AC541" i="2"/>
  <c r="AC542" i="2" s="1"/>
  <c r="AB1118" i="2"/>
  <c r="AB1129" i="2"/>
  <c r="AB971" i="2"/>
  <c r="AB982" i="2"/>
  <c r="AC971" i="2"/>
  <c r="AC982" i="2"/>
  <c r="AC983" i="2" s="1"/>
  <c r="AC1118" i="2"/>
  <c r="AC1129" i="2"/>
  <c r="AC1130" i="2" s="1"/>
  <c r="AB726" i="2"/>
  <c r="AB737" i="2"/>
  <c r="AC674" i="2"/>
  <c r="AC1106" i="2"/>
  <c r="AC1109" i="2"/>
  <c r="AC962" i="2"/>
  <c r="AC968" i="2"/>
  <c r="AC965" i="2"/>
  <c r="AC1115" i="2"/>
  <c r="AC1112" i="2"/>
  <c r="AC977" i="2"/>
  <c r="AC1124" i="2"/>
  <c r="Y30" i="1"/>
  <c r="AC723" i="2"/>
  <c r="Y45" i="1"/>
  <c r="AC720" i="2"/>
  <c r="Y33" i="1"/>
  <c r="Y26" i="1"/>
  <c r="AC671" i="2"/>
  <c r="Y57" i="1"/>
  <c r="AC1121" i="2"/>
  <c r="Y18" i="1"/>
  <c r="Y15" i="1"/>
  <c r="M15" i="8" s="1"/>
  <c r="Y24" i="1"/>
  <c r="AC683" i="2"/>
  <c r="AC729" i="2"/>
  <c r="AC725" i="2"/>
  <c r="AC676" i="2"/>
  <c r="AC680" i="2"/>
  <c r="AC974" i="2"/>
  <c r="AC959" i="2"/>
  <c r="AC668" i="2"/>
  <c r="AC665" i="2"/>
  <c r="AC717" i="2"/>
  <c r="AC732" i="2"/>
  <c r="AG515" i="2"/>
  <c r="AD517" i="2"/>
  <c r="AG660" i="2"/>
  <c r="AD662" i="2"/>
  <c r="AD692" i="2" s="1"/>
  <c r="AG692" i="2" s="1"/>
  <c r="AG954" i="2"/>
  <c r="AD956" i="2"/>
  <c r="AD986" i="2" s="1"/>
  <c r="AG986" i="2" s="1"/>
  <c r="AG1101" i="2"/>
  <c r="AD1103" i="2"/>
  <c r="AD711" i="2"/>
  <c r="AD741" i="2" s="1"/>
  <c r="AG741" i="2" s="1"/>
  <c r="AG709" i="2"/>
  <c r="AF314" i="4"/>
  <c r="AE188" i="4"/>
  <c r="AF145" i="4"/>
  <c r="AF208" i="4" s="1"/>
  <c r="AF134" i="4"/>
  <c r="AF197" i="4" s="1"/>
  <c r="AF149" i="4"/>
  <c r="AF212" i="4"/>
  <c r="AF187" i="4"/>
  <c r="AF250" i="4"/>
  <c r="AF165" i="4"/>
  <c r="AF228" i="4"/>
  <c r="AF140" i="4"/>
  <c r="AF203" i="4" s="1"/>
  <c r="AF181" i="4"/>
  <c r="AF244" i="4"/>
  <c r="AF159" i="4"/>
  <c r="AF222" i="4" s="1"/>
  <c r="AF137" i="4"/>
  <c r="AF200" i="4" s="1"/>
  <c r="AF142" i="4"/>
  <c r="AF205" i="4" s="1"/>
  <c r="AF171" i="4"/>
  <c r="AF234" i="4"/>
  <c r="AF170" i="4"/>
  <c r="AF233" i="4"/>
  <c r="AF151" i="4"/>
  <c r="AF214" i="4" s="1"/>
  <c r="AF183" i="4"/>
  <c r="AF246" i="4"/>
  <c r="AF148" i="4"/>
  <c r="AF211" i="4"/>
  <c r="AF182" i="4"/>
  <c r="AF245" i="4" s="1"/>
  <c r="AF185" i="4"/>
  <c r="AF248" i="4" s="1"/>
  <c r="AF141" i="4"/>
  <c r="AF204" i="4" s="1"/>
  <c r="AF133" i="4"/>
  <c r="AF196" i="4" s="1"/>
  <c r="AF150" i="4"/>
  <c r="AF213" i="4" s="1"/>
  <c r="AF147" i="4"/>
  <c r="AF210" i="4" s="1"/>
  <c r="AF158" i="4"/>
  <c r="AF221" i="4" s="1"/>
  <c r="AF143" i="4"/>
  <c r="AF206" i="4" s="1"/>
  <c r="AF173" i="4"/>
  <c r="AF236" i="4" s="1"/>
  <c r="AF135" i="4"/>
  <c r="AF198" i="4" s="1"/>
  <c r="AF162" i="4"/>
  <c r="AF225" i="4"/>
  <c r="AF164" i="4"/>
  <c r="AF227" i="4" s="1"/>
  <c r="AF153" i="4"/>
  <c r="AF216" i="4" s="1"/>
  <c r="AF156" i="4"/>
  <c r="AF219" i="4" s="1"/>
  <c r="AF178" i="4"/>
  <c r="AF241" i="4" s="1"/>
  <c r="AF146" i="4"/>
  <c r="AF209" i="4"/>
  <c r="AF161" i="4"/>
  <c r="AF224" i="4" s="1"/>
  <c r="AF163" i="4"/>
  <c r="AF226" i="4"/>
  <c r="AF152" i="4"/>
  <c r="AF215" i="4" s="1"/>
  <c r="AF160" i="4"/>
  <c r="AF223" i="4" s="1"/>
  <c r="AF172" i="4"/>
  <c r="AF235" i="4" s="1"/>
  <c r="AF157" i="4"/>
  <c r="AF220" i="4"/>
  <c r="AF166" i="4"/>
  <c r="AF229" i="4" s="1"/>
  <c r="AF174" i="4"/>
  <c r="AF237" i="4"/>
  <c r="AF136" i="4"/>
  <c r="AF199" i="4" s="1"/>
  <c r="AF186" i="4"/>
  <c r="AF249" i="4" s="1"/>
  <c r="AF184" i="4"/>
  <c r="AF247" i="4" s="1"/>
  <c r="AF154" i="4"/>
  <c r="AF217" i="4" s="1"/>
  <c r="AF155" i="4"/>
  <c r="AF218" i="4" s="1"/>
  <c r="AF168" i="4"/>
  <c r="AF231" i="4" s="1"/>
  <c r="AF167" i="4"/>
  <c r="AF230" i="4"/>
  <c r="AF138" i="4"/>
  <c r="AF177" i="4"/>
  <c r="AF240" i="4" s="1"/>
  <c r="AF179" i="4"/>
  <c r="AF242" i="4" s="1"/>
  <c r="AE251" i="4"/>
  <c r="AF139" i="4"/>
  <c r="AF202" i="4"/>
  <c r="AF175" i="4"/>
  <c r="AF238" i="4" s="1"/>
  <c r="AF180" i="4"/>
  <c r="AF243" i="4" s="1"/>
  <c r="AF169" i="4"/>
  <c r="AF232" i="4"/>
  <c r="AF144" i="4"/>
  <c r="AF207" i="4" s="1"/>
  <c r="AF176" i="4"/>
  <c r="AF239" i="4" s="1"/>
  <c r="AG52" i="4"/>
  <c r="AG304" i="4" s="1"/>
  <c r="AG367" i="4" s="1"/>
  <c r="H367" i="4" s="1"/>
  <c r="AG59" i="4"/>
  <c r="AG311" i="4" s="1"/>
  <c r="AG374" i="4" s="1"/>
  <c r="H374" i="4" s="1"/>
  <c r="AG26" i="4"/>
  <c r="AG278" i="4" s="1"/>
  <c r="AG341" i="4" s="1"/>
  <c r="H341" i="4" s="1"/>
  <c r="AG42" i="4"/>
  <c r="AG294" i="4" s="1"/>
  <c r="AG357" i="4" s="1"/>
  <c r="H357" i="4" s="1"/>
  <c r="AG32" i="4"/>
  <c r="AG284" i="4" s="1"/>
  <c r="AG347" i="4" s="1"/>
  <c r="H347" i="4" s="1"/>
  <c r="AG33" i="4"/>
  <c r="AG285" i="4" s="1"/>
  <c r="AG348" i="4" s="1"/>
  <c r="H348" i="4" s="1"/>
  <c r="AG56" i="4"/>
  <c r="AG308" i="4" s="1"/>
  <c r="AG371" i="4" s="1"/>
  <c r="H371" i="4" s="1"/>
  <c r="AG41" i="4"/>
  <c r="AG293" i="4" s="1"/>
  <c r="AG356" i="4" s="1"/>
  <c r="H356" i="4" s="1"/>
  <c r="AG11" i="4"/>
  <c r="AG263" i="4" s="1"/>
  <c r="AG326" i="4" s="1"/>
  <c r="H326" i="4" s="1"/>
  <c r="AG47" i="4"/>
  <c r="AG299" i="4" s="1"/>
  <c r="AG362" i="4" s="1"/>
  <c r="H362" i="4" s="1"/>
  <c r="AG8" i="4"/>
  <c r="AG260" i="4" s="1"/>
  <c r="AG323" i="4" s="1"/>
  <c r="H323" i="4" s="1"/>
  <c r="AG15" i="4"/>
  <c r="AG267" i="4" s="1"/>
  <c r="AG330" i="4" s="1"/>
  <c r="H330" i="4" s="1"/>
  <c r="AG51" i="4"/>
  <c r="AG303" i="4" s="1"/>
  <c r="AG366" i="4" s="1"/>
  <c r="H366" i="4" s="1"/>
  <c r="AG49" i="4"/>
  <c r="AG301" i="4" s="1"/>
  <c r="AG364" i="4" s="1"/>
  <c r="H364" i="4" s="1"/>
  <c r="AG36" i="4"/>
  <c r="AG288" i="4" s="1"/>
  <c r="AG351" i="4" s="1"/>
  <c r="H351" i="4" s="1"/>
  <c r="AG22" i="4"/>
  <c r="AG274" i="4" s="1"/>
  <c r="AG337" i="4" s="1"/>
  <c r="H337" i="4" s="1"/>
  <c r="AG13" i="4"/>
  <c r="AG265" i="4" s="1"/>
  <c r="AG328" i="4" s="1"/>
  <c r="H328" i="4" s="1"/>
  <c r="AG16" i="4"/>
  <c r="AG268" i="4" s="1"/>
  <c r="AG331" i="4" s="1"/>
  <c r="H331" i="4" s="1"/>
  <c r="AG61" i="4"/>
  <c r="AG313" i="4" s="1"/>
  <c r="AG376" i="4" s="1"/>
  <c r="H376" i="4" s="1"/>
  <c r="AG58" i="4"/>
  <c r="AG310" i="4" s="1"/>
  <c r="AG373" i="4" s="1"/>
  <c r="H373" i="4" s="1"/>
  <c r="AG17" i="4"/>
  <c r="AG269" i="4" s="1"/>
  <c r="AG332" i="4" s="1"/>
  <c r="H332" i="4" s="1"/>
  <c r="AG7" i="4"/>
  <c r="AG259" i="4" s="1"/>
  <c r="AG322" i="4" s="1"/>
  <c r="H322" i="4" s="1"/>
  <c r="AG10" i="4"/>
  <c r="AG262" i="4" s="1"/>
  <c r="AG325" i="4" s="1"/>
  <c r="H325" i="4" s="1"/>
  <c r="AG37" i="4"/>
  <c r="AG289" i="4" s="1"/>
  <c r="AG352" i="4" s="1"/>
  <c r="H352" i="4" s="1"/>
  <c r="AG44" i="4"/>
  <c r="AG296" i="4" s="1"/>
  <c r="AG359" i="4" s="1"/>
  <c r="H359" i="4" s="1"/>
  <c r="AG23" i="4"/>
  <c r="AG275" i="4" s="1"/>
  <c r="AG338" i="4" s="1"/>
  <c r="H338" i="4" s="1"/>
  <c r="AG30" i="4"/>
  <c r="AG282" i="4" s="1"/>
  <c r="AG345" i="4" s="1"/>
  <c r="H345" i="4" s="1"/>
  <c r="AG9" i="4"/>
  <c r="AG261" i="4" s="1"/>
  <c r="AG324" i="4" s="1"/>
  <c r="H324" i="4" s="1"/>
  <c r="AG60" i="4"/>
  <c r="AG312" i="4" s="1"/>
  <c r="AG375" i="4" s="1"/>
  <c r="H375" i="4" s="1"/>
  <c r="AG53" i="4"/>
  <c r="AG305" i="4" s="1"/>
  <c r="AG368" i="4" s="1"/>
  <c r="H368" i="4" s="1"/>
  <c r="AG27" i="4"/>
  <c r="AG279" i="4" s="1"/>
  <c r="AG342" i="4" s="1"/>
  <c r="H342" i="4" s="1"/>
  <c r="AG12" i="4"/>
  <c r="AG264" i="4" s="1"/>
  <c r="AG327" i="4" s="1"/>
  <c r="H327" i="4" s="1"/>
  <c r="AG21" i="4"/>
  <c r="AG273" i="4" s="1"/>
  <c r="AG336" i="4" s="1"/>
  <c r="H336" i="4" s="1"/>
  <c r="AG46" i="4"/>
  <c r="AG298" i="4" s="1"/>
  <c r="AG361" i="4" s="1"/>
  <c r="H361" i="4" s="1"/>
  <c r="AG48" i="4"/>
  <c r="AG300" i="4" s="1"/>
  <c r="AG363" i="4" s="1"/>
  <c r="H363" i="4" s="1"/>
  <c r="AG20" i="4"/>
  <c r="AG272" i="4" s="1"/>
  <c r="AG335" i="4" s="1"/>
  <c r="H335" i="4" s="1"/>
  <c r="AG28" i="4"/>
  <c r="AG280" i="4" s="1"/>
  <c r="AG343" i="4" s="1"/>
  <c r="H343" i="4" s="1"/>
  <c r="AG19" i="4"/>
  <c r="AG271" i="4" s="1"/>
  <c r="AG334" i="4" s="1"/>
  <c r="H334" i="4" s="1"/>
  <c r="AG24" i="4"/>
  <c r="AG276" i="4" s="1"/>
  <c r="AG339" i="4" s="1"/>
  <c r="H339" i="4" s="1"/>
  <c r="AG45" i="4"/>
  <c r="AG297" i="4" s="1"/>
  <c r="AG360" i="4" s="1"/>
  <c r="H360" i="4" s="1"/>
  <c r="AG35" i="4"/>
  <c r="AG287" i="4" s="1"/>
  <c r="AG350" i="4" s="1"/>
  <c r="H350" i="4" s="1"/>
  <c r="AG39" i="4"/>
  <c r="AG291" i="4" s="1"/>
  <c r="AG354" i="4" s="1"/>
  <c r="H354" i="4" s="1"/>
  <c r="AG14" i="4"/>
  <c r="AG266" i="4" s="1"/>
  <c r="AG329" i="4" s="1"/>
  <c r="H329" i="4" s="1"/>
  <c r="AG40" i="4"/>
  <c r="AG292" i="4" s="1"/>
  <c r="AG355" i="4" s="1"/>
  <c r="H355" i="4" s="1"/>
  <c r="AG25" i="4"/>
  <c r="AG277" i="4" s="1"/>
  <c r="AG340" i="4" s="1"/>
  <c r="H340" i="4" s="1"/>
  <c r="AG55" i="4"/>
  <c r="AG307" i="4" s="1"/>
  <c r="AG370" i="4" s="1"/>
  <c r="H370" i="4" s="1"/>
  <c r="AG29" i="4"/>
  <c r="AG281" i="4" s="1"/>
  <c r="AG344" i="4" s="1"/>
  <c r="H344" i="4" s="1"/>
  <c r="AG50" i="4"/>
  <c r="AG302" i="4" s="1"/>
  <c r="AG365" i="4" s="1"/>
  <c r="H365" i="4" s="1"/>
  <c r="AG54" i="4"/>
  <c r="AG306" i="4" s="1"/>
  <c r="AG369" i="4" s="1"/>
  <c r="H369" i="4" s="1"/>
  <c r="AG34" i="4"/>
  <c r="AG286" i="4" s="1"/>
  <c r="AG349" i="4" s="1"/>
  <c r="H349" i="4" s="1"/>
  <c r="AG18" i="4"/>
  <c r="AG270" i="4" s="1"/>
  <c r="AG333" i="4" s="1"/>
  <c r="H333" i="4" s="1"/>
  <c r="AG43" i="4"/>
  <c r="AG295" i="4" s="1"/>
  <c r="AG358" i="4" s="1"/>
  <c r="H358" i="4" s="1"/>
  <c r="AG38" i="4"/>
  <c r="AG290" i="4" s="1"/>
  <c r="AG353" i="4" s="1"/>
  <c r="H353" i="4" s="1"/>
  <c r="AG57" i="4"/>
  <c r="AG309" i="4" s="1"/>
  <c r="AG372" i="4" s="1"/>
  <c r="H372" i="4" s="1"/>
  <c r="AG31" i="4"/>
  <c r="AG283" i="4" s="1"/>
  <c r="AG346" i="4" s="1"/>
  <c r="H346" i="4" s="1"/>
  <c r="AF125" i="4"/>
  <c r="AF62" i="4"/>
  <c r="B1175" i="2"/>
  <c r="C1175" i="2" s="1"/>
  <c r="B1163" i="2"/>
  <c r="C1163" i="2" s="1"/>
  <c r="B1174" i="2"/>
  <c r="C1174" i="2" s="1"/>
  <c r="B1162" i="2"/>
  <c r="C1162" i="2" s="1"/>
  <c r="B1179" i="2"/>
  <c r="C1179" i="2" s="1"/>
  <c r="B1168" i="2"/>
  <c r="C1168" i="2" s="1"/>
  <c r="B1183" i="2"/>
  <c r="C1183" i="2" s="1"/>
  <c r="B1161" i="2"/>
  <c r="C1161" i="2" s="1"/>
  <c r="B1146" i="2"/>
  <c r="B1184" i="2"/>
  <c r="C1184" i="2" s="1"/>
  <c r="B1169" i="2"/>
  <c r="C1169" i="2" s="1"/>
  <c r="B1153" i="2"/>
  <c r="C1153" i="2" s="1"/>
  <c r="B1173" i="2"/>
  <c r="C1173" i="2" s="1"/>
  <c r="B1164" i="2"/>
  <c r="C1164" i="2" s="1"/>
  <c r="B1172" i="2"/>
  <c r="C1172" i="2" s="1"/>
  <c r="B1152" i="2"/>
  <c r="C1152" i="2" s="1"/>
  <c r="B1142" i="2"/>
  <c r="B1177" i="2"/>
  <c r="C1177" i="2" s="1"/>
  <c r="B1176" i="2"/>
  <c r="C1176" i="2" s="1"/>
  <c r="B1145" i="2"/>
  <c r="B1182" i="2"/>
  <c r="C1182" i="2" s="1"/>
  <c r="B1143" i="2"/>
  <c r="B1180" i="2"/>
  <c r="C1180" i="2" s="1"/>
  <c r="B1178" i="2"/>
  <c r="C1178" i="2" s="1"/>
  <c r="B1165" i="2"/>
  <c r="C1165" i="2" s="1"/>
  <c r="B1148" i="2"/>
  <c r="C1148" i="2" s="1"/>
  <c r="B1141" i="2"/>
  <c r="B1167" i="2"/>
  <c r="C1167" i="2" s="1"/>
  <c r="B1156" i="2"/>
  <c r="C1156" i="2" s="1"/>
  <c r="B1166" i="2"/>
  <c r="C1166" i="2" s="1"/>
  <c r="B1158" i="2"/>
  <c r="C1158" i="2" s="1"/>
  <c r="B1155" i="2"/>
  <c r="C1155" i="2" s="1"/>
  <c r="B1151" i="2"/>
  <c r="C1151" i="2" s="1"/>
  <c r="B1185" i="2"/>
  <c r="C1185" i="2" s="1"/>
  <c r="B1149" i="2"/>
  <c r="C1149" i="2" s="1"/>
  <c r="B1150" i="2"/>
  <c r="C1150" i="2" s="1"/>
  <c r="B1171" i="2"/>
  <c r="C1171" i="2" s="1"/>
  <c r="B1144" i="2"/>
  <c r="B1160" i="2"/>
  <c r="C1160" i="2" s="1"/>
  <c r="B1159" i="2"/>
  <c r="C1159" i="2" s="1"/>
  <c r="B1170" i="2"/>
  <c r="C1170" i="2" s="1"/>
  <c r="B1157" i="2"/>
  <c r="C1157" i="2" s="1"/>
  <c r="B1154" i="2"/>
  <c r="C1154" i="2" s="1"/>
  <c r="B1147" i="2"/>
  <c r="B1181" i="2"/>
  <c r="C1181" i="2" s="1"/>
  <c r="M122" i="8" l="1"/>
  <c r="Y136" i="1"/>
  <c r="M136" i="8" s="1"/>
  <c r="Y136" i="8" s="1"/>
  <c r="T169" i="1"/>
  <c r="H158" i="8"/>
  <c r="R179" i="1"/>
  <c r="F179" i="8" s="1"/>
  <c r="F169" i="8"/>
  <c r="AD1133" i="2"/>
  <c r="R1103" i="9"/>
  <c r="Y140" i="1"/>
  <c r="M140" i="8" s="1"/>
  <c r="Y130" i="1"/>
  <c r="M130" i="8" s="1"/>
  <c r="Y130" i="8" s="1"/>
  <c r="Y135" i="1"/>
  <c r="M135" i="8" s="1"/>
  <c r="Y135" i="8" s="1"/>
  <c r="AG546" i="2"/>
  <c r="U72" i="1"/>
  <c r="U73" i="1" s="1"/>
  <c r="U70" i="1"/>
  <c r="R94" i="1"/>
  <c r="R100" i="1" s="1"/>
  <c r="R117" i="1" s="1"/>
  <c r="U67" i="1"/>
  <c r="W163" i="1"/>
  <c r="K163" i="8" s="1"/>
  <c r="S114" i="1"/>
  <c r="S116" i="1" s="1"/>
  <c r="W54" i="1"/>
  <c r="W61" i="1"/>
  <c r="W66" i="1" s="1"/>
  <c r="W70" i="1" s="1"/>
  <c r="V61" i="1"/>
  <c r="V62" i="1" s="1"/>
  <c r="Y42" i="1"/>
  <c r="X54" i="1"/>
  <c r="X61" i="1"/>
  <c r="Y121" i="1"/>
  <c r="M121" i="8" s="1"/>
  <c r="Y121" i="8" s="1"/>
  <c r="W127" i="1"/>
  <c r="K127" i="8" s="1"/>
  <c r="W127" i="8" s="1"/>
  <c r="H377" i="4"/>
  <c r="Y50" i="1"/>
  <c r="Z128" i="1"/>
  <c r="N128" i="8" s="1"/>
  <c r="Y128" i="1"/>
  <c r="M128" i="8" s="1"/>
  <c r="Z122" i="1"/>
  <c r="Z57" i="1"/>
  <c r="V54" i="1"/>
  <c r="Y27" i="1"/>
  <c r="Y38" i="1"/>
  <c r="Y39" i="1" s="1"/>
  <c r="AB738" i="2"/>
  <c r="AB983" i="2"/>
  <c r="AC726" i="2"/>
  <c r="AC737" i="2"/>
  <c r="AC738" i="2" s="1"/>
  <c r="AB1130" i="2"/>
  <c r="AC677" i="2"/>
  <c r="AC688" i="2"/>
  <c r="Z18" i="1"/>
  <c r="Z24" i="1"/>
  <c r="Z33" i="1"/>
  <c r="Z26" i="1"/>
  <c r="Z38" i="1" s="1"/>
  <c r="Z51" i="1"/>
  <c r="Z45" i="1"/>
  <c r="Z15" i="1"/>
  <c r="N15" i="8" s="1"/>
  <c r="Z21" i="1"/>
  <c r="Z42" i="1"/>
  <c r="Z30" i="1"/>
  <c r="AD536" i="2"/>
  <c r="AD529" i="2"/>
  <c r="AG529" i="2" s="1"/>
  <c r="AD533" i="2"/>
  <c r="AD524" i="2"/>
  <c r="AD527" i="2"/>
  <c r="AD518" i="2"/>
  <c r="AD521" i="2"/>
  <c r="AG662" i="2"/>
  <c r="AG693" i="2" s="1"/>
  <c r="AD664" i="2"/>
  <c r="AG1103" i="2"/>
  <c r="AD1105" i="2"/>
  <c r="R1105" i="9" s="1"/>
  <c r="AG956" i="2"/>
  <c r="AG987" i="2" s="1"/>
  <c r="AD958" i="2"/>
  <c r="AG711" i="2"/>
  <c r="AG742" i="2" s="1"/>
  <c r="AD713" i="2"/>
  <c r="AG517" i="2"/>
  <c r="AG377" i="4"/>
  <c r="AA50" i="1" s="1"/>
  <c r="AG314" i="4"/>
  <c r="AF188" i="4"/>
  <c r="AF201" i="4"/>
  <c r="AG174" i="4"/>
  <c r="AG237" i="4"/>
  <c r="H237" i="4" s="1"/>
  <c r="AG162" i="4"/>
  <c r="AG225" i="4"/>
  <c r="H225" i="4" s="1"/>
  <c r="AG183" i="4"/>
  <c r="AG246" i="4"/>
  <c r="AG172" i="4"/>
  <c r="AG235" i="4" s="1"/>
  <c r="H235" i="4" s="1"/>
  <c r="AG175" i="4"/>
  <c r="AG238" i="4"/>
  <c r="H238" i="4" s="1"/>
  <c r="AG142" i="4"/>
  <c r="AG205" i="4" s="1"/>
  <c r="H205" i="4" s="1"/>
  <c r="AG148" i="4"/>
  <c r="AG211" i="4"/>
  <c r="H211" i="4" s="1"/>
  <c r="AG164" i="4"/>
  <c r="AG227" i="4"/>
  <c r="H227" i="4" s="1"/>
  <c r="AG147" i="4"/>
  <c r="AG210" i="4"/>
  <c r="H210" i="4" s="1"/>
  <c r="AG177" i="4"/>
  <c r="AG141" i="4"/>
  <c r="AG204" i="4" s="1"/>
  <c r="H204" i="4" s="1"/>
  <c r="AG138" i="4"/>
  <c r="AG201" i="4" s="1"/>
  <c r="H201" i="4" s="1"/>
  <c r="AG144" i="4"/>
  <c r="AG207" i="4"/>
  <c r="H207" i="4" s="1"/>
  <c r="AG153" i="4"/>
  <c r="AG216" i="4"/>
  <c r="H216" i="4" s="1"/>
  <c r="AG134" i="4"/>
  <c r="AG197" i="4"/>
  <c r="H197" i="4" s="1"/>
  <c r="AG139" i="4"/>
  <c r="AG202" i="4" s="1"/>
  <c r="H202" i="4" s="1"/>
  <c r="AG146" i="4"/>
  <c r="AG209" i="4" s="1"/>
  <c r="H209" i="4" s="1"/>
  <c r="AG160" i="4"/>
  <c r="AG223" i="4" s="1"/>
  <c r="H223" i="4" s="1"/>
  <c r="AG180" i="4"/>
  <c r="AG243" i="4" s="1"/>
  <c r="AG169" i="4"/>
  <c r="AG232" i="4" s="1"/>
  <c r="H232" i="4" s="1"/>
  <c r="AG155" i="4"/>
  <c r="AG218" i="4" s="1"/>
  <c r="H218" i="4" s="1"/>
  <c r="AG168" i="4"/>
  <c r="AG231" i="4"/>
  <c r="H231" i="4" s="1"/>
  <c r="AG181" i="4"/>
  <c r="AG244" i="4" s="1"/>
  <c r="AG167" i="4"/>
  <c r="AG230" i="4" s="1"/>
  <c r="H230" i="4" s="1"/>
  <c r="AG156" i="4"/>
  <c r="AG219" i="4" s="1"/>
  <c r="H219" i="4" s="1"/>
  <c r="AG159" i="4"/>
  <c r="AG222" i="4" s="1"/>
  <c r="H222" i="4" s="1"/>
  <c r="AG158" i="4"/>
  <c r="AG221" i="4"/>
  <c r="H221" i="4" s="1"/>
  <c r="AG140" i="4"/>
  <c r="AG203" i="4"/>
  <c r="H203" i="4" s="1"/>
  <c r="AG165" i="4"/>
  <c r="AG228" i="4"/>
  <c r="H228" i="4" s="1"/>
  <c r="AG133" i="4"/>
  <c r="AG196" i="4" s="1"/>
  <c r="H196" i="4" s="1"/>
  <c r="AG185" i="4"/>
  <c r="AG248" i="4"/>
  <c r="AG145" i="4"/>
  <c r="AG208" i="4" s="1"/>
  <c r="H208" i="4" s="1"/>
  <c r="AG154" i="4"/>
  <c r="AG217" i="4"/>
  <c r="H217" i="4" s="1"/>
  <c r="AG163" i="4"/>
  <c r="AG226" i="4" s="1"/>
  <c r="H226" i="4" s="1"/>
  <c r="AG161" i="4"/>
  <c r="AG224" i="4" s="1"/>
  <c r="H224" i="4" s="1"/>
  <c r="AG143" i="4"/>
  <c r="AG206" i="4"/>
  <c r="H206" i="4" s="1"/>
  <c r="AG178" i="4"/>
  <c r="AG241" i="4" s="1"/>
  <c r="AF251" i="4"/>
  <c r="AG157" i="4"/>
  <c r="AG220" i="4"/>
  <c r="H220" i="4" s="1"/>
  <c r="AG179" i="4"/>
  <c r="AG242" i="4" s="1"/>
  <c r="AG137" i="4"/>
  <c r="AG200" i="4"/>
  <c r="H200" i="4" s="1"/>
  <c r="AG176" i="4"/>
  <c r="AG239" i="4"/>
  <c r="H239" i="4" s="1"/>
  <c r="AG151" i="4"/>
  <c r="AG214" i="4" s="1"/>
  <c r="H214" i="4" s="1"/>
  <c r="AG136" i="4"/>
  <c r="AG199" i="4"/>
  <c r="H199" i="4" s="1"/>
  <c r="AG171" i="4"/>
  <c r="AG234" i="4"/>
  <c r="H234" i="4" s="1"/>
  <c r="AG184" i="4"/>
  <c r="AG247" i="4" s="1"/>
  <c r="AG173" i="4"/>
  <c r="AG236" i="4"/>
  <c r="H236" i="4" s="1"/>
  <c r="AG186" i="4"/>
  <c r="AG249" i="4" s="1"/>
  <c r="AG135" i="4"/>
  <c r="AG198" i="4"/>
  <c r="H198" i="4" s="1"/>
  <c r="AG182" i="4"/>
  <c r="AG245" i="4" s="1"/>
  <c r="AG149" i="4"/>
  <c r="AG212" i="4" s="1"/>
  <c r="H212" i="4" s="1"/>
  <c r="AG170" i="4"/>
  <c r="AG233" i="4" s="1"/>
  <c r="H233" i="4" s="1"/>
  <c r="AG166" i="4"/>
  <c r="AG229" i="4" s="1"/>
  <c r="H229" i="4" s="1"/>
  <c r="AG152" i="4"/>
  <c r="AG215" i="4"/>
  <c r="H215" i="4" s="1"/>
  <c r="AG150" i="4"/>
  <c r="AG213" i="4"/>
  <c r="H213" i="4" s="1"/>
  <c r="AG187" i="4"/>
  <c r="AG250" i="4"/>
  <c r="AG125" i="4"/>
  <c r="AG62" i="4"/>
  <c r="B1227" i="2"/>
  <c r="C1227" i="2" s="1"/>
  <c r="B1226" i="2"/>
  <c r="C1226" i="2" s="1"/>
  <c r="B1228" i="2"/>
  <c r="C1228" i="2" s="1"/>
  <c r="B1223" i="2"/>
  <c r="C1223" i="2" s="1"/>
  <c r="B1210" i="2"/>
  <c r="C1210" i="2" s="1"/>
  <c r="B1218" i="2"/>
  <c r="C1218" i="2" s="1"/>
  <c r="B1212" i="2"/>
  <c r="C1212" i="2" s="1"/>
  <c r="B1214" i="2"/>
  <c r="C1214" i="2" s="1"/>
  <c r="B1197" i="2"/>
  <c r="C1197" i="2" s="1"/>
  <c r="B1234" i="2"/>
  <c r="C1234" i="2" s="1"/>
  <c r="B1225" i="2"/>
  <c r="C1225" i="2" s="1"/>
  <c r="B1203" i="2"/>
  <c r="C1203" i="2" s="1"/>
  <c r="B1196" i="2"/>
  <c r="B1191" i="2"/>
  <c r="B1201" i="2"/>
  <c r="C1201" i="2" s="1"/>
  <c r="B1190" i="2"/>
  <c r="B1231" i="2"/>
  <c r="C1231" i="2" s="1"/>
  <c r="B1219" i="2"/>
  <c r="C1219" i="2" s="1"/>
  <c r="B1208" i="2"/>
  <c r="C1208" i="2" s="1"/>
  <c r="B1220" i="2"/>
  <c r="C1220" i="2" s="1"/>
  <c r="B1230" i="2"/>
  <c r="C1230" i="2" s="1"/>
  <c r="B1207" i="2"/>
  <c r="C1207" i="2" s="1"/>
  <c r="B1217" i="2"/>
  <c r="C1217" i="2" s="1"/>
  <c r="B1205" i="2"/>
  <c r="C1205" i="2" s="1"/>
  <c r="B1199" i="2"/>
  <c r="C1199" i="2" s="1"/>
  <c r="B1194" i="2"/>
  <c r="B1221" i="2"/>
  <c r="C1221" i="2" s="1"/>
  <c r="B1232" i="2"/>
  <c r="C1232" i="2" s="1"/>
  <c r="B1215" i="2"/>
  <c r="C1215" i="2" s="1"/>
  <c r="B1204" i="2"/>
  <c r="C1204" i="2" s="1"/>
  <c r="B1202" i="2"/>
  <c r="C1202" i="2" s="1"/>
  <c r="B1224" i="2"/>
  <c r="C1224" i="2" s="1"/>
  <c r="B1222" i="2"/>
  <c r="C1222" i="2" s="1"/>
  <c r="B1193" i="2"/>
  <c r="B1216" i="2"/>
  <c r="C1216" i="2" s="1"/>
  <c r="B1211" i="2"/>
  <c r="C1211" i="2" s="1"/>
  <c r="B1192" i="2"/>
  <c r="B1198" i="2"/>
  <c r="C1198" i="2" s="1"/>
  <c r="B1206" i="2"/>
  <c r="C1206" i="2" s="1"/>
  <c r="B1195" i="2"/>
  <c r="B1209" i="2"/>
  <c r="C1209" i="2" s="1"/>
  <c r="B1229" i="2"/>
  <c r="C1229" i="2" s="1"/>
  <c r="B1213" i="2"/>
  <c r="C1213" i="2" s="1"/>
  <c r="B1200" i="2"/>
  <c r="C1200" i="2" s="1"/>
  <c r="B1233" i="2"/>
  <c r="C1233" i="2" s="1"/>
  <c r="N122" i="8" l="1"/>
  <c r="Z136" i="1"/>
  <c r="N136" i="8" s="1"/>
  <c r="Z136" i="8" s="1"/>
  <c r="T179" i="1"/>
  <c r="H179" i="8" s="1"/>
  <c r="H169" i="8"/>
  <c r="U158" i="1"/>
  <c r="AG1133" i="2"/>
  <c r="AG1134" i="2" s="1"/>
  <c r="R1133" i="9"/>
  <c r="Z140" i="1"/>
  <c r="N140" i="8" s="1"/>
  <c r="Z135" i="1"/>
  <c r="N135" i="8" s="1"/>
  <c r="Z135" i="8" s="1"/>
  <c r="Z130" i="1"/>
  <c r="N130" i="8" s="1"/>
  <c r="Z130" i="8" s="1"/>
  <c r="S94" i="1"/>
  <c r="S100" i="1" s="1"/>
  <c r="S117" i="1" s="1"/>
  <c r="X163" i="1"/>
  <c r="L163" i="8" s="1"/>
  <c r="T114" i="1"/>
  <c r="T116" i="1" s="1"/>
  <c r="V66" i="1"/>
  <c r="V70" i="1" s="1"/>
  <c r="Z121" i="1"/>
  <c r="N121" i="8" s="1"/>
  <c r="Z121" i="8" s="1"/>
  <c r="X127" i="1"/>
  <c r="L127" i="8" s="1"/>
  <c r="X127" i="8" s="1"/>
  <c r="H251" i="4"/>
  <c r="AA128" i="1"/>
  <c r="O128" i="8" s="1"/>
  <c r="AD41" i="1"/>
  <c r="AD50" i="1"/>
  <c r="Y51" i="1"/>
  <c r="W62" i="1"/>
  <c r="AD76" i="1"/>
  <c r="W72" i="1"/>
  <c r="W158" i="1" s="1"/>
  <c r="W67" i="1"/>
  <c r="X62" i="1"/>
  <c r="X66" i="1"/>
  <c r="X70" i="1" s="1"/>
  <c r="AC689" i="2"/>
  <c r="AD530" i="2"/>
  <c r="AD541" i="2"/>
  <c r="Y53" i="1"/>
  <c r="Z27" i="1"/>
  <c r="AD680" i="2"/>
  <c r="AD683" i="2"/>
  <c r="AD1121" i="2"/>
  <c r="AD1124" i="2"/>
  <c r="AD729" i="2"/>
  <c r="AD732" i="2"/>
  <c r="AD974" i="2"/>
  <c r="AD977" i="2"/>
  <c r="AG533" i="2"/>
  <c r="AG536" i="2"/>
  <c r="AG530" i="2"/>
  <c r="AD968" i="2"/>
  <c r="AD970" i="2"/>
  <c r="AD982" i="2" s="1"/>
  <c r="AG982" i="2" s="1"/>
  <c r="AD1115" i="2"/>
  <c r="AD1117" i="2"/>
  <c r="AD723" i="2"/>
  <c r="AD725" i="2"/>
  <c r="AD737" i="2" s="1"/>
  <c r="AD738" i="2" s="1"/>
  <c r="AD674" i="2"/>
  <c r="AD676" i="2"/>
  <c r="AD688" i="2" s="1"/>
  <c r="AG688" i="2" s="1"/>
  <c r="AG524" i="2"/>
  <c r="AG527" i="2"/>
  <c r="AD717" i="2"/>
  <c r="AD720" i="2"/>
  <c r="AD668" i="2"/>
  <c r="AD671" i="2"/>
  <c r="AD1109" i="2"/>
  <c r="AD1112" i="2"/>
  <c r="AD962" i="2"/>
  <c r="AD965" i="2"/>
  <c r="AG518" i="2"/>
  <c r="AG521" i="2"/>
  <c r="AG713" i="2"/>
  <c r="AD714" i="2"/>
  <c r="AG958" i="2"/>
  <c r="AD959" i="2"/>
  <c r="AG1105" i="2"/>
  <c r="AD1106" i="2"/>
  <c r="AG664" i="2"/>
  <c r="AD665" i="2"/>
  <c r="AG251" i="4"/>
  <c r="AG188" i="4"/>
  <c r="B1273" i="2"/>
  <c r="C1273" i="2" s="1"/>
  <c r="B1261" i="2"/>
  <c r="C1261" i="2" s="1"/>
  <c r="B1248" i="2"/>
  <c r="C1248" i="2" s="1"/>
  <c r="B1243" i="2"/>
  <c r="B1252" i="2"/>
  <c r="C1252" i="2" s="1"/>
  <c r="B1274" i="2"/>
  <c r="C1274" i="2" s="1"/>
  <c r="B1262" i="2"/>
  <c r="C1262" i="2" s="1"/>
  <c r="B1249" i="2"/>
  <c r="C1249" i="2" s="1"/>
  <c r="B1276" i="2"/>
  <c r="C1276" i="2" s="1"/>
  <c r="B1265" i="2"/>
  <c r="C1265" i="2" s="1"/>
  <c r="B1283" i="2"/>
  <c r="C1283" i="2" s="1"/>
  <c r="B1281" i="2"/>
  <c r="C1281" i="2" s="1"/>
  <c r="B1272" i="2"/>
  <c r="C1272" i="2" s="1"/>
  <c r="B1258" i="2"/>
  <c r="C1258" i="2" s="1"/>
  <c r="B1275" i="2"/>
  <c r="C1275" i="2" s="1"/>
  <c r="B1267" i="2"/>
  <c r="C1267" i="2" s="1"/>
  <c r="B1242" i="2"/>
  <c r="B1266" i="2"/>
  <c r="C1266" i="2" s="1"/>
  <c r="B1264" i="2"/>
  <c r="C1264" i="2" s="1"/>
  <c r="B1263" i="2"/>
  <c r="C1263" i="2" s="1"/>
  <c r="B1251" i="2"/>
  <c r="C1251" i="2" s="1"/>
  <c r="B1282" i="2"/>
  <c r="C1282" i="2" s="1"/>
  <c r="B1271" i="2"/>
  <c r="C1271" i="2" s="1"/>
  <c r="B1256" i="2"/>
  <c r="C1256" i="2" s="1"/>
  <c r="B1239" i="2"/>
  <c r="B1253" i="2"/>
  <c r="C1253" i="2" s="1"/>
  <c r="B1246" i="2"/>
  <c r="C1246" i="2" s="1"/>
  <c r="B1279" i="2"/>
  <c r="C1279" i="2" s="1"/>
  <c r="B1247" i="2"/>
  <c r="C1247" i="2" s="1"/>
  <c r="B1255" i="2"/>
  <c r="C1255" i="2" s="1"/>
  <c r="B1259" i="2"/>
  <c r="C1259" i="2" s="1"/>
  <c r="B1269" i="2"/>
  <c r="C1269" i="2" s="1"/>
  <c r="B1257" i="2"/>
  <c r="C1257" i="2" s="1"/>
  <c r="B1268" i="2"/>
  <c r="C1268" i="2" s="1"/>
  <c r="B1277" i="2"/>
  <c r="C1277" i="2" s="1"/>
  <c r="B1270" i="2"/>
  <c r="C1270" i="2" s="1"/>
  <c r="B1241" i="2"/>
  <c r="B1240" i="2"/>
  <c r="B1250" i="2"/>
  <c r="C1250" i="2" s="1"/>
  <c r="B1244" i="2"/>
  <c r="B1260" i="2"/>
  <c r="C1260" i="2" s="1"/>
  <c r="B1278" i="2"/>
  <c r="C1278" i="2" s="1"/>
  <c r="B1254" i="2"/>
  <c r="C1254" i="2" s="1"/>
  <c r="B1245" i="2"/>
  <c r="B1280" i="2"/>
  <c r="C1280" i="2" s="1"/>
  <c r="U169" i="1" l="1"/>
  <c r="I158" i="8"/>
  <c r="W169" i="1"/>
  <c r="K158" i="8"/>
  <c r="AD1129" i="2"/>
  <c r="R1117" i="9"/>
  <c r="T94" i="1"/>
  <c r="T100" i="1" s="1"/>
  <c r="T117" i="1" s="1"/>
  <c r="Y127" i="1"/>
  <c r="M127" i="8" s="1"/>
  <c r="Y127" i="8" s="1"/>
  <c r="Y163" i="1"/>
  <c r="M163" i="8" s="1"/>
  <c r="U114" i="1"/>
  <c r="U116" i="1" s="1"/>
  <c r="AA122" i="1"/>
  <c r="V72" i="1"/>
  <c r="V67" i="1"/>
  <c r="Y54" i="1"/>
  <c r="Y61" i="1"/>
  <c r="AA18" i="1"/>
  <c r="X72" i="1"/>
  <c r="X67" i="1"/>
  <c r="W73" i="1"/>
  <c r="AD983" i="2"/>
  <c r="AG983" i="2"/>
  <c r="AG689" i="2"/>
  <c r="AG737" i="2"/>
  <c r="AG738" i="2" s="1"/>
  <c r="AD542" i="2"/>
  <c r="AG541" i="2"/>
  <c r="AG542" i="2" s="1"/>
  <c r="AD689" i="2"/>
  <c r="Z39" i="1"/>
  <c r="Z53" i="1"/>
  <c r="Z61" i="1" s="1"/>
  <c r="AG729" i="2"/>
  <c r="AG732" i="2"/>
  <c r="AG974" i="2"/>
  <c r="AG977" i="2"/>
  <c r="AG680" i="2"/>
  <c r="AG683" i="2"/>
  <c r="AG1121" i="2"/>
  <c r="AG1124" i="2"/>
  <c r="AA24" i="1"/>
  <c r="AA30" i="1"/>
  <c r="AA33" i="1"/>
  <c r="AA45" i="1"/>
  <c r="AA42" i="1"/>
  <c r="AA26" i="1"/>
  <c r="AA38" i="1" s="1"/>
  <c r="AA51" i="1"/>
  <c r="AA57" i="1"/>
  <c r="AA15" i="1"/>
  <c r="O15" i="8" s="1"/>
  <c r="AD14" i="1"/>
  <c r="AA21" i="1"/>
  <c r="AG725" i="2"/>
  <c r="AG726" i="2" s="1"/>
  <c r="AD726" i="2"/>
  <c r="AG970" i="2"/>
  <c r="AG971" i="2" s="1"/>
  <c r="AD971" i="2"/>
  <c r="AG676" i="2"/>
  <c r="AG677" i="2" s="1"/>
  <c r="AD677" i="2"/>
  <c r="AG1117" i="2"/>
  <c r="AG1118" i="2" s="1"/>
  <c r="AD1118" i="2"/>
  <c r="AG1112" i="2"/>
  <c r="AG1115" i="2"/>
  <c r="AG965" i="2"/>
  <c r="AG968" i="2"/>
  <c r="AG720" i="2"/>
  <c r="AG723" i="2"/>
  <c r="AG671" i="2"/>
  <c r="AG674" i="2"/>
  <c r="AG665" i="2"/>
  <c r="AG668" i="2"/>
  <c r="AG1106" i="2"/>
  <c r="AG1109" i="2"/>
  <c r="AG959" i="2"/>
  <c r="AG962" i="2"/>
  <c r="AG714" i="2"/>
  <c r="AG717" i="2"/>
  <c r="B1295" i="2"/>
  <c r="C1295" i="2" s="1"/>
  <c r="B1312" i="2"/>
  <c r="C1312" i="2" s="1"/>
  <c r="B1299" i="2"/>
  <c r="C1299" i="2" s="1"/>
  <c r="B1288" i="2"/>
  <c r="B1332" i="2"/>
  <c r="C1332" i="2" s="1"/>
  <c r="B1296" i="2"/>
  <c r="C1296" i="2" s="1"/>
  <c r="B1301" i="2"/>
  <c r="C1301" i="2" s="1"/>
  <c r="B1324" i="2"/>
  <c r="C1324" i="2" s="1"/>
  <c r="B1317" i="2"/>
  <c r="C1317" i="2" s="1"/>
  <c r="B1315" i="2"/>
  <c r="C1315" i="2" s="1"/>
  <c r="B1292" i="2"/>
  <c r="B1310" i="2"/>
  <c r="C1310" i="2" s="1"/>
  <c r="B1331" i="2"/>
  <c r="C1331" i="2" s="1"/>
  <c r="B1323" i="2"/>
  <c r="C1323" i="2" s="1"/>
  <c r="B1308" i="2"/>
  <c r="C1308" i="2" s="1"/>
  <c r="B1330" i="2"/>
  <c r="C1330" i="2" s="1"/>
  <c r="B1307" i="2"/>
  <c r="C1307" i="2" s="1"/>
  <c r="B1300" i="2"/>
  <c r="C1300" i="2" s="1"/>
  <c r="B1322" i="2"/>
  <c r="C1322" i="2" s="1"/>
  <c r="B1306" i="2"/>
  <c r="C1306" i="2" s="1"/>
  <c r="B1321" i="2"/>
  <c r="C1321" i="2" s="1"/>
  <c r="B1329" i="2"/>
  <c r="C1329" i="2" s="1"/>
  <c r="B1320" i="2"/>
  <c r="C1320" i="2" s="1"/>
  <c r="B1298" i="2"/>
  <c r="C1298" i="2" s="1"/>
  <c r="B1327" i="2"/>
  <c r="C1327" i="2" s="1"/>
  <c r="B1318" i="2"/>
  <c r="C1318" i="2" s="1"/>
  <c r="B1304" i="2"/>
  <c r="C1304" i="2" s="1"/>
  <c r="B1297" i="2"/>
  <c r="C1297" i="2" s="1"/>
  <c r="B1293" i="2"/>
  <c r="B1316" i="2"/>
  <c r="C1316" i="2" s="1"/>
  <c r="B1291" i="2"/>
  <c r="B1309" i="2"/>
  <c r="C1309" i="2" s="1"/>
  <c r="B1303" i="2"/>
  <c r="C1303" i="2" s="1"/>
  <c r="B1319" i="2"/>
  <c r="C1319" i="2" s="1"/>
  <c r="B1311" i="2"/>
  <c r="C1311" i="2" s="1"/>
  <c r="B1290" i="2"/>
  <c r="B1325" i="2"/>
  <c r="C1325" i="2" s="1"/>
  <c r="B1313" i="2"/>
  <c r="C1313" i="2" s="1"/>
  <c r="B1294" i="2"/>
  <c r="B1289" i="2"/>
  <c r="B1326" i="2"/>
  <c r="C1326" i="2" s="1"/>
  <c r="B1305" i="2"/>
  <c r="C1305" i="2" s="1"/>
  <c r="B1314" i="2"/>
  <c r="C1314" i="2" s="1"/>
  <c r="B1302" i="2"/>
  <c r="C1302" i="2" s="1"/>
  <c r="B1328" i="2"/>
  <c r="C1328" i="2" s="1"/>
  <c r="O122" i="8" l="1"/>
  <c r="AA136" i="1"/>
  <c r="O136" i="8" s="1"/>
  <c r="AA136" i="8" s="1"/>
  <c r="W179" i="1"/>
  <c r="K179" i="8" s="1"/>
  <c r="K169" i="8"/>
  <c r="U179" i="1"/>
  <c r="I179" i="8" s="1"/>
  <c r="I169" i="8"/>
  <c r="R1118" i="9"/>
  <c r="AG1129" i="2"/>
  <c r="AG1130" i="2" s="1"/>
  <c r="R1129" i="9"/>
  <c r="AD1130" i="2"/>
  <c r="AA140" i="1"/>
  <c r="O140" i="8" s="1"/>
  <c r="AA135" i="1"/>
  <c r="O135" i="8" s="1"/>
  <c r="AA135" i="8" s="1"/>
  <c r="AA130" i="1"/>
  <c r="O130" i="8" s="1"/>
  <c r="AA130" i="8" s="1"/>
  <c r="AA121" i="1"/>
  <c r="O121" i="8" s="1"/>
  <c r="AA121" i="8" s="1"/>
  <c r="U94" i="1"/>
  <c r="U100" i="1" s="1"/>
  <c r="U117" i="1" s="1"/>
  <c r="X73" i="1"/>
  <c r="X158" i="1"/>
  <c r="AA163" i="1"/>
  <c r="V73" i="1"/>
  <c r="V158" i="1"/>
  <c r="Z163" i="1"/>
  <c r="N163" i="8" s="1"/>
  <c r="AA127" i="1"/>
  <c r="O127" i="8" s="1"/>
  <c r="AA127" i="8" s="1"/>
  <c r="Z127" i="1"/>
  <c r="N127" i="8" s="1"/>
  <c r="Z127" i="8" s="1"/>
  <c r="AD33" i="1"/>
  <c r="Y62" i="1"/>
  <c r="Y66" i="1"/>
  <c r="Y70" i="1" s="1"/>
  <c r="Z54" i="1"/>
  <c r="AA27" i="1"/>
  <c r="AD26" i="1"/>
  <c r="AD27" i="1" s="1"/>
  <c r="AD18" i="1"/>
  <c r="AD15" i="1"/>
  <c r="AD30" i="1"/>
  <c r="AD42" i="1"/>
  <c r="AD57" i="1"/>
  <c r="AD51" i="1"/>
  <c r="AD45" i="1"/>
  <c r="AD24" i="1"/>
  <c r="AD21" i="1"/>
  <c r="AA39" i="1"/>
  <c r="AA53" i="1"/>
  <c r="AA61" i="1" s="1"/>
  <c r="AD38" i="1"/>
  <c r="AD39" i="1" s="1"/>
  <c r="B1373" i="2"/>
  <c r="C1373" i="2" s="1"/>
  <c r="B1377" i="2"/>
  <c r="C1377" i="2" s="1"/>
  <c r="B1366" i="2"/>
  <c r="C1366" i="2" s="1"/>
  <c r="B1381" i="2"/>
  <c r="C1381" i="2" s="1"/>
  <c r="B1380" i="2"/>
  <c r="C1380" i="2" s="1"/>
  <c r="B1369" i="2"/>
  <c r="C1369" i="2" s="1"/>
  <c r="B1357" i="2"/>
  <c r="C1357" i="2" s="1"/>
  <c r="B1375" i="2"/>
  <c r="C1375" i="2" s="1"/>
  <c r="B1364" i="2"/>
  <c r="C1364" i="2" s="1"/>
  <c r="B1368" i="2"/>
  <c r="C1368" i="2" s="1"/>
  <c r="B1379" i="2"/>
  <c r="C1379" i="2" s="1"/>
  <c r="B1367" i="2"/>
  <c r="C1367" i="2" s="1"/>
  <c r="B1353" i="2"/>
  <c r="C1353" i="2" s="1"/>
  <c r="B1342" i="2"/>
  <c r="B1359" i="2"/>
  <c r="C1359" i="2" s="1"/>
  <c r="B1352" i="2"/>
  <c r="C1352" i="2" s="1"/>
  <c r="B1346" i="2"/>
  <c r="C1346" i="2" s="1"/>
  <c r="B1341" i="2"/>
  <c r="B1358" i="2"/>
  <c r="C1358" i="2" s="1"/>
  <c r="B1349" i="2"/>
  <c r="C1349" i="2" s="1"/>
  <c r="B1340" i="2"/>
  <c r="B1339" i="2"/>
  <c r="B1374" i="2"/>
  <c r="C1374" i="2" s="1"/>
  <c r="B1338" i="2"/>
  <c r="B1348" i="2"/>
  <c r="C1348" i="2" s="1"/>
  <c r="B1337" i="2"/>
  <c r="B1363" i="2"/>
  <c r="C1363" i="2" s="1"/>
  <c r="B1345" i="2"/>
  <c r="C1345" i="2" s="1"/>
  <c r="B1371" i="2"/>
  <c r="C1371" i="2" s="1"/>
  <c r="B1370" i="2"/>
  <c r="C1370" i="2" s="1"/>
  <c r="B1365" i="2"/>
  <c r="C1365" i="2" s="1"/>
  <c r="B1356" i="2"/>
  <c r="C1356" i="2" s="1"/>
  <c r="B1362" i="2"/>
  <c r="C1362" i="2" s="1"/>
  <c r="B1355" i="2"/>
  <c r="C1355" i="2" s="1"/>
  <c r="B1372" i="2"/>
  <c r="C1372" i="2" s="1"/>
  <c r="B1361" i="2"/>
  <c r="C1361" i="2" s="1"/>
  <c r="B1351" i="2"/>
  <c r="C1351" i="2" s="1"/>
  <c r="B1347" i="2"/>
  <c r="C1347" i="2" s="1"/>
  <c r="B1344" i="2"/>
  <c r="C1344" i="2" s="1"/>
  <c r="B1378" i="2"/>
  <c r="C1378" i="2" s="1"/>
  <c r="B1354" i="2"/>
  <c r="C1354" i="2" s="1"/>
  <c r="B1343" i="2"/>
  <c r="B1350" i="2"/>
  <c r="C1350" i="2" s="1"/>
  <c r="B1376" i="2"/>
  <c r="C1376" i="2" s="1"/>
  <c r="B1360" i="2"/>
  <c r="C1360" i="2" s="1"/>
  <c r="X169" i="1" l="1"/>
  <c r="L158" i="8"/>
  <c r="V169" i="1"/>
  <c r="J158" i="8"/>
  <c r="O163" i="8"/>
  <c r="AD163" i="8" s="1"/>
  <c r="AD163" i="1"/>
  <c r="R1130" i="9"/>
  <c r="V94" i="1"/>
  <c r="V100" i="1" s="1"/>
  <c r="V114" i="1"/>
  <c r="V116" i="1" s="1"/>
  <c r="Y72" i="1"/>
  <c r="Y158" i="1" s="1"/>
  <c r="Y67" i="1"/>
  <c r="Z62" i="1"/>
  <c r="Z66" i="1"/>
  <c r="Z70" i="1" s="1"/>
  <c r="AA54" i="1"/>
  <c r="AA66" i="1"/>
  <c r="AA70" i="1" s="1"/>
  <c r="AD53" i="1"/>
  <c r="AD54" i="1" s="1"/>
  <c r="B1422" i="2"/>
  <c r="C1422" i="2" s="1"/>
  <c r="B1420" i="2"/>
  <c r="C1420" i="2" s="1"/>
  <c r="B1419" i="2"/>
  <c r="C1419" i="2" s="1"/>
  <c r="B1425" i="2"/>
  <c r="C1425" i="2" s="1"/>
  <c r="B1430" i="2"/>
  <c r="C1430" i="2" s="1"/>
  <c r="B1414" i="2"/>
  <c r="C1414" i="2" s="1"/>
  <c r="B1424" i="2"/>
  <c r="C1424" i="2" s="1"/>
  <c r="B1413" i="2"/>
  <c r="C1413" i="2" s="1"/>
  <c r="B1428" i="2"/>
  <c r="C1428" i="2" s="1"/>
  <c r="B1401" i="2"/>
  <c r="C1401" i="2" s="1"/>
  <c r="B1409" i="2"/>
  <c r="C1409" i="2" s="1"/>
  <c r="B1396" i="2"/>
  <c r="C1396" i="2" s="1"/>
  <c r="B1429" i="2"/>
  <c r="C1429" i="2" s="1"/>
  <c r="B1398" i="2"/>
  <c r="C1398" i="2" s="1"/>
  <c r="B1391" i="2"/>
  <c r="B1423" i="2"/>
  <c r="C1423" i="2" s="1"/>
  <c r="B1408" i="2"/>
  <c r="C1408" i="2" s="1"/>
  <c r="B1395" i="2"/>
  <c r="C1395" i="2" s="1"/>
  <c r="B1390" i="2"/>
  <c r="B1407" i="2"/>
  <c r="C1407" i="2" s="1"/>
  <c r="B1389" i="2"/>
  <c r="B1400" i="2"/>
  <c r="C1400" i="2" s="1"/>
  <c r="B1387" i="2"/>
  <c r="B1427" i="2"/>
  <c r="C1427" i="2" s="1"/>
  <c r="B1417" i="2"/>
  <c r="C1417" i="2" s="1"/>
  <c r="B1415" i="2"/>
  <c r="C1415" i="2" s="1"/>
  <c r="B1397" i="2"/>
  <c r="C1397" i="2" s="1"/>
  <c r="B1386" i="2"/>
  <c r="B1393" i="2"/>
  <c r="C1393" i="2" s="1"/>
  <c r="B1421" i="2"/>
  <c r="C1421" i="2" s="1"/>
  <c r="B1418" i="2"/>
  <c r="C1418" i="2" s="1"/>
  <c r="B1406" i="2"/>
  <c r="C1406" i="2" s="1"/>
  <c r="B1392" i="2"/>
  <c r="B1394" i="2"/>
  <c r="C1394" i="2" s="1"/>
  <c r="B1412" i="2"/>
  <c r="C1412" i="2" s="1"/>
  <c r="B1402" i="2"/>
  <c r="C1402" i="2" s="1"/>
  <c r="B1399" i="2"/>
  <c r="C1399" i="2" s="1"/>
  <c r="B1403" i="2"/>
  <c r="C1403" i="2" s="1"/>
  <c r="B1416" i="2"/>
  <c r="C1416" i="2" s="1"/>
  <c r="B1388" i="2"/>
  <c r="B1426" i="2"/>
  <c r="C1426" i="2" s="1"/>
  <c r="B1411" i="2"/>
  <c r="C1411" i="2" s="1"/>
  <c r="B1405" i="2"/>
  <c r="C1405" i="2" s="1"/>
  <c r="B1410" i="2"/>
  <c r="C1410" i="2" s="1"/>
  <c r="B1404" i="2"/>
  <c r="C1404" i="2" s="1"/>
  <c r="Y169" i="1" l="1"/>
  <c r="M158" i="8"/>
  <c r="V179" i="1"/>
  <c r="J179" i="8" s="1"/>
  <c r="J169" i="8"/>
  <c r="X179" i="1"/>
  <c r="L179" i="8" s="1"/>
  <c r="L169" i="8"/>
  <c r="V117" i="1"/>
  <c r="W94" i="1"/>
  <c r="W100" i="1" s="1"/>
  <c r="W114" i="1"/>
  <c r="W116" i="1" s="1"/>
  <c r="AA72" i="1"/>
  <c r="AD66" i="1"/>
  <c r="AA67" i="1"/>
  <c r="Z72" i="1"/>
  <c r="AD72" i="1" s="1"/>
  <c r="AD73" i="1" s="1"/>
  <c r="Z67" i="1"/>
  <c r="Y73" i="1"/>
  <c r="AA62" i="1"/>
  <c r="AD61" i="1"/>
  <c r="AD62" i="1" s="1"/>
  <c r="B1479" i="2"/>
  <c r="C1479" i="2" s="1"/>
  <c r="B1478" i="2"/>
  <c r="C1478" i="2" s="1"/>
  <c r="B1473" i="2"/>
  <c r="C1473" i="2" s="1"/>
  <c r="B1475" i="2"/>
  <c r="C1475" i="2" s="1"/>
  <c r="B1470" i="2"/>
  <c r="C1470" i="2" s="1"/>
  <c r="B1458" i="2"/>
  <c r="C1458" i="2" s="1"/>
  <c r="B1445" i="2"/>
  <c r="C1445" i="2" s="1"/>
  <c r="B1474" i="2"/>
  <c r="C1474" i="2" s="1"/>
  <c r="B1442" i="2"/>
  <c r="C1442" i="2" s="1"/>
  <c r="B1466" i="2"/>
  <c r="C1466" i="2" s="1"/>
  <c r="B1454" i="2"/>
  <c r="C1454" i="2" s="1"/>
  <c r="B1441" i="2"/>
  <c r="B1472" i="2"/>
  <c r="C1472" i="2" s="1"/>
  <c r="B1461" i="2"/>
  <c r="C1461" i="2" s="1"/>
  <c r="B1468" i="2"/>
  <c r="C1468" i="2" s="1"/>
  <c r="B1456" i="2"/>
  <c r="C1456" i="2" s="1"/>
  <c r="B1438" i="2"/>
  <c r="B1464" i="2"/>
  <c r="C1464" i="2" s="1"/>
  <c r="B1452" i="2"/>
  <c r="C1452" i="2" s="1"/>
  <c r="B1437" i="2"/>
  <c r="B1460" i="2"/>
  <c r="C1460" i="2" s="1"/>
  <c r="B1449" i="2"/>
  <c r="C1449" i="2" s="1"/>
  <c r="B1436" i="2"/>
  <c r="B1467" i="2"/>
  <c r="C1467" i="2" s="1"/>
  <c r="B1455" i="2"/>
  <c r="C1455" i="2" s="1"/>
  <c r="B1462" i="2"/>
  <c r="C1462" i="2" s="1"/>
  <c r="B1453" i="2"/>
  <c r="C1453" i="2" s="1"/>
  <c r="B1471" i="2"/>
  <c r="C1471" i="2" s="1"/>
  <c r="B1447" i="2"/>
  <c r="C1447" i="2" s="1"/>
  <c r="B1469" i="2"/>
  <c r="C1469" i="2" s="1"/>
  <c r="B1444" i="2"/>
  <c r="C1444" i="2" s="1"/>
  <c r="B1439" i="2"/>
  <c r="B1477" i="2"/>
  <c r="C1477" i="2" s="1"/>
  <c r="B1451" i="2"/>
  <c r="C1451" i="2" s="1"/>
  <c r="B1459" i="2"/>
  <c r="C1459" i="2" s="1"/>
  <c r="B1450" i="2"/>
  <c r="C1450" i="2" s="1"/>
  <c r="B1463" i="2"/>
  <c r="C1463" i="2" s="1"/>
  <c r="B1465" i="2"/>
  <c r="C1465" i="2" s="1"/>
  <c r="B1446" i="2"/>
  <c r="C1446" i="2" s="1"/>
  <c r="B1440" i="2"/>
  <c r="B1435" i="2"/>
  <c r="B1476" i="2"/>
  <c r="C1476" i="2" s="1"/>
  <c r="B1443" i="2"/>
  <c r="C1443" i="2" s="1"/>
  <c r="B1448" i="2"/>
  <c r="C1448" i="2" s="1"/>
  <c r="B1457" i="2"/>
  <c r="C1457" i="2" s="1"/>
  <c r="Y179" i="1" l="1"/>
  <c r="M179" i="8" s="1"/>
  <c r="M169" i="8"/>
  <c r="W117" i="1"/>
  <c r="X94" i="1"/>
  <c r="X100" i="1" s="1"/>
  <c r="Z73" i="1"/>
  <c r="Z158" i="1"/>
  <c r="AA73" i="1"/>
  <c r="AA158" i="1"/>
  <c r="O158" i="8" s="1"/>
  <c r="X114" i="1"/>
  <c r="X116" i="1" s="1"/>
  <c r="AD70" i="1"/>
  <c r="AD67" i="1"/>
  <c r="B1522" i="2"/>
  <c r="C1522" i="2" s="1"/>
  <c r="B1524" i="2"/>
  <c r="C1524" i="2" s="1"/>
  <c r="B1518" i="2"/>
  <c r="C1518" i="2" s="1"/>
  <c r="B1506" i="2"/>
  <c r="C1506" i="2" s="1"/>
  <c r="B1493" i="2"/>
  <c r="C1493" i="2" s="1"/>
  <c r="B1488" i="2"/>
  <c r="B1521" i="2"/>
  <c r="C1521" i="2" s="1"/>
  <c r="B1517" i="2"/>
  <c r="C1517" i="2" s="1"/>
  <c r="B1505" i="2"/>
  <c r="C1505" i="2" s="1"/>
  <c r="B1487" i="2"/>
  <c r="B1520" i="2"/>
  <c r="C1520" i="2" s="1"/>
  <c r="B1509" i="2"/>
  <c r="C1509" i="2" s="1"/>
  <c r="B1498" i="2"/>
  <c r="C1498" i="2" s="1"/>
  <c r="B1485" i="2"/>
  <c r="B1516" i="2"/>
  <c r="C1516" i="2" s="1"/>
  <c r="B1504" i="2"/>
  <c r="C1504" i="2" s="1"/>
  <c r="B1512" i="2"/>
  <c r="C1512" i="2" s="1"/>
  <c r="B1500" i="2"/>
  <c r="C1500" i="2" s="1"/>
  <c r="B1511" i="2"/>
  <c r="C1511" i="2" s="1"/>
  <c r="B1499" i="2"/>
  <c r="C1499" i="2" s="1"/>
  <c r="B1497" i="2"/>
  <c r="C1497" i="2" s="1"/>
  <c r="B1515" i="2"/>
  <c r="C1515" i="2" s="1"/>
  <c r="B1503" i="2"/>
  <c r="C1503" i="2" s="1"/>
  <c r="B1514" i="2"/>
  <c r="C1514" i="2" s="1"/>
  <c r="B1502" i="2"/>
  <c r="C1502" i="2" s="1"/>
  <c r="B1494" i="2"/>
  <c r="C1494" i="2" s="1"/>
  <c r="B1525" i="2"/>
  <c r="C1525" i="2" s="1"/>
  <c r="B1507" i="2"/>
  <c r="C1507" i="2" s="1"/>
  <c r="B1523" i="2"/>
  <c r="C1523" i="2" s="1"/>
  <c r="B1495" i="2"/>
  <c r="C1495" i="2" s="1"/>
  <c r="B1508" i="2"/>
  <c r="C1508" i="2" s="1"/>
  <c r="B1526" i="2"/>
  <c r="C1526" i="2" s="1"/>
  <c r="B1490" i="2"/>
  <c r="B1496" i="2"/>
  <c r="C1496" i="2" s="1"/>
  <c r="B1519" i="2"/>
  <c r="C1519" i="2" s="1"/>
  <c r="B1486" i="2"/>
  <c r="B1510" i="2"/>
  <c r="C1510" i="2" s="1"/>
  <c r="B1492" i="2"/>
  <c r="C1492" i="2" s="1"/>
  <c r="B1513" i="2"/>
  <c r="C1513" i="2" s="1"/>
  <c r="B1491" i="2"/>
  <c r="C1491" i="2" s="1"/>
  <c r="B1528" i="2"/>
  <c r="C1528" i="2" s="1"/>
  <c r="B1527" i="2"/>
  <c r="C1527" i="2" s="1"/>
  <c r="B1489" i="2"/>
  <c r="B1484" i="2"/>
  <c r="B1501" i="2"/>
  <c r="C1501" i="2" s="1"/>
  <c r="Z169" i="1" l="1"/>
  <c r="N158" i="8"/>
  <c r="AD158" i="8" s="1"/>
  <c r="AD169" i="8" s="1"/>
  <c r="AD179" i="8" s="1"/>
  <c r="AA169" i="1"/>
  <c r="AD158" i="1"/>
  <c r="AD169" i="1" s="1"/>
  <c r="AD179" i="1" s="1"/>
  <c r="X117" i="1"/>
  <c r="Y94" i="1"/>
  <c r="Y100" i="1" s="1"/>
  <c r="Y114" i="1"/>
  <c r="Y116" i="1" s="1"/>
  <c r="B1577" i="2"/>
  <c r="C1577" i="2" s="1"/>
  <c r="B1576" i="2"/>
  <c r="C1576" i="2" s="1"/>
  <c r="B1565" i="2"/>
  <c r="C1565" i="2" s="1"/>
  <c r="B1574" i="2"/>
  <c r="C1574" i="2" s="1"/>
  <c r="B1558" i="2"/>
  <c r="C1558" i="2" s="1"/>
  <c r="B1547" i="2"/>
  <c r="C1547" i="2" s="1"/>
  <c r="B1534" i="2"/>
  <c r="B1573" i="2"/>
  <c r="C1573" i="2" s="1"/>
  <c r="B1557" i="2"/>
  <c r="C1557" i="2" s="1"/>
  <c r="B1544" i="2"/>
  <c r="C1544" i="2" s="1"/>
  <c r="B1533" i="2"/>
  <c r="B1572" i="2"/>
  <c r="C1572" i="2" s="1"/>
  <c r="B1541" i="2"/>
  <c r="C1541" i="2" s="1"/>
  <c r="B1571" i="2"/>
  <c r="C1571" i="2" s="1"/>
  <c r="B1567" i="2"/>
  <c r="C1567" i="2" s="1"/>
  <c r="B1560" i="2"/>
  <c r="C1560" i="2" s="1"/>
  <c r="B1556" i="2"/>
  <c r="C1556" i="2" s="1"/>
  <c r="B1543" i="2"/>
  <c r="C1543" i="2" s="1"/>
  <c r="B1570" i="2"/>
  <c r="C1570" i="2" s="1"/>
  <c r="B1552" i="2"/>
  <c r="C1552" i="2" s="1"/>
  <c r="B1569" i="2"/>
  <c r="C1569" i="2" s="1"/>
  <c r="B1575" i="2"/>
  <c r="C1575" i="2" s="1"/>
  <c r="B1555" i="2"/>
  <c r="C1555" i="2" s="1"/>
  <c r="B1542" i="2"/>
  <c r="C1542" i="2" s="1"/>
  <c r="B1554" i="2"/>
  <c r="C1554" i="2" s="1"/>
  <c r="B1561" i="2"/>
  <c r="C1561" i="2" s="1"/>
  <c r="B1538" i="2"/>
  <c r="B1566" i="2"/>
  <c r="C1566" i="2" s="1"/>
  <c r="B1549" i="2"/>
  <c r="C1549" i="2" s="1"/>
  <c r="B1539" i="2"/>
  <c r="B1536" i="2"/>
  <c r="B1548" i="2"/>
  <c r="C1548" i="2" s="1"/>
  <c r="B1535" i="2"/>
  <c r="B1559" i="2"/>
  <c r="C1559" i="2" s="1"/>
  <c r="B1551" i="2"/>
  <c r="C1551" i="2" s="1"/>
  <c r="B1545" i="2"/>
  <c r="C1545" i="2" s="1"/>
  <c r="B1568" i="2"/>
  <c r="C1568" i="2" s="1"/>
  <c r="B1553" i="2"/>
  <c r="C1553" i="2" s="1"/>
  <c r="B1550" i="2"/>
  <c r="C1550" i="2" s="1"/>
  <c r="B1540" i="2"/>
  <c r="C1540" i="2" s="1"/>
  <c r="B1564" i="2"/>
  <c r="C1564" i="2" s="1"/>
  <c r="B1537" i="2"/>
  <c r="B1563" i="2"/>
  <c r="C1563" i="2" s="1"/>
  <c r="B1546" i="2"/>
  <c r="C1546" i="2" s="1"/>
  <c r="B1562" i="2"/>
  <c r="C1562" i="2" s="1"/>
  <c r="J251" i="4"/>
  <c r="G196" i="4"/>
  <c r="G251" i="4" s="1"/>
  <c r="K251" i="4"/>
  <c r="L251" i="4"/>
  <c r="M251" i="4"/>
  <c r="N251" i="4"/>
  <c r="O251" i="4"/>
  <c r="P251" i="4"/>
  <c r="Q251" i="4"/>
  <c r="R251" i="4"/>
  <c r="S251" i="4"/>
  <c r="T251" i="4"/>
  <c r="U251" i="4"/>
  <c r="J616" i="9" l="1"/>
  <c r="O318" i="9"/>
  <c r="O1351" i="9"/>
  <c r="P268" i="9"/>
  <c r="I861" i="9"/>
  <c r="M1057" i="9"/>
  <c r="K1008" i="9"/>
  <c r="G910" i="9"/>
  <c r="H1057" i="9"/>
  <c r="H861" i="9"/>
  <c r="I1302" i="9"/>
  <c r="R861" i="9"/>
  <c r="J1204" i="9"/>
  <c r="H959" i="9"/>
  <c r="K418" i="9"/>
  <c r="L1057" i="9"/>
  <c r="J959" i="9"/>
  <c r="G959" i="9"/>
  <c r="N959" i="9"/>
  <c r="O1155" i="9"/>
  <c r="Q368" i="9"/>
  <c r="R468" i="9"/>
  <c r="N1400" i="9"/>
  <c r="O1008" i="9"/>
  <c r="R1302" i="9"/>
  <c r="O1449" i="9"/>
  <c r="J567" i="9"/>
  <c r="O910" i="9"/>
  <c r="P812" i="9"/>
  <c r="N1351" i="9"/>
  <c r="G1302" i="9"/>
  <c r="K468" i="9"/>
  <c r="K812" i="9"/>
  <c r="R714" i="9"/>
  <c r="Q318" i="9"/>
  <c r="R1400" i="9"/>
  <c r="L616" i="9"/>
  <c r="M1547" i="9"/>
  <c r="O567" i="9"/>
  <c r="I1351" i="9"/>
  <c r="K318" i="9"/>
  <c r="L1106" i="9"/>
  <c r="K616" i="9"/>
  <c r="I1008" i="9"/>
  <c r="Q1253" i="9"/>
  <c r="R1498" i="9"/>
  <c r="K1204" i="9"/>
  <c r="J665" i="9"/>
  <c r="L861" i="9"/>
  <c r="Q812" i="9"/>
  <c r="Q910" i="9"/>
  <c r="R368" i="9"/>
  <c r="P1253" i="9"/>
  <c r="N468" i="9"/>
  <c r="P910" i="9"/>
  <c r="L1351" i="9"/>
  <c r="G1253" i="9"/>
  <c r="J318" i="9"/>
  <c r="M1106" i="9"/>
  <c r="K910" i="9"/>
  <c r="Q1400" i="9"/>
  <c r="I567" i="9"/>
  <c r="Q1204" i="9"/>
  <c r="N418" i="9"/>
  <c r="P318" i="9"/>
  <c r="I616" i="9"/>
  <c r="G714" i="9"/>
  <c r="L1008" i="9"/>
  <c r="Q1449" i="9"/>
  <c r="J1498" i="9"/>
  <c r="H812" i="9"/>
  <c r="Q418" i="9"/>
  <c r="O714" i="9"/>
  <c r="M518" i="9"/>
  <c r="J418" i="9"/>
  <c r="H1351" i="9"/>
  <c r="M418" i="9"/>
  <c r="N910" i="9"/>
  <c r="M1302" i="9"/>
  <c r="N1106" i="9"/>
  <c r="I1449" i="9"/>
  <c r="L318" i="9"/>
  <c r="O812" i="9"/>
  <c r="K1449" i="9"/>
  <c r="J1155" i="9"/>
  <c r="J1547" i="9"/>
  <c r="K368" i="9"/>
  <c r="R1155" i="9"/>
  <c r="R763" i="9"/>
  <c r="I1547" i="9"/>
  <c r="Q1155" i="9"/>
  <c r="H714" i="9"/>
  <c r="O1400" i="9"/>
  <c r="R1351" i="9"/>
  <c r="R959" i="9"/>
  <c r="N1547" i="9"/>
  <c r="K567" i="9"/>
  <c r="O763" i="9"/>
  <c r="O1302" i="9"/>
  <c r="M616" i="9"/>
  <c r="H1155" i="9"/>
  <c r="H763" i="9"/>
  <c r="J468" i="9"/>
  <c r="P763" i="9"/>
  <c r="N1253" i="9"/>
  <c r="P1351" i="9"/>
  <c r="N665" i="9"/>
  <c r="P1449" i="9"/>
  <c r="G1351" i="9"/>
  <c r="K1253" i="9"/>
  <c r="G1498" i="9"/>
  <c r="P567" i="9"/>
  <c r="J1449" i="9"/>
  <c r="N616" i="9"/>
  <c r="P518" i="9"/>
  <c r="I418" i="9"/>
  <c r="J763" i="9"/>
  <c r="Q861" i="9"/>
  <c r="R1008" i="9"/>
  <c r="G1057" i="9"/>
  <c r="R1547" i="9"/>
  <c r="G1547" i="9"/>
  <c r="I468" i="9"/>
  <c r="J368" i="9"/>
  <c r="P1106" i="9"/>
  <c r="H1106" i="9"/>
  <c r="K1057" i="9"/>
  <c r="M665" i="9"/>
  <c r="K665" i="9"/>
  <c r="G418" i="9"/>
  <c r="G318" i="9"/>
  <c r="P1057" i="9"/>
  <c r="O616" i="9"/>
  <c r="H1253" i="9"/>
  <c r="G763" i="9"/>
  <c r="L763" i="9"/>
  <c r="M368" i="9"/>
  <c r="H616" i="9"/>
  <c r="L1155" i="9"/>
  <c r="H418" i="9"/>
  <c r="Q567" i="9"/>
  <c r="G518" i="9"/>
  <c r="M1155" i="9"/>
  <c r="I910" i="9"/>
  <c r="O368" i="9"/>
  <c r="H1302" i="9"/>
  <c r="Q714" i="9"/>
  <c r="L665" i="9"/>
  <c r="O418" i="9"/>
  <c r="G1155" i="9"/>
  <c r="O1106" i="9"/>
  <c r="I959" i="9"/>
  <c r="N1008" i="9"/>
  <c r="H1008" i="9"/>
  <c r="R616" i="9"/>
  <c r="R910" i="9"/>
  <c r="K1547" i="9"/>
  <c r="I318" i="9"/>
  <c r="K1498" i="9"/>
  <c r="I714" i="9"/>
  <c r="M318" i="9"/>
  <c r="P468" i="9"/>
  <c r="L1400" i="9"/>
  <c r="G567" i="9"/>
  <c r="I1155" i="9"/>
  <c r="L714" i="9"/>
  <c r="M567" i="9"/>
  <c r="K1302" i="9"/>
  <c r="L1204" i="9"/>
  <c r="H910" i="9"/>
  <c r="J910" i="9"/>
  <c r="I1498" i="9"/>
  <c r="N1302" i="9"/>
  <c r="P368" i="9"/>
  <c r="J1302" i="9"/>
  <c r="H1204" i="9"/>
  <c r="P714" i="9"/>
  <c r="N1498" i="9"/>
  <c r="G1008" i="9"/>
  <c r="Q616" i="9"/>
  <c r="K1155" i="9"/>
  <c r="L1547" i="9"/>
  <c r="L418" i="9"/>
  <c r="J812" i="9"/>
  <c r="M1204" i="9"/>
  <c r="R812" i="9"/>
  <c r="Q1057" i="9"/>
  <c r="M714" i="9"/>
  <c r="Q1547" i="9"/>
  <c r="J1106" i="9"/>
  <c r="L518" i="9"/>
  <c r="L910" i="9"/>
  <c r="L1253" i="9"/>
  <c r="G1204" i="9"/>
  <c r="G616" i="9"/>
  <c r="H1547" i="9"/>
  <c r="N1155" i="9"/>
  <c r="L1302" i="9"/>
  <c r="M861" i="9"/>
  <c r="O468" i="9"/>
  <c r="R1106" i="9"/>
  <c r="P1498" i="9"/>
  <c r="M1351" i="9"/>
  <c r="P418" i="9"/>
  <c r="G861" i="9"/>
  <c r="Q763" i="9"/>
  <c r="Q468" i="9"/>
  <c r="K959" i="9"/>
  <c r="H1449" i="9"/>
  <c r="O959" i="9"/>
  <c r="M1253" i="9"/>
  <c r="N567" i="9"/>
  <c r="G1449" i="9"/>
  <c r="H318" i="9"/>
  <c r="H1400" i="9"/>
  <c r="L468" i="9"/>
  <c r="Q1351" i="9"/>
  <c r="Q959" i="9"/>
  <c r="K1106" i="9"/>
  <c r="M1498" i="9"/>
  <c r="M812" i="9"/>
  <c r="G1106" i="9"/>
  <c r="J1400" i="9"/>
  <c r="G368" i="9"/>
  <c r="N714" i="9"/>
  <c r="K518" i="9"/>
  <c r="P1302" i="9"/>
  <c r="N318" i="9"/>
  <c r="I368" i="9"/>
  <c r="Q518" i="9"/>
  <c r="N1204" i="9"/>
  <c r="N812" i="9"/>
  <c r="K1400" i="9"/>
  <c r="P1400" i="9"/>
  <c r="I1204" i="9"/>
  <c r="L1449" i="9"/>
  <c r="L1498" i="9"/>
  <c r="P616" i="9"/>
  <c r="R567" i="9"/>
  <c r="J1253" i="9"/>
  <c r="I812" i="9"/>
  <c r="Q1106" i="9"/>
  <c r="K763" i="9"/>
  <c r="J1351" i="9"/>
  <c r="M959" i="9"/>
  <c r="L959" i="9"/>
  <c r="G812" i="9"/>
  <c r="H665" i="9"/>
  <c r="R1057" i="9"/>
  <c r="P1204" i="9"/>
  <c r="O1057" i="9"/>
  <c r="K1351" i="9"/>
  <c r="J861" i="9"/>
  <c r="H468" i="9"/>
  <c r="O518" i="9"/>
  <c r="M1449" i="9"/>
  <c r="Q665" i="9"/>
  <c r="R665" i="9"/>
  <c r="R1204" i="9"/>
  <c r="L368" i="9"/>
  <c r="P1547" i="9"/>
  <c r="R1449" i="9"/>
  <c r="O1498" i="9"/>
  <c r="I665" i="9"/>
  <c r="H518" i="9"/>
  <c r="N518" i="9"/>
  <c r="P1008" i="9"/>
  <c r="R418" i="9"/>
  <c r="P861" i="9"/>
  <c r="O861" i="9"/>
  <c r="G468" i="9"/>
  <c r="O1547" i="9"/>
  <c r="M1008" i="9"/>
  <c r="J1008" i="9"/>
  <c r="N861" i="9"/>
  <c r="K714" i="9"/>
  <c r="Q1302" i="9"/>
  <c r="H368" i="9"/>
  <c r="I763" i="9"/>
  <c r="R1253" i="9"/>
  <c r="I518" i="9"/>
  <c r="Q1008" i="9"/>
  <c r="P1155" i="9"/>
  <c r="I1106" i="9"/>
  <c r="P665" i="9"/>
  <c r="J518" i="9"/>
  <c r="M1400" i="9"/>
  <c r="I1400" i="9"/>
  <c r="R318" i="9"/>
  <c r="M763" i="9"/>
  <c r="J714" i="9"/>
  <c r="L567" i="9"/>
  <c r="R518" i="9"/>
  <c r="K861" i="9"/>
  <c r="O665" i="9"/>
  <c r="L812" i="9"/>
  <c r="P959" i="9"/>
  <c r="N1449" i="9"/>
  <c r="G665" i="9"/>
  <c r="G1400" i="9"/>
  <c r="M468" i="9"/>
  <c r="N1057" i="9"/>
  <c r="N763" i="9"/>
  <c r="M910" i="9"/>
  <c r="Q1498" i="9"/>
  <c r="O1253" i="9"/>
  <c r="H567" i="9"/>
  <c r="I1057" i="9"/>
  <c r="O1204" i="9"/>
  <c r="N368" i="9"/>
  <c r="H1498" i="9"/>
  <c r="I1253" i="9"/>
  <c r="J1057" i="9"/>
  <c r="AA179" i="1"/>
  <c r="O179" i="8" s="1"/>
  <c r="O169" i="8"/>
  <c r="Z179" i="1"/>
  <c r="N179" i="8" s="1"/>
  <c r="N169" i="8"/>
  <c r="L463" i="9"/>
  <c r="J463" i="9"/>
  <c r="L1345" i="9"/>
  <c r="R1154" i="9"/>
  <c r="AF1296" i="9"/>
  <c r="AF634" i="9"/>
  <c r="AF1472" i="9"/>
  <c r="M315" i="9"/>
  <c r="R1350" i="9"/>
  <c r="M548" i="9"/>
  <c r="AF582" i="9"/>
  <c r="K323" i="9"/>
  <c r="O572" i="9"/>
  <c r="J859" i="9"/>
  <c r="I323" i="9"/>
  <c r="J1087" i="9"/>
  <c r="Q320" i="9"/>
  <c r="R682" i="9"/>
  <c r="Q1247" i="9"/>
  <c r="M658" i="9"/>
  <c r="R569" i="9"/>
  <c r="M676" i="9"/>
  <c r="AF417" i="9"/>
  <c r="Q438" i="9"/>
  <c r="AC438" i="9" s="1"/>
  <c r="J817" i="9"/>
  <c r="H385" i="9"/>
  <c r="M597" i="9"/>
  <c r="J695" i="9"/>
  <c r="K646" i="9"/>
  <c r="H624" i="9"/>
  <c r="J710" i="9"/>
  <c r="H520" i="9"/>
  <c r="G682" i="9"/>
  <c r="I546" i="9"/>
  <c r="I1283" i="9"/>
  <c r="L618" i="9"/>
  <c r="G1463" i="9"/>
  <c r="R614" i="9"/>
  <c r="AF1311" i="9"/>
  <c r="G389" i="9"/>
  <c r="N859" i="9"/>
  <c r="M1203" i="9"/>
  <c r="G1010" i="9"/>
  <c r="Q594" i="9"/>
  <c r="G312" i="9"/>
  <c r="P423" i="9"/>
  <c r="J520" i="9"/>
  <c r="O1010" i="9"/>
  <c r="R809" i="9"/>
  <c r="L523" i="9"/>
  <c r="AF1494" i="9"/>
  <c r="M388" i="9"/>
  <c r="Y388" i="9" s="1"/>
  <c r="J1515" i="9"/>
  <c r="G757" i="9"/>
  <c r="O529" i="9"/>
  <c r="N1175" i="9"/>
  <c r="Z1175" i="9" s="1"/>
  <c r="L488" i="9"/>
  <c r="X488" i="9" s="1"/>
  <c r="AF791" i="9"/>
  <c r="K1232" i="9"/>
  <c r="Q565" i="9"/>
  <c r="R420" i="9"/>
  <c r="K517" i="9"/>
  <c r="L348" i="9"/>
  <c r="I1561" i="9"/>
  <c r="O685" i="9"/>
  <c r="AA685" i="9" s="1"/>
  <c r="H420" i="9"/>
  <c r="K1007" i="9"/>
  <c r="R663" i="9"/>
  <c r="O768" i="9"/>
  <c r="L937" i="9"/>
  <c r="O1133" i="9"/>
  <c r="J595" i="9"/>
  <c r="J439" i="9"/>
  <c r="I581" i="9"/>
  <c r="H1035" i="9"/>
  <c r="H423" i="9"/>
  <c r="G1133" i="9"/>
  <c r="L541" i="9"/>
  <c r="R644" i="9"/>
  <c r="G662" i="9"/>
  <c r="L728" i="9"/>
  <c r="N439" i="9"/>
  <c r="M516" i="9"/>
  <c r="O695" i="9"/>
  <c r="N708" i="9"/>
  <c r="Q1201" i="9"/>
  <c r="G791" i="9"/>
  <c r="M826" i="9"/>
  <c r="N463" i="9"/>
  <c r="Q875" i="9"/>
  <c r="H1270" i="9"/>
  <c r="K765" i="9"/>
  <c r="J345" i="9"/>
  <c r="N806" i="9"/>
  <c r="R1348" i="9"/>
  <c r="M866" i="9"/>
  <c r="Q1055" i="9"/>
  <c r="I441" i="9"/>
  <c r="I426" i="9"/>
  <c r="K312" i="9"/>
  <c r="AF1316" i="9"/>
  <c r="J566" i="9"/>
  <c r="J891" i="9"/>
  <c r="L1227" i="9"/>
  <c r="N833" i="9"/>
  <c r="M1542" i="9"/>
  <c r="Q581" i="9"/>
  <c r="G1541" i="9"/>
  <c r="G1185" i="9"/>
  <c r="I1368" i="9"/>
  <c r="Q1261" i="9"/>
  <c r="M1528" i="9"/>
  <c r="L987" i="9"/>
  <c r="N1252" i="9"/>
  <c r="AF526" i="9"/>
  <c r="N1398" i="9"/>
  <c r="M482" i="9"/>
  <c r="H1319" i="9"/>
  <c r="K1347" i="9"/>
  <c r="AF1299" i="9"/>
  <c r="O1273" i="9"/>
  <c r="AA1273" i="9" s="1"/>
  <c r="H1512" i="9"/>
  <c r="I1249" i="9"/>
  <c r="M1129" i="9"/>
  <c r="L1447" i="9"/>
  <c r="AF1541" i="9"/>
  <c r="G1528" i="9"/>
  <c r="AF594" i="9"/>
  <c r="K1346" i="9"/>
  <c r="AF670" i="9"/>
  <c r="K1497" i="9"/>
  <c r="AF1256" i="9"/>
  <c r="L1454" i="9"/>
  <c r="L1479" i="9"/>
  <c r="I317" i="9"/>
  <c r="L1495" i="9"/>
  <c r="O1545" i="9"/>
  <c r="K439" i="9"/>
  <c r="L611" i="9"/>
  <c r="L1298" i="9"/>
  <c r="L563" i="9"/>
  <c r="AF1397" i="9"/>
  <c r="I1120" i="9"/>
  <c r="AF1555" i="9"/>
  <c r="P958" i="9"/>
  <c r="M564" i="9"/>
  <c r="O1457" i="9"/>
  <c r="AF775" i="9"/>
  <c r="O1542" i="9"/>
  <c r="J317" i="9"/>
  <c r="O1234" i="9"/>
  <c r="N1077" i="9"/>
  <c r="Z1077" i="9" s="1"/>
  <c r="G1232" i="9"/>
  <c r="P1074" i="9"/>
  <c r="J1575" i="9"/>
  <c r="P1274" i="9"/>
  <c r="R1344" i="9"/>
  <c r="S1344" i="9" s="1"/>
  <c r="AF436" i="9"/>
  <c r="K1323" i="9"/>
  <c r="G517" i="9"/>
  <c r="J1503" i="9"/>
  <c r="R362" i="9"/>
  <c r="Q1267" i="9"/>
  <c r="P1368" i="9"/>
  <c r="Q1299" i="9"/>
  <c r="AF1496" i="9"/>
  <c r="O805" i="9"/>
  <c r="P1552" i="9"/>
  <c r="AF1264" i="9"/>
  <c r="O1543" i="9"/>
  <c r="I1574" i="9"/>
  <c r="N388" i="9"/>
  <c r="Z388" i="9" s="1"/>
  <c r="G1555" i="9"/>
  <c r="K1368" i="9"/>
  <c r="I839" i="9"/>
  <c r="O566" i="9"/>
  <c r="K1218" i="9"/>
  <c r="J953" i="9"/>
  <c r="J854" i="9"/>
  <c r="I609" i="9"/>
  <c r="G805" i="9"/>
  <c r="N734" i="9"/>
  <c r="Z734" i="9" s="1"/>
  <c r="O881" i="9"/>
  <c r="AA881" i="9" s="1"/>
  <c r="I633" i="9"/>
  <c r="I663" i="9"/>
  <c r="AF1222" i="9"/>
  <c r="K532" i="9"/>
  <c r="O786" i="9"/>
  <c r="P805" i="9"/>
  <c r="M774" i="9"/>
  <c r="J811" i="9"/>
  <c r="K1197" i="9"/>
  <c r="P814" i="9"/>
  <c r="H832" i="9"/>
  <c r="T832" i="9" s="1"/>
  <c r="I664" i="9"/>
  <c r="I1298" i="9"/>
  <c r="J526" i="9"/>
  <c r="K957" i="9"/>
  <c r="L806" i="9"/>
  <c r="J438" i="9"/>
  <c r="V438" i="9" s="1"/>
  <c r="K584" i="9"/>
  <c r="O1053" i="9"/>
  <c r="Q489" i="9"/>
  <c r="G412" i="9"/>
  <c r="I513" i="9"/>
  <c r="K639" i="9"/>
  <c r="I980" i="9"/>
  <c r="O1153" i="9"/>
  <c r="M563" i="9"/>
  <c r="P316" i="9"/>
  <c r="AF1379" i="9"/>
  <c r="M361" i="9"/>
  <c r="O464" i="9"/>
  <c r="AF1409" i="9"/>
  <c r="P673" i="9"/>
  <c r="AF1218" i="9"/>
  <c r="H565" i="9"/>
  <c r="G426" i="9"/>
  <c r="P323" i="9"/>
  <c r="O662" i="9"/>
  <c r="G958" i="9"/>
  <c r="Q417" i="9"/>
  <c r="J673" i="9"/>
  <c r="O1225" i="9"/>
  <c r="N541" i="9"/>
  <c r="AF1565" i="9"/>
  <c r="N633" i="9"/>
  <c r="AF879" i="9"/>
  <c r="J326" i="9"/>
  <c r="I1004" i="9"/>
  <c r="L758" i="9"/>
  <c r="N488" i="9"/>
  <c r="Z488" i="9" s="1"/>
  <c r="M1178" i="9"/>
  <c r="J363" i="9"/>
  <c r="O961" i="9"/>
  <c r="Q562" i="9"/>
  <c r="N673" i="9"/>
  <c r="O391" i="9"/>
  <c r="H587" i="9"/>
  <c r="T587" i="9" s="1"/>
  <c r="N1183" i="9"/>
  <c r="K464" i="9"/>
  <c r="G982" i="9"/>
  <c r="Q639" i="9"/>
  <c r="J1114" i="9"/>
  <c r="G1175" i="9"/>
  <c r="S1175" i="9" s="1"/>
  <c r="Q1035" i="9"/>
  <c r="H761" i="9"/>
  <c r="H1022" i="9"/>
  <c r="I771" i="9"/>
  <c r="M1247" i="9"/>
  <c r="N805" i="9"/>
  <c r="M569" i="9"/>
  <c r="O514" i="9"/>
  <c r="R709" i="9"/>
  <c r="N1053" i="9"/>
  <c r="N464" i="9"/>
  <c r="G857" i="9"/>
  <c r="AF919" i="9"/>
  <c r="G466" i="9"/>
  <c r="Q964" i="9"/>
  <c r="N348" i="9"/>
  <c r="L312" i="9"/>
  <c r="O1541" i="9"/>
  <c r="M1549" i="9"/>
  <c r="N523" i="9"/>
  <c r="N1570" i="9"/>
  <c r="O1427" i="9"/>
  <c r="J1430" i="9"/>
  <c r="N1111" i="9"/>
  <c r="I346" i="9"/>
  <c r="N866" i="9"/>
  <c r="H365" i="9"/>
  <c r="O1526" i="9"/>
  <c r="Q809" i="9"/>
  <c r="P1202" i="9"/>
  <c r="G311" i="9"/>
  <c r="M1515" i="9"/>
  <c r="O1428" i="9"/>
  <c r="I1274" i="9"/>
  <c r="AF713" i="9"/>
  <c r="H1123" i="9"/>
  <c r="K1457" i="9"/>
  <c r="AF662" i="9"/>
  <c r="J1350" i="9"/>
  <c r="R1417" i="9"/>
  <c r="G1545" i="9"/>
  <c r="L1381" i="9"/>
  <c r="P1200" i="9"/>
  <c r="R1035" i="9"/>
  <c r="P1509" i="9"/>
  <c r="P1546" i="9"/>
  <c r="K1295" i="9"/>
  <c r="AF414" i="9"/>
  <c r="I667" i="9"/>
  <c r="AF1394" i="9"/>
  <c r="N1151" i="9"/>
  <c r="K1521" i="9"/>
  <c r="I1411" i="9"/>
  <c r="AF492" i="9"/>
  <c r="AF1071" i="9"/>
  <c r="AF311" i="9"/>
  <c r="H1050" i="9"/>
  <c r="AF513" i="9"/>
  <c r="O1281" i="9"/>
  <c r="N1231" i="9"/>
  <c r="AF595" i="9"/>
  <c r="R1414" i="9"/>
  <c r="P1397" i="9"/>
  <c r="AF1424" i="9"/>
  <c r="O1325" i="9"/>
  <c r="P1497" i="9"/>
  <c r="K1470" i="9"/>
  <c r="R1172" i="9"/>
  <c r="R1173" i="9" s="1"/>
  <c r="AD1173" i="9" s="1"/>
  <c r="N1368" i="9"/>
  <c r="P1515" i="9"/>
  <c r="P1329" i="9"/>
  <c r="L1405" i="9"/>
  <c r="L1224" i="9"/>
  <c r="X1224" i="9" s="1"/>
  <c r="AF1545" i="9"/>
  <c r="L1206" i="9"/>
  <c r="AF610" i="9"/>
  <c r="J1451" i="9"/>
  <c r="N1448" i="9"/>
  <c r="Q1477" i="9"/>
  <c r="N482" i="9"/>
  <c r="AF918" i="9"/>
  <c r="P1221" i="9"/>
  <c r="J1423" i="9"/>
  <c r="AF1267" i="9"/>
  <c r="P927" i="9"/>
  <c r="H1549" i="9"/>
  <c r="AF615" i="9"/>
  <c r="G1411" i="9"/>
  <c r="AF1398" i="9"/>
  <c r="M341" i="9"/>
  <c r="H341" i="9"/>
  <c r="AF1297" i="9"/>
  <c r="L760" i="9"/>
  <c r="L538" i="9"/>
  <c r="X538" i="9" s="1"/>
  <c r="L1010" i="9"/>
  <c r="P326" i="9"/>
  <c r="Q859" i="9"/>
  <c r="P311" i="9"/>
  <c r="P548" i="9"/>
  <c r="Q1215" i="9"/>
  <c r="P661" i="9"/>
  <c r="K476" i="9"/>
  <c r="K842" i="9"/>
  <c r="P693" i="9"/>
  <c r="R613" i="9"/>
  <c r="K1050" i="9"/>
  <c r="L385" i="9"/>
  <c r="K905" i="9"/>
  <c r="L940" i="9"/>
  <c r="K564" i="9"/>
  <c r="H515" i="9"/>
  <c r="K1087" i="9"/>
  <c r="N793" i="9"/>
  <c r="Q512" i="9"/>
  <c r="G1346" i="9"/>
  <c r="O1528" i="9"/>
  <c r="P379" i="9"/>
  <c r="K806" i="9"/>
  <c r="P438" i="9"/>
  <c r="AB438" i="9" s="1"/>
  <c r="O416" i="9"/>
  <c r="J420" i="9"/>
  <c r="AF1513" i="9"/>
  <c r="AF958" i="9"/>
  <c r="G927" i="9"/>
  <c r="R924" i="9"/>
  <c r="N389" i="9"/>
  <c r="AF921" i="9"/>
  <c r="M382" i="9"/>
  <c r="P611" i="9"/>
  <c r="L1310" i="9"/>
  <c r="N761" i="9"/>
  <c r="G572" i="9"/>
  <c r="M610" i="9"/>
  <c r="K621" i="9"/>
  <c r="P1102" i="9"/>
  <c r="AF912" i="9"/>
  <c r="R520" i="9"/>
  <c r="I693" i="9"/>
  <c r="K970" i="9"/>
  <c r="R488" i="9"/>
  <c r="AD488" i="9" s="1"/>
  <c r="G869" i="9"/>
  <c r="O725" i="9"/>
  <c r="N1117" i="9"/>
  <c r="L783" i="9"/>
  <c r="X783" i="9" s="1"/>
  <c r="AF1428" i="9"/>
  <c r="M345" i="9"/>
  <c r="O412" i="9"/>
  <c r="Q712" i="9"/>
  <c r="AF1017" i="9"/>
  <c r="Q1062" i="9"/>
  <c r="N808" i="9"/>
  <c r="H662" i="9"/>
  <c r="H809" i="9"/>
  <c r="M541" i="9"/>
  <c r="O937" i="9"/>
  <c r="Q957" i="9"/>
  <c r="P1151" i="9"/>
  <c r="P1350" i="9"/>
  <c r="AF1115" i="9"/>
  <c r="R515" i="9"/>
  <c r="R566" i="9"/>
  <c r="M716" i="9"/>
  <c r="O810" i="9"/>
  <c r="AF1006" i="9"/>
  <c r="M546" i="9"/>
  <c r="J532" i="9"/>
  <c r="AF729" i="9"/>
  <c r="O326" i="9"/>
  <c r="H1519" i="9"/>
  <c r="O707" i="9"/>
  <c r="Q1103" i="9"/>
  <c r="H692" i="9"/>
  <c r="J572" i="9"/>
  <c r="N332" i="9"/>
  <c r="J712" i="9"/>
  <c r="L382" i="9"/>
  <c r="K512" i="9"/>
  <c r="G315" i="9"/>
  <c r="AF1353" i="9"/>
  <c r="N1299" i="9"/>
  <c r="H1518" i="9"/>
  <c r="T1518" i="9" s="1"/>
  <c r="G1549" i="9"/>
  <c r="G317" i="9"/>
  <c r="AF1457" i="9"/>
  <c r="K1371" i="9"/>
  <c r="W1371" i="9" s="1"/>
  <c r="N973" i="9"/>
  <c r="N1460" i="9"/>
  <c r="O869" i="9"/>
  <c r="AF965" i="9"/>
  <c r="N1359" i="9"/>
  <c r="O863" i="9"/>
  <c r="O1274" i="9"/>
  <c r="K1154" i="9"/>
  <c r="R1396" i="9"/>
  <c r="I545" i="9"/>
  <c r="J445" i="9"/>
  <c r="O1270" i="9"/>
  <c r="AF866" i="9"/>
  <c r="Q1120" i="9"/>
  <c r="H1157" i="9"/>
  <c r="R1411" i="9"/>
  <c r="AF807" i="9"/>
  <c r="G1512" i="9"/>
  <c r="P1525" i="9"/>
  <c r="L1442" i="9"/>
  <c r="I1494" i="9"/>
  <c r="H1405" i="9"/>
  <c r="M1249" i="9"/>
  <c r="J1567" i="9"/>
  <c r="V1567" i="9" s="1"/>
  <c r="O1491" i="9"/>
  <c r="O744" i="9"/>
  <c r="AF461" i="9"/>
  <c r="J1359" i="9"/>
  <c r="AF342" i="9"/>
  <c r="R1575" i="9"/>
  <c r="J1428" i="9"/>
  <c r="G1157" i="9"/>
  <c r="K1491" i="9"/>
  <c r="AF524" i="9"/>
  <c r="R1493" i="9"/>
  <c r="K1307" i="9"/>
  <c r="H1274" i="9"/>
  <c r="N1250" i="9"/>
  <c r="N413" i="9"/>
  <c r="P1007" i="9"/>
  <c r="AF445" i="9"/>
  <c r="AF840" i="9"/>
  <c r="AF1051" i="9"/>
  <c r="AF464" i="9"/>
  <c r="K1541" i="9"/>
  <c r="J1261" i="9"/>
  <c r="AF878" i="9"/>
  <c r="P1577" i="9"/>
  <c r="J339" i="9"/>
  <c r="AF512" i="9"/>
  <c r="R1071" i="9"/>
  <c r="N1218" i="9"/>
  <c r="L1349" i="9"/>
  <c r="Q1555" i="9"/>
  <c r="H1395" i="9"/>
  <c r="Q1411" i="9"/>
  <c r="P1378" i="9"/>
  <c r="K1405" i="9"/>
  <c r="N1402" i="9"/>
  <c r="O345" i="9"/>
  <c r="J952" i="9"/>
  <c r="AF1464" i="9"/>
  <c r="J498" i="9"/>
  <c r="P432" i="9"/>
  <c r="AF1522" i="9"/>
  <c r="I529" i="9"/>
  <c r="G1261" i="9"/>
  <c r="H1470" i="9"/>
  <c r="H379" i="9"/>
  <c r="Q1005" i="9"/>
  <c r="Q379" i="9"/>
  <c r="M1036" i="9"/>
  <c r="O395" i="9"/>
  <c r="H1074" i="9"/>
  <c r="Q312" i="9"/>
  <c r="J1280" i="9"/>
  <c r="K489" i="9"/>
  <c r="M613" i="9"/>
  <c r="L933" i="9"/>
  <c r="I1221" i="9"/>
  <c r="Q686" i="9"/>
  <c r="AF609" i="9"/>
  <c r="P391" i="9"/>
  <c r="M470" i="9"/>
  <c r="L888" i="9"/>
  <c r="N426" i="9"/>
  <c r="Q1182" i="9"/>
  <c r="Q435" i="9"/>
  <c r="Q436" i="9" s="1"/>
  <c r="AC436" i="9" s="1"/>
  <c r="AF421" i="9"/>
  <c r="P365" i="9"/>
  <c r="M907" i="9"/>
  <c r="P513" i="9"/>
  <c r="I768" i="9"/>
  <c r="AF429" i="9"/>
  <c r="M1443" i="9"/>
  <c r="P526" i="9"/>
  <c r="I361" i="9"/>
  <c r="J587" i="9"/>
  <c r="V587" i="9" s="1"/>
  <c r="P709" i="9"/>
  <c r="O467" i="9"/>
  <c r="Q415" i="9"/>
  <c r="M565" i="9"/>
  <c r="H581" i="9"/>
  <c r="AF1320" i="9"/>
  <c r="N663" i="9"/>
  <c r="Q395" i="9"/>
  <c r="P545" i="9"/>
  <c r="I565" i="9"/>
  <c r="N548" i="9"/>
  <c r="G1074" i="9"/>
  <c r="P784" i="9"/>
  <c r="K643" i="9"/>
  <c r="R1526" i="9"/>
  <c r="N1148" i="9"/>
  <c r="K488" i="9"/>
  <c r="W488" i="9" s="1"/>
  <c r="L1123" i="9"/>
  <c r="G566" i="9"/>
  <c r="H465" i="9"/>
  <c r="M489" i="9"/>
  <c r="N722" i="9"/>
  <c r="K315" i="9"/>
  <c r="Q1445" i="9"/>
  <c r="J924" i="9"/>
  <c r="AF967" i="9"/>
  <c r="Q777" i="9"/>
  <c r="P908" i="9"/>
  <c r="Q346" i="9"/>
  <c r="G712" i="9"/>
  <c r="P446" i="9"/>
  <c r="G667" i="9"/>
  <c r="L1029" i="9"/>
  <c r="K539" i="9"/>
  <c r="L693" i="9"/>
  <c r="P768" i="9"/>
  <c r="L742" i="9"/>
  <c r="O1104" i="9"/>
  <c r="L1540" i="9"/>
  <c r="O1028" i="9"/>
  <c r="AA1028" i="9" s="1"/>
  <c r="I466" i="9"/>
  <c r="P361" i="9"/>
  <c r="P429" i="9"/>
  <c r="H1264" i="9"/>
  <c r="O835" i="9"/>
  <c r="J708" i="9"/>
  <c r="G420" i="9"/>
  <c r="M973" i="9"/>
  <c r="G1307" i="9"/>
  <c r="L412" i="9"/>
  <c r="R389" i="9"/>
  <c r="Q362" i="9"/>
  <c r="I637" i="9"/>
  <c r="M1022" i="9"/>
  <c r="N735" i="9"/>
  <c r="H777" i="9"/>
  <c r="G1212" i="9"/>
  <c r="K363" i="9"/>
  <c r="O905" i="9"/>
  <c r="M976" i="9"/>
  <c r="R863" i="9"/>
  <c r="AF1553" i="9"/>
  <c r="Q1405" i="9"/>
  <c r="Q1515" i="9"/>
  <c r="P1446" i="9"/>
  <c r="Q1428" i="9"/>
  <c r="AF361" i="9"/>
  <c r="H1071" i="9"/>
  <c r="K931" i="9"/>
  <c r="P1472" i="9"/>
  <c r="G1430" i="9"/>
  <c r="J1316" i="9"/>
  <c r="J1348" i="9"/>
  <c r="L1212" i="9"/>
  <c r="P1225" i="9"/>
  <c r="R1512" i="9"/>
  <c r="Q1574" i="9"/>
  <c r="K1472" i="9"/>
  <c r="G1570" i="9"/>
  <c r="M1368" i="9"/>
  <c r="AF668" i="9"/>
  <c r="AF1231" i="9"/>
  <c r="J1405" i="9"/>
  <c r="L1470" i="9"/>
  <c r="N1408" i="9"/>
  <c r="G1466" i="9"/>
  <c r="Q756" i="9"/>
  <c r="I1258" i="9"/>
  <c r="L479" i="9"/>
  <c r="AF423" i="9"/>
  <c r="K1564" i="9"/>
  <c r="G882" i="9"/>
  <c r="O1472" i="9"/>
  <c r="G1221" i="9"/>
  <c r="G1378" i="9"/>
  <c r="H1476" i="9"/>
  <c r="O1218" i="9"/>
  <c r="I1329" i="9"/>
  <c r="L587" i="9"/>
  <c r="X587" i="9" s="1"/>
  <c r="AF570" i="9"/>
  <c r="I1575" i="9"/>
  <c r="O1575" i="9"/>
  <c r="N1451" i="9"/>
  <c r="Q1298" i="9"/>
  <c r="O339" i="9"/>
  <c r="L1521" i="9"/>
  <c r="AF420" i="9"/>
  <c r="M1316" i="9"/>
  <c r="H1528" i="9"/>
  <c r="N1346" i="9"/>
  <c r="AF1247" i="9"/>
  <c r="G1203" i="9"/>
  <c r="Q1249" i="9"/>
  <c r="Q970" i="9"/>
  <c r="G1258" i="9"/>
  <c r="O488" i="9"/>
  <c r="AA488" i="9" s="1"/>
  <c r="M1261" i="9"/>
  <c r="AF386" i="9"/>
  <c r="I1344" i="9"/>
  <c r="AF772" i="9"/>
  <c r="K1077" i="9"/>
  <c r="W1077" i="9" s="1"/>
  <c r="AF1259" i="9"/>
  <c r="L1371" i="9"/>
  <c r="X1371" i="9" s="1"/>
  <c r="N931" i="9"/>
  <c r="N1172" i="9"/>
  <c r="AF385" i="9"/>
  <c r="Q1491" i="9"/>
  <c r="Q1495" i="9"/>
  <c r="J1296" i="9"/>
  <c r="AF435" i="9"/>
  <c r="I1353" i="9"/>
  <c r="AF1157" i="9"/>
  <c r="N1543" i="9"/>
  <c r="J1129" i="9"/>
  <c r="AF1258" i="9"/>
  <c r="AF1120" i="9"/>
  <c r="Q529" i="9"/>
  <c r="M1053" i="9"/>
  <c r="H1163" i="9"/>
  <c r="L695" i="9"/>
  <c r="M1013" i="9"/>
  <c r="AF858" i="9"/>
  <c r="R630" i="9"/>
  <c r="O667" i="9"/>
  <c r="O682" i="9"/>
  <c r="L805" i="9"/>
  <c r="I535" i="9"/>
  <c r="M811" i="9"/>
  <c r="N594" i="9"/>
  <c r="AF1420" i="9"/>
  <c r="N614" i="9"/>
  <c r="P1016" i="9"/>
  <c r="I569" i="9"/>
  <c r="L662" i="9"/>
  <c r="AF786" i="9"/>
  <c r="N379" i="9"/>
  <c r="K817" i="9"/>
  <c r="H688" i="9"/>
  <c r="I808" i="9"/>
  <c r="K438" i="9"/>
  <c r="W438" i="9" s="1"/>
  <c r="N930" i="9"/>
  <c r="Z930" i="9" s="1"/>
  <c r="AF575" i="9"/>
  <c r="AF734" i="9"/>
  <c r="AF915" i="9"/>
  <c r="L807" i="9"/>
  <c r="N1500" i="9"/>
  <c r="G560" i="9"/>
  <c r="P1251" i="9"/>
  <c r="Q590" i="9"/>
  <c r="I348" i="9"/>
  <c r="G1004" i="9"/>
  <c r="G332" i="9"/>
  <c r="AF1276" i="9"/>
  <c r="O903" i="9"/>
  <c r="G414" i="9"/>
  <c r="N361" i="9"/>
  <c r="O888" i="9"/>
  <c r="M1444" i="9"/>
  <c r="P565" i="9"/>
  <c r="AF622" i="9"/>
  <c r="I515" i="9"/>
  <c r="N643" i="9"/>
  <c r="AF1403" i="9"/>
  <c r="K742" i="9"/>
  <c r="G520" i="9"/>
  <c r="P467" i="9"/>
  <c r="G615" i="9"/>
  <c r="G907" i="9"/>
  <c r="P395" i="9"/>
  <c r="L578" i="9"/>
  <c r="R379" i="9"/>
  <c r="J659" i="9"/>
  <c r="J435" i="9"/>
  <c r="L1525" i="9"/>
  <c r="Q462" i="9"/>
  <c r="I1022" i="9"/>
  <c r="AF1375" i="9"/>
  <c r="M320" i="9"/>
  <c r="N906" i="9"/>
  <c r="R1038" i="9"/>
  <c r="L1151" i="9"/>
  <c r="H446" i="9"/>
  <c r="M686" i="9"/>
  <c r="J590" i="9"/>
  <c r="J591" i="9" s="1"/>
  <c r="R412" i="9"/>
  <c r="M512" i="9"/>
  <c r="R878" i="9"/>
  <c r="Q624" i="9"/>
  <c r="M1002" i="9"/>
  <c r="Q613" i="9"/>
  <c r="I517" i="9"/>
  <c r="AF1347" i="9"/>
  <c r="L529" i="9"/>
  <c r="AF875" i="9"/>
  <c r="O611" i="9"/>
  <c r="R512" i="9"/>
  <c r="G339" i="9"/>
  <c r="K485" i="9"/>
  <c r="M1029" i="9"/>
  <c r="L517" i="9"/>
  <c r="L542" i="9" s="1"/>
  <c r="Q329" i="9"/>
  <c r="Q614" i="9"/>
  <c r="G441" i="9"/>
  <c r="M979" i="9"/>
  <c r="Y979" i="9" s="1"/>
  <c r="I1503" i="9"/>
  <c r="H485" i="9"/>
  <c r="N1087" i="9"/>
  <c r="H1114" i="9"/>
  <c r="O1329" i="9"/>
  <c r="Q339" i="9"/>
  <c r="L1493" i="9"/>
  <c r="H643" i="9"/>
  <c r="P1176" i="9"/>
  <c r="I1332" i="9"/>
  <c r="J476" i="9"/>
  <c r="N1247" i="9"/>
  <c r="K1393" i="9"/>
  <c r="J1372" i="9"/>
  <c r="K373" i="9"/>
  <c r="G1224" i="9"/>
  <c r="S1224" i="9" s="1"/>
  <c r="AF613" i="9"/>
  <c r="I1123" i="9"/>
  <c r="K1519" i="9"/>
  <c r="J1518" i="9"/>
  <c r="V1518" i="9" s="1"/>
  <c r="H1525" i="9"/>
  <c r="N1347" i="9"/>
  <c r="L1570" i="9"/>
  <c r="I658" i="9"/>
  <c r="I1085" i="9"/>
  <c r="O1448" i="9"/>
  <c r="L1544" i="9"/>
  <c r="M1430" i="9"/>
  <c r="L1476" i="9"/>
  <c r="K1445" i="9"/>
  <c r="K1101" i="9"/>
  <c r="K1114" i="9"/>
  <c r="Q918" i="9"/>
  <c r="K1169" i="9"/>
  <c r="O1408" i="9"/>
  <c r="AF765" i="9"/>
  <c r="L1399" i="9"/>
  <c r="J1477" i="9"/>
  <c r="I1421" i="9"/>
  <c r="N1248" i="9"/>
  <c r="AF1108" i="9"/>
  <c r="AF486" i="9"/>
  <c r="L1316" i="9"/>
  <c r="R1408" i="9"/>
  <c r="L1451" i="9"/>
  <c r="N1300" i="9"/>
  <c r="O1206" i="9"/>
  <c r="N1330" i="9"/>
  <c r="I1448" i="9"/>
  <c r="Q1528" i="9"/>
  <c r="Q1105" i="9"/>
  <c r="M1451" i="9"/>
  <c r="J1552" i="9"/>
  <c r="O1359" i="9"/>
  <c r="R1183" i="9"/>
  <c r="L884" i="9"/>
  <c r="P614" i="9"/>
  <c r="N637" i="9"/>
  <c r="AF523" i="9"/>
  <c r="G688" i="9"/>
  <c r="K859" i="9"/>
  <c r="M413" i="9"/>
  <c r="R860" i="9"/>
  <c r="R462" i="9"/>
  <c r="M637" i="9"/>
  <c r="Q817" i="9"/>
  <c r="I1111" i="9"/>
  <c r="L644" i="9"/>
  <c r="P1304" i="9"/>
  <c r="G758" i="9"/>
  <c r="R964" i="9"/>
  <c r="AF1362" i="9"/>
  <c r="O967" i="9"/>
  <c r="I613" i="9"/>
  <c r="H1304" i="9"/>
  <c r="R511" i="9"/>
  <c r="S511" i="9" s="1"/>
  <c r="H840" i="9"/>
  <c r="AF1542" i="9"/>
  <c r="G1016" i="9"/>
  <c r="G1298" i="9"/>
  <c r="J1466" i="9"/>
  <c r="AF924" i="9"/>
  <c r="H644" i="9"/>
  <c r="L734" i="9"/>
  <c r="X734" i="9" s="1"/>
  <c r="G905" i="9"/>
  <c r="O931" i="9"/>
  <c r="I461" i="9"/>
  <c r="G709" i="9"/>
  <c r="L326" i="9"/>
  <c r="I869" i="9"/>
  <c r="G1071" i="9"/>
  <c r="J473" i="9"/>
  <c r="M663" i="9"/>
  <c r="N485" i="9"/>
  <c r="I888" i="9"/>
  <c r="L688" i="9"/>
  <c r="G780" i="9"/>
  <c r="J441" i="9"/>
  <c r="J346" i="9"/>
  <c r="H479" i="9"/>
  <c r="J633" i="9"/>
  <c r="M438" i="9"/>
  <c r="Y438" i="9" s="1"/>
  <c r="M722" i="9"/>
  <c r="AF1213" i="9"/>
  <c r="K395" i="9"/>
  <c r="P417" i="9"/>
  <c r="P424" i="9" s="1"/>
  <c r="AB424" i="9" s="1"/>
  <c r="R535" i="9"/>
  <c r="Q595" i="9"/>
  <c r="AF1271" i="9"/>
  <c r="I863" i="9"/>
  <c r="AF815" i="9"/>
  <c r="K814" i="9"/>
  <c r="Q413" i="9"/>
  <c r="J511" i="9"/>
  <c r="I615" i="9"/>
  <c r="AF316" i="9"/>
  <c r="N664" i="9"/>
  <c r="R348" i="9"/>
  <c r="M904" i="9"/>
  <c r="I927" i="9"/>
  <c r="N1068" i="9"/>
  <c r="K388" i="9"/>
  <c r="W388" i="9" s="1"/>
  <c r="K1203" i="9"/>
  <c r="J348" i="9"/>
  <c r="AF1028" i="9"/>
  <c r="L906" i="9"/>
  <c r="Q315" i="9"/>
  <c r="R366" i="9"/>
  <c r="G1002" i="9"/>
  <c r="H907" i="9"/>
  <c r="H348" i="9"/>
  <c r="J636" i="9"/>
  <c r="V636" i="9" s="1"/>
  <c r="I445" i="9"/>
  <c r="O823" i="9"/>
  <c r="L446" i="9"/>
  <c r="K741" i="9"/>
  <c r="N1255" i="9"/>
  <c r="M535" i="9"/>
  <c r="L560" i="9"/>
  <c r="P982" i="9"/>
  <c r="K365" i="9"/>
  <c r="N462" i="9"/>
  <c r="N516" i="9"/>
  <c r="I933" i="9"/>
  <c r="K907" i="9"/>
  <c r="R731" i="9"/>
  <c r="I756" i="9"/>
  <c r="AF1493" i="9"/>
  <c r="J329" i="9"/>
  <c r="R664" i="9"/>
  <c r="G329" i="9"/>
  <c r="J790" i="9"/>
  <c r="I1463" i="9"/>
  <c r="J1561" i="9"/>
  <c r="K1016" i="9"/>
  <c r="K1017" i="9" s="1"/>
  <c r="W1017" i="9" s="1"/>
  <c r="Q370" i="9"/>
  <c r="H1509" i="9"/>
  <c r="AF1150" i="9"/>
  <c r="K1423" i="9"/>
  <c r="AF870" i="9"/>
  <c r="J1152" i="9"/>
  <c r="AF955" i="9"/>
  <c r="AF465" i="9"/>
  <c r="AF345" i="9"/>
  <c r="M1518" i="9"/>
  <c r="Y1518" i="9" s="1"/>
  <c r="J961" i="9"/>
  <c r="Q1506" i="9"/>
  <c r="AF1412" i="9"/>
  <c r="K446" i="9"/>
  <c r="L1379" i="9"/>
  <c r="P1445" i="9"/>
  <c r="AF1228" i="9"/>
  <c r="R1281" i="9"/>
  <c r="I1316" i="9"/>
  <c r="AF573" i="9"/>
  <c r="R1078" i="9"/>
  <c r="I1544" i="9"/>
  <c r="K1451" i="9"/>
  <c r="N362" i="9"/>
  <c r="H1442" i="9"/>
  <c r="H1323" i="9"/>
  <c r="K1206" i="9"/>
  <c r="AF756" i="9"/>
  <c r="J395" i="9"/>
  <c r="G1325" i="9"/>
  <c r="O637" i="9"/>
  <c r="I1182" i="9"/>
  <c r="J1307" i="9"/>
  <c r="H396" i="9"/>
  <c r="P1454" i="9"/>
  <c r="N1541" i="9"/>
  <c r="N495" i="9"/>
  <c r="AF530" i="9"/>
  <c r="AF1221" i="9"/>
  <c r="O1496" i="9"/>
  <c r="L1546" i="9"/>
  <c r="R869" i="9"/>
  <c r="H1227" i="9"/>
  <c r="O1399" i="9"/>
  <c r="Q1395" i="9"/>
  <c r="K1344" i="9"/>
  <c r="H1427" i="9"/>
  <c r="N1234" i="9"/>
  <c r="J1457" i="9"/>
  <c r="Q1451" i="9"/>
  <c r="N1108" i="9"/>
  <c r="Q1281" i="9"/>
  <c r="H1545" i="9"/>
  <c r="Q1003" i="9"/>
  <c r="L514" i="9"/>
  <c r="R411" i="9"/>
  <c r="S411" i="9" s="1"/>
  <c r="M1114" i="9"/>
  <c r="H594" i="9"/>
  <c r="H881" i="9"/>
  <c r="T881" i="9" s="1"/>
  <c r="O346" i="9"/>
  <c r="J903" i="9"/>
  <c r="L379" i="9"/>
  <c r="J820" i="9"/>
  <c r="Q673" i="9"/>
  <c r="G587" i="9"/>
  <c r="S587" i="9" s="1"/>
  <c r="I482" i="9"/>
  <c r="P523" i="9"/>
  <c r="N756" i="9"/>
  <c r="J742" i="9"/>
  <c r="R463" i="9"/>
  <c r="Q1316" i="9"/>
  <c r="P826" i="9"/>
  <c r="N613" i="9"/>
  <c r="H621" i="9"/>
  <c r="N391" i="9"/>
  <c r="AF1360" i="9"/>
  <c r="I679" i="9"/>
  <c r="O980" i="9"/>
  <c r="Q930" i="9"/>
  <c r="AC930" i="9" s="1"/>
  <c r="I464" i="9"/>
  <c r="H488" i="9"/>
  <c r="T488" i="9" s="1"/>
  <c r="K382" i="9"/>
  <c r="N1153" i="9"/>
  <c r="O479" i="9"/>
  <c r="AF1393" i="9"/>
  <c r="G633" i="9"/>
  <c r="H810" i="9"/>
  <c r="O470" i="9"/>
  <c r="O471" i="9" s="1"/>
  <c r="AA471" i="9" s="1"/>
  <c r="P1264" i="9"/>
  <c r="K1183" i="9"/>
  <c r="M693" i="9"/>
  <c r="H1330" i="9"/>
  <c r="M479" i="9"/>
  <c r="Q473" i="9"/>
  <c r="G774" i="9"/>
  <c r="J398" i="9"/>
  <c r="AF968" i="9"/>
  <c r="AF314" i="9"/>
  <c r="I496" i="9"/>
  <c r="I961" i="9"/>
  <c r="Q411" i="9"/>
  <c r="P1051" i="9"/>
  <c r="J660" i="9"/>
  <c r="P581" i="9"/>
  <c r="K590" i="9"/>
  <c r="J679" i="9"/>
  <c r="Q709" i="9"/>
  <c r="R1102" i="9"/>
  <c r="G658" i="9"/>
  <c r="M362" i="9"/>
  <c r="H1080" i="9"/>
  <c r="M429" i="9"/>
  <c r="O1102" i="9"/>
  <c r="R432" i="9"/>
  <c r="J367" i="9"/>
  <c r="P312" i="9"/>
  <c r="I734" i="9"/>
  <c r="U734" i="9" s="1"/>
  <c r="L438" i="9"/>
  <c r="X438" i="9" s="1"/>
  <c r="L441" i="9"/>
  <c r="L869" i="9"/>
  <c r="P1029" i="9"/>
  <c r="Q854" i="9"/>
  <c r="Q584" i="9"/>
  <c r="N563" i="9"/>
  <c r="O569" i="9"/>
  <c r="M711" i="9"/>
  <c r="P420" i="9"/>
  <c r="AF869" i="9"/>
  <c r="AF1357" i="9"/>
  <c r="H637" i="9"/>
  <c r="J989" i="9"/>
  <c r="P612" i="9"/>
  <c r="AF1003" i="9"/>
  <c r="I415" i="9"/>
  <c r="R529" i="9"/>
  <c r="Q1053" i="9"/>
  <c r="G382" i="9"/>
  <c r="M679" i="9"/>
  <c r="J1252" i="9"/>
  <c r="P382" i="9"/>
  <c r="R541" i="9"/>
  <c r="G463" i="9"/>
  <c r="R857" i="9"/>
  <c r="AF624" i="9"/>
  <c r="H463" i="9"/>
  <c r="AF1348" i="9"/>
  <c r="K1301" i="9"/>
  <c r="AF564" i="9"/>
  <c r="G1493" i="9"/>
  <c r="AF1175" i="9"/>
  <c r="N1101" i="9"/>
  <c r="AF829" i="9"/>
  <c r="K685" i="9"/>
  <c r="W685" i="9" s="1"/>
  <c r="I1398" i="9"/>
  <c r="R1002" i="9"/>
  <c r="I1493" i="9"/>
  <c r="AF1301" i="9"/>
  <c r="AF1224" i="9"/>
  <c r="G906" i="9"/>
  <c r="R1421" i="9"/>
  <c r="Q1084" i="9"/>
  <c r="I1247" i="9"/>
  <c r="G1451" i="9"/>
  <c r="G1295" i="9"/>
  <c r="AF1050" i="9"/>
  <c r="R1212" i="9"/>
  <c r="O1476" i="9"/>
  <c r="I416" i="9"/>
  <c r="J1329" i="9"/>
  <c r="P1411" i="9"/>
  <c r="AF1212" i="9"/>
  <c r="R1549" i="9"/>
  <c r="J1470" i="9"/>
  <c r="O1347" i="9"/>
  <c r="M1525" i="9"/>
  <c r="O441" i="9"/>
  <c r="L840" i="9"/>
  <c r="AF722" i="9"/>
  <c r="P1555" i="9"/>
  <c r="R1274" i="9"/>
  <c r="AF1104" i="9"/>
  <c r="H1371" i="9"/>
  <c r="T1371" i="9" s="1"/>
  <c r="Q1078" i="9"/>
  <c r="J1521" i="9"/>
  <c r="I365" i="9"/>
  <c r="O513" i="9"/>
  <c r="J1397" i="9"/>
  <c r="AF909" i="9"/>
  <c r="I1570" i="9"/>
  <c r="M1552" i="9"/>
  <c r="H1446" i="9"/>
  <c r="R1503" i="9"/>
  <c r="I367" i="9"/>
  <c r="M1348" i="9"/>
  <c r="N1224" i="9"/>
  <c r="Z1224" i="9" s="1"/>
  <c r="AF977" i="9"/>
  <c r="AF1402" i="9"/>
  <c r="Q1172" i="9"/>
  <c r="J1555" i="9"/>
  <c r="J1379" i="9"/>
  <c r="AF1016" i="9"/>
  <c r="M1224" i="9"/>
  <c r="Y1224" i="9" s="1"/>
  <c r="N1084" i="9"/>
  <c r="AF1216" i="9"/>
  <c r="AF542" i="9"/>
  <c r="I1151" i="9"/>
  <c r="R1198" i="9"/>
  <c r="AF612" i="9"/>
  <c r="AF1013" i="9"/>
  <c r="AF538" i="9"/>
  <c r="R1007" i="9"/>
  <c r="J627" i="9"/>
  <c r="I1372" i="9"/>
  <c r="Q495" i="9"/>
  <c r="AF778" i="9"/>
  <c r="G833" i="9"/>
  <c r="Q937" i="9"/>
  <c r="Q1059" i="9"/>
  <c r="G395" i="9"/>
  <c r="G737" i="9"/>
  <c r="Q535" i="9"/>
  <c r="H728" i="9"/>
  <c r="N476" i="9"/>
  <c r="I618" i="9"/>
  <c r="R661" i="9"/>
  <c r="P489" i="9"/>
  <c r="K466" i="9"/>
  <c r="R1001" i="9"/>
  <c r="S1001" i="9" s="1"/>
  <c r="N385" i="9"/>
  <c r="I396" i="9"/>
  <c r="N1495" i="9"/>
  <c r="P1002" i="9"/>
  <c r="AF1202" i="9"/>
  <c r="AF426" i="9"/>
  <c r="M933" i="9"/>
  <c r="AF362" i="9"/>
  <c r="G564" i="9"/>
  <c r="I532" i="9"/>
  <c r="O338" i="9"/>
  <c r="AA338" i="9" s="1"/>
  <c r="G511" i="9"/>
  <c r="R513" i="9"/>
  <c r="AF1149" i="9"/>
  <c r="R595" i="9"/>
  <c r="G708" i="9"/>
  <c r="M1545" i="9"/>
  <c r="R414" i="9"/>
  <c r="K771" i="9"/>
  <c r="K719" i="9"/>
  <c r="M685" i="9"/>
  <c r="Y685" i="9" s="1"/>
  <c r="R473" i="9"/>
  <c r="M594" i="9"/>
  <c r="AF1495" i="9"/>
  <c r="G735" i="9"/>
  <c r="L513" i="9"/>
  <c r="P1031" i="9"/>
  <c r="O317" i="9"/>
  <c r="AF780" i="9"/>
  <c r="N667" i="9"/>
  <c r="I1025" i="9"/>
  <c r="G526" i="9"/>
  <c r="AF1552" i="9"/>
  <c r="O777" i="9"/>
  <c r="J1078" i="9"/>
  <c r="AF1100" i="9"/>
  <c r="P765" i="9"/>
  <c r="R904" i="9"/>
  <c r="AF480" i="9"/>
  <c r="K587" i="9"/>
  <c r="W587" i="9" s="1"/>
  <c r="J320" i="9"/>
  <c r="J321" i="9" s="1"/>
  <c r="V321" i="9" s="1"/>
  <c r="AF766" i="9"/>
  <c r="N545" i="9"/>
  <c r="N1050" i="9"/>
  <c r="R976" i="9"/>
  <c r="Q316" i="9"/>
  <c r="O793" i="9"/>
  <c r="R833" i="9"/>
  <c r="M313" i="9"/>
  <c r="AF720" i="9"/>
  <c r="L1025" i="9"/>
  <c r="O1123" i="9"/>
  <c r="O523" i="9"/>
  <c r="AF708" i="9"/>
  <c r="K710" i="9"/>
  <c r="AF1461" i="9"/>
  <c r="R741" i="9"/>
  <c r="J412" i="9"/>
  <c r="J791" i="9"/>
  <c r="P514" i="9"/>
  <c r="P869" i="9"/>
  <c r="N414" i="9"/>
  <c r="R1224" i="9"/>
  <c r="AD1224" i="9" s="1"/>
  <c r="O541" i="9"/>
  <c r="J1323" i="9"/>
  <c r="Q986" i="9"/>
  <c r="H414" i="9"/>
  <c r="R987" i="9"/>
  <c r="P973" i="9"/>
  <c r="AF1178" i="9"/>
  <c r="O921" i="9"/>
  <c r="G924" i="9"/>
  <c r="AF438" i="9"/>
  <c r="J741" i="9"/>
  <c r="M1252" i="9"/>
  <c r="J1469" i="9"/>
  <c r="V1469" i="9" s="1"/>
  <c r="O1323" i="9"/>
  <c r="I561" i="9"/>
  <c r="O389" i="9"/>
  <c r="H1494" i="9"/>
  <c r="P980" i="9"/>
  <c r="G1322" i="9"/>
  <c r="S1322" i="9" s="1"/>
  <c r="L1421" i="9"/>
  <c r="H1564" i="9"/>
  <c r="R1136" i="9"/>
  <c r="I1446" i="9"/>
  <c r="N1466" i="9"/>
  <c r="R1463" i="9"/>
  <c r="Q1225" i="9"/>
  <c r="AF427" i="9"/>
  <c r="AF1183" i="9"/>
  <c r="H1378" i="9"/>
  <c r="M485" i="9"/>
  <c r="P1491" i="9"/>
  <c r="Q1371" i="9"/>
  <c r="AC1371" i="9" s="1"/>
  <c r="O1561" i="9"/>
  <c r="J1099" i="9"/>
  <c r="AF680" i="9"/>
  <c r="J1283" i="9"/>
  <c r="H1568" i="9"/>
  <c r="AF1099" i="9"/>
  <c r="Q955" i="9"/>
  <c r="L498" i="9"/>
  <c r="Q1251" i="9"/>
  <c r="Q1129" i="9"/>
  <c r="Q1130" i="9" s="1"/>
  <c r="G439" i="9"/>
  <c r="Q1332" i="9"/>
  <c r="AF979" i="9"/>
  <c r="AF1399" i="9"/>
  <c r="K1247" i="9"/>
  <c r="N446" i="9"/>
  <c r="AF1232" i="9"/>
  <c r="M1519" i="9"/>
  <c r="K1068" i="9"/>
  <c r="O904" i="9"/>
  <c r="AF329" i="9"/>
  <c r="AF432" i="9"/>
  <c r="Q1421" i="9"/>
  <c r="K538" i="9"/>
  <c r="W538" i="9" s="1"/>
  <c r="R1495" i="9"/>
  <c r="AF584" i="9"/>
  <c r="P362" i="9"/>
  <c r="R516" i="9"/>
  <c r="Q1521" i="9"/>
  <c r="M1398" i="9"/>
  <c r="P1423" i="9"/>
  <c r="Q1396" i="9"/>
  <c r="G1172" i="9"/>
  <c r="J517" i="9"/>
  <c r="G734" i="9"/>
  <c r="S734" i="9" s="1"/>
  <c r="P597" i="9"/>
  <c r="R918" i="9"/>
  <c r="G670" i="9"/>
  <c r="O1031" i="9"/>
  <c r="J685" i="9"/>
  <c r="V685" i="9" s="1"/>
  <c r="Q572" i="9"/>
  <c r="P517" i="9"/>
  <c r="N373" i="9"/>
  <c r="O578" i="9"/>
  <c r="G569" i="9"/>
  <c r="G513" i="9"/>
  <c r="Q476" i="9"/>
  <c r="O636" i="9"/>
  <c r="AA636" i="9" s="1"/>
  <c r="O734" i="9"/>
  <c r="AA734" i="9" s="1"/>
  <c r="H1084" i="9"/>
  <c r="N809" i="9"/>
  <c r="H560" i="9"/>
  <c r="N323" i="9"/>
  <c r="Q365" i="9"/>
  <c r="J514" i="9"/>
  <c r="H731" i="9"/>
  <c r="G918" i="9"/>
  <c r="AF1169" i="9"/>
  <c r="L809" i="9"/>
  <c r="P627" i="9"/>
  <c r="H435" i="9"/>
  <c r="G429" i="9"/>
  <c r="H1019" i="9"/>
  <c r="K692" i="9"/>
  <c r="N759" i="9"/>
  <c r="M495" i="9"/>
  <c r="L839" i="9"/>
  <c r="I329" i="9"/>
  <c r="Q597" i="9"/>
  <c r="I624" i="9"/>
  <c r="I625" i="9" s="1"/>
  <c r="U625" i="9" s="1"/>
  <c r="K1134" i="9"/>
  <c r="AF1268" i="9"/>
  <c r="G584" i="9"/>
  <c r="K1035" i="9"/>
  <c r="J933" i="9"/>
  <c r="G316" i="9"/>
  <c r="K1379" i="9"/>
  <c r="L1420" i="9"/>
  <c r="X1420" i="9" s="1"/>
  <c r="AF446" i="9"/>
  <c r="R370" i="9"/>
  <c r="J612" i="9"/>
  <c r="J806" i="9"/>
  <c r="N1307" i="9"/>
  <c r="G840" i="9"/>
  <c r="M379" i="9"/>
  <c r="O708" i="9"/>
  <c r="M786" i="9"/>
  <c r="I644" i="9"/>
  <c r="AF1121" i="9"/>
  <c r="H660" i="9"/>
  <c r="K1149" i="9"/>
  <c r="J581" i="9"/>
  <c r="J582" i="9" s="1"/>
  <c r="V582" i="9" s="1"/>
  <c r="Q1019" i="9"/>
  <c r="G488" i="9"/>
  <c r="S488" i="9" s="1"/>
  <c r="R1209" i="9"/>
  <c r="H725" i="9"/>
  <c r="R667" i="9"/>
  <c r="M520" i="9"/>
  <c r="O938" i="9"/>
  <c r="R735" i="9"/>
  <c r="AF1510" i="9"/>
  <c r="G728" i="9"/>
  <c r="AF836" i="9"/>
  <c r="I1227" i="9"/>
  <c r="L485" i="9"/>
  <c r="G807" i="9"/>
  <c r="J762" i="9"/>
  <c r="R786" i="9"/>
  <c r="M1469" i="9"/>
  <c r="Y1469" i="9" s="1"/>
  <c r="J379" i="9"/>
  <c r="H548" i="9"/>
  <c r="R933" i="9"/>
  <c r="L938" i="9"/>
  <c r="K545" i="9"/>
  <c r="M682" i="9"/>
  <c r="M1004" i="9"/>
  <c r="H597" i="9"/>
  <c r="I1050" i="9"/>
  <c r="J980" i="9"/>
  <c r="AF441" i="9"/>
  <c r="O1101" i="9"/>
  <c r="L768" i="9"/>
  <c r="O411" i="9"/>
  <c r="N961" i="9"/>
  <c r="Q439" i="9"/>
  <c r="G673" i="9"/>
  <c r="H462" i="9"/>
  <c r="N1555" i="9"/>
  <c r="I1491" i="9"/>
  <c r="AF1476" i="9"/>
  <c r="AF483" i="9"/>
  <c r="AF430" i="9"/>
  <c r="H1381" i="9"/>
  <c r="H1466" i="9"/>
  <c r="J1215" i="9"/>
  <c r="K1296" i="9"/>
  <c r="H1423" i="9"/>
  <c r="H1133" i="9"/>
  <c r="R1398" i="9"/>
  <c r="N1378" i="9"/>
  <c r="L1149" i="9"/>
  <c r="AF1109" i="9"/>
  <c r="J1160" i="9"/>
  <c r="H1497" i="9"/>
  <c r="L1574" i="9"/>
  <c r="J1577" i="9"/>
  <c r="O1231" i="9"/>
  <c r="N315" i="9"/>
  <c r="I1541" i="9"/>
  <c r="K1443" i="9"/>
  <c r="O1405" i="9"/>
  <c r="M1270" i="9"/>
  <c r="O1316" i="9"/>
  <c r="H1420" i="9"/>
  <c r="T1420" i="9" s="1"/>
  <c r="Q1509" i="9"/>
  <c r="P1365" i="9"/>
  <c r="AF1414" i="9"/>
  <c r="L1460" i="9"/>
  <c r="L810" i="9"/>
  <c r="M329" i="9"/>
  <c r="R1199" i="9"/>
  <c r="R1494" i="9"/>
  <c r="J1546" i="9"/>
  <c r="P1252" i="9"/>
  <c r="N1442" i="9"/>
  <c r="N1444" i="9"/>
  <c r="L1353" i="9"/>
  <c r="K1544" i="9"/>
  <c r="N1519" i="9"/>
  <c r="AF783" i="9"/>
  <c r="H924" i="9"/>
  <c r="P1267" i="9"/>
  <c r="L1411" i="9"/>
  <c r="I1466" i="9"/>
  <c r="R1371" i="9"/>
  <c r="AD1371" i="9" s="1"/>
  <c r="L1166" i="9"/>
  <c r="L395" i="9"/>
  <c r="Q1322" i="9"/>
  <c r="AC1322" i="9" s="1"/>
  <c r="G1399" i="9"/>
  <c r="AF671" i="9"/>
  <c r="I762" i="9"/>
  <c r="O1393" i="9"/>
  <c r="P986" i="9"/>
  <c r="G516" i="9"/>
  <c r="N989" i="9"/>
  <c r="G707" i="9"/>
  <c r="K938" i="9"/>
  <c r="G1114" i="9"/>
  <c r="L345" i="9"/>
  <c r="M367" i="9"/>
  <c r="G338" i="9"/>
  <c r="S338" i="9" s="1"/>
  <c r="J1084" i="9"/>
  <c r="O1301" i="9"/>
  <c r="O1558" i="9"/>
  <c r="N1405" i="9"/>
  <c r="K379" i="9"/>
  <c r="J722" i="9"/>
  <c r="N728" i="9"/>
  <c r="O1322" i="9"/>
  <c r="AA1322" i="9" s="1"/>
  <c r="O986" i="9"/>
  <c r="G859" i="9"/>
  <c r="G725" i="9"/>
  <c r="M869" i="9"/>
  <c r="L411" i="9"/>
  <c r="I685" i="9"/>
  <c r="U685" i="9" s="1"/>
  <c r="L903" i="9"/>
  <c r="Q587" i="9"/>
  <c r="AC587" i="9" s="1"/>
  <c r="G391" i="9"/>
  <c r="Q423" i="9"/>
  <c r="Q424" i="9" s="1"/>
  <c r="AC424" i="9" s="1"/>
  <c r="AF1575" i="9"/>
  <c r="Q563" i="9"/>
  <c r="H320" i="9"/>
  <c r="J613" i="9"/>
  <c r="R1201" i="9"/>
  <c r="I1029" i="9"/>
  <c r="O365" i="9"/>
  <c r="N869" i="9"/>
  <c r="G1209" i="9"/>
  <c r="N921" i="9"/>
  <c r="M523" i="9"/>
  <c r="Q784" i="9"/>
  <c r="AF1053" i="9"/>
  <c r="R643" i="9"/>
  <c r="I967" i="9"/>
  <c r="H613" i="9"/>
  <c r="M513" i="9"/>
  <c r="O741" i="9"/>
  <c r="L958" i="9"/>
  <c r="M562" i="9"/>
  <c r="P921" i="9"/>
  <c r="M624" i="9"/>
  <c r="N461" i="9"/>
  <c r="AF1329" i="9"/>
  <c r="J1197" i="9"/>
  <c r="I661" i="9"/>
  <c r="AF732" i="9"/>
  <c r="M587" i="9"/>
  <c r="Y587" i="9" s="1"/>
  <c r="M391" i="9"/>
  <c r="K953" i="9"/>
  <c r="M1378" i="9"/>
  <c r="O562" i="9"/>
  <c r="P712" i="9"/>
  <c r="M905" i="9"/>
  <c r="G695" i="9"/>
  <c r="N338" i="9"/>
  <c r="Z338" i="9" s="1"/>
  <c r="L613" i="9"/>
  <c r="H317" i="9"/>
  <c r="O545" i="9"/>
  <c r="L361" i="9"/>
  <c r="G713" i="9"/>
  <c r="L719" i="9"/>
  <c r="R760" i="9"/>
  <c r="N584" i="9"/>
  <c r="J1172" i="9"/>
  <c r="N882" i="9"/>
  <c r="I912" i="9"/>
  <c r="J955" i="9"/>
  <c r="J465" i="9"/>
  <c r="O594" i="9"/>
  <c r="R320" i="9"/>
  <c r="P535" i="9"/>
  <c r="H790" i="9"/>
  <c r="N489" i="9"/>
  <c r="K361" i="9"/>
  <c r="J1497" i="9"/>
  <c r="H367" i="9"/>
  <c r="L448" i="9"/>
  <c r="K858" i="9"/>
  <c r="G448" i="9"/>
  <c r="M370" i="9"/>
  <c r="H686" i="9"/>
  <c r="Q1050" i="9"/>
  <c r="J676" i="9"/>
  <c r="Q1381" i="9"/>
  <c r="H1397" i="9"/>
  <c r="AF741" i="9"/>
  <c r="H1445" i="9"/>
  <c r="N1446" i="9"/>
  <c r="N1267" i="9"/>
  <c r="AF888" i="9"/>
  <c r="L1301" i="9"/>
  <c r="Q1430" i="9"/>
  <c r="L362" i="9"/>
  <c r="K345" i="9"/>
  <c r="AF709" i="9"/>
  <c r="L572" i="9"/>
  <c r="P1564" i="9"/>
  <c r="H511" i="9"/>
  <c r="P1492" i="9"/>
  <c r="H1541" i="9"/>
  <c r="O1250" i="9"/>
  <c r="L1543" i="9"/>
  <c r="N1421" i="9"/>
  <c r="AF614" i="9"/>
  <c r="AF541" i="9"/>
  <c r="I438" i="9"/>
  <c r="U438" i="9" s="1"/>
  <c r="R1084" i="9"/>
  <c r="R1013" i="9"/>
  <c r="M1493" i="9"/>
  <c r="R1457" i="9"/>
  <c r="AF470" i="9"/>
  <c r="M1031" i="9"/>
  <c r="H311" i="9"/>
  <c r="O1546" i="9"/>
  <c r="J361" i="9"/>
  <c r="K1525" i="9"/>
  <c r="G1568" i="9"/>
  <c r="AF370" i="9"/>
  <c r="H1246" i="9"/>
  <c r="O1420" i="9"/>
  <c r="AA1420" i="9" s="1"/>
  <c r="N1447" i="9"/>
  <c r="I636" i="9"/>
  <c r="U636" i="9" s="1"/>
  <c r="M566" i="9"/>
  <c r="N1264" i="9"/>
  <c r="J973" i="9"/>
  <c r="R1402" i="9"/>
  <c r="I1028" i="9"/>
  <c r="U1028" i="9" s="1"/>
  <c r="AF1265" i="9"/>
  <c r="N1319" i="9"/>
  <c r="Q1169" i="9"/>
  <c r="J1273" i="9"/>
  <c r="V1273" i="9" s="1"/>
  <c r="M1460" i="9"/>
  <c r="J1421" i="9"/>
  <c r="I823" i="9"/>
  <c r="AF1035" i="9"/>
  <c r="N1515" i="9"/>
  <c r="R1267" i="9"/>
  <c r="H1414" i="9"/>
  <c r="N1567" i="9"/>
  <c r="Z1567" i="9" s="1"/>
  <c r="I1371" i="9"/>
  <c r="U1371" i="9" s="1"/>
  <c r="G416" i="9"/>
  <c r="Q391" i="9"/>
  <c r="R633" i="9"/>
  <c r="H875" i="9"/>
  <c r="L1120" i="9"/>
  <c r="R496" i="9"/>
  <c r="I903" i="9"/>
  <c r="AF679" i="9"/>
  <c r="L417" i="9"/>
  <c r="L442" i="9" s="1"/>
  <c r="I906" i="9"/>
  <c r="R756" i="9"/>
  <c r="S756" i="9" s="1"/>
  <c r="G320" i="9"/>
  <c r="J731" i="9"/>
  <c r="M1494" i="9"/>
  <c r="O482" i="9"/>
  <c r="O483" i="9" s="1"/>
  <c r="AA483" i="9" s="1"/>
  <c r="Q786" i="9"/>
  <c r="O429" i="9"/>
  <c r="J1496" i="9"/>
  <c r="M575" i="9"/>
  <c r="R441" i="9"/>
  <c r="I398" i="9"/>
  <c r="R955" i="9"/>
  <c r="M888" i="9"/>
  <c r="J315" i="9"/>
  <c r="I793" i="9"/>
  <c r="P314" i="9"/>
  <c r="G467" i="9"/>
  <c r="K835" i="9"/>
  <c r="G1102" i="9"/>
  <c r="H338" i="9"/>
  <c r="T338" i="9" s="1"/>
  <c r="N491" i="9"/>
  <c r="AF335" i="9"/>
  <c r="M446" i="9"/>
  <c r="Q869" i="9"/>
  <c r="K367" i="9"/>
  <c r="AF1250" i="9"/>
  <c r="P561" i="9"/>
  <c r="P396" i="9"/>
  <c r="H805" i="9"/>
  <c r="O361" i="9"/>
  <c r="G817" i="9"/>
  <c r="AF1077" i="9"/>
  <c r="G1153" i="9"/>
  <c r="K426" i="9"/>
  <c r="J464" i="9"/>
  <c r="M860" i="9"/>
  <c r="M1313" i="9"/>
  <c r="M1183" i="9"/>
  <c r="AF885" i="9"/>
  <c r="J365" i="9"/>
  <c r="R548" i="9"/>
  <c r="Q762" i="9"/>
  <c r="J786" i="9"/>
  <c r="AF1319" i="9"/>
  <c r="M791" i="9"/>
  <c r="G693" i="9"/>
  <c r="K630" i="9"/>
  <c r="K758" i="9"/>
  <c r="O313" i="9"/>
  <c r="N686" i="9"/>
  <c r="G470" i="9"/>
  <c r="L614" i="9"/>
  <c r="I735" i="9"/>
  <c r="Q931" i="9"/>
  <c r="AF1065" i="9"/>
  <c r="M595" i="9"/>
  <c r="K918" i="9"/>
  <c r="R757" i="9"/>
  <c r="K595" i="9"/>
  <c r="J912" i="9"/>
  <c r="L762" i="9"/>
  <c r="Q679" i="9"/>
  <c r="N786" i="9"/>
  <c r="M588" i="9"/>
  <c r="N1100" i="9"/>
  <c r="G613" i="9"/>
  <c r="N565" i="9"/>
  <c r="K637" i="9"/>
  <c r="R584" i="9"/>
  <c r="O498" i="9"/>
  <c r="P511" i="9"/>
  <c r="L461" i="9"/>
  <c r="H610" i="9"/>
  <c r="AF982" i="9"/>
  <c r="O1100" i="9"/>
  <c r="R790" i="9"/>
  <c r="P415" i="9"/>
  <c r="I541" i="9"/>
  <c r="R708" i="9"/>
  <c r="G562" i="9"/>
  <c r="I1379" i="9"/>
  <c r="J1463" i="9"/>
  <c r="R1405" i="9"/>
  <c r="Q1500" i="9"/>
  <c r="H1567" i="9"/>
  <c r="T1567" i="9" s="1"/>
  <c r="H569" i="9"/>
  <c r="O1519" i="9"/>
  <c r="AF925" i="9"/>
  <c r="K973" i="9"/>
  <c r="I1543" i="9"/>
  <c r="K832" i="9"/>
  <c r="W832" i="9" s="1"/>
  <c r="AF1525" i="9"/>
  <c r="M1544" i="9"/>
  <c r="O908" i="9"/>
  <c r="H1199" i="9"/>
  <c r="H1251" i="9"/>
  <c r="AF1118" i="9"/>
  <c r="L1477" i="9"/>
  <c r="L1445" i="9"/>
  <c r="AF1445" i="9"/>
  <c r="N1427" i="9"/>
  <c r="I1420" i="9"/>
  <c r="U1420" i="9" s="1"/>
  <c r="M366" i="9"/>
  <c r="R1152" i="9"/>
  <c r="L1247" i="9"/>
  <c r="R1149" i="9"/>
  <c r="P1203" i="9"/>
  <c r="AF710" i="9"/>
  <c r="Q1423" i="9"/>
  <c r="P1231" i="9"/>
  <c r="G1518" i="9"/>
  <c r="S1518" i="9" s="1"/>
  <c r="K495" i="9"/>
  <c r="AF463" i="9"/>
  <c r="I1417" i="9"/>
  <c r="AF659" i="9"/>
  <c r="K1227" i="9"/>
  <c r="J1393" i="9"/>
  <c r="AF336" i="9"/>
  <c r="K1270" i="9"/>
  <c r="Q1420" i="9"/>
  <c r="AC1420" i="9" s="1"/>
  <c r="O465" i="9"/>
  <c r="P1405" i="9"/>
  <c r="L1564" i="9"/>
  <c r="N1558" i="9"/>
  <c r="O817" i="9"/>
  <c r="AF391" i="9"/>
  <c r="O1521" i="9"/>
  <c r="N313" i="9"/>
  <c r="N1206" i="9"/>
  <c r="M1185" i="9"/>
  <c r="O1172" i="9"/>
  <c r="K563" i="9"/>
  <c r="AF933" i="9"/>
  <c r="M395" i="9"/>
  <c r="P621" i="9"/>
  <c r="M420" i="9"/>
  <c r="R1163" i="9"/>
  <c r="J414" i="9"/>
  <c r="M982" i="9"/>
  <c r="K562" i="9"/>
  <c r="J485" i="9"/>
  <c r="G1280" i="9"/>
  <c r="N658" i="9"/>
  <c r="Q615" i="9"/>
  <c r="K491" i="9"/>
  <c r="L820" i="9"/>
  <c r="K1025" i="9"/>
  <c r="Q1154" i="9"/>
  <c r="O1283" i="9"/>
  <c r="N670" i="9"/>
  <c r="N671" i="9" s="1"/>
  <c r="Z671" i="9" s="1"/>
  <c r="H976" i="9"/>
  <c r="K757" i="9"/>
  <c r="R1120" i="9"/>
  <c r="R1121" i="9" s="1"/>
  <c r="AD1121" i="9" s="1"/>
  <c r="P737" i="9"/>
  <c r="G348" i="9"/>
  <c r="R1029" i="9"/>
  <c r="AF560" i="9"/>
  <c r="P662" i="9"/>
  <c r="Q569" i="9"/>
  <c r="O1381" i="9"/>
  <c r="R909" i="9"/>
  <c r="R1052" i="9"/>
  <c r="P1421" i="9"/>
  <c r="J584" i="9"/>
  <c r="J585" i="9" s="1"/>
  <c r="V585" i="9" s="1"/>
  <c r="L445" i="9"/>
  <c r="I364" i="9"/>
  <c r="L414" i="9"/>
  <c r="J1166" i="9"/>
  <c r="AF1153" i="9"/>
  <c r="J855" i="9"/>
  <c r="G376" i="9"/>
  <c r="G646" i="9"/>
  <c r="M670" i="9"/>
  <c r="R686" i="9"/>
  <c r="O856" i="9"/>
  <c r="N1215" i="9"/>
  <c r="J496" i="9"/>
  <c r="L1549" i="9"/>
  <c r="L1550" i="9" s="1"/>
  <c r="X1550" i="9" s="1"/>
  <c r="AF590" i="9"/>
  <c r="L1051" i="9"/>
  <c r="J863" i="9"/>
  <c r="L565" i="9"/>
  <c r="N335" i="9"/>
  <c r="AF382" i="9"/>
  <c r="O385" i="9"/>
  <c r="L952" i="9"/>
  <c r="N774" i="9"/>
  <c r="M581" i="9"/>
  <c r="P760" i="9"/>
  <c r="H523" i="9"/>
  <c r="H415" i="9"/>
  <c r="M491" i="9"/>
  <c r="L780" i="9"/>
  <c r="I1264" i="9"/>
  <c r="P578" i="9"/>
  <c r="R891" i="9"/>
  <c r="K790" i="9"/>
  <c r="J784" i="9"/>
  <c r="O1295" i="9"/>
  <c r="J448" i="9"/>
  <c r="P332" i="9"/>
  <c r="R335" i="9"/>
  <c r="L594" i="9"/>
  <c r="N878" i="9"/>
  <c r="M918" i="9"/>
  <c r="R1300" i="9"/>
  <c r="H878" i="9"/>
  <c r="K679" i="9"/>
  <c r="L546" i="9"/>
  <c r="M1307" i="9"/>
  <c r="O560" i="9"/>
  <c r="J609" i="9"/>
  <c r="Q414" i="9"/>
  <c r="O388" i="9"/>
  <c r="AA388" i="9" s="1"/>
  <c r="H495" i="9"/>
  <c r="L1469" i="9"/>
  <c r="X1469" i="9" s="1"/>
  <c r="O1362" i="9"/>
  <c r="I814" i="9"/>
  <c r="J639" i="9"/>
  <c r="J728" i="9"/>
  <c r="M660" i="9"/>
  <c r="O1055" i="9"/>
  <c r="R1299" i="9"/>
  <c r="I1399" i="9"/>
  <c r="J1491" i="9"/>
  <c r="Q1469" i="9"/>
  <c r="AC1469" i="9" s="1"/>
  <c r="J1148" i="9"/>
  <c r="AF1500" i="9"/>
  <c r="O1202" i="9"/>
  <c r="N891" i="9"/>
  <c r="AF324" i="9"/>
  <c r="M1574" i="9"/>
  <c r="H1283" i="9"/>
  <c r="N1454" i="9"/>
  <c r="I791" i="9"/>
  <c r="P1344" i="9"/>
  <c r="O1374" i="9"/>
  <c r="L1491" i="9"/>
  <c r="R1442" i="9"/>
  <c r="S1442" i="9" s="1"/>
  <c r="N1080" i="9"/>
  <c r="P1402" i="9"/>
  <c r="AF677" i="9"/>
  <c r="M1500" i="9"/>
  <c r="Q1197" i="9"/>
  <c r="G1215" i="9"/>
  <c r="O1443" i="9"/>
  <c r="I1512" i="9"/>
  <c r="I1250" i="9"/>
  <c r="J1251" i="9"/>
  <c r="G875" i="9"/>
  <c r="P335" i="9"/>
  <c r="AF757" i="9"/>
  <c r="AF1182" i="9"/>
  <c r="R329" i="9"/>
  <c r="P1545" i="9"/>
  <c r="AF1549" i="9"/>
  <c r="L1397" i="9"/>
  <c r="AF964" i="9"/>
  <c r="Q1379" i="9"/>
  <c r="I538" i="9"/>
  <c r="U538" i="9" s="1"/>
  <c r="L365" i="9"/>
  <c r="H1454" i="9"/>
  <c r="M1267" i="9"/>
  <c r="Q1330" i="9"/>
  <c r="G860" i="9"/>
  <c r="O1564" i="9"/>
  <c r="AF1277" i="9"/>
  <c r="J1080" i="9"/>
  <c r="AF674" i="9"/>
  <c r="AF663" i="9"/>
  <c r="M1054" i="9"/>
  <c r="P1570" i="9"/>
  <c r="Q1346" i="9"/>
  <c r="P1519" i="9"/>
  <c r="R811" i="9"/>
  <c r="O1494" i="9"/>
  <c r="AF1448" i="9"/>
  <c r="J1077" i="9"/>
  <c r="V1077" i="9" s="1"/>
  <c r="Q1549" i="9"/>
  <c r="AF712" i="9"/>
  <c r="J621" i="9"/>
  <c r="AF1305" i="9"/>
  <c r="AF863" i="9"/>
  <c r="J866" i="9"/>
  <c r="P439" i="9"/>
  <c r="K320" i="9"/>
  <c r="O597" i="9"/>
  <c r="AF471" i="9"/>
  <c r="O512" i="9"/>
  <c r="AF515" i="9"/>
  <c r="Q345" i="9"/>
  <c r="N1249" i="9"/>
  <c r="O670" i="9"/>
  <c r="P670" i="9"/>
  <c r="H417" i="9"/>
  <c r="I866" i="9"/>
  <c r="J489" i="9"/>
  <c r="J1325" i="9"/>
  <c r="AF388" i="9"/>
  <c r="N588" i="9"/>
  <c r="L314" i="9"/>
  <c r="Q541" i="9"/>
  <c r="AF907" i="9"/>
  <c r="H476" i="9"/>
  <c r="H1150" i="9"/>
  <c r="G1546" i="9"/>
  <c r="AF511" i="9"/>
  <c r="Q463" i="9"/>
  <c r="J1545" i="9"/>
  <c r="O438" i="9"/>
  <c r="AA438" i="9" s="1"/>
  <c r="Q1348" i="9"/>
  <c r="M909" i="9"/>
  <c r="O1365" i="9"/>
  <c r="AF1378" i="9"/>
  <c r="M854" i="9"/>
  <c r="L366" i="9"/>
  <c r="P1003" i="9"/>
  <c r="AF953" i="9"/>
  <c r="N498" i="9"/>
  <c r="R464" i="9"/>
  <c r="J562" i="9"/>
  <c r="O811" i="9"/>
  <c r="Q774" i="9"/>
  <c r="J1101" i="9"/>
  <c r="AF1173" i="9"/>
  <c r="M758" i="9"/>
  <c r="P817" i="9"/>
  <c r="K762" i="9"/>
  <c r="Q412" i="9"/>
  <c r="AF934" i="9"/>
  <c r="J809" i="9"/>
  <c r="H532" i="9"/>
  <c r="K627" i="9"/>
  <c r="AF881" i="9"/>
  <c r="AF1010" i="9"/>
  <c r="H546" i="9"/>
  <c r="O563" i="9"/>
  <c r="M1126" i="9"/>
  <c r="Y1126" i="9" s="1"/>
  <c r="K364" i="9"/>
  <c r="M611" i="9"/>
  <c r="H1152" i="9"/>
  <c r="N1085" i="9"/>
  <c r="G1166" i="9"/>
  <c r="H461" i="9"/>
  <c r="AF1163" i="9"/>
  <c r="K1019" i="9"/>
  <c r="K1020" i="9" s="1"/>
  <c r="H664" i="9"/>
  <c r="R759" i="9"/>
  <c r="K708" i="9"/>
  <c r="P412" i="9"/>
  <c r="L643" i="9"/>
  <c r="Q564" i="9"/>
  <c r="O1002" i="9"/>
  <c r="J341" i="9"/>
  <c r="I712" i="9"/>
  <c r="M1035" i="9"/>
  <c r="J630" i="9"/>
  <c r="I662" i="9"/>
  <c r="H707" i="9"/>
  <c r="AF824" i="9"/>
  <c r="J646" i="9"/>
  <c r="G539" i="9"/>
  <c r="H1202" i="9"/>
  <c r="M1055" i="9"/>
  <c r="K1038" i="9"/>
  <c r="Q448" i="9"/>
  <c r="N791" i="9"/>
  <c r="G435" i="9"/>
  <c r="I1555" i="9"/>
  <c r="K420" i="9"/>
  <c r="H1372" i="9"/>
  <c r="G473" i="9"/>
  <c r="P1108" i="9"/>
  <c r="I1197" i="9"/>
  <c r="G1542" i="9"/>
  <c r="AF1052" i="9"/>
  <c r="H1430" i="9"/>
  <c r="R1056" i="9"/>
  <c r="M1101" i="9"/>
  <c r="I1414" i="9"/>
  <c r="Q1319" i="9"/>
  <c r="M1447" i="9"/>
  <c r="AF1415" i="9"/>
  <c r="J1224" i="9"/>
  <c r="V1224" i="9" s="1"/>
  <c r="H667" i="9"/>
  <c r="I1160" i="9"/>
  <c r="AF415" i="9"/>
  <c r="L1283" i="9"/>
  <c r="R1356" i="9"/>
  <c r="R1357" i="9" s="1"/>
  <c r="AD1357" i="9" s="1"/>
  <c r="I1567" i="9"/>
  <c r="U1567" i="9" s="1"/>
  <c r="N1477" i="9"/>
  <c r="I1281" i="9"/>
  <c r="I1496" i="9"/>
  <c r="J1295" i="9"/>
  <c r="O1442" i="9"/>
  <c r="P1129" i="9"/>
  <c r="AF1152" i="9"/>
  <c r="AF639" i="9"/>
  <c r="J535" i="9"/>
  <c r="AF660" i="9"/>
  <c r="AF1161" i="9"/>
  <c r="O382" i="9"/>
  <c r="H1299" i="9"/>
  <c r="M1421" i="9"/>
  <c r="P1149" i="9"/>
  <c r="G1201" i="9"/>
  <c r="R1368" i="9"/>
  <c r="O1568" i="9"/>
  <c r="G1365" i="9"/>
  <c r="M1395" i="9"/>
  <c r="AF1540" i="9"/>
  <c r="R1528" i="9"/>
  <c r="Q1234" i="9"/>
  <c r="J1460" i="9"/>
  <c r="AF380" i="9"/>
  <c r="O615" i="9"/>
  <c r="P1183" i="9"/>
  <c r="N1497" i="9"/>
  <c r="AF1023" i="9"/>
  <c r="L912" i="9"/>
  <c r="P1430" i="9"/>
  <c r="K1381" i="9"/>
  <c r="AF1062" i="9"/>
  <c r="J1258" i="9"/>
  <c r="I1472" i="9"/>
  <c r="I1473" i="9" s="1"/>
  <c r="AF1081" i="9"/>
  <c r="L1036" i="9"/>
  <c r="L1295" i="9"/>
  <c r="AF1567" i="9"/>
  <c r="M1568" i="9"/>
  <c r="Q1512" i="9"/>
  <c r="P1469" i="9"/>
  <c r="AB1469" i="9" s="1"/>
  <c r="R1283" i="9"/>
  <c r="J1270" i="9"/>
  <c r="O1267" i="9"/>
  <c r="K809" i="9"/>
  <c r="AF1080" i="9"/>
  <c r="R1307" i="9"/>
  <c r="N366" i="9"/>
  <c r="N1071" i="9"/>
  <c r="Q921" i="9"/>
  <c r="O1515" i="9"/>
  <c r="M1176" i="9"/>
  <c r="M1417" i="9"/>
  <c r="Q1227" i="9"/>
  <c r="L1526" i="9"/>
  <c r="M465" i="9"/>
  <c r="H771" i="9"/>
  <c r="I488" i="9"/>
  <c r="U488" i="9" s="1"/>
  <c r="Q741" i="9"/>
  <c r="Q416" i="9"/>
  <c r="AF731" i="9"/>
  <c r="AF1396" i="9"/>
  <c r="G323" i="9"/>
  <c r="G872" i="9"/>
  <c r="M335" i="9"/>
  <c r="G835" i="9"/>
  <c r="O1198" i="9"/>
  <c r="J545" i="9"/>
  <c r="I856" i="9"/>
  <c r="N561" i="9"/>
  <c r="L313" i="9"/>
  <c r="AF496" i="9"/>
  <c r="K496" i="9"/>
  <c r="N316" i="9"/>
  <c r="I744" i="9"/>
  <c r="J759" i="9"/>
  <c r="AF827" i="9"/>
  <c r="J872" i="9"/>
  <c r="H759" i="9"/>
  <c r="R312" i="9"/>
  <c r="N512" i="9"/>
  <c r="G514" i="9"/>
  <c r="N1157" i="9"/>
  <c r="P465" i="9"/>
  <c r="M1414" i="9"/>
  <c r="Q1567" i="9"/>
  <c r="AC1567" i="9" s="1"/>
  <c r="P398" i="9"/>
  <c r="I389" i="9"/>
  <c r="R435" i="9"/>
  <c r="I1454" i="9"/>
  <c r="G1001" i="9"/>
  <c r="AF1160" i="9"/>
  <c r="R382" i="9"/>
  <c r="AF477" i="9"/>
  <c r="L826" i="9"/>
  <c r="O1199" i="9"/>
  <c r="N329" i="9"/>
  <c r="R597" i="9"/>
  <c r="Q1457" i="9"/>
  <c r="M496" i="9"/>
  <c r="AF1200" i="9"/>
  <c r="P636" i="9"/>
  <c r="AB636" i="9" s="1"/>
  <c r="K565" i="9"/>
  <c r="AF1295" i="9"/>
  <c r="M759" i="9"/>
  <c r="M417" i="9"/>
  <c r="K398" i="9"/>
  <c r="O316" i="9"/>
  <c r="AF1561" i="9"/>
  <c r="O618" i="9"/>
  <c r="H627" i="9"/>
  <c r="H1036" i="9"/>
  <c r="Q1525" i="9"/>
  <c r="AF621" i="9"/>
  <c r="Q382" i="9"/>
  <c r="L476" i="9"/>
  <c r="AF546" i="9"/>
  <c r="AF1154" i="9"/>
  <c r="M829" i="9"/>
  <c r="M830" i="9" s="1"/>
  <c r="Y830" i="9" s="1"/>
  <c r="G362" i="9"/>
  <c r="H633" i="9"/>
  <c r="N1114" i="9"/>
  <c r="L1050" i="9"/>
  <c r="R470" i="9"/>
  <c r="Q461" i="9"/>
  <c r="I742" i="9"/>
  <c r="Q685" i="9"/>
  <c r="AC685" i="9" s="1"/>
  <c r="AF1310" i="9"/>
  <c r="Q695" i="9"/>
  <c r="M734" i="9"/>
  <c r="Y734" i="9" s="1"/>
  <c r="I716" i="9"/>
  <c r="P783" i="9"/>
  <c r="AB783" i="9" s="1"/>
  <c r="P1199" i="9"/>
  <c r="I584" i="9"/>
  <c r="G953" i="9"/>
  <c r="M560" i="9"/>
  <c r="R807" i="9"/>
  <c r="L376" i="9"/>
  <c r="N513" i="9"/>
  <c r="I429" i="9"/>
  <c r="P758" i="9"/>
  <c r="R1446" i="9"/>
  <c r="O719" i="9"/>
  <c r="I1006" i="9"/>
  <c r="AF1369" i="9"/>
  <c r="Q1365" i="9"/>
  <c r="AF1473" i="9"/>
  <c r="N314" i="9"/>
  <c r="AF411" i="9"/>
  <c r="H1307" i="9"/>
  <c r="Q1273" i="9"/>
  <c r="AC1273" i="9" s="1"/>
  <c r="K1353" i="9"/>
  <c r="K1567" i="9"/>
  <c r="W1567" i="9" s="1"/>
  <c r="I1297" i="9"/>
  <c r="AF971" i="9"/>
  <c r="N1316" i="9"/>
  <c r="I1304" i="9"/>
  <c r="Q1368" i="9"/>
  <c r="H467" i="9"/>
  <c r="J661" i="9"/>
  <c r="K1543" i="9"/>
  <c r="L1154" i="9"/>
  <c r="P1050" i="9"/>
  <c r="Q1540" i="9"/>
  <c r="H1570" i="9"/>
  <c r="H1255" i="9"/>
  <c r="N1564" i="9"/>
  <c r="AF1452" i="9"/>
  <c r="I345" i="9"/>
  <c r="I446" i="9"/>
  <c r="J1447" i="9"/>
  <c r="R313" i="9"/>
  <c r="P1276" i="9"/>
  <c r="P1277" i="9" s="1"/>
  <c r="I1201" i="9"/>
  <c r="K1258" i="9"/>
  <c r="Q1526" i="9"/>
  <c r="P1528" i="9"/>
  <c r="K1350" i="9"/>
  <c r="I1267" i="9"/>
  <c r="Q1065" i="9"/>
  <c r="Q1349" i="9"/>
  <c r="J1332" i="9"/>
  <c r="AF832" i="9"/>
  <c r="K1428" i="9"/>
  <c r="P1356" i="9"/>
  <c r="AF1423" i="9"/>
  <c r="P1379" i="9"/>
  <c r="AF1103" i="9"/>
  <c r="L1062" i="9"/>
  <c r="I1395" i="9"/>
  <c r="O1154" i="9"/>
  <c r="L1176" i="9"/>
  <c r="AF371" i="9"/>
  <c r="R466" i="9"/>
  <c r="J1362" i="9"/>
  <c r="J1363" i="9" s="1"/>
  <c r="Q1359" i="9"/>
  <c r="N1463" i="9"/>
  <c r="N1464" i="9" s="1"/>
  <c r="Z1464" i="9" s="1"/>
  <c r="L396" i="9"/>
  <c r="N1298" i="9"/>
  <c r="P1506" i="9"/>
  <c r="AF1314" i="9"/>
  <c r="M817" i="9"/>
  <c r="Q1029" i="9"/>
  <c r="J1540" i="9"/>
  <c r="P1476" i="9"/>
  <c r="O376" i="9"/>
  <c r="M461" i="9"/>
  <c r="G594" i="9"/>
  <c r="G1345" i="9"/>
  <c r="H1310" i="9"/>
  <c r="R1218" i="9"/>
  <c r="K1281" i="9"/>
  <c r="K1469" i="9"/>
  <c r="W1469" i="9" s="1"/>
  <c r="AF839" i="9"/>
  <c r="L1575" i="9"/>
  <c r="Q1545" i="9"/>
  <c r="Q979" i="9"/>
  <c r="AC979" i="9" s="1"/>
  <c r="J314" i="9"/>
  <c r="AF476" i="9"/>
  <c r="AF983" i="9"/>
  <c r="O584" i="9"/>
  <c r="Q734" i="9"/>
  <c r="AC734" i="9" s="1"/>
  <c r="Q1052" i="9"/>
  <c r="R539" i="9"/>
  <c r="Q313" i="9"/>
  <c r="P725" i="9"/>
  <c r="P546" i="9"/>
  <c r="R670" i="9"/>
  <c r="M710" i="9"/>
  <c r="P1526" i="9"/>
  <c r="H432" i="9"/>
  <c r="H433" i="9" s="1"/>
  <c r="T433" i="9" s="1"/>
  <c r="H716" i="9"/>
  <c r="N986" i="9"/>
  <c r="K688" i="9"/>
  <c r="R1036" i="9"/>
  <c r="G379" i="9"/>
  <c r="Q768" i="9"/>
  <c r="H1329" i="9"/>
  <c r="L1201" i="9"/>
  <c r="P1558" i="9"/>
  <c r="H1153" i="9"/>
  <c r="L595" i="9"/>
  <c r="P842" i="9"/>
  <c r="G535" i="9"/>
  <c r="AF1455" i="9"/>
  <c r="H346" i="9"/>
  <c r="P413" i="9"/>
  <c r="G912" i="9"/>
  <c r="AF823" i="9"/>
  <c r="H517" i="9"/>
  <c r="I889" i="9"/>
  <c r="H967" i="9"/>
  <c r="I1114" i="9"/>
  <c r="M415" i="9"/>
  <c r="AF433" i="9"/>
  <c r="M954" i="9"/>
  <c r="I805" i="9"/>
  <c r="R361" i="9"/>
  <c r="S361" i="9" s="1"/>
  <c r="AF467" i="9"/>
  <c r="G548" i="9"/>
  <c r="M326" i="9"/>
  <c r="I435" i="9"/>
  <c r="N572" i="9"/>
  <c r="Q361" i="9"/>
  <c r="AF867" i="9"/>
  <c r="P741" i="9"/>
  <c r="L661" i="9"/>
  <c r="N339" i="9"/>
  <c r="AF1111" i="9"/>
  <c r="N411" i="9"/>
  <c r="L320" i="9"/>
  <c r="Q807" i="9"/>
  <c r="Q761" i="9"/>
  <c r="L539" i="9"/>
  <c r="L548" i="9"/>
  <c r="R526" i="9"/>
  <c r="N1423" i="9"/>
  <c r="I660" i="9"/>
  <c r="G313" i="9"/>
  <c r="M538" i="9"/>
  <c r="Y538" i="9" s="1"/>
  <c r="N539" i="9"/>
  <c r="K659" i="9"/>
  <c r="H513" i="9"/>
  <c r="AF904" i="9"/>
  <c r="Q1068" i="9"/>
  <c r="Q633" i="9"/>
  <c r="I786" i="9"/>
  <c r="M735" i="9"/>
  <c r="AF1526" i="9"/>
  <c r="K644" i="9"/>
  <c r="Q575" i="9"/>
  <c r="O448" i="9"/>
  <c r="AF1170" i="9"/>
  <c r="O1518" i="9"/>
  <c r="AA1518" i="9" s="1"/>
  <c r="M517" i="9"/>
  <c r="M524" i="9" s="1"/>
  <c r="Y524" i="9" s="1"/>
  <c r="J823" i="9"/>
  <c r="H958" i="9"/>
  <c r="P329" i="9"/>
  <c r="M317" i="9"/>
  <c r="M342" i="9" s="1"/>
  <c r="L1185" i="9"/>
  <c r="M915" i="9"/>
  <c r="M916" i="9" s="1"/>
  <c r="Y916" i="9" s="1"/>
  <c r="N627" i="9"/>
  <c r="G461" i="9"/>
  <c r="K362" i="9"/>
  <c r="N429" i="9"/>
  <c r="K1133" i="9"/>
  <c r="I491" i="9"/>
  <c r="AF688" i="9"/>
  <c r="N611" i="9"/>
  <c r="AF889" i="9"/>
  <c r="P516" i="9"/>
  <c r="R817" i="9"/>
  <c r="N609" i="9"/>
  <c r="M414" i="9"/>
  <c r="G888" i="9"/>
  <c r="K610" i="9"/>
  <c r="Q806" i="9"/>
  <c r="J725" i="9"/>
  <c r="R1234" i="9"/>
  <c r="N682" i="9"/>
  <c r="I366" i="9"/>
  <c r="H1313" i="9"/>
  <c r="P889" i="9"/>
  <c r="Q954" i="9"/>
  <c r="Q814" i="9"/>
  <c r="AF1105" i="9"/>
  <c r="R636" i="9"/>
  <c r="AD636" i="9" s="1"/>
  <c r="I485" i="9"/>
  <c r="L1150" i="9"/>
  <c r="Q1016" i="9"/>
  <c r="M967" i="9"/>
  <c r="L420" i="9"/>
  <c r="Q811" i="9"/>
  <c r="Q818" i="9" s="1"/>
  <c r="AC818" i="9" s="1"/>
  <c r="R840" i="9"/>
  <c r="L512" i="9"/>
  <c r="AF627" i="9"/>
  <c r="I784" i="9"/>
  <c r="N546" i="9"/>
  <c r="Q878" i="9"/>
  <c r="K882" i="9"/>
  <c r="Q467" i="9"/>
  <c r="M498" i="9"/>
  <c r="AF591" i="9"/>
  <c r="J719" i="9"/>
  <c r="K989" i="9"/>
  <c r="H791" i="9"/>
  <c r="AF581" i="9"/>
  <c r="O713" i="9"/>
  <c r="H473" i="9"/>
  <c r="R611" i="9"/>
  <c r="M903" i="9"/>
  <c r="P479" i="9"/>
  <c r="L956" i="9"/>
  <c r="P1518" i="9"/>
  <c r="AB1518" i="9" s="1"/>
  <c r="AF661" i="9"/>
  <c r="Q1280" i="9"/>
  <c r="K933" i="9"/>
  <c r="P688" i="9"/>
  <c r="O379" i="9"/>
  <c r="AF1418" i="9"/>
  <c r="K915" i="9"/>
  <c r="AF1349" i="9"/>
  <c r="G465" i="9"/>
  <c r="I882" i="9"/>
  <c r="AF1460" i="9"/>
  <c r="AF683" i="9"/>
  <c r="Q1025" i="9"/>
  <c r="K774" i="9"/>
  <c r="N320" i="9"/>
  <c r="L1004" i="9"/>
  <c r="L722" i="9"/>
  <c r="K445" i="9"/>
  <c r="Q1350" i="9"/>
  <c r="I777" i="9"/>
  <c r="O630" i="9"/>
  <c r="N659" i="9"/>
  <c r="G482" i="9"/>
  <c r="K1150" i="9"/>
  <c r="O1117" i="9"/>
  <c r="M332" i="9"/>
  <c r="J362" i="9"/>
  <c r="J323" i="9"/>
  <c r="J615" i="9"/>
  <c r="R1447" i="9"/>
  <c r="L907" i="9"/>
  <c r="N370" i="9"/>
  <c r="G588" i="9"/>
  <c r="R514" i="9"/>
  <c r="R722" i="9"/>
  <c r="O363" i="9"/>
  <c r="O414" i="9"/>
  <c r="O610" i="9"/>
  <c r="I1105" i="9"/>
  <c r="AF1262" i="9"/>
  <c r="P563" i="9"/>
  <c r="R323" i="9"/>
  <c r="I987" i="9"/>
  <c r="G1225" i="9"/>
  <c r="R426" i="9"/>
  <c r="AF562" i="9"/>
  <c r="K1500" i="9"/>
  <c r="H1443" i="9"/>
  <c r="Q1325" i="9"/>
  <c r="G1348" i="9"/>
  <c r="H1399" i="9"/>
  <c r="AF1304" i="9"/>
  <c r="O1313" i="9"/>
  <c r="AF1117" i="9"/>
  <c r="G1050" i="9"/>
  <c r="J1356" i="9"/>
  <c r="G987" i="9"/>
  <c r="N1399" i="9"/>
  <c r="P660" i="9"/>
  <c r="O1372" i="9"/>
  <c r="H315" i="9"/>
  <c r="AF758" i="9"/>
  <c r="K1549" i="9"/>
  <c r="L1276" i="9"/>
  <c r="K1055" i="9"/>
  <c r="G921" i="9"/>
  <c r="AF413" i="9"/>
  <c r="O461" i="9"/>
  <c r="L1052" i="9"/>
  <c r="R1394" i="9"/>
  <c r="R1564" i="9"/>
  <c r="L1374" i="9"/>
  <c r="P1353" i="9"/>
  <c r="H1543" i="9"/>
  <c r="H930" i="9"/>
  <c r="T930" i="9" s="1"/>
  <c r="R1525" i="9"/>
  <c r="J1182" i="9"/>
  <c r="AF873" i="9"/>
  <c r="AF326" i="9"/>
  <c r="AF1427" i="9"/>
  <c r="L1457" i="9"/>
  <c r="G1444" i="9"/>
  <c r="M1356" i="9"/>
  <c r="R912" i="9"/>
  <c r="I1348" i="9"/>
  <c r="I709" i="9"/>
  <c r="AF673" i="9"/>
  <c r="H1134" i="9"/>
  <c r="N1149" i="9"/>
  <c r="K1297" i="9"/>
  <c r="L1494" i="9"/>
  <c r="N526" i="9"/>
  <c r="J1442" i="9"/>
  <c r="AF1497" i="9"/>
  <c r="I526" i="9"/>
  <c r="I527" i="9" s="1"/>
  <c r="U527" i="9" s="1"/>
  <c r="K1444" i="9"/>
  <c r="P1398" i="9"/>
  <c r="AF930" i="9"/>
  <c r="K339" i="9"/>
  <c r="I1397" i="9"/>
  <c r="M783" i="9"/>
  <c r="Y783" i="9" s="1"/>
  <c r="G1276" i="9"/>
  <c r="K1322" i="9"/>
  <c r="W1322" i="9" s="1"/>
  <c r="P615" i="9"/>
  <c r="AF707" i="9"/>
  <c r="I1148" i="9"/>
  <c r="Q1497" i="9"/>
  <c r="R339" i="9"/>
  <c r="N1322" i="9"/>
  <c r="Z1322" i="9" s="1"/>
  <c r="K1396" i="9"/>
  <c r="AF1020" i="9"/>
  <c r="R1379" i="9"/>
  <c r="J1519" i="9"/>
  <c r="L1567" i="9"/>
  <c r="X1567" i="9" s="1"/>
  <c r="AF1248" i="9"/>
  <c r="L670" i="9"/>
  <c r="Q385" i="9"/>
  <c r="AF1504" i="9"/>
  <c r="K976" i="9"/>
  <c r="L790" i="9"/>
  <c r="G1323" i="9"/>
  <c r="K529" i="9"/>
  <c r="K530" i="9" s="1"/>
  <c r="J663" i="9"/>
  <c r="L363" i="9"/>
  <c r="H426" i="9"/>
  <c r="H427" i="9" s="1"/>
  <c r="T427" i="9" s="1"/>
  <c r="K597" i="9"/>
  <c r="K967" i="9"/>
  <c r="AF1063" i="9"/>
  <c r="L976" i="9"/>
  <c r="L338" i="9"/>
  <c r="X338" i="9" s="1"/>
  <c r="G955" i="9"/>
  <c r="L1344" i="9"/>
  <c r="R1169" i="9"/>
  <c r="N517" i="9"/>
  <c r="AF693" i="9"/>
  <c r="I335" i="9"/>
  <c r="M1038" i="9"/>
  <c r="R713" i="9"/>
  <c r="M441" i="9"/>
  <c r="Q771" i="9"/>
  <c r="J982" i="9"/>
  <c r="Q389" i="9"/>
  <c r="Q958" i="9"/>
  <c r="H695" i="9"/>
  <c r="Q446" i="9"/>
  <c r="L516" i="9"/>
  <c r="O517" i="9"/>
  <c r="R774" i="9"/>
  <c r="K423" i="9"/>
  <c r="L627" i="9"/>
  <c r="P338" i="9"/>
  <c r="AB338" i="9" s="1"/>
  <c r="H361" i="9"/>
  <c r="P482" i="9"/>
  <c r="J744" i="9"/>
  <c r="R564" i="9"/>
  <c r="R915" i="9"/>
  <c r="R916" i="9" s="1"/>
  <c r="AD916" i="9" s="1"/>
  <c r="J1349" i="9"/>
  <c r="O661" i="9"/>
  <c r="H757" i="9"/>
  <c r="AF876" i="9"/>
  <c r="L391" i="9"/>
  <c r="H429" i="9"/>
  <c r="I575" i="9"/>
  <c r="G1154" i="9"/>
  <c r="AF1134" i="9"/>
  <c r="O731" i="9"/>
  <c r="J780" i="9"/>
  <c r="P385" i="9"/>
  <c r="R957" i="9"/>
  <c r="M644" i="9"/>
  <c r="I728" i="9"/>
  <c r="P498" i="9"/>
  <c r="I423" i="9"/>
  <c r="AF1148" i="9"/>
  <c r="I829" i="9"/>
  <c r="AF1068" i="9"/>
  <c r="AF1317" i="9"/>
  <c r="G610" i="9"/>
  <c r="G741" i="9"/>
  <c r="O930" i="9"/>
  <c r="AA930" i="9" s="1"/>
  <c r="J716" i="9"/>
  <c r="G438" i="9"/>
  <c r="S438" i="9" s="1"/>
  <c r="AF761" i="9"/>
  <c r="G1053" i="9"/>
  <c r="H364" i="9"/>
  <c r="M756" i="9"/>
  <c r="H1558" i="9"/>
  <c r="AF830" i="9"/>
  <c r="L590" i="9"/>
  <c r="Q1218" i="9"/>
  <c r="L1087" i="9"/>
  <c r="N569" i="9"/>
  <c r="N1004" i="9"/>
  <c r="Q517" i="9"/>
  <c r="K728" i="9"/>
  <c r="AF1197" i="9"/>
  <c r="R1359" i="9"/>
  <c r="R1360" i="9" s="1"/>
  <c r="AD1360" i="9" s="1"/>
  <c r="H1178" i="9"/>
  <c r="P1006" i="9"/>
  <c r="M856" i="9"/>
  <c r="R332" i="9"/>
  <c r="N465" i="9"/>
  <c r="N737" i="9"/>
  <c r="Q658" i="9"/>
  <c r="K615" i="9"/>
  <c r="K1006" i="9"/>
  <c r="N466" i="9"/>
  <c r="R588" i="9"/>
  <c r="O581" i="9"/>
  <c r="K1345" i="9"/>
  <c r="I391" i="9"/>
  <c r="AF1463" i="9"/>
  <c r="P1521" i="9"/>
  <c r="P1522" i="9" s="1"/>
  <c r="N1176" i="9"/>
  <c r="P1065" i="9"/>
  <c r="R1310" i="9"/>
  <c r="L373" i="9"/>
  <c r="N396" i="9"/>
  <c r="K1108" i="9"/>
  <c r="I1234" i="9"/>
  <c r="K1399" i="9"/>
  <c r="AF1130" i="9"/>
  <c r="AF1322" i="9"/>
  <c r="O1570" i="9"/>
  <c r="K903" i="9"/>
  <c r="H1546" i="9"/>
  <c r="L1519" i="9"/>
  <c r="L423" i="9"/>
  <c r="H1249" i="9"/>
  <c r="J1417" i="9"/>
  <c r="AF1022" i="9"/>
  <c r="N1329" i="9"/>
  <c r="P1313" i="9"/>
  <c r="K520" i="9"/>
  <c r="Q1231" i="9"/>
  <c r="K854" i="9"/>
  <c r="P538" i="9"/>
  <c r="AB538" i="9" s="1"/>
  <c r="M1374" i="9"/>
  <c r="I388" i="9"/>
  <c r="U388" i="9" s="1"/>
  <c r="K414" i="9"/>
  <c r="K432" i="9"/>
  <c r="G1496" i="9"/>
  <c r="N1414" i="9"/>
  <c r="Q1300" i="9"/>
  <c r="J446" i="9"/>
  <c r="R970" i="9"/>
  <c r="I1428" i="9"/>
  <c r="I952" i="9"/>
  <c r="L1558" i="9"/>
  <c r="P938" i="9"/>
  <c r="R1444" i="9"/>
  <c r="K366" i="9"/>
  <c r="J1134" i="9"/>
  <c r="R1080" i="9"/>
  <c r="H1325" i="9"/>
  <c r="P1408" i="9"/>
  <c r="K1558" i="9"/>
  <c r="H1350" i="9"/>
  <c r="P1362" i="9"/>
  <c r="P1363" i="9" s="1"/>
  <c r="R1542" i="9"/>
  <c r="H1515" i="9"/>
  <c r="AF424" i="9"/>
  <c r="I1442" i="9"/>
  <c r="P1280" i="9"/>
  <c r="H1078" i="9"/>
  <c r="Q1399" i="9"/>
  <c r="AF643" i="9"/>
  <c r="G1470" i="9"/>
  <c r="Q1543" i="9"/>
  <c r="AF578" i="9"/>
  <c r="AF664" i="9"/>
  <c r="AF1129" i="9"/>
  <c r="R1347" i="9"/>
  <c r="H1561" i="9"/>
  <c r="G314" i="9"/>
  <c r="L1528" i="9"/>
  <c r="K1372" i="9"/>
  <c r="H1353" i="9"/>
  <c r="Q1519" i="9"/>
  <c r="H1185" i="9"/>
  <c r="AF462" i="9"/>
  <c r="N511" i="9"/>
  <c r="AF676" i="9"/>
  <c r="L1299" i="9"/>
  <c r="I707" i="9"/>
  <c r="G765" i="9"/>
  <c r="H741" i="9"/>
  <c r="Q560" i="9"/>
  <c r="G1420" i="9"/>
  <c r="S1420" i="9" s="1"/>
  <c r="R719" i="9"/>
  <c r="H363" i="9"/>
  <c r="N448" i="9"/>
  <c r="AF1203" i="9"/>
  <c r="I1347" i="9"/>
  <c r="H982" i="9"/>
  <c r="J1051" i="9"/>
  <c r="O692" i="9"/>
  <c r="O737" i="9"/>
  <c r="R858" i="9"/>
  <c r="M339" i="9"/>
  <c r="AF954" i="9"/>
  <c r="L569" i="9"/>
  <c r="P560" i="9"/>
  <c r="I385" i="9"/>
  <c r="G937" i="9"/>
  <c r="J417" i="9"/>
  <c r="Q485" i="9"/>
  <c r="Q486" i="9" s="1"/>
  <c r="AC486" i="9" s="1"/>
  <c r="AF787" i="9"/>
  <c r="I523" i="9"/>
  <c r="K611" i="9"/>
  <c r="Q783" i="9"/>
  <c r="AC783" i="9" s="1"/>
  <c r="M662" i="9"/>
  <c r="L686" i="9"/>
  <c r="O546" i="9"/>
  <c r="O348" i="9"/>
  <c r="G989" i="9"/>
  <c r="H857" i="9"/>
  <c r="AF768" i="9"/>
  <c r="K1212" i="9"/>
  <c r="M1197" i="9"/>
  <c r="O538" i="9"/>
  <c r="AA538" i="9" s="1"/>
  <c r="N364" i="9"/>
  <c r="J488" i="9"/>
  <c r="V488" i="9" s="1"/>
  <c r="H765" i="9"/>
  <c r="Q660" i="9"/>
  <c r="M515" i="9"/>
  <c r="K686" i="9"/>
  <c r="N741" i="9"/>
  <c r="I938" i="9"/>
  <c r="R439" i="9"/>
  <c r="P366" i="9"/>
  <c r="AF527" i="9"/>
  <c r="N514" i="9"/>
  <c r="K673" i="9"/>
  <c r="J512" i="9"/>
  <c r="P659" i="9"/>
  <c r="P1332" i="9"/>
  <c r="J664" i="9"/>
  <c r="I1212" i="9"/>
  <c r="M346" i="9"/>
  <c r="H938" i="9"/>
  <c r="K329" i="9"/>
  <c r="K1215" i="9"/>
  <c r="H496" i="9"/>
  <c r="J737" i="9"/>
  <c r="J738" i="9" s="1"/>
  <c r="H389" i="9"/>
  <c r="J1006" i="9"/>
  <c r="R1451" i="9"/>
  <c r="R1395" i="9"/>
  <c r="L1005" i="9"/>
  <c r="L921" i="9"/>
  <c r="N757" i="9"/>
  <c r="O613" i="9"/>
  <c r="R1016" i="9"/>
  <c r="AF976" i="9"/>
  <c r="R685" i="9"/>
  <c r="AD685" i="9" s="1"/>
  <c r="N855" i="9"/>
  <c r="AF1346" i="9"/>
  <c r="AF412" i="9"/>
  <c r="N854" i="9"/>
  <c r="K435" i="9"/>
  <c r="AF771" i="9"/>
  <c r="H780" i="9"/>
  <c r="N810" i="9"/>
  <c r="AF1151" i="9"/>
  <c r="J1281" i="9"/>
  <c r="L630" i="9"/>
  <c r="O1430" i="9"/>
  <c r="AF1249" i="9"/>
  <c r="O1423" i="9"/>
  <c r="R385" i="9"/>
  <c r="I1185" i="9"/>
  <c r="AF1206" i="9"/>
  <c r="P1540" i="9"/>
  <c r="J1248" i="9"/>
  <c r="G388" i="9"/>
  <c r="S388" i="9" s="1"/>
  <c r="J1310" i="9"/>
  <c r="R1519" i="9"/>
  <c r="O1105" i="9"/>
  <c r="AF1032" i="9"/>
  <c r="AF1273" i="9"/>
  <c r="G496" i="9"/>
  <c r="AF631" i="9"/>
  <c r="O1525" i="9"/>
  <c r="O1397" i="9"/>
  <c r="P1394" i="9"/>
  <c r="Q1283" i="9"/>
  <c r="AF937" i="9"/>
  <c r="K1479" i="9"/>
  <c r="R1460" i="9"/>
  <c r="O1368" i="9"/>
  <c r="Q1503" i="9"/>
  <c r="R1215" i="9"/>
  <c r="H860" i="9"/>
  <c r="AF790" i="9"/>
  <c r="J1298" i="9"/>
  <c r="M1123" i="9"/>
  <c r="AF961" i="9"/>
  <c r="R1258" i="9"/>
  <c r="R1492" i="9"/>
  <c r="J1549" i="9"/>
  <c r="J1550" i="9" s="1"/>
  <c r="V1550" i="9" s="1"/>
  <c r="J1267" i="9"/>
  <c r="K1273" i="9"/>
  <c r="W1273" i="9" s="1"/>
  <c r="L1346" i="9"/>
  <c r="AF485" i="9"/>
  <c r="AF835" i="9"/>
  <c r="J1564" i="9"/>
  <c r="J1570" i="9"/>
  <c r="K1430" i="9"/>
  <c r="AF535" i="9"/>
  <c r="AF1210" i="9"/>
  <c r="M1411" i="9"/>
  <c r="AF1060" i="9"/>
  <c r="I1545" i="9"/>
  <c r="N927" i="9"/>
  <c r="G1446" i="9"/>
  <c r="K1555" i="9"/>
  <c r="R1577" i="9"/>
  <c r="H1479" i="9"/>
  <c r="O1296" i="9"/>
  <c r="O1463" i="9"/>
  <c r="O1464" i="9" s="1"/>
  <c r="AA1464" i="9" s="1"/>
  <c r="R835" i="9"/>
  <c r="I1469" i="9"/>
  <c r="U1469" i="9" s="1"/>
  <c r="K786" i="9"/>
  <c r="N1540" i="9"/>
  <c r="AF826" i="9"/>
  <c r="J1479" i="9"/>
  <c r="M1087" i="9"/>
  <c r="AF619" i="9"/>
  <c r="N1209" i="9"/>
  <c r="P1568" i="9"/>
  <c r="K311" i="9"/>
  <c r="AF625" i="9"/>
  <c r="K1304" i="9"/>
  <c r="AF1059" i="9"/>
  <c r="H1408" i="9"/>
  <c r="I820" i="9"/>
  <c r="N1542" i="9"/>
  <c r="J1001" i="9"/>
  <c r="H783" i="9"/>
  <c r="T783" i="9" s="1"/>
  <c r="I411" i="9"/>
  <c r="L786" i="9"/>
  <c r="AF1261" i="9"/>
  <c r="AF864" i="9"/>
  <c r="O446" i="9"/>
  <c r="P411" i="9"/>
  <c r="O332" i="9"/>
  <c r="K737" i="9"/>
  <c r="AF1368" i="9"/>
  <c r="H312" i="9"/>
  <c r="R1059" i="9"/>
  <c r="O565" i="9"/>
  <c r="R810" i="9"/>
  <c r="I1005" i="9"/>
  <c r="K987" i="9"/>
  <c r="P495" i="9"/>
  <c r="AF759" i="9"/>
  <c r="Q713" i="9"/>
  <c r="H413" i="9"/>
  <c r="O1127" i="9"/>
  <c r="I673" i="9"/>
  <c r="I674" i="9" s="1"/>
  <c r="U674" i="9" s="1"/>
  <c r="G1152" i="9"/>
  <c r="Q924" i="9"/>
  <c r="K660" i="9"/>
  <c r="O889" i="9"/>
  <c r="AF973" i="9"/>
  <c r="G643" i="9"/>
  <c r="Q670" i="9"/>
  <c r="K956" i="9"/>
  <c r="N979" i="9"/>
  <c r="Z979" i="9" s="1"/>
  <c r="I473" i="9"/>
  <c r="I875" i="9"/>
  <c r="G710" i="9"/>
  <c r="M832" i="9"/>
  <c r="Y832" i="9" s="1"/>
  <c r="P348" i="9"/>
  <c r="Q338" i="9"/>
  <c r="AC338" i="9" s="1"/>
  <c r="L339" i="9"/>
  <c r="O423" i="9"/>
  <c r="G415" i="9"/>
  <c r="R467" i="9"/>
  <c r="H979" i="9"/>
  <c r="T979" i="9" s="1"/>
  <c r="L388" i="9"/>
  <c r="X388" i="9" s="1"/>
  <c r="AF1123" i="9"/>
  <c r="L1003" i="9"/>
  <c r="O1299" i="9"/>
  <c r="O417" i="9"/>
  <c r="N535" i="9"/>
  <c r="I670" i="9"/>
  <c r="K707" i="9"/>
  <c r="L814" i="9"/>
  <c r="P520" i="9"/>
  <c r="AF1366" i="9"/>
  <c r="AF374" i="9"/>
  <c r="AF1512" i="9"/>
  <c r="O790" i="9"/>
  <c r="H663" i="9"/>
  <c r="M790" i="9"/>
  <c r="M771" i="9"/>
  <c r="R986" i="9"/>
  <c r="K548" i="9"/>
  <c r="L710" i="9"/>
  <c r="J771" i="9"/>
  <c r="J772" i="9" s="1"/>
  <c r="V772" i="9" s="1"/>
  <c r="L435" i="9"/>
  <c r="R639" i="9"/>
  <c r="K473" i="9"/>
  <c r="K474" i="9" s="1"/>
  <c r="W474" i="9" s="1"/>
  <c r="I809" i="9"/>
  <c r="M855" i="9"/>
  <c r="H793" i="9"/>
  <c r="I953" i="9"/>
  <c r="Q366" i="9"/>
  <c r="Q728" i="9"/>
  <c r="G476" i="9"/>
  <c r="P466" i="9"/>
  <c r="N783" i="9"/>
  <c r="Z783" i="9" s="1"/>
  <c r="N610" i="9"/>
  <c r="O315" i="9"/>
  <c r="Q1004" i="9"/>
  <c r="H612" i="9"/>
  <c r="L855" i="9"/>
  <c r="AF1356" i="9"/>
  <c r="N538" i="9"/>
  <c r="Z538" i="9" s="1"/>
  <c r="N964" i="9"/>
  <c r="N829" i="9"/>
  <c r="L515" i="9"/>
  <c r="M1085" i="9"/>
  <c r="L482" i="9"/>
  <c r="K820" i="9"/>
  <c r="G661" i="9"/>
  <c r="H1469" i="9"/>
  <c r="T1469" i="9" s="1"/>
  <c r="K1332" i="9"/>
  <c r="G1246" i="9"/>
  <c r="M618" i="9"/>
  <c r="AF332" i="9"/>
  <c r="AF1562" i="9"/>
  <c r="M1423" i="9"/>
  <c r="K1224" i="9"/>
  <c r="W1224" i="9" s="1"/>
  <c r="L1248" i="9"/>
  <c r="Q1417" i="9"/>
  <c r="O1307" i="9"/>
  <c r="O1308" i="9" s="1"/>
  <c r="AA1308" i="9" s="1"/>
  <c r="AF565" i="9"/>
  <c r="O1411" i="9"/>
  <c r="O1412" i="9" s="1"/>
  <c r="G1111" i="9"/>
  <c r="Q1414" i="9"/>
  <c r="AF1307" i="9"/>
  <c r="P1298" i="9"/>
  <c r="AF1102" i="9"/>
  <c r="K1575" i="9"/>
  <c r="Q1492" i="9"/>
  <c r="Q1353" i="9"/>
  <c r="N1274" i="9"/>
  <c r="L1509" i="9"/>
  <c r="Q1447" i="9"/>
  <c r="Q1558" i="9"/>
  <c r="J411" i="9"/>
  <c r="L784" i="9"/>
  <c r="G1169" i="9"/>
  <c r="AF1007" i="9"/>
  <c r="AF1056" i="9"/>
  <c r="I1526" i="9"/>
  <c r="AF1344" i="9"/>
  <c r="P1323" i="9"/>
  <c r="M1497" i="9"/>
  <c r="O1200" i="9"/>
  <c r="O1080" i="9"/>
  <c r="I1519" i="9"/>
  <c r="AF952" i="9"/>
  <c r="O1163" i="9"/>
  <c r="G1457" i="9"/>
  <c r="M1330" i="9"/>
  <c r="P1494" i="9"/>
  <c r="AF317" i="9"/>
  <c r="AF1069" i="9"/>
  <c r="H970" i="9"/>
  <c r="H1526" i="9"/>
  <c r="N1227" i="9"/>
  <c r="I1447" i="9"/>
  <c r="AF818" i="9"/>
  <c r="AF1507" i="9"/>
  <c r="K1127" i="9"/>
  <c r="L1393" i="9"/>
  <c r="AF956" i="9"/>
  <c r="J1528" i="9"/>
  <c r="G523" i="9"/>
  <c r="K1316" i="9"/>
  <c r="O1492" i="9"/>
  <c r="H1463" i="9"/>
  <c r="I370" i="9"/>
  <c r="R1540" i="9"/>
  <c r="S1540" i="9" s="1"/>
  <c r="L1427" i="9"/>
  <c r="AF1443" i="9"/>
  <c r="H382" i="9"/>
  <c r="N1197" i="9"/>
  <c r="N1469" i="9"/>
  <c r="Z1469" i="9" s="1"/>
  <c r="G1447" i="9"/>
  <c r="N1512" i="9"/>
  <c r="O1310" i="9"/>
  <c r="Q545" i="9"/>
  <c r="AF1442" i="9"/>
  <c r="K1503" i="9"/>
  <c r="K1504" i="9" s="1"/>
  <c r="W1504" i="9" s="1"/>
  <c r="M1393" i="9"/>
  <c r="Q1470" i="9"/>
  <c r="J541" i="9"/>
  <c r="J542" i="9" s="1"/>
  <c r="H1215" i="9"/>
  <c r="K470" i="9"/>
  <c r="R416" i="9"/>
  <c r="AF644" i="9"/>
  <c r="Q1127" i="9"/>
  <c r="O809" i="9"/>
  <c r="L793" i="9"/>
  <c r="N1055" i="9"/>
  <c r="N1365" i="9"/>
  <c r="L1319" i="9"/>
  <c r="G1344" i="9"/>
  <c r="R1541" i="9"/>
  <c r="I314" i="9"/>
  <c r="AF986" i="9"/>
  <c r="M1558" i="9"/>
  <c r="G1332" i="9"/>
  <c r="O1470" i="9"/>
  <c r="M1258" i="9"/>
  <c r="M1259" i="9" s="1"/>
  <c r="Y1259" i="9" s="1"/>
  <c r="L1218" i="9"/>
  <c r="AF1084" i="9"/>
  <c r="I516" i="9"/>
  <c r="AF333" i="9"/>
  <c r="O1276" i="9"/>
  <c r="O1277" i="9" s="1"/>
  <c r="H1495" i="9"/>
  <c r="G1394" i="9"/>
  <c r="I855" i="9"/>
  <c r="P1543" i="9"/>
  <c r="O426" i="9"/>
  <c r="O1396" i="9"/>
  <c r="L1396" i="9"/>
  <c r="H1447" i="9"/>
  <c r="L1234" i="9"/>
  <c r="G1494" i="9"/>
  <c r="K1267" i="9"/>
  <c r="O1402" i="9"/>
  <c r="O1403" i="9" s="1"/>
  <c r="AA1403" i="9" s="1"/>
  <c r="I842" i="9"/>
  <c r="N1394" i="9"/>
  <c r="Q731" i="9"/>
  <c r="N940" i="9"/>
  <c r="G842" i="9"/>
  <c r="G1374" i="9"/>
  <c r="H1281" i="9"/>
  <c r="L1182" i="9"/>
  <c r="J1249" i="9"/>
  <c r="I1261" i="9"/>
  <c r="P564" i="9"/>
  <c r="K482" i="9"/>
  <c r="Q659" i="9"/>
  <c r="P1169" i="9"/>
  <c r="I1323" i="9"/>
  <c r="L1251" i="9"/>
  <c r="Q1157" i="9"/>
  <c r="O973" i="9"/>
  <c r="G462" i="9"/>
  <c r="O956" i="9"/>
  <c r="O643" i="9"/>
  <c r="P1395" i="9"/>
  <c r="H1500" i="9"/>
  <c r="M1310" i="9"/>
  <c r="R1250" i="9"/>
  <c r="P872" i="9"/>
  <c r="K793" i="9"/>
  <c r="J491" i="9"/>
  <c r="H806" i="9"/>
  <c r="I514" i="9"/>
  <c r="R842" i="9"/>
  <c r="G1476" i="9"/>
  <c r="N954" i="9"/>
  <c r="K808" i="9"/>
  <c r="J658" i="9"/>
  <c r="G636" i="9"/>
  <c r="S636" i="9" s="1"/>
  <c r="Q612" i="9"/>
  <c r="L915" i="9"/>
  <c r="K1466" i="9"/>
  <c r="Q1054" i="9"/>
  <c r="M1428" i="9"/>
  <c r="O660" i="9"/>
  <c r="H940" i="9"/>
  <c r="L429" i="9"/>
  <c r="P315" i="9"/>
  <c r="P1087" i="9"/>
  <c r="H1280" i="9"/>
  <c r="K1198" i="9"/>
  <c r="M1100" i="9"/>
  <c r="R679" i="9"/>
  <c r="I878" i="9"/>
  <c r="L1325" i="9"/>
  <c r="J388" i="9"/>
  <c r="V388" i="9" s="1"/>
  <c r="G1250" i="9"/>
  <c r="O1182" i="9"/>
  <c r="M1359" i="9"/>
  <c r="K731" i="9"/>
  <c r="R961" i="9"/>
  <c r="P663" i="9"/>
  <c r="O716" i="9"/>
  <c r="H1117" i="9"/>
  <c r="G1218" i="9"/>
  <c r="Q1028" i="9"/>
  <c r="AC1028" i="9" s="1"/>
  <c r="H1345" i="9"/>
  <c r="G664" i="9"/>
  <c r="Q610" i="9"/>
  <c r="I1330" i="9"/>
  <c r="L1152" i="9"/>
  <c r="Q1074" i="9"/>
  <c r="G908" i="9"/>
  <c r="I1525" i="9"/>
  <c r="M713" i="9"/>
  <c r="J670" i="9"/>
  <c r="AF1477" i="9"/>
  <c r="AF1199" i="9"/>
  <c r="M938" i="9"/>
  <c r="G1310" i="9"/>
  <c r="M1365" i="9"/>
  <c r="K1102" i="9"/>
  <c r="H512" i="9"/>
  <c r="M761" i="9"/>
  <c r="G952" i="9"/>
  <c r="K1201" i="9"/>
  <c r="G915" i="9"/>
  <c r="N872" i="9"/>
  <c r="P1059" i="9"/>
  <c r="K863" i="9"/>
  <c r="R565" i="9"/>
  <c r="Q373" i="9"/>
  <c r="H760" i="9"/>
  <c r="Q1454" i="9"/>
  <c r="J768" i="9"/>
  <c r="K1448" i="9"/>
  <c r="P840" i="9"/>
  <c r="K1506" i="9"/>
  <c r="K1507" i="9" s="1"/>
  <c r="W1507" i="9" s="1"/>
  <c r="AF777" i="9"/>
  <c r="J1133" i="9"/>
  <c r="Q693" i="9"/>
  <c r="I1515" i="9"/>
  <c r="H1055" i="9"/>
  <c r="M1160" i="9"/>
  <c r="L1350" i="9"/>
  <c r="J905" i="9"/>
  <c r="O420" i="9"/>
  <c r="G1036" i="9"/>
  <c r="L1117" i="9"/>
  <c r="I1084" i="9"/>
  <c r="AF916" i="9"/>
  <c r="K511" i="9"/>
  <c r="AF312" i="9"/>
  <c r="J1068" i="9"/>
  <c r="M1065" i="9"/>
  <c r="L1347" i="9"/>
  <c r="J1055" i="9"/>
  <c r="G538" i="9"/>
  <c r="S538" i="9" s="1"/>
  <c r="H595" i="9"/>
  <c r="L771" i="9"/>
  <c r="N933" i="9"/>
  <c r="I1378" i="9"/>
  <c r="H1276" i="9"/>
  <c r="L1322" i="9"/>
  <c r="X1322" i="9" s="1"/>
  <c r="G495" i="9"/>
  <c r="O1052" i="9"/>
  <c r="H722" i="9"/>
  <c r="I467" i="9"/>
  <c r="M1540" i="9"/>
  <c r="I1100" i="9"/>
  <c r="K1397" i="9"/>
  <c r="G1126" i="9"/>
  <c r="S1126" i="9" s="1"/>
  <c r="K891" i="9"/>
  <c r="AF762" i="9"/>
  <c r="L315" i="9"/>
  <c r="Q1199" i="9"/>
  <c r="Q1307" i="9"/>
  <c r="K658" i="9"/>
  <c r="P1019" i="9"/>
  <c r="P317" i="9"/>
  <c r="P333" i="9" s="1"/>
  <c r="AB333" i="9" s="1"/>
  <c r="K535" i="9"/>
  <c r="K536" i="9" s="1"/>
  <c r="W536" i="9" s="1"/>
  <c r="I511" i="9"/>
  <c r="I611" i="9"/>
  <c r="R479" i="9"/>
  <c r="H1552" i="9"/>
  <c r="AF987" i="9"/>
  <c r="N1270" i="9"/>
  <c r="N1271" i="9" s="1"/>
  <c r="Z1271" i="9" s="1"/>
  <c r="AF566" i="9"/>
  <c r="AF1417" i="9"/>
  <c r="K1420" i="9"/>
  <c r="W1420" i="9" s="1"/>
  <c r="K1359" i="9"/>
  <c r="K1360" i="9" s="1"/>
  <c r="W1360" i="9" s="1"/>
  <c r="N1102" i="9"/>
  <c r="AF1359" i="9"/>
  <c r="H1322" i="9"/>
  <c r="T1322" i="9" s="1"/>
  <c r="Q1270" i="9"/>
  <c r="O933" i="9"/>
  <c r="R345" i="9"/>
  <c r="J1005" i="9"/>
  <c r="AF1570" i="9"/>
  <c r="O1114" i="9"/>
  <c r="AF1179" i="9"/>
  <c r="G1454" i="9"/>
  <c r="O1552" i="9"/>
  <c r="K1574" i="9"/>
  <c r="L1497" i="9"/>
  <c r="P1542" i="9"/>
  <c r="K866" i="9"/>
  <c r="AF396" i="9"/>
  <c r="M921" i="9"/>
  <c r="M922" i="9" s="1"/>
  <c r="I659" i="9"/>
  <c r="O639" i="9"/>
  <c r="O640" i="9" s="1"/>
  <c r="J967" i="9"/>
  <c r="Q646" i="9"/>
  <c r="K1348" i="9"/>
  <c r="L882" i="9"/>
  <c r="K1111" i="9"/>
  <c r="Q1258" i="9"/>
  <c r="M956" i="9"/>
  <c r="J462" i="9"/>
  <c r="R572" i="9"/>
  <c r="G373" i="9"/>
  <c r="I1300" i="9"/>
  <c r="G1148" i="9"/>
  <c r="K1005" i="9"/>
  <c r="M664" i="9"/>
  <c r="G578" i="9"/>
  <c r="G579" i="9" s="1"/>
  <c r="J839" i="9"/>
  <c r="G1296" i="9"/>
  <c r="K840" i="9"/>
  <c r="R317" i="9"/>
  <c r="R342" i="9" s="1"/>
  <c r="P1136" i="9"/>
  <c r="Q1402" i="9"/>
  <c r="Q1403" i="9" s="1"/>
  <c r="AC1403" i="9" s="1"/>
  <c r="M1103" i="9"/>
  <c r="P1150" i="9"/>
  <c r="G590" i="9"/>
  <c r="M633" i="9"/>
  <c r="J1105" i="9"/>
  <c r="Q791" i="9"/>
  <c r="M1345" i="9"/>
  <c r="J1509" i="9"/>
  <c r="M1506" i="9"/>
  <c r="I692" i="9"/>
  <c r="K667" i="9"/>
  <c r="K1052" i="9"/>
  <c r="P1493" i="9"/>
  <c r="P954" i="9"/>
  <c r="I1521" i="9"/>
  <c r="P1381" i="9"/>
  <c r="Q1100" i="9"/>
  <c r="O765" i="9"/>
  <c r="H1149" i="9"/>
  <c r="I1007" i="9"/>
  <c r="P808" i="9"/>
  <c r="N1007" i="9"/>
  <c r="K1250" i="9"/>
  <c r="J1444" i="9"/>
  <c r="P832" i="9"/>
  <c r="AB832" i="9" s="1"/>
  <c r="H466" i="9"/>
  <c r="J382" i="9"/>
  <c r="K1411" i="9"/>
  <c r="M1111" i="9"/>
  <c r="M1225" i="9"/>
  <c r="O1103" i="9"/>
  <c r="K924" i="9"/>
  <c r="AF1374" i="9"/>
  <c r="R673" i="9"/>
  <c r="J338" i="9"/>
  <c r="V338" i="9" s="1"/>
  <c r="J1199" i="9"/>
  <c r="H1183" i="9"/>
  <c r="Q1221" i="9"/>
  <c r="H1448" i="9"/>
  <c r="Q1206" i="9"/>
  <c r="N417" i="9"/>
  <c r="R1477" i="9"/>
  <c r="H1105" i="9"/>
  <c r="Q987" i="9"/>
  <c r="H1298" i="9"/>
  <c r="G1068" i="9"/>
  <c r="M314" i="9"/>
  <c r="L346" i="9"/>
  <c r="J1209" i="9"/>
  <c r="M1476" i="9"/>
  <c r="R1448" i="9"/>
  <c r="H1085" i="9"/>
  <c r="M1399" i="9"/>
  <c r="H833" i="9"/>
  <c r="N612" i="9"/>
  <c r="I759" i="9"/>
  <c r="Q445" i="9"/>
  <c r="R1185" i="9"/>
  <c r="O1068" i="9"/>
  <c r="I1232" i="9"/>
  <c r="P1152" i="9"/>
  <c r="J777" i="9"/>
  <c r="J1163" i="9"/>
  <c r="O587" i="9"/>
  <c r="AA587" i="9" s="1"/>
  <c r="R413" i="9"/>
  <c r="R1555" i="9"/>
  <c r="O1574" i="9"/>
  <c r="K927" i="9"/>
  <c r="H817" i="9"/>
  <c r="R780" i="9"/>
  <c r="J1541" i="9"/>
  <c r="M463" i="9"/>
  <c r="P658" i="9"/>
  <c r="M1251" i="9"/>
  <c r="O1059" i="9"/>
  <c r="M1577" i="9"/>
  <c r="L545" i="9"/>
  <c r="N1428" i="9"/>
  <c r="I1087" i="9"/>
  <c r="M1322" i="9"/>
  <c r="Y1322" i="9" s="1"/>
  <c r="P1232" i="9"/>
  <c r="P961" i="9"/>
  <c r="R314" i="9"/>
  <c r="AF572" i="9"/>
  <c r="Q805" i="9"/>
  <c r="AF1503" i="9"/>
  <c r="L1178" i="9"/>
  <c r="O1252" i="9"/>
  <c r="O1268" i="9" s="1"/>
  <c r="AA1268" i="9" s="1"/>
  <c r="R1005" i="9"/>
  <c r="G1197" i="9"/>
  <c r="I312" i="9"/>
  <c r="K609" i="9"/>
  <c r="M1157" i="9"/>
  <c r="AF1066" i="9"/>
  <c r="G1273" i="9"/>
  <c r="S1273" i="9" s="1"/>
  <c r="N709" i="9"/>
  <c r="M1071" i="9"/>
  <c r="P953" i="9"/>
  <c r="L332" i="9"/>
  <c r="M426" i="9"/>
  <c r="M958" i="9"/>
  <c r="N758" i="9"/>
  <c r="I1322" i="9"/>
  <c r="U1322" i="9" s="1"/>
  <c r="J1512" i="9"/>
  <c r="I859" i="9"/>
  <c r="G1065" i="9"/>
  <c r="M1166" i="9"/>
  <c r="H615" i="9"/>
  <c r="O742" i="9"/>
  <c r="L1246" i="9"/>
  <c r="H1062" i="9"/>
  <c r="K1417" i="9"/>
  <c r="O473" i="9"/>
  <c r="O474" i="9" s="1"/>
  <c r="AA474" i="9" s="1"/>
  <c r="J756" i="9"/>
  <c r="R587" i="9"/>
  <c r="AD587" i="9" s="1"/>
  <c r="K1496" i="9"/>
  <c r="N341" i="9"/>
  <c r="K1261" i="9"/>
  <c r="N1546" i="9"/>
  <c r="N1556" i="9" s="1"/>
  <c r="Z1556" i="9" s="1"/>
  <c r="M385" i="9"/>
  <c r="R744" i="9"/>
  <c r="N1472" i="9"/>
  <c r="N1473" i="9" s="1"/>
  <c r="AF781" i="9"/>
  <c r="I1546" i="9"/>
  <c r="I414" i="9"/>
  <c r="K1568" i="9"/>
  <c r="AF927" i="9"/>
  <c r="P1307" i="9"/>
  <c r="R1574" i="9"/>
  <c r="R954" i="9"/>
  <c r="K1460" i="9"/>
  <c r="K1461" i="9" s="1"/>
  <c r="J1445" i="9"/>
  <c r="O1151" i="9"/>
  <c r="N317" i="9"/>
  <c r="G1503" i="9"/>
  <c r="AF667" i="9"/>
  <c r="Q1344" i="9"/>
  <c r="N1397" i="9"/>
  <c r="AF392" i="9"/>
  <c r="Q888" i="9"/>
  <c r="R1506" i="9"/>
  <c r="I1457" i="9"/>
  <c r="J1225" i="9"/>
  <c r="L1013" i="9"/>
  <c r="P1255" i="9"/>
  <c r="H1232" i="9"/>
  <c r="O820" i="9"/>
  <c r="G639" i="9"/>
  <c r="O1346" i="9"/>
  <c r="O780" i="9"/>
  <c r="I1209" i="9"/>
  <c r="I1019" i="9"/>
  <c r="M1280" i="9"/>
  <c r="N618" i="9"/>
  <c r="L432" i="9"/>
  <c r="K664" i="9"/>
  <c r="J1500" i="9"/>
  <c r="N907" i="9"/>
  <c r="P1022" i="9"/>
  <c r="P1023" i="9" s="1"/>
  <c r="AB1023" i="9" s="1"/>
  <c r="G1577" i="9"/>
  <c r="Q341" i="9"/>
  <c r="G432" i="9"/>
  <c r="O366" i="9"/>
  <c r="M1350" i="9"/>
  <c r="N1127" i="9"/>
  <c r="O1071" i="9"/>
  <c r="P1463" i="9"/>
  <c r="N1036" i="9"/>
  <c r="M423" i="9"/>
  <c r="P1153" i="9"/>
  <c r="O520" i="9"/>
  <c r="M937" i="9"/>
  <c r="L1496" i="9"/>
  <c r="I1056" i="9"/>
  <c r="H1347" i="9"/>
  <c r="H1200" i="9"/>
  <c r="Q961" i="9"/>
  <c r="Q962" i="9" s="1"/>
  <c r="AC962" i="9" s="1"/>
  <c r="O1062" i="9"/>
  <c r="G1013" i="9"/>
  <c r="M1201" i="9"/>
  <c r="J1276" i="9"/>
  <c r="I854" i="9"/>
  <c r="G930" i="9"/>
  <c r="S930" i="9" s="1"/>
  <c r="P1036" i="9"/>
  <c r="K908" i="9"/>
  <c r="I417" i="9"/>
  <c r="P1270" i="9"/>
  <c r="K1051" i="9"/>
  <c r="O1183" i="9"/>
  <c r="P646" i="9"/>
  <c r="I686" i="9"/>
  <c r="K633" i="9"/>
  <c r="P835" i="9"/>
  <c r="AF1444" i="9"/>
  <c r="K937" i="9"/>
  <c r="I1252" i="9"/>
  <c r="I1074" i="9"/>
  <c r="P539" i="9"/>
  <c r="N398" i="9"/>
  <c r="L1019" i="9"/>
  <c r="P624" i="9"/>
  <c r="J688" i="9"/>
  <c r="Q1329" i="9"/>
  <c r="K1099" i="9"/>
  <c r="AF1363" i="9"/>
  <c r="O548" i="9"/>
  <c r="M957" i="9"/>
  <c r="R1010" i="9"/>
  <c r="K1199" i="9"/>
  <c r="H1374" i="9"/>
  <c r="AF341" i="9"/>
  <c r="AF579" i="9"/>
  <c r="I498" i="9"/>
  <c r="H388" i="9"/>
  <c r="T388" i="9" s="1"/>
  <c r="L317" i="9"/>
  <c r="L327" i="9" s="1"/>
  <c r="X327" i="9" s="1"/>
  <c r="AF1011" i="9"/>
  <c r="K986" i="9"/>
  <c r="G1414" i="9"/>
  <c r="M1521" i="9"/>
  <c r="R1221" i="9"/>
  <c r="O1019" i="9"/>
  <c r="H1332" i="9"/>
  <c r="N1261" i="9"/>
  <c r="O1150" i="9"/>
  <c r="AF1509" i="9"/>
  <c r="P1371" i="9"/>
  <c r="AB1371" i="9" s="1"/>
  <c r="L1153" i="9"/>
  <c r="G1460" i="9"/>
  <c r="G1417" i="9"/>
  <c r="R1454" i="9"/>
  <c r="AF1492" i="9"/>
  <c r="N1503" i="9"/>
  <c r="J1019" i="9"/>
  <c r="Q1575" i="9"/>
  <c r="Q832" i="9"/>
  <c r="AC832" i="9" s="1"/>
  <c r="R1176" i="9"/>
  <c r="N858" i="9"/>
  <c r="R532" i="9"/>
  <c r="K546" i="9"/>
  <c r="I1248" i="9"/>
  <c r="Q1577" i="9"/>
  <c r="K909" i="9"/>
  <c r="L737" i="9"/>
  <c r="L930" i="9"/>
  <c r="X930" i="9" s="1"/>
  <c r="I420" i="9"/>
  <c r="J1157" i="9"/>
  <c r="R1261" i="9"/>
  <c r="I964" i="9"/>
  <c r="R1157" i="9"/>
  <c r="R1158" i="9" s="1"/>
  <c r="AD1158" i="9" s="1"/>
  <c r="K1001" i="9"/>
  <c r="Q376" i="9"/>
  <c r="M859" i="9"/>
  <c r="J842" i="9"/>
  <c r="N1362" i="9"/>
  <c r="L832" i="9"/>
  <c r="X832" i="9" s="1"/>
  <c r="J979" i="9"/>
  <c r="V979" i="9" s="1"/>
  <c r="P339" i="9"/>
  <c r="Q429" i="9"/>
  <c r="Q430" i="9" s="1"/>
  <c r="I1078" i="9"/>
  <c r="K1330" i="9"/>
  <c r="I1350" i="9"/>
  <c r="M1362" i="9"/>
  <c r="K1365" i="9"/>
  <c r="N765" i="9"/>
  <c r="AF488" i="9"/>
  <c r="Q663" i="9"/>
  <c r="Q1123" i="9"/>
  <c r="N1276" i="9"/>
  <c r="N1372" i="9"/>
  <c r="Q1077" i="9"/>
  <c r="AC1077" i="9" s="1"/>
  <c r="N711" i="9"/>
  <c r="J610" i="9"/>
  <c r="O362" i="9"/>
  <c r="G609" i="9"/>
  <c r="M709" i="9"/>
  <c r="J1123" i="9"/>
  <c r="M857" i="9"/>
  <c r="M884" i="9"/>
  <c r="O489" i="9"/>
  <c r="R866" i="9"/>
  <c r="H575" i="9"/>
  <c r="G1198" i="9"/>
  <c r="H1295" i="9"/>
  <c r="H826" i="9"/>
  <c r="G863" i="9"/>
  <c r="O320" i="9"/>
  <c r="G692" i="9"/>
  <c r="P590" i="9"/>
  <c r="L989" i="9"/>
  <c r="Q1296" i="9"/>
  <c r="R1246" i="9"/>
  <c r="S1246" i="9" s="1"/>
  <c r="G446" i="9"/>
  <c r="J840" i="9"/>
  <c r="J908" i="9"/>
  <c r="I688" i="9"/>
  <c r="I689" i="9" s="1"/>
  <c r="J396" i="9"/>
  <c r="L829" i="9"/>
  <c r="K1542" i="9"/>
  <c r="M931" i="9"/>
  <c r="I1163" i="9"/>
  <c r="P685" i="9"/>
  <c r="AB685" i="9" s="1"/>
  <c r="O624" i="9"/>
  <c r="O1065" i="9"/>
  <c r="R711" i="9"/>
  <c r="N1104" i="9"/>
  <c r="Q1038" i="9"/>
  <c r="R1203" i="9"/>
  <c r="K572" i="9"/>
  <c r="P734" i="9"/>
  <c r="AB734" i="9" s="1"/>
  <c r="O511" i="9"/>
  <c r="N590" i="9"/>
  <c r="N1411" i="9"/>
  <c r="N1412" i="9" s="1"/>
  <c r="J523" i="9"/>
  <c r="J524" i="9" s="1"/>
  <c r="V524" i="9" s="1"/>
  <c r="P1105" i="9"/>
  <c r="H1101" i="9"/>
  <c r="K429" i="9"/>
  <c r="N744" i="9"/>
  <c r="O712" i="9"/>
  <c r="AF1354" i="9"/>
  <c r="P470" i="9"/>
  <c r="J907" i="9"/>
  <c r="M1454" i="9"/>
  <c r="P1299" i="9"/>
  <c r="I860" i="9"/>
  <c r="R805" i="9"/>
  <c r="S805" i="9" s="1"/>
  <c r="M840" i="9"/>
  <c r="O860" i="9"/>
  <c r="H1234" i="9"/>
  <c r="M1005" i="9"/>
  <c r="H863" i="9"/>
  <c r="Q1200" i="9"/>
  <c r="I1296" i="9"/>
  <c r="G1054" i="9"/>
  <c r="K1248" i="9"/>
  <c r="N1225" i="9"/>
  <c r="K961" i="9"/>
  <c r="J479" i="9"/>
  <c r="H709" i="9"/>
  <c r="Q363" i="9"/>
  <c r="N1348" i="9"/>
  <c r="I940" i="9"/>
  <c r="K1074" i="9"/>
  <c r="J1126" i="9"/>
  <c r="V1126" i="9" s="1"/>
  <c r="I1443" i="9"/>
  <c r="P710" i="9"/>
  <c r="Q1183" i="9"/>
  <c r="K396" i="9"/>
  <c r="AF1246" i="9"/>
  <c r="G1176" i="9"/>
  <c r="N918" i="9"/>
  <c r="J1054" i="9"/>
  <c r="J761" i="9"/>
  <c r="I884" i="9"/>
  <c r="AF611" i="9"/>
  <c r="P810" i="9"/>
  <c r="AF1124" i="9"/>
  <c r="R1353" i="9"/>
  <c r="M820" i="9"/>
  <c r="M821" i="9" s="1"/>
  <c r="Y821" i="9" s="1"/>
  <c r="H1175" i="9"/>
  <c r="T1175" i="9" s="1"/>
  <c r="M989" i="9"/>
  <c r="P695" i="9"/>
  <c r="P970" i="9"/>
  <c r="P587" i="9"/>
  <c r="AB587" i="9" s="1"/>
  <c r="M561" i="9"/>
  <c r="P1123" i="9"/>
  <c r="AF1112" i="9"/>
  <c r="J1526" i="9"/>
  <c r="M373" i="9"/>
  <c r="I1176" i="9"/>
  <c r="I1500" i="9"/>
  <c r="AF1447" i="9"/>
  <c r="AF576" i="9"/>
  <c r="J335" i="9"/>
  <c r="J336" i="9" s="1"/>
  <c r="V336" i="9" s="1"/>
  <c r="M1347" i="9"/>
  <c r="AF905" i="9"/>
  <c r="G790" i="9"/>
  <c r="AF466" i="9"/>
  <c r="N1491" i="9"/>
  <c r="O1003" i="9"/>
  <c r="AF1546" i="9"/>
  <c r="AF365" i="9"/>
  <c r="P1010" i="9"/>
  <c r="N560" i="9"/>
  <c r="L1035" i="9"/>
  <c r="AF491" i="9"/>
  <c r="Q1570" i="9"/>
  <c r="J889" i="9"/>
  <c r="G1080" i="9"/>
  <c r="G1267" i="9"/>
  <c r="P956" i="9"/>
  <c r="N562" i="9"/>
  <c r="R311" i="9"/>
  <c r="S311" i="9" s="1"/>
  <c r="O664" i="9"/>
  <c r="G1300" i="9"/>
  <c r="M808" i="9"/>
  <c r="I1568" i="9"/>
  <c r="O1395" i="9"/>
  <c r="I1002" i="9"/>
  <c r="J1052" i="9"/>
  <c r="R388" i="9"/>
  <c r="AD388" i="9" s="1"/>
  <c r="O1157" i="9"/>
  <c r="AF587" i="9"/>
  <c r="P1178" i="9"/>
  <c r="Q1036" i="9"/>
  <c r="R905" i="9"/>
  <c r="R1004" i="9"/>
  <c r="J376" i="9"/>
  <c r="AF903" i="9"/>
  <c r="K513" i="9"/>
  <c r="M906" i="9"/>
  <c r="K1477" i="9"/>
  <c r="L564" i="9"/>
  <c r="M1068" i="9"/>
  <c r="H784" i="9"/>
  <c r="H670" i="9"/>
  <c r="L676" i="9"/>
  <c r="R1077" i="9"/>
  <c r="AD1077" i="9" s="1"/>
  <c r="O1345" i="9"/>
  <c r="O1051" i="9"/>
  <c r="J1346" i="9"/>
  <c r="R927" i="9"/>
  <c r="O679" i="9"/>
  <c r="P512" i="9"/>
  <c r="O918" i="9"/>
  <c r="K1056" i="9"/>
  <c r="P979" i="9"/>
  <c r="AB979" i="9" s="1"/>
  <c r="I1077" i="9"/>
  <c r="U1077" i="9" s="1"/>
  <c r="J467" i="9"/>
  <c r="N688" i="9"/>
  <c r="N689" i="9" s="1"/>
  <c r="N1062" i="9"/>
  <c r="P1234" i="9"/>
  <c r="G1005" i="9"/>
  <c r="P786" i="9"/>
  <c r="H1577" i="9"/>
  <c r="M1299" i="9"/>
  <c r="M514" i="9"/>
  <c r="N1371" i="9"/>
  <c r="Z1371" i="9" s="1"/>
  <c r="O1567" i="9"/>
  <c r="AA1567" i="9" s="1"/>
  <c r="P1004" i="9"/>
  <c r="M889" i="9"/>
  <c r="G884" i="9"/>
  <c r="R445" i="9"/>
  <c r="N1185" i="9"/>
  <c r="Q511" i="9"/>
  <c r="AF1446" i="9"/>
  <c r="G1006" i="9"/>
  <c r="I1231" i="9"/>
  <c r="J1558" i="9"/>
  <c r="I1299" i="9"/>
  <c r="L621" i="9"/>
  <c r="P569" i="9"/>
  <c r="AF473" i="9"/>
  <c r="G970" i="9"/>
  <c r="G1359" i="9"/>
  <c r="H1154" i="9"/>
  <c r="M1526" i="9"/>
  <c r="H572" i="9"/>
  <c r="P1101" i="9"/>
  <c r="L1077" i="9"/>
  <c r="X1077" i="9" s="1"/>
  <c r="P1420" i="9"/>
  <c r="AB1420" i="9" s="1"/>
  <c r="M1567" i="9"/>
  <c r="Y1567" i="9" s="1"/>
  <c r="M1248" i="9"/>
  <c r="M882" i="9"/>
  <c r="K940" i="9"/>
  <c r="I1577" i="9"/>
  <c r="M780" i="9"/>
  <c r="K1178" i="9"/>
  <c r="N639" i="9"/>
  <c r="N1212" i="9"/>
  <c r="J1381" i="9"/>
  <c r="O312" i="9"/>
  <c r="I339" i="9"/>
  <c r="P367" i="9"/>
  <c r="J878" i="9"/>
  <c r="N1025" i="9"/>
  <c r="N1494" i="9"/>
  <c r="N1178" i="9"/>
  <c r="G783" i="9"/>
  <c r="S783" i="9" s="1"/>
  <c r="G1103" i="9"/>
  <c r="O693" i="9"/>
  <c r="J578" i="9"/>
  <c r="R1028" i="9"/>
  <c r="AD1028" i="9" s="1"/>
  <c r="N345" i="9"/>
  <c r="P1281" i="9"/>
  <c r="M1448" i="9"/>
  <c r="AF957" i="9"/>
  <c r="N1133" i="9"/>
  <c r="O1466" i="9"/>
  <c r="R1108" i="9"/>
  <c r="R1109" i="9" s="1"/>
  <c r="AD1109" i="9" s="1"/>
  <c r="P1104" i="9"/>
  <c r="M768" i="9"/>
  <c r="H541" i="9"/>
  <c r="H1316" i="9"/>
  <c r="AF1025" i="9"/>
  <c r="Q1114" i="9"/>
  <c r="Q1115" i="9" s="1"/>
  <c r="AC1115" i="9" s="1"/>
  <c r="Q808" i="9"/>
  <c r="G1301" i="9"/>
  <c r="G644" i="9"/>
  <c r="M872" i="9"/>
  <c r="M873" i="9" s="1"/>
  <c r="K1059" i="9"/>
  <c r="Q863" i="9"/>
  <c r="H1028" i="9"/>
  <c r="T1028" i="9" s="1"/>
  <c r="K1249" i="9"/>
  <c r="O1549" i="9"/>
  <c r="N1005" i="9"/>
  <c r="AF970" i="9"/>
  <c r="AF395" i="9"/>
  <c r="H1296" i="9"/>
  <c r="Q1460" i="9"/>
  <c r="P1372" i="9"/>
  <c r="AF726" i="9"/>
  <c r="AF1001" i="9"/>
  <c r="Q482" i="9"/>
  <c r="I1497" i="9"/>
  <c r="AF723" i="9"/>
  <c r="R1515" i="9"/>
  <c r="I382" i="9"/>
  <c r="M952" i="9"/>
  <c r="Q1362" i="9"/>
  <c r="H1356" i="9"/>
  <c r="AF1518" i="9"/>
  <c r="H1460" i="9"/>
  <c r="AF1406" i="9"/>
  <c r="AF1172" i="9"/>
  <c r="I313" i="9"/>
  <c r="R590" i="9"/>
  <c r="R591" i="9" s="1"/>
  <c r="R417" i="9"/>
  <c r="K1518" i="9"/>
  <c r="W1518" i="9" s="1"/>
  <c r="L1281" i="9"/>
  <c r="I1301" i="9"/>
  <c r="H673" i="9"/>
  <c r="L1001" i="9"/>
  <c r="J1151" i="9"/>
  <c r="O1169" i="9"/>
  <c r="O1170" i="9" s="1"/>
  <c r="AA1170" i="9" s="1"/>
  <c r="Q566" i="9"/>
  <c r="K1234" i="9"/>
  <c r="R1251" i="9"/>
  <c r="I338" i="9"/>
  <c r="U338" i="9" s="1"/>
  <c r="K1200" i="9"/>
  <c r="L1209" i="9"/>
  <c r="M1405" i="9"/>
  <c r="K1028" i="9"/>
  <c r="W1028" i="9" s="1"/>
  <c r="K1394" i="9"/>
  <c r="R688" i="9"/>
  <c r="P637" i="9"/>
  <c r="K385" i="9"/>
  <c r="O1006" i="9"/>
  <c r="N1396" i="9"/>
  <c r="H1111" i="9"/>
  <c r="K881" i="9"/>
  <c r="W881" i="9" s="1"/>
  <c r="I760" i="9"/>
  <c r="Q1136" i="9"/>
  <c r="N432" i="9"/>
  <c r="P1345" i="9"/>
  <c r="P1218" i="9"/>
  <c r="H1496" i="9"/>
  <c r="O1330" i="9"/>
  <c r="H339" i="9"/>
  <c r="H888" i="9"/>
  <c r="L741" i="9"/>
  <c r="R931" i="9"/>
  <c r="M741" i="9"/>
  <c r="Q1347" i="9"/>
  <c r="K1100" i="9"/>
  <c r="R610" i="9"/>
  <c r="L664" i="9"/>
  <c r="L973" i="9"/>
  <c r="K1104" i="9"/>
  <c r="H1365" i="9"/>
  <c r="P476" i="9"/>
  <c r="P1393" i="9"/>
  <c r="J1322" i="9"/>
  <c r="V1322" i="9" s="1"/>
  <c r="G363" i="9"/>
  <c r="R446" i="9"/>
  <c r="I858" i="9"/>
  <c r="N915" i="9"/>
  <c r="Q980" i="9"/>
  <c r="G1443" i="9"/>
  <c r="L520" i="9"/>
  <c r="L521" i="9" s="1"/>
  <c r="X521" i="9" s="1"/>
  <c r="M912" i="9"/>
  <c r="M913" i="9" s="1"/>
  <c r="Y913" i="9" s="1"/>
  <c r="R1100" i="9"/>
  <c r="N473" i="9"/>
  <c r="M464" i="9"/>
  <c r="I1052" i="9"/>
  <c r="J909" i="9"/>
  <c r="R1397" i="9"/>
  <c r="N1528" i="9"/>
  <c r="R889" i="9"/>
  <c r="P463" i="9"/>
  <c r="AF1408" i="9"/>
  <c r="N423" i="9"/>
  <c r="I1154" i="9"/>
  <c r="P1348" i="9"/>
  <c r="O924" i="9"/>
  <c r="O1497" i="9"/>
  <c r="H820" i="9"/>
  <c r="M488" i="9"/>
  <c r="Y488" i="9" s="1"/>
  <c r="J1542" i="9"/>
  <c r="L1297" i="9"/>
  <c r="P1248" i="9"/>
  <c r="N1003" i="9"/>
  <c r="M878" i="9"/>
  <c r="I432" i="9"/>
  <c r="J713" i="9"/>
  <c r="M1379" i="9"/>
  <c r="H1068" i="9"/>
  <c r="O909" i="9"/>
  <c r="O1304" i="9"/>
  <c r="AF1026" i="9"/>
  <c r="M793" i="9"/>
  <c r="Q662" i="9"/>
  <c r="M364" i="9"/>
  <c r="J1568" i="9"/>
  <c r="O1398" i="9"/>
  <c r="Q1002" i="9"/>
  <c r="G1085" i="9"/>
  <c r="P461" i="9"/>
  <c r="N839" i="9"/>
  <c r="J538" i="9"/>
  <c r="V538" i="9" s="1"/>
  <c r="R1150" i="9"/>
  <c r="J958" i="9"/>
  <c r="G1428" i="9"/>
  <c r="O673" i="9"/>
  <c r="I1477" i="9"/>
  <c r="G385" i="9"/>
  <c r="J757" i="9"/>
  <c r="Q464" i="9"/>
  <c r="L1267" i="9"/>
  <c r="G1427" i="9"/>
  <c r="O1029" i="9"/>
  <c r="Q682" i="9"/>
  <c r="L1444" i="9"/>
  <c r="P967" i="9"/>
  <c r="P968" i="9" s="1"/>
  <c r="AB968" i="9" s="1"/>
  <c r="N1150" i="9"/>
  <c r="N1166" i="9"/>
  <c r="O1120" i="9"/>
  <c r="G806" i="9"/>
  <c r="J1212" i="9"/>
  <c r="I982" i="9"/>
  <c r="P1427" i="9"/>
  <c r="H973" i="9"/>
  <c r="G1136" i="9"/>
  <c r="O857" i="9"/>
  <c r="J835" i="9"/>
  <c r="G759" i="9"/>
  <c r="N621" i="9"/>
  <c r="R1466" i="9"/>
  <c r="N1420" i="9"/>
  <c r="Z1420" i="9" s="1"/>
  <c r="O1136" i="9"/>
  <c r="O633" i="9"/>
  <c r="M412" i="9"/>
  <c r="G398" i="9"/>
  <c r="K448" i="9"/>
  <c r="I1356" i="9"/>
  <c r="I1357" i="9" s="1"/>
  <c r="U1357" i="9" s="1"/>
  <c r="G1515" i="9"/>
  <c r="AF373" i="9"/>
  <c r="M1463" i="9"/>
  <c r="J1492" i="9"/>
  <c r="M1319" i="9"/>
  <c r="M1344" i="9"/>
  <c r="AF1072" i="9"/>
  <c r="G768" i="9"/>
  <c r="L1059" i="9"/>
  <c r="M1541" i="9"/>
  <c r="H835" i="9"/>
  <c r="K1427" i="9"/>
  <c r="AF855" i="9"/>
  <c r="J1201" i="9"/>
  <c r="H1521" i="9"/>
  <c r="H1297" i="9"/>
  <c r="G1319" i="9"/>
  <c r="P930" i="9"/>
  <c r="AB930" i="9" s="1"/>
  <c r="H1417" i="9"/>
  <c r="I1359" i="9"/>
  <c r="I1360" i="9" s="1"/>
  <c r="U1360" i="9" s="1"/>
  <c r="L1232" i="9"/>
  <c r="G855" i="9"/>
  <c r="M1051" i="9"/>
  <c r="Q1541" i="9"/>
  <c r="J1036" i="9"/>
  <c r="O771" i="9"/>
  <c r="J921" i="9"/>
  <c r="K1053" i="9"/>
  <c r="I465" i="9"/>
  <c r="M1199" i="9"/>
  <c r="G954" i="9"/>
  <c r="J1365" i="9"/>
  <c r="Q1104" i="9"/>
  <c r="Q526" i="9"/>
  <c r="Q527" i="9" s="1"/>
  <c r="AC527" i="9" s="1"/>
  <c r="N595" i="9"/>
  <c r="I621" i="9"/>
  <c r="O396" i="9"/>
  <c r="N1332" i="9"/>
  <c r="J938" i="9"/>
  <c r="M1080" i="9"/>
  <c r="K1552" i="9"/>
  <c r="O761" i="9"/>
  <c r="G938" i="9"/>
  <c r="J461" i="9"/>
  <c r="Q661" i="9"/>
  <c r="R1074" i="9"/>
  <c r="G1248" i="9"/>
  <c r="H866" i="9"/>
  <c r="R953" i="9"/>
  <c r="I320" i="9"/>
  <c r="L1028" i="9"/>
  <c r="X1028" i="9" s="1"/>
  <c r="I780" i="9"/>
  <c r="G1313" i="9"/>
  <c r="I1038" i="9"/>
  <c r="J1003" i="9"/>
  <c r="K980" i="9"/>
  <c r="L774" i="9"/>
  <c r="L775" i="9" s="1"/>
  <c r="J807" i="9"/>
  <c r="P756" i="9"/>
  <c r="H869" i="9"/>
  <c r="R1031" i="9"/>
  <c r="R1032" i="9" s="1"/>
  <c r="I1319" i="9"/>
  <c r="O627" i="9"/>
  <c r="R1019" i="9"/>
  <c r="P708" i="9"/>
  <c r="I1396" i="9"/>
  <c r="AF810" i="9"/>
  <c r="N860" i="9"/>
  <c r="O335" i="9"/>
  <c r="L712" i="9"/>
  <c r="Q1126" i="9"/>
  <c r="AC1126" i="9" s="1"/>
  <c r="K1221" i="9"/>
  <c r="K722" i="9"/>
  <c r="P416" i="9"/>
  <c r="G563" i="9"/>
  <c r="P1103" i="9"/>
  <c r="O1379" i="9"/>
  <c r="O1099" i="9"/>
  <c r="P904" i="9"/>
  <c r="R710" i="9"/>
  <c r="P682" i="9"/>
  <c r="M1001" i="9"/>
  <c r="AF1002" i="9"/>
  <c r="R637" i="9"/>
  <c r="O1126" i="9"/>
  <c r="AA1126" i="9" s="1"/>
  <c r="N817" i="9"/>
  <c r="Q842" i="9"/>
  <c r="L636" i="9"/>
  <c r="X636" i="9" s="1"/>
  <c r="L833" i="9"/>
  <c r="AF1201" i="9"/>
  <c r="H1005" i="9"/>
  <c r="J1427" i="9"/>
  <c r="Q1542" i="9"/>
  <c r="K682" i="9"/>
  <c r="K676" i="9"/>
  <c r="Q1398" i="9"/>
  <c r="AF809" i="9"/>
  <c r="P1099" i="9"/>
  <c r="N768" i="9"/>
  <c r="H987" i="9"/>
  <c r="I807" i="9"/>
  <c r="I562" i="9"/>
  <c r="R758" i="9"/>
  <c r="R498" i="9"/>
  <c r="G1087" i="9"/>
  <c r="G973" i="9"/>
  <c r="G974" i="9" s="1"/>
  <c r="S974" i="9" s="1"/>
  <c r="H1349" i="9"/>
  <c r="P976" i="9"/>
  <c r="N857" i="9"/>
  <c r="J829" i="9"/>
  <c r="Q637" i="9"/>
  <c r="P1428" i="9"/>
  <c r="K1349" i="9"/>
  <c r="H855" i="9"/>
  <c r="L1085" i="9"/>
  <c r="H742" i="9"/>
  <c r="P445" i="9"/>
  <c r="H1099" i="9"/>
  <c r="J529" i="9"/>
  <c r="R1104" i="9"/>
  <c r="L927" i="9"/>
  <c r="G1350" i="9"/>
  <c r="K1002" i="9"/>
  <c r="H1176" i="9"/>
  <c r="N1349" i="9"/>
  <c r="I907" i="9"/>
  <c r="G1356" i="9"/>
  <c r="M365" i="9"/>
  <c r="M970" i="9"/>
  <c r="I548" i="9"/>
  <c r="G561" i="9"/>
  <c r="O561" i="9"/>
  <c r="H1451" i="9"/>
  <c r="M1420" i="9"/>
  <c r="Y1420" i="9" s="1"/>
  <c r="L904" i="9"/>
  <c r="I1169" i="9"/>
  <c r="O735" i="9"/>
  <c r="N412" i="9"/>
  <c r="AF725" i="9"/>
  <c r="M416" i="9"/>
  <c r="K391" i="9"/>
  <c r="K392" i="9" s="1"/>
  <c r="N725" i="9"/>
  <c r="G719" i="9"/>
  <c r="G464" i="9"/>
  <c r="P1495" i="9"/>
  <c r="Q1310" i="9"/>
  <c r="Q1212" i="9"/>
  <c r="Q1250" i="9"/>
  <c r="AF545" i="9"/>
  <c r="Q1313" i="9"/>
  <c r="K1283" i="9"/>
  <c r="R1568" i="9"/>
  <c r="G980" i="9"/>
  <c r="R1346" i="9"/>
  <c r="AF1014" i="9"/>
  <c r="G1561" i="9"/>
  <c r="AF536" i="9"/>
  <c r="P1466" i="9"/>
  <c r="R545" i="9"/>
  <c r="L1252" i="9"/>
  <c r="P1460" i="9"/>
  <c r="M1353" i="9"/>
  <c r="I970" i="9"/>
  <c r="L1408" i="9"/>
  <c r="R1399" i="9"/>
  <c r="R1445" i="9"/>
  <c r="N1353" i="9"/>
  <c r="P1126" i="9"/>
  <c r="AB1126" i="9" s="1"/>
  <c r="Q1006" i="9"/>
  <c r="J1398" i="9"/>
  <c r="K1085" i="9"/>
  <c r="K1185" i="9"/>
  <c r="M526" i="9"/>
  <c r="L817" i="9"/>
  <c r="K1129" i="9"/>
  <c r="J954" i="9"/>
  <c r="G1249" i="9"/>
  <c r="P1246" i="9"/>
  <c r="J881" i="9"/>
  <c r="V881" i="9" s="1"/>
  <c r="Q790" i="9"/>
  <c r="P791" i="9"/>
  <c r="N615" i="9"/>
  <c r="L597" i="9"/>
  <c r="R820" i="9"/>
  <c r="P1258" i="9"/>
  <c r="M924" i="9"/>
  <c r="M925" i="9" s="1"/>
  <c r="Y925" i="9" s="1"/>
  <c r="H915" i="9"/>
  <c r="J1313" i="9"/>
  <c r="O774" i="9"/>
  <c r="N1251" i="9"/>
  <c r="G498" i="9"/>
  <c r="P882" i="9"/>
  <c r="J1071" i="9"/>
  <c r="P1330" i="9"/>
  <c r="P1206" i="9"/>
  <c r="G823" i="9"/>
  <c r="I413" i="9"/>
  <c r="J758" i="9"/>
  <c r="I1224" i="9"/>
  <c r="U1224" i="9" s="1"/>
  <c r="K1442" i="9"/>
  <c r="G839" i="9"/>
  <c r="L1255" i="9"/>
  <c r="N1002" i="9"/>
  <c r="M760" i="9"/>
  <c r="P940" i="9"/>
  <c r="H1248" i="9"/>
  <c r="N1006" i="9"/>
  <c r="P905" i="9"/>
  <c r="J1494" i="9"/>
  <c r="Q1372" i="9"/>
  <c r="K860" i="9"/>
  <c r="K1078" i="9"/>
  <c r="AF938" i="9"/>
  <c r="N1574" i="9"/>
  <c r="I1313" i="9"/>
  <c r="O989" i="9"/>
  <c r="H335" i="9"/>
  <c r="J662" i="9"/>
  <c r="K1225" i="9"/>
  <c r="H526" i="9"/>
  <c r="H527" i="9" s="1"/>
  <c r="T527" i="9" s="1"/>
  <c r="O806" i="9"/>
  <c r="Q856" i="9"/>
  <c r="I835" i="9"/>
  <c r="M1028" i="9"/>
  <c r="Y1028" i="9" s="1"/>
  <c r="R395" i="9"/>
  <c r="G909" i="9"/>
  <c r="I539" i="9"/>
  <c r="L1134" i="9"/>
  <c r="G1329" i="9"/>
  <c r="O807" i="9"/>
  <c r="G1019" i="9"/>
  <c r="H774" i="9"/>
  <c r="H918" i="9"/>
  <c r="Q708" i="9"/>
  <c r="N1549" i="9"/>
  <c r="I840" i="9"/>
  <c r="J957" i="9"/>
  <c r="Q1561" i="9"/>
  <c r="M742" i="9"/>
  <c r="G679" i="9"/>
  <c r="O759" i="9"/>
  <c r="H636" i="9"/>
  <c r="T636" i="9" s="1"/>
  <c r="I881" i="9"/>
  <c r="U881" i="9" s="1"/>
  <c r="Q780" i="9"/>
  <c r="P1038" i="9"/>
  <c r="Q1466" i="9"/>
  <c r="P464" i="9"/>
  <c r="R937" i="9"/>
  <c r="M762" i="9"/>
  <c r="H961" i="9"/>
  <c r="M1381" i="9"/>
  <c r="I1405" i="9"/>
  <c r="R1053" i="9"/>
  <c r="I595" i="9"/>
  <c r="M614" i="9"/>
  <c r="R1022" i="9"/>
  <c r="M875" i="9"/>
  <c r="M876" i="9" s="1"/>
  <c r="Y876" i="9" s="1"/>
  <c r="R930" i="9"/>
  <c r="AD930" i="9" s="1"/>
  <c r="G1479" i="9"/>
  <c r="Q840" i="9"/>
  <c r="H584" i="9"/>
  <c r="O1111" i="9"/>
  <c r="K734" i="9"/>
  <c r="W734" i="9" s="1"/>
  <c r="L1270" i="9"/>
  <c r="P903" i="9"/>
  <c r="K1175" i="9"/>
  <c r="W1175" i="9" s="1"/>
  <c r="P1561" i="9"/>
  <c r="M1466" i="9"/>
  <c r="R1232" i="9"/>
  <c r="O1479" i="9"/>
  <c r="O1185" i="9"/>
  <c r="L970" i="9"/>
  <c r="O1108" i="9"/>
  <c r="M532" i="9"/>
  <c r="K695" i="9"/>
  <c r="P1374" i="9"/>
  <c r="H1379" i="9"/>
  <c r="M1019" i="9"/>
  <c r="J1299" i="9"/>
  <c r="Q692" i="9"/>
  <c r="AF1207" i="9"/>
  <c r="H398" i="9"/>
  <c r="K1126" i="9"/>
  <c r="W1126" i="9" s="1"/>
  <c r="G1362" i="9"/>
  <c r="N1028" i="9"/>
  <c r="Z1028" i="9" s="1"/>
  <c r="N1199" i="9"/>
  <c r="J826" i="9"/>
  <c r="Q735" i="9"/>
  <c r="N496" i="9"/>
  <c r="L1395" i="9"/>
  <c r="J548" i="9"/>
  <c r="Q1304" i="9"/>
  <c r="P937" i="9"/>
  <c r="P1035" i="9"/>
  <c r="Q1448" i="9"/>
  <c r="G1397" i="9"/>
  <c r="P713" i="9"/>
  <c r="R396" i="9"/>
  <c r="G967" i="9"/>
  <c r="O762" i="9"/>
  <c r="L1105" i="9"/>
  <c r="K313" i="9"/>
  <c r="AF716" i="9"/>
  <c r="H1544" i="9"/>
  <c r="M1492" i="9"/>
  <c r="AF1371" i="9"/>
  <c r="N1568" i="9"/>
  <c r="L1323" i="9"/>
  <c r="L566" i="9"/>
  <c r="R1443" i="9"/>
  <c r="L311" i="9"/>
  <c r="J1402" i="9"/>
  <c r="K479" i="9"/>
  <c r="I1549" i="9"/>
  <c r="I1550" i="9" s="1"/>
  <c r="U1550" i="9" s="1"/>
  <c r="P811" i="9"/>
  <c r="Q1175" i="9"/>
  <c r="AC1175" i="9" s="1"/>
  <c r="N367" i="9"/>
  <c r="J1574" i="9"/>
  <c r="AF1004" i="9"/>
  <c r="Q1378" i="9"/>
  <c r="AF1411" i="9"/>
  <c r="AF811" i="9"/>
  <c r="P364" i="9"/>
  <c r="J1345" i="9"/>
  <c r="J1274" i="9"/>
  <c r="AF514" i="9"/>
  <c r="H1013" i="9"/>
  <c r="AF1395" i="9"/>
  <c r="P1457" i="9"/>
  <c r="H953" i="9"/>
  <c r="N716" i="9"/>
  <c r="L1221" i="9"/>
  <c r="K1160" i="9"/>
  <c r="K1161" i="9" s="1"/>
  <c r="W1161" i="9" s="1"/>
  <c r="I311" i="9"/>
  <c r="J783" i="9"/>
  <c r="V783" i="9" s="1"/>
  <c r="O614" i="9"/>
  <c r="G565" i="9"/>
  <c r="O1004" i="9"/>
  <c r="P613" i="9"/>
  <c r="L1056" i="9"/>
  <c r="L1063" i="9" s="1"/>
  <c r="X1063" i="9" s="1"/>
  <c r="K1476" i="9"/>
  <c r="R1111" i="9"/>
  <c r="R1112" i="9" s="1"/>
  <c r="AD1112" i="9" s="1"/>
  <c r="O1178" i="9"/>
  <c r="L416" i="9"/>
  <c r="K1300" i="9"/>
  <c r="J588" i="9"/>
  <c r="I954" i="9"/>
  <c r="G1077" i="9"/>
  <c r="S1077" i="9" s="1"/>
  <c r="P757" i="9"/>
  <c r="N1182" i="9"/>
  <c r="Q470" i="9"/>
  <c r="M839" i="9"/>
  <c r="J1378" i="9"/>
  <c r="H1555" i="9"/>
  <c r="O1540" i="9"/>
  <c r="G979" i="9"/>
  <c r="S979" i="9" s="1"/>
  <c r="I1307" i="9"/>
  <c r="K888" i="9"/>
  <c r="H1575" i="9"/>
  <c r="N840" i="9"/>
  <c r="I1325" i="9"/>
  <c r="R1182" i="9"/>
  <c r="H529" i="9"/>
  <c r="I741" i="9"/>
  <c r="P595" i="9"/>
  <c r="N587" i="9"/>
  <c r="Z587" i="9" s="1"/>
  <c r="P1541" i="9"/>
  <c r="Q989" i="9"/>
  <c r="I1362" i="9"/>
  <c r="J1202" i="9"/>
  <c r="L709" i="9"/>
  <c r="Q688" i="9"/>
  <c r="G1521" i="9"/>
  <c r="P1316" i="9"/>
  <c r="G933" i="9"/>
  <c r="G986" i="9"/>
  <c r="I1310" i="9"/>
  <c r="M728" i="9"/>
  <c r="M729" i="9" s="1"/>
  <c r="Y729" i="9" s="1"/>
  <c r="Q335" i="9"/>
  <c r="K709" i="9"/>
  <c r="P866" i="9"/>
  <c r="I1206" i="9"/>
  <c r="I1054" i="9"/>
  <c r="L823" i="9"/>
  <c r="AF1365" i="9"/>
  <c r="H563" i="9"/>
  <c r="Q667" i="9"/>
  <c r="N662" i="9"/>
  <c r="L1129" i="9"/>
  <c r="Q1013" i="9"/>
  <c r="M1172" i="9"/>
  <c r="M1300" i="9"/>
  <c r="Q1274" i="9"/>
  <c r="J1111" i="9"/>
  <c r="J1112" i="9" s="1"/>
  <c r="V1112" i="9" s="1"/>
  <c r="N719" i="9"/>
  <c r="AF321" i="9"/>
  <c r="M719" i="9"/>
  <c r="M720" i="9" s="1"/>
  <c r="Y720" i="9" s="1"/>
  <c r="R1127" i="9"/>
  <c r="P1201" i="9"/>
  <c r="H659" i="9"/>
  <c r="I708" i="9"/>
  <c r="R1126" i="9"/>
  <c r="AD1126" i="9" s="1"/>
  <c r="K465" i="9"/>
  <c r="G1442" i="9"/>
  <c r="I1349" i="9"/>
  <c r="L1108" i="9"/>
  <c r="L1175" i="9"/>
  <c r="X1175" i="9" s="1"/>
  <c r="N807" i="9"/>
  <c r="I470" i="9"/>
  <c r="G612" i="9"/>
  <c r="I1149" i="9"/>
  <c r="M1198" i="9"/>
  <c r="L857" i="9"/>
  <c r="N820" i="9"/>
  <c r="O1197" i="9"/>
  <c r="K735" i="9"/>
  <c r="Q952" i="9"/>
  <c r="R367" i="9"/>
  <c r="H842" i="9"/>
  <c r="L1006" i="9"/>
  <c r="R881" i="9"/>
  <c r="AD881" i="9" s="1"/>
  <c r="L811" i="9"/>
  <c r="G1200" i="9"/>
  <c r="R692" i="9"/>
  <c r="Q1496" i="9"/>
  <c r="G597" i="9"/>
  <c r="H491" i="9"/>
  <c r="H1542" i="9"/>
  <c r="N1273" i="9"/>
  <c r="Z1273" i="9" s="1"/>
  <c r="I891" i="9"/>
  <c r="G1105" i="9"/>
  <c r="G1564" i="9"/>
  <c r="N1296" i="9"/>
  <c r="J1443" i="9"/>
  <c r="G1160" i="9"/>
  <c r="J597" i="9"/>
  <c r="O495" i="9"/>
  <c r="N661" i="9"/>
  <c r="I1178" i="9"/>
  <c r="O1555" i="9"/>
  <c r="O1556" i="9" s="1"/>
  <c r="AA1556" i="9" s="1"/>
  <c r="M1104" i="9"/>
  <c r="J1136" i="9"/>
  <c r="P1447" i="9"/>
  <c r="Q940" i="9"/>
  <c r="M398" i="9"/>
  <c r="L1394" i="9"/>
  <c r="O987" i="9"/>
  <c r="M765" i="9"/>
  <c r="I904" i="9"/>
  <c r="K1414" i="9"/>
  <c r="J575" i="9"/>
  <c r="I476" i="9"/>
  <c r="M661" i="9"/>
  <c r="I682" i="9"/>
  <c r="H1169" i="9"/>
  <c r="H1362" i="9"/>
  <c r="O1353" i="9"/>
  <c r="I1153" i="9"/>
  <c r="N695" i="9"/>
  <c r="M389" i="9"/>
  <c r="H708" i="9"/>
  <c r="R538" i="9"/>
  <c r="AD538" i="9" s="1"/>
  <c r="G1381" i="9"/>
  <c r="L473" i="9"/>
  <c r="J643" i="9"/>
  <c r="L756" i="9"/>
  <c r="L1443" i="9"/>
  <c r="P1325" i="9"/>
  <c r="AF636" i="9"/>
  <c r="G1274" i="9"/>
  <c r="L1372" i="9"/>
  <c r="H937" i="9"/>
  <c r="AF1466" i="9"/>
  <c r="J1085" i="9"/>
  <c r="K1395" i="9"/>
  <c r="R1518" i="9"/>
  <c r="AD1518" i="9" s="1"/>
  <c r="J366" i="9"/>
  <c r="R363" i="9"/>
  <c r="K1153" i="9"/>
  <c r="N1323" i="9"/>
  <c r="L1552" i="9"/>
  <c r="M1325" i="9"/>
  <c r="M462" i="9"/>
  <c r="Q1209" i="9"/>
  <c r="M1472" i="9"/>
  <c r="M1473" i="9" s="1"/>
  <c r="AF760" i="9"/>
  <c r="H921" i="9"/>
  <c r="M1206" i="9"/>
  <c r="M1207" i="9" s="1"/>
  <c r="Y1207" i="9" s="1"/>
  <c r="N1202" i="9"/>
  <c r="K1362" i="9"/>
  <c r="Q488" i="9"/>
  <c r="AC488" i="9" s="1"/>
  <c r="G1368" i="9"/>
  <c r="P1503" i="9"/>
  <c r="P1504" i="9" s="1"/>
  <c r="AB1504" i="9" s="1"/>
  <c r="I955" i="9"/>
  <c r="L1365" i="9"/>
  <c r="I774" i="9"/>
  <c r="J875" i="9"/>
  <c r="R660" i="9"/>
  <c r="P707" i="9"/>
  <c r="M1394" i="9"/>
  <c r="Q1393" i="9"/>
  <c r="Q742" i="9"/>
  <c r="L1163" i="9"/>
  <c r="L1164" i="9" s="1"/>
  <c r="X1164" i="9" s="1"/>
  <c r="H489" i="9"/>
  <c r="M338" i="9"/>
  <c r="Y338" i="9" s="1"/>
  <c r="L329" i="9"/>
  <c r="N1103" i="9"/>
  <c r="O1087" i="9"/>
  <c r="G771" i="9"/>
  <c r="L1273" i="9"/>
  <c r="X1273" i="9" s="1"/>
  <c r="L1074" i="9"/>
  <c r="AF814" i="9"/>
  <c r="Q420" i="9"/>
  <c r="Q421" i="9" s="1"/>
  <c r="AC421" i="9" s="1"/>
  <c r="R791" i="9"/>
  <c r="H829" i="9"/>
  <c r="Q765" i="9"/>
  <c r="I1246" i="9"/>
  <c r="I986" i="9"/>
  <c r="R826" i="9"/>
  <c r="R827" i="9" s="1"/>
  <c r="AD827" i="9" s="1"/>
  <c r="I639" i="9"/>
  <c r="I640" i="9" s="1"/>
  <c r="J810" i="9"/>
  <c r="K725" i="9"/>
  <c r="R1323" i="9"/>
  <c r="G1123" i="9"/>
  <c r="I957" i="9"/>
  <c r="P1157" i="9"/>
  <c r="G686" i="9"/>
  <c r="M833" i="9"/>
  <c r="K614" i="9"/>
  <c r="H882" i="9"/>
  <c r="I1104" i="9"/>
  <c r="O1001" i="9"/>
  <c r="L1561" i="9"/>
  <c r="L1562" i="9" s="1"/>
  <c r="X1562" i="9" s="1"/>
  <c r="Q711" i="9"/>
  <c r="I627" i="9"/>
  <c r="Q973" i="9"/>
  <c r="H1398" i="9"/>
  <c r="Q829" i="9"/>
  <c r="N1221" i="9"/>
  <c r="G1506" i="9"/>
  <c r="I479" i="9"/>
  <c r="N811" i="9"/>
  <c r="K1325" i="9"/>
  <c r="Q314" i="9"/>
  <c r="O1503" i="9"/>
  <c r="O1258" i="9"/>
  <c r="H1258" i="9"/>
  <c r="K1004" i="9"/>
  <c r="K1103" i="9"/>
  <c r="AF520" i="9"/>
  <c r="O979" i="9"/>
  <c r="AA979" i="9" s="1"/>
  <c r="N1417" i="9"/>
  <c r="J987" i="9"/>
  <c r="O1201" i="9"/>
  <c r="G1270" i="9"/>
  <c r="O564" i="9"/>
  <c r="R485" i="9"/>
  <c r="G685" i="9"/>
  <c r="S685" i="9" s="1"/>
  <c r="AF738" i="9"/>
  <c r="L1065" i="9"/>
  <c r="L1066" i="9" s="1"/>
  <c r="X1066" i="9" s="1"/>
  <c r="J1330" i="9"/>
  <c r="K1071" i="9"/>
  <c r="K1408" i="9"/>
  <c r="K636" i="9"/>
  <c r="W636" i="9" s="1"/>
  <c r="K713" i="9"/>
  <c r="H1273" i="9"/>
  <c r="T1273" i="9" s="1"/>
  <c r="P771" i="9"/>
  <c r="L633" i="9"/>
  <c r="P1055" i="9"/>
  <c r="I1152" i="9"/>
  <c r="G957" i="9"/>
  <c r="Q737" i="9"/>
  <c r="O612" i="9"/>
  <c r="G1567" i="9"/>
  <c r="S1567" i="9" s="1"/>
  <c r="P1310" i="9"/>
  <c r="L961" i="9"/>
  <c r="O1074" i="9"/>
  <c r="J707" i="9"/>
  <c r="L663" i="9"/>
  <c r="M643" i="9"/>
  <c r="M396" i="9"/>
  <c r="L954" i="9"/>
  <c r="M1402" i="9"/>
  <c r="N1258" i="9"/>
  <c r="I1103" i="9"/>
  <c r="M312" i="9"/>
  <c r="L757" i="9"/>
  <c r="Q367" i="9"/>
  <c r="M807" i="9"/>
  <c r="N1381" i="9"/>
  <c r="Q1276" i="9"/>
  <c r="O1035" i="9"/>
  <c r="Q1007" i="9"/>
  <c r="Q1014" i="9" s="1"/>
  <c r="AC1014" i="9" s="1"/>
  <c r="N956" i="9"/>
  <c r="K1202" i="9"/>
  <c r="P1212" i="9"/>
  <c r="H1052" i="9"/>
  <c r="AF1521" i="9"/>
  <c r="N970" i="9"/>
  <c r="P711" i="9"/>
  <c r="O1344" i="9"/>
  <c r="M1056" i="9"/>
  <c r="M1066" i="9" s="1"/>
  <c r="Y1066" i="9" s="1"/>
  <c r="G1255" i="9"/>
  <c r="O1319" i="9"/>
  <c r="O1320" i="9" s="1"/>
  <c r="AA1320" i="9" s="1"/>
  <c r="P610" i="9"/>
  <c r="P1574" i="9"/>
  <c r="N1019" i="9"/>
  <c r="R884" i="9"/>
  <c r="H1540" i="9"/>
  <c r="L957" i="9"/>
  <c r="I915" i="9"/>
  <c r="N1152" i="9"/>
  <c r="AF442" i="9"/>
  <c r="AF1544" i="9"/>
  <c r="P529" i="9"/>
  <c r="P530" i="9" s="1"/>
  <c r="M1396" i="9"/>
  <c r="N644" i="9"/>
  <c r="Q1568" i="9"/>
  <c r="N707" i="9"/>
  <c r="P716" i="9"/>
  <c r="R1025" i="9"/>
  <c r="O1332" i="9"/>
  <c r="K811" i="9"/>
  <c r="K821" i="9" s="1"/>
  <c r="W821" i="9" s="1"/>
  <c r="P1120" i="9"/>
  <c r="M1296" i="9"/>
  <c r="K523" i="9"/>
  <c r="K524" i="9" s="1"/>
  <c r="W524" i="9" s="1"/>
  <c r="J667" i="9"/>
  <c r="K869" i="9"/>
  <c r="G1405" i="9"/>
  <c r="H1492" i="9"/>
  <c r="O439" i="9"/>
  <c r="I1506" i="9"/>
  <c r="H1267" i="9"/>
  <c r="I1495" i="9"/>
  <c r="O1477" i="9"/>
  <c r="L1261" i="9"/>
  <c r="J1028" i="9"/>
  <c r="V1028" i="9" s="1"/>
  <c r="K1454" i="9"/>
  <c r="P829" i="9"/>
  <c r="G1575" i="9"/>
  <c r="J1319" i="9"/>
  <c r="R1296" i="9"/>
  <c r="AF908" i="9"/>
  <c r="P1297" i="9"/>
  <c r="G1099" i="9"/>
  <c r="P1247" i="9"/>
  <c r="M1371" i="9"/>
  <c r="Y1371" i="9" s="1"/>
  <c r="AF633" i="9"/>
  <c r="L1472" i="9"/>
  <c r="N1393" i="9"/>
  <c r="R563" i="9"/>
  <c r="I1540" i="9"/>
  <c r="P1512" i="9"/>
  <c r="P1513" i="9" s="1"/>
  <c r="AB1513" i="9" s="1"/>
  <c r="N1325" i="9"/>
  <c r="Q820" i="9"/>
  <c r="I1365" i="9"/>
  <c r="K1152" i="9"/>
  <c r="G1353" i="9"/>
  <c r="K335" i="9"/>
  <c r="M376" i="9"/>
  <c r="P731" i="9"/>
  <c r="Q1166" i="9"/>
  <c r="L1200" i="9"/>
  <c r="M809" i="9"/>
  <c r="M1074" i="9"/>
  <c r="P1054" i="9"/>
  <c r="K1494" i="9"/>
  <c r="Q621" i="9"/>
  <c r="O722" i="9"/>
  <c r="I973" i="9"/>
  <c r="N863" i="9"/>
  <c r="M1212" i="9"/>
  <c r="P1347" i="9"/>
  <c r="R1249" i="9"/>
  <c r="Q588" i="9"/>
  <c r="Q707" i="9"/>
  <c r="R921" i="9"/>
  <c r="P1148" i="9"/>
  <c r="P1296" i="9"/>
  <c r="G1281" i="9"/>
  <c r="H1031" i="9"/>
  <c r="R465" i="9"/>
  <c r="N823" i="9"/>
  <c r="L466" i="9"/>
  <c r="J1476" i="9"/>
  <c r="G961" i="9"/>
  <c r="N1163" i="9"/>
  <c r="H889" i="9"/>
  <c r="R609" i="9"/>
  <c r="S609" i="9" s="1"/>
  <c r="I588" i="9"/>
  <c r="K872" i="9"/>
  <c r="K873" i="9" s="1"/>
  <c r="J466" i="9"/>
  <c r="L1503" i="9"/>
  <c r="J1022" i="9"/>
  <c r="Q881" i="9"/>
  <c r="AC881" i="9" s="1"/>
  <c r="H1001" i="9"/>
  <c r="I1183" i="9"/>
  <c r="N630" i="9"/>
  <c r="N1304" i="9"/>
  <c r="K1570" i="9"/>
  <c r="J1247" i="9"/>
  <c r="H1206" i="9"/>
  <c r="O907" i="9"/>
  <c r="P1319" i="9"/>
  <c r="K560" i="9"/>
  <c r="Q479" i="9"/>
  <c r="Q480" i="9" s="1"/>
  <c r="O814" i="9"/>
  <c r="H566" i="9"/>
  <c r="P1451" i="9"/>
  <c r="L1545" i="9"/>
  <c r="L986" i="9"/>
  <c r="P728" i="9"/>
  <c r="L398" i="9"/>
  <c r="G904" i="9"/>
  <c r="AF685" i="9"/>
  <c r="M986" i="9"/>
  <c r="N1518" i="9"/>
  <c r="Z1518" i="9" s="1"/>
  <c r="Q912" i="9"/>
  <c r="N1356" i="9"/>
  <c r="R338" i="9"/>
  <c r="AD338" i="9" s="1"/>
  <c r="N826" i="9"/>
  <c r="H1411" i="9"/>
  <c r="R1175" i="9"/>
  <c r="AD1175" i="9" s="1"/>
  <c r="K1231" i="9"/>
  <c r="L982" i="9"/>
  <c r="L983" i="9" s="1"/>
  <c r="G370" i="9"/>
  <c r="M529" i="9"/>
  <c r="G545" i="9"/>
  <c r="H564" i="9"/>
  <c r="N1056" i="9"/>
  <c r="O964" i="9"/>
  <c r="P933" i="9"/>
  <c r="I1381" i="9"/>
  <c r="I1134" i="9"/>
  <c r="AF1313" i="9"/>
  <c r="L735" i="9"/>
  <c r="O1264" i="9"/>
  <c r="P1322" i="9"/>
  <c r="AB1322" i="9" s="1"/>
  <c r="Q1301" i="9"/>
  <c r="K823" i="9"/>
  <c r="M1175" i="9"/>
  <c r="Y1175" i="9" s="1"/>
  <c r="K958" i="9"/>
  <c r="N1031" i="9"/>
  <c r="H713" i="9"/>
  <c r="M1016" i="9"/>
  <c r="H1300" i="9"/>
  <c r="N1022" i="9"/>
  <c r="K1209" i="9"/>
  <c r="Q396" i="9"/>
  <c r="Q1163" i="9"/>
  <c r="G856" i="9"/>
  <c r="I833" i="9"/>
  <c r="J734" i="9"/>
  <c r="V734" i="9" s="1"/>
  <c r="G1396" i="9"/>
  <c r="M1050" i="9"/>
  <c r="P860" i="9"/>
  <c r="P686" i="9"/>
  <c r="M1120" i="9"/>
  <c r="H326" i="9"/>
  <c r="H327" i="9" s="1"/>
  <c r="T327" i="9" s="1"/>
  <c r="H448" i="9"/>
  <c r="P761" i="9"/>
  <c r="J482" i="9"/>
  <c r="K412" i="9"/>
  <c r="N1054" i="9"/>
  <c r="I1127" i="9"/>
  <c r="O1577" i="9"/>
  <c r="J1062" i="9"/>
  <c r="N1201" i="9"/>
  <c r="H1007" i="9"/>
  <c r="I587" i="9"/>
  <c r="U587" i="9" s="1"/>
  <c r="AF769" i="9"/>
  <c r="L1100" i="9"/>
  <c r="O1025" i="9"/>
  <c r="O1232" i="9"/>
  <c r="H578" i="9"/>
  <c r="G485" i="9"/>
  <c r="O516" i="9"/>
  <c r="I594" i="9"/>
  <c r="H931" i="9"/>
  <c r="Q839" i="9"/>
  <c r="O1349" i="9"/>
  <c r="I1065" i="9"/>
  <c r="O970" i="9"/>
  <c r="O906" i="9"/>
  <c r="H630" i="9"/>
  <c r="H631" i="9" s="1"/>
  <c r="T631" i="9" s="1"/>
  <c r="R365" i="9"/>
  <c r="AF1055" i="9"/>
  <c r="H1077" i="9"/>
  <c r="T1077" i="9" s="1"/>
  <c r="G1120" i="9"/>
  <c r="Q1427" i="9"/>
  <c r="G1108" i="9"/>
  <c r="Q627" i="9"/>
  <c r="G976" i="9"/>
  <c r="L858" i="9"/>
  <c r="N771" i="9"/>
  <c r="AF913" i="9"/>
  <c r="H1231" i="9"/>
  <c r="AF682" i="9"/>
  <c r="R1381" i="9"/>
  <c r="G1472" i="9"/>
  <c r="Q744" i="9"/>
  <c r="Q1264" i="9"/>
  <c r="R1365" i="9"/>
  <c r="I332" i="9"/>
  <c r="I333" i="9" s="1"/>
  <c r="U333" i="9" s="1"/>
  <c r="O1500" i="9"/>
  <c r="H1126" i="9"/>
  <c r="T1126" i="9" s="1"/>
  <c r="AF922" i="9"/>
  <c r="J332" i="9"/>
  <c r="M1332" i="9"/>
  <c r="Q539" i="9"/>
  <c r="O1493" i="9"/>
  <c r="AF379" i="9"/>
  <c r="N1379" i="9"/>
  <c r="M1575" i="9"/>
  <c r="O1446" i="9"/>
  <c r="N1038" i="9"/>
  <c r="P1301" i="9"/>
  <c r="G1104" i="9"/>
  <c r="P1399" i="9"/>
  <c r="M842" i="9"/>
  <c r="O1129" i="9"/>
  <c r="O1130" i="9" s="1"/>
  <c r="Q1202" i="9"/>
  <c r="G889" i="9"/>
  <c r="G793" i="9"/>
  <c r="M590" i="9"/>
  <c r="AF1270" i="9"/>
  <c r="H858" i="9"/>
  <c r="H1225" i="9"/>
  <c r="N1310" i="9"/>
  <c r="N1493" i="9"/>
  <c r="L1053" i="9"/>
  <c r="M473" i="9"/>
  <c r="H768" i="9"/>
  <c r="G575" i="9"/>
  <c r="Q1152" i="9"/>
  <c r="G1264" i="9"/>
  <c r="P1359" i="9"/>
  <c r="P1360" i="9" s="1"/>
  <c r="AB1360" i="9" s="1"/>
  <c r="L1099" i="9"/>
  <c r="G1316" i="9"/>
  <c r="R1319" i="9"/>
  <c r="O526" i="9"/>
  <c r="O527" i="9" s="1"/>
  <c r="AA527" i="9" s="1"/>
  <c r="J1178" i="9"/>
  <c r="K875" i="9"/>
  <c r="K1117" i="9"/>
  <c r="O1469" i="9"/>
  <c r="AA1469" i="9" s="1"/>
  <c r="L1225" i="9"/>
  <c r="J1493" i="9"/>
  <c r="L725" i="9"/>
  <c r="M1200" i="9"/>
  <c r="K756" i="9"/>
  <c r="P1080" i="9"/>
  <c r="O1300" i="9"/>
  <c r="O1255" i="9"/>
  <c r="Q1203" i="9"/>
  <c r="K912" i="9"/>
  <c r="Q938" i="9"/>
  <c r="R859" i="9"/>
  <c r="AF1491" i="9"/>
  <c r="P1134" i="9"/>
  <c r="H1182" i="9"/>
  <c r="M1283" i="9"/>
  <c r="Q1246" i="9"/>
  <c r="K515" i="9"/>
  <c r="K594" i="9"/>
  <c r="P924" i="9"/>
  <c r="M1084" i="9"/>
  <c r="O958" i="9"/>
  <c r="I758" i="9"/>
  <c r="M1564" i="9"/>
  <c r="K1166" i="9"/>
  <c r="AF884" i="9"/>
  <c r="L323" i="9"/>
  <c r="L609" i="9"/>
  <c r="H1491" i="9"/>
  <c r="M1570" i="9"/>
  <c r="M987" i="9"/>
  <c r="G1283" i="9"/>
  <c r="K807" i="9"/>
  <c r="G1252" i="9"/>
  <c r="M439" i="9"/>
  <c r="AF1164" i="9"/>
  <c r="L889" i="9"/>
  <c r="L1071" i="9"/>
  <c r="I1270" i="9"/>
  <c r="O1249" i="9"/>
  <c r="R734" i="9"/>
  <c r="AD734" i="9" s="1"/>
  <c r="K526" i="9"/>
  <c r="K527" i="9" s="1"/>
  <c r="W527" i="9" s="1"/>
  <c r="G1059" i="9"/>
  <c r="I1013" i="9"/>
  <c r="Q1117" i="9"/>
  <c r="L682" i="9"/>
  <c r="AF628" i="9"/>
  <c r="K417" i="9"/>
  <c r="R854" i="9"/>
  <c r="S854" i="9" s="1"/>
  <c r="M1078" i="9"/>
  <c r="Q1185" i="9"/>
  <c r="Q927" i="9"/>
  <c r="AF315" i="9"/>
  <c r="O842" i="9"/>
  <c r="I731" i="9"/>
  <c r="K348" i="9"/>
  <c r="M466" i="9"/>
  <c r="G1206" i="9"/>
  <c r="I1408" i="9"/>
  <c r="R907" i="9"/>
  <c r="J937" i="9"/>
  <c r="I921" i="9"/>
  <c r="H611" i="9"/>
  <c r="P676" i="9"/>
  <c r="AF1219" i="9"/>
  <c r="I1062" i="9"/>
  <c r="P1052" i="9"/>
  <c r="N1203" i="9"/>
  <c r="N1350" i="9"/>
  <c r="AF872" i="9"/>
  <c r="N312" i="9"/>
  <c r="I1198" i="9"/>
  <c r="AF1101" i="9"/>
  <c r="O1221" i="9"/>
  <c r="J1231" i="9"/>
  <c r="M1495" i="9"/>
  <c r="H1148" i="9"/>
  <c r="J711" i="9"/>
  <c r="I1402" i="9"/>
  <c r="K1264" i="9"/>
  <c r="N1496" i="9"/>
  <c r="M323" i="9"/>
  <c r="N731" i="9"/>
  <c r="P722" i="9"/>
  <c r="R581" i="9"/>
  <c r="L866" i="9"/>
  <c r="Q855" i="9"/>
  <c r="N814" i="9"/>
  <c r="I1055" i="9"/>
  <c r="P823" i="9"/>
  <c r="P824" i="9" s="1"/>
  <c r="P774" i="9"/>
  <c r="N660" i="9"/>
  <c r="L1002" i="9"/>
  <c r="P989" i="9"/>
  <c r="R1543" i="9"/>
  <c r="I908" i="9"/>
  <c r="N790" i="9"/>
  <c r="I1175" i="9"/>
  <c r="U1175" i="9" s="1"/>
  <c r="R839" i="9"/>
  <c r="H1053" i="9"/>
  <c r="H1218" i="9"/>
  <c r="R1428" i="9"/>
  <c r="G814" i="9"/>
  <c r="L588" i="9"/>
  <c r="Q719" i="9"/>
  <c r="M858" i="9"/>
  <c r="H539" i="9"/>
  <c r="K1546" i="9"/>
  <c r="G1509" i="9"/>
  <c r="K1310" i="9"/>
  <c r="L1111" i="9"/>
  <c r="G1251" i="9"/>
  <c r="M1546" i="9"/>
  <c r="I439" i="9"/>
  <c r="J391" i="9"/>
  <c r="J392" i="9" s="1"/>
  <c r="L1555" i="9"/>
  <c r="L1556" i="9" s="1"/>
  <c r="X1556" i="9" s="1"/>
  <c r="G1028" i="9"/>
  <c r="S1028" i="9" s="1"/>
  <c r="R1297" i="9"/>
  <c r="H1402" i="9"/>
  <c r="K1495" i="9"/>
  <c r="N1443" i="9"/>
  <c r="O1544" i="9"/>
  <c r="M1151" i="9"/>
  <c r="AF1251" i="9"/>
  <c r="G1372" i="9"/>
  <c r="N435" i="9"/>
  <c r="M1218" i="9"/>
  <c r="P1273" i="9"/>
  <c r="AB1273" i="9" s="1"/>
  <c r="P1154" i="9"/>
  <c r="N1160" i="9"/>
  <c r="H661" i="9"/>
  <c r="O1175" i="9"/>
  <c r="AA1175" i="9" s="1"/>
  <c r="M823" i="9"/>
  <c r="L1183" i="9"/>
  <c r="L667" i="9"/>
  <c r="Q1472" i="9"/>
  <c r="O323" i="9"/>
  <c r="G417" i="9"/>
  <c r="P1295" i="9"/>
  <c r="Q1133" i="9"/>
  <c r="O688" i="9"/>
  <c r="L1300" i="9"/>
  <c r="K662" i="9"/>
  <c r="H909" i="9"/>
  <c r="K461" i="9"/>
  <c r="G618" i="9"/>
  <c r="O1209" i="9"/>
  <c r="Q872" i="9"/>
  <c r="P1163" i="9"/>
  <c r="P1164" i="9" s="1"/>
  <c r="AB1164" i="9" s="1"/>
  <c r="N1561" i="9"/>
  <c r="O588" i="9"/>
  <c r="J915" i="9"/>
  <c r="H588" i="9"/>
  <c r="Q426" i="9"/>
  <c r="Q427" i="9" s="1"/>
  <c r="AC427" i="9" s="1"/>
  <c r="M1150" i="9"/>
  <c r="P473" i="9"/>
  <c r="L467" i="9"/>
  <c r="AF856" i="9"/>
  <c r="O1280" i="9"/>
  <c r="G1543" i="9"/>
  <c r="L1492" i="9"/>
  <c r="K370" i="9"/>
  <c r="AF1114" i="9"/>
  <c r="N953" i="9"/>
  <c r="Q1476" i="9"/>
  <c r="K1402" i="9"/>
  <c r="L1402" i="9"/>
  <c r="O1460" i="9"/>
  <c r="R415" i="9"/>
  <c r="O1297" i="9"/>
  <c r="AF338" i="9"/>
  <c r="G1558" i="9"/>
  <c r="AF1451" i="9"/>
  <c r="AF860" i="9"/>
  <c r="AF377" i="9"/>
  <c r="G1552" i="9"/>
  <c r="AF474" i="9"/>
  <c r="M1329" i="9"/>
  <c r="L1378" i="9"/>
  <c r="P1417" i="9"/>
  <c r="Q1001" i="9"/>
  <c r="P912" i="9"/>
  <c r="J614" i="9"/>
  <c r="H808" i="9"/>
  <c r="K441" i="9"/>
  <c r="L389" i="9"/>
  <c r="P1053" i="9"/>
  <c r="R1206" i="9"/>
  <c r="R1207" i="9" s="1"/>
  <c r="AD1207" i="9" s="1"/>
  <c r="R814" i="9"/>
  <c r="G858" i="9"/>
  <c r="I713" i="9"/>
  <c r="N467" i="9"/>
  <c r="N486" i="9" s="1"/>
  <c r="Z486" i="9" s="1"/>
  <c r="K1120" i="9"/>
  <c r="P906" i="9"/>
  <c r="I1099" i="9"/>
  <c r="O982" i="9"/>
  <c r="G1304" i="9"/>
  <c r="R875" i="9"/>
  <c r="O686" i="9"/>
  <c r="M731" i="9"/>
  <c r="M732" i="9" s="1"/>
  <c r="Y732" i="9" s="1"/>
  <c r="J1395" i="9"/>
  <c r="Q1031" i="9"/>
  <c r="N1065" i="9"/>
  <c r="R1430" i="9"/>
  <c r="K314" i="9"/>
  <c r="K1157" i="9"/>
  <c r="I757" i="9"/>
  <c r="O1378" i="9"/>
  <c r="J918" i="9"/>
  <c r="J919" i="9" s="1"/>
  <c r="V919" i="9" s="1"/>
  <c r="O1248" i="9"/>
  <c r="J1454" i="9"/>
  <c r="I695" i="9"/>
  <c r="I1276" i="9"/>
  <c r="P388" i="9"/>
  <c r="AB388" i="9" s="1"/>
  <c r="K1251" i="9"/>
  <c r="G1078" i="9"/>
  <c r="P1444" i="9"/>
  <c r="P1056" i="9"/>
  <c r="P1166" i="9"/>
  <c r="P793" i="9"/>
  <c r="M1003" i="9"/>
  <c r="O462" i="9"/>
  <c r="G1423" i="9"/>
  <c r="L1198" i="9"/>
  <c r="J976" i="9"/>
  <c r="R1469" i="9"/>
  <c r="AD1469" i="9" s="1"/>
  <c r="K857" i="9"/>
  <c r="L470" i="9"/>
  <c r="N762" i="9"/>
  <c r="R578" i="9"/>
  <c r="R980" i="9"/>
  <c r="H927" i="9"/>
  <c r="N1059" i="9"/>
  <c r="K1084" i="9"/>
  <c r="I614" i="9"/>
  <c r="N875" i="9"/>
  <c r="Q548" i="9"/>
  <c r="H956" i="9"/>
  <c r="P964" i="9"/>
  <c r="P965" i="9" s="1"/>
  <c r="AB965" i="9" s="1"/>
  <c r="L1258" i="9"/>
  <c r="H1201" i="9"/>
  <c r="G621" i="9"/>
  <c r="I872" i="9"/>
  <c r="P313" i="9"/>
  <c r="I722" i="9"/>
  <c r="M1108" i="9"/>
  <c r="L1398" i="9"/>
  <c r="R707" i="9"/>
  <c r="S707" i="9" s="1"/>
  <c r="P833" i="9"/>
  <c r="H786" i="9"/>
  <c r="H395" i="9"/>
  <c r="L639" i="9"/>
  <c r="H1252" i="9"/>
  <c r="K1374" i="9"/>
  <c r="K1375" i="9" s="1"/>
  <c r="R1200" i="9"/>
  <c r="P891" i="9"/>
  <c r="L370" i="9"/>
  <c r="K1246" i="9"/>
  <c r="R546" i="9"/>
  <c r="I1470" i="9"/>
  <c r="L1541" i="9"/>
  <c r="M835" i="9"/>
  <c r="J930" i="9"/>
  <c r="V930" i="9" s="1"/>
  <c r="J1007" i="9"/>
  <c r="K1378" i="9"/>
  <c r="H679" i="9"/>
  <c r="AF532" i="9"/>
  <c r="G630" i="9"/>
  <c r="G1500" i="9"/>
  <c r="O1371" i="9"/>
  <c r="AA1371" i="9" s="1"/>
  <c r="L659" i="9"/>
  <c r="K1151" i="9"/>
  <c r="M445" i="9"/>
  <c r="R517" i="9"/>
  <c r="O646" i="9"/>
  <c r="O609" i="9"/>
  <c r="G956" i="9"/>
  <c r="J1185" i="9"/>
  <c r="L980" i="9"/>
  <c r="J1050" i="9"/>
  <c r="N1129" i="9"/>
  <c r="H1172" i="9"/>
  <c r="G1544" i="9"/>
  <c r="K810" i="9"/>
  <c r="N784" i="9"/>
  <c r="G541" i="9"/>
  <c r="H980" i="9"/>
  <c r="P744" i="9"/>
  <c r="J1300" i="9"/>
  <c r="G1395" i="9"/>
  <c r="I1129" i="9"/>
  <c r="G866" i="9"/>
  <c r="O535" i="9"/>
  <c r="O536" i="9" s="1"/>
  <c r="AA536" i="9" s="1"/>
  <c r="J385" i="9"/>
  <c r="J386" i="9" s="1"/>
  <c r="V386" i="9" s="1"/>
  <c r="M708" i="9"/>
  <c r="K575" i="9"/>
  <c r="H1421" i="9"/>
  <c r="J1154" i="9"/>
  <c r="J1167" i="9" s="1"/>
  <c r="J1053" i="9"/>
  <c r="N1521" i="9"/>
  <c r="N1522" i="9" s="1"/>
  <c r="J682" i="9"/>
  <c r="L562" i="9"/>
  <c r="M411" i="9"/>
  <c r="O485" i="9"/>
  <c r="K1003" i="9"/>
  <c r="Q1564" i="9"/>
  <c r="R1295" i="9"/>
  <c r="S1295" i="9" s="1"/>
  <c r="H1003" i="9"/>
  <c r="N365" i="9"/>
  <c r="G614" i="9"/>
  <c r="K761" i="9"/>
  <c r="Q905" i="9"/>
  <c r="I931" i="9"/>
  <c r="I1476" i="9"/>
  <c r="K954" i="9"/>
  <c r="G396" i="9"/>
  <c r="L660" i="9"/>
  <c r="J516" i="9"/>
  <c r="M1052" i="9"/>
  <c r="G529" i="9"/>
  <c r="G1495" i="9"/>
  <c r="J1420" i="9"/>
  <c r="V1420" i="9" s="1"/>
  <c r="L426" i="9"/>
  <c r="AF495" i="9"/>
  <c r="J956" i="9"/>
  <c r="AF1255" i="9"/>
  <c r="O398" i="9"/>
  <c r="AF529" i="9"/>
  <c r="AF717" i="9"/>
  <c r="H1428" i="9"/>
  <c r="AF416" i="9"/>
  <c r="AF323" i="9"/>
  <c r="Q1022" i="9"/>
  <c r="L1332" i="9"/>
  <c r="P1448" i="9"/>
  <c r="P1467" i="9" s="1"/>
  <c r="AB1467" i="9" s="1"/>
  <c r="G1574" i="9"/>
  <c r="G1182" i="9"/>
  <c r="M1281" i="9"/>
  <c r="AF1325" i="9"/>
  <c r="J1414" i="9"/>
  <c r="Q1134" i="9"/>
  <c r="O1261" i="9"/>
  <c r="O1298" i="9"/>
  <c r="O1050" i="9"/>
  <c r="J1038" i="9"/>
  <c r="I924" i="9"/>
  <c r="G624" i="9"/>
  <c r="G1402" i="9"/>
  <c r="O953" i="9"/>
  <c r="L1031" i="9"/>
  <c r="K1509" i="9"/>
  <c r="K1510" i="9" s="1"/>
  <c r="R1427" i="9"/>
  <c r="K1298" i="9"/>
  <c r="L909" i="9"/>
  <c r="J1029" i="9"/>
  <c r="R1003" i="9"/>
  <c r="J1059" i="9"/>
  <c r="P630" i="9"/>
  <c r="O1203" i="9"/>
  <c r="I1051" i="9"/>
  <c r="M1479" i="9"/>
  <c r="N1509" i="9"/>
  <c r="J1025" i="9"/>
  <c r="N760" i="9"/>
  <c r="L692" i="9"/>
  <c r="AF1215" i="9"/>
  <c r="G1052" i="9"/>
  <c r="G1035" i="9"/>
  <c r="J1399" i="9"/>
  <c r="AF1515" i="9"/>
  <c r="AF363" i="9"/>
  <c r="M1491" i="9"/>
  <c r="M545" i="9"/>
  <c r="O311" i="9"/>
  <c r="Q1356" i="9"/>
  <c r="M1234" i="9"/>
  <c r="L1197" i="9"/>
  <c r="Q1544" i="9"/>
  <c r="R1248" i="9"/>
  <c r="Q1479" i="9"/>
  <c r="K317" i="9"/>
  <c r="P1443" i="9"/>
  <c r="K326" i="9"/>
  <c r="P1477" i="9"/>
  <c r="P1575" i="9"/>
  <c r="H1477" i="9"/>
  <c r="AF366" i="9"/>
  <c r="AF1281" i="9"/>
  <c r="AF928" i="9"/>
  <c r="Q1518" i="9"/>
  <c r="AC1518" i="9" s="1"/>
  <c r="O1160" i="9"/>
  <c r="R1500" i="9"/>
  <c r="P1470" i="9"/>
  <c r="P426" i="9"/>
  <c r="P427" i="9" s="1"/>
  <c r="AB427" i="9" s="1"/>
  <c r="N376" i="9"/>
  <c r="G1055" i="9"/>
  <c r="G1371" i="9"/>
  <c r="S1371" i="9" s="1"/>
  <c r="L1127" i="9"/>
  <c r="K1492" i="9"/>
  <c r="O829" i="9"/>
  <c r="O830" i="9" s="1"/>
  <c r="AA830" i="9" s="1"/>
  <c r="AF658" i="9"/>
  <c r="K1329" i="9"/>
  <c r="L535" i="9"/>
  <c r="M863" i="9"/>
  <c r="Q793" i="9"/>
  <c r="O1394" i="9"/>
  <c r="L673" i="9"/>
  <c r="L674" i="9" s="1"/>
  <c r="X674" i="9" s="1"/>
  <c r="N578" i="9"/>
  <c r="O432" i="9"/>
  <c r="AF737" i="9"/>
  <c r="P566" i="9"/>
  <c r="P857" i="9"/>
  <c r="K833" i="9"/>
  <c r="O1451" i="9"/>
  <c r="O1452" i="9" s="1"/>
  <c r="AA1452" i="9" s="1"/>
  <c r="K1036" i="9"/>
  <c r="M1134" i="9"/>
  <c r="O1447" i="9"/>
  <c r="I1295" i="9"/>
  <c r="AF1571" i="9"/>
  <c r="K1540" i="9"/>
  <c r="R1378" i="9"/>
  <c r="N597" i="9"/>
  <c r="AF1469" i="9"/>
  <c r="G1491" i="9"/>
  <c r="M1372" i="9"/>
  <c r="J1368" i="9"/>
  <c r="K1105" i="9"/>
  <c r="R1349" i="9"/>
  <c r="K1446" i="9"/>
  <c r="L1512" i="9"/>
  <c r="G784" i="9"/>
  <c r="H1006" i="9"/>
  <c r="M1397" i="9"/>
  <c r="R495" i="9"/>
  <c r="O833" i="9"/>
  <c r="N676" i="9"/>
  <c r="N677" i="9" s="1"/>
  <c r="I1427" i="9"/>
  <c r="M1136" i="9"/>
  <c r="AF1158" i="9"/>
  <c r="O1166" i="9"/>
  <c r="O1167" i="9" s="1"/>
  <c r="J1396" i="9"/>
  <c r="O590" i="9"/>
  <c r="K712" i="9"/>
  <c r="R765" i="9"/>
  <c r="P435" i="9"/>
  <c r="K1493" i="9"/>
  <c r="P1479" i="9"/>
  <c r="K826" i="9"/>
  <c r="N1126" i="9"/>
  <c r="Z1126" i="9" s="1"/>
  <c r="O1215" i="9"/>
  <c r="L624" i="9"/>
  <c r="R1085" i="9"/>
  <c r="G1202" i="9"/>
  <c r="R1197" i="9"/>
  <c r="S1197" i="9" s="1"/>
  <c r="N881" i="9"/>
  <c r="Z881" i="9" s="1"/>
  <c r="I783" i="9"/>
  <c r="U783" i="9" s="1"/>
  <c r="R771" i="9"/>
  <c r="N909" i="9"/>
  <c r="AF1074" i="9"/>
  <c r="L1463" i="9"/>
  <c r="I1280" i="9"/>
  <c r="L777" i="9"/>
  <c r="I1068" i="9"/>
  <c r="N395" i="9"/>
  <c r="O1149" i="9"/>
  <c r="K612" i="9"/>
  <c r="Q1248" i="9"/>
  <c r="J1031" i="9"/>
  <c r="H1051" i="9"/>
  <c r="L765" i="9"/>
  <c r="L766" i="9" s="1"/>
  <c r="X766" i="9" s="1"/>
  <c r="K979" i="9"/>
  <c r="W979" i="9" s="1"/>
  <c r="Q866" i="9"/>
  <c r="I1071" i="9"/>
  <c r="M1209" i="9"/>
  <c r="M1210" i="9" s="1"/>
  <c r="Y1210" i="9" s="1"/>
  <c r="I857" i="9"/>
  <c r="N1105" i="9"/>
  <c r="N1115" i="9" s="1"/>
  <c r="Z1115" i="9" s="1"/>
  <c r="I1346" i="9"/>
  <c r="I412" i="9"/>
  <c r="K780" i="9"/>
  <c r="K781" i="9" s="1"/>
  <c r="W781" i="9" s="1"/>
  <c r="K711" i="9"/>
  <c r="K1065" i="9"/>
  <c r="J927" i="9"/>
  <c r="R1491" i="9"/>
  <c r="S1491" i="9" s="1"/>
  <c r="L1038" i="9"/>
  <c r="Q903" i="9"/>
  <c r="O912" i="9"/>
  <c r="H464" i="9"/>
  <c r="N1099" i="9"/>
  <c r="G1525" i="9"/>
  <c r="G832" i="9"/>
  <c r="S832" i="9" s="1"/>
  <c r="H1346" i="9"/>
  <c r="I979" i="9"/>
  <c r="U979" i="9" s="1"/>
  <c r="Q364" i="9"/>
  <c r="G659" i="9"/>
  <c r="H373" i="9"/>
  <c r="H374" i="9" s="1"/>
  <c r="T374" i="9" s="1"/>
  <c r="Q1394" i="9"/>
  <c r="Q618" i="9"/>
  <c r="K1463" i="9"/>
  <c r="O1454" i="9"/>
  <c r="O1455" i="9" s="1"/>
  <c r="AA1455" i="9" s="1"/>
  <c r="AF1345" i="9"/>
  <c r="I1080" i="9"/>
  <c r="P541" i="9"/>
  <c r="J370" i="9"/>
  <c r="J371" i="9" s="1"/>
  <c r="V371" i="9" s="1"/>
  <c r="P1349" i="9"/>
  <c r="N832" i="9"/>
  <c r="Z832" i="9" s="1"/>
  <c r="R882" i="9"/>
  <c r="J1198" i="9"/>
  <c r="I1445" i="9"/>
  <c r="L532" i="9"/>
  <c r="AF367" i="9"/>
  <c r="G1100" i="9"/>
  <c r="I1031" i="9"/>
  <c r="J624" i="9"/>
  <c r="J625" i="9" s="1"/>
  <c r="V625" i="9" s="1"/>
  <c r="N780" i="9"/>
  <c r="K1062" i="9"/>
  <c r="K1063" i="9" s="1"/>
  <c r="W1063" i="9" s="1"/>
  <c r="H891" i="9"/>
  <c r="J432" i="9"/>
  <c r="L489" i="9"/>
  <c r="P955" i="9"/>
  <c r="Q1323" i="9"/>
  <c r="M980" i="9"/>
  <c r="P1396" i="9"/>
  <c r="M511" i="9"/>
  <c r="R940" i="9"/>
  <c r="H639" i="9"/>
  <c r="L1169" i="9"/>
  <c r="M891" i="9"/>
  <c r="G1299" i="9"/>
  <c r="R1065" i="9"/>
  <c r="P441" i="9"/>
  <c r="P442" i="9" s="1"/>
  <c r="P1496" i="9"/>
  <c r="H1359" i="9"/>
  <c r="H1104" i="9"/>
  <c r="J1264" i="9"/>
  <c r="H441" i="9"/>
  <c r="H442" i="9" s="1"/>
  <c r="H614" i="9"/>
  <c r="AF857" i="9"/>
  <c r="R1247" i="9"/>
  <c r="G1056" i="9"/>
  <c r="Q1374" i="9"/>
  <c r="P1077" i="9"/>
  <c r="AB1077" i="9" s="1"/>
  <c r="O808" i="9"/>
  <c r="H470" i="9"/>
  <c r="AF1556" i="9"/>
  <c r="H445" i="9"/>
  <c r="AF330" i="9"/>
  <c r="P1567" i="9"/>
  <c r="AB1567" i="9" s="1"/>
  <c r="R823" i="9"/>
  <c r="R824" i="9" s="1"/>
  <c r="L1054" i="9"/>
  <c r="J513" i="9"/>
  <c r="K411" i="9"/>
  <c r="AF692" i="9"/>
  <c r="AF689" i="9"/>
  <c r="AF1198" i="9"/>
  <c r="O364" i="9"/>
  <c r="AF1350" i="9"/>
  <c r="N1552" i="9"/>
  <c r="Q348" i="9"/>
  <c r="G445" i="9"/>
  <c r="J389" i="9"/>
  <c r="G1025" i="9"/>
  <c r="O1512" i="9"/>
  <c r="N1544" i="9"/>
  <c r="P1414" i="9"/>
  <c r="I1518" i="9"/>
  <c r="U1518" i="9" s="1"/>
  <c r="AF585" i="9"/>
  <c r="O1509" i="9"/>
  <c r="J1394" i="9"/>
  <c r="AF806" i="9"/>
  <c r="Q1178" i="9"/>
  <c r="R438" i="9"/>
  <c r="AD438" i="9" s="1"/>
  <c r="H1059" i="9"/>
  <c r="N1013" i="9"/>
  <c r="M311" i="9"/>
  <c r="P1261" i="9"/>
  <c r="P1262" i="9" s="1"/>
  <c r="AB1262" i="9" s="1"/>
  <c r="R1151" i="9"/>
  <c r="AF320" i="9"/>
  <c r="R1567" i="9"/>
  <c r="AD1567" i="9" s="1"/>
  <c r="R326" i="9"/>
  <c r="R327" i="9" s="1"/>
  <c r="AD327" i="9" s="1"/>
  <c r="M1105" i="9"/>
  <c r="M1130" i="9" s="1"/>
  <c r="N1029" i="9"/>
  <c r="I1157" i="9"/>
  <c r="H989" i="9"/>
  <c r="N1078" i="9"/>
  <c r="J416" i="9"/>
  <c r="P373" i="9"/>
  <c r="R1330" i="9"/>
  <c r="L1329" i="9"/>
  <c r="I1451" i="9"/>
  <c r="Q1148" i="9"/>
  <c r="H1136" i="9"/>
  <c r="R693" i="9"/>
  <c r="R1561" i="9"/>
  <c r="O854" i="9"/>
  <c r="P1198" i="9"/>
  <c r="M1117" i="9"/>
  <c r="I761" i="9"/>
  <c r="Q1297" i="9"/>
  <c r="L967" i="9"/>
  <c r="L1430" i="9"/>
  <c r="N566" i="9"/>
  <c r="O711" i="9"/>
  <c r="R1372" i="9"/>
  <c r="R1470" i="9"/>
  <c r="H904" i="9"/>
  <c r="L872" i="9"/>
  <c r="Q757" i="9"/>
  <c r="G581" i="9"/>
  <c r="K618" i="9"/>
  <c r="N326" i="9"/>
  <c r="N1470" i="9"/>
  <c r="G829" i="9"/>
  <c r="H859" i="9"/>
  <c r="G1398" i="9"/>
  <c r="Q520" i="9"/>
  <c r="M1297" i="9"/>
  <c r="AF1167" i="9"/>
  <c r="N438" i="9"/>
  <c r="Z438" i="9" s="1"/>
  <c r="N938" i="9"/>
  <c r="L918" i="9"/>
  <c r="H735" i="9"/>
  <c r="J1221" i="9"/>
  <c r="O832" i="9"/>
  <c r="AA832" i="9" s="1"/>
  <c r="G964" i="9"/>
  <c r="L1133" i="9"/>
  <c r="M1555" i="9"/>
  <c r="Q1198" i="9"/>
  <c r="I560" i="9"/>
  <c r="H762" i="9"/>
  <c r="K921" i="9"/>
  <c r="J569" i="9"/>
  <c r="N952" i="9"/>
  <c r="L1172" i="9"/>
  <c r="N888" i="9"/>
  <c r="H905" i="9"/>
  <c r="L1330" i="9"/>
  <c r="J413" i="9"/>
  <c r="L526" i="9"/>
  <c r="R832" i="9"/>
  <c r="AD832" i="9" s="1"/>
  <c r="Q523" i="9"/>
  <c r="P1100" i="9"/>
  <c r="R1479" i="9"/>
  <c r="P414" i="9"/>
  <c r="AF1506" i="9"/>
  <c r="I905" i="9"/>
  <c r="O1022" i="9"/>
  <c r="N1374" i="9"/>
  <c r="K1136" i="9"/>
  <c r="L1313" i="9"/>
  <c r="L1314" i="9" s="1"/>
  <c r="R461" i="9"/>
  <c r="S461" i="9" s="1"/>
  <c r="R316" i="9"/>
  <c r="R561" i="9"/>
  <c r="R1153" i="9"/>
  <c r="H1224" i="9"/>
  <c r="T1224" i="9" s="1"/>
  <c r="N982" i="9"/>
  <c r="O858" i="9"/>
  <c r="P618" i="9"/>
  <c r="J1200" i="9"/>
  <c r="AF1559" i="9"/>
  <c r="AF1308" i="9"/>
  <c r="J1175" i="9"/>
  <c r="V1175" i="9" s="1"/>
  <c r="M1512" i="9"/>
  <c r="I1218" i="9"/>
  <c r="O1077" i="9"/>
  <c r="AA1077" i="9" s="1"/>
  <c r="R716" i="9"/>
  <c r="I710" i="9"/>
  <c r="Q1160" i="9"/>
  <c r="R662" i="9"/>
  <c r="AF376" i="9"/>
  <c r="I1528" i="9"/>
  <c r="R829" i="9"/>
  <c r="P839" i="9"/>
  <c r="Q311" i="9"/>
  <c r="I725" i="9"/>
  <c r="J561" i="9"/>
  <c r="AF1516" i="9"/>
  <c r="M1264" i="9"/>
  <c r="O1251" i="9"/>
  <c r="Q967" i="9"/>
  <c r="Q968" i="9" s="1"/>
  <c r="AC968" i="9" s="1"/>
  <c r="G1448" i="9"/>
  <c r="J1234" i="9"/>
  <c r="P1224" i="9"/>
  <c r="AB1224" i="9" s="1"/>
  <c r="I1460" i="9"/>
  <c r="I811" i="9"/>
  <c r="M627" i="9"/>
  <c r="N856" i="9"/>
  <c r="P1160" i="9"/>
  <c r="I326" i="9"/>
  <c r="L1368" i="9"/>
  <c r="I1225" i="9"/>
  <c r="G1347" i="9"/>
  <c r="K1319" i="9"/>
  <c r="L759" i="9"/>
  <c r="Q907" i="9"/>
  <c r="H535" i="9"/>
  <c r="H536" i="9" s="1"/>
  <c r="T536" i="9" s="1"/>
  <c r="G365" i="9"/>
  <c r="G820" i="9"/>
  <c r="I1558" i="9"/>
  <c r="L905" i="9"/>
  <c r="O466" i="9"/>
  <c r="AF1227" i="9"/>
  <c r="R1273" i="9"/>
  <c r="AD1273" i="9" s="1"/>
  <c r="P1071" i="9"/>
  <c r="N679" i="9"/>
  <c r="G515" i="9"/>
  <c r="N416" i="9"/>
  <c r="M572" i="9"/>
  <c r="Q398" i="9"/>
  <c r="I1542" i="9"/>
  <c r="P1544" i="9"/>
  <c r="Q1153" i="9"/>
  <c r="P462" i="9"/>
  <c r="H416" i="9"/>
  <c r="Q465" i="9"/>
  <c r="J1206" i="9"/>
  <c r="L1446" i="9"/>
  <c r="J1347" i="9"/>
  <c r="H1444" i="9"/>
  <c r="I1564" i="9"/>
  <c r="R1099" i="9"/>
  <c r="S1099" i="9" s="1"/>
  <c r="H1393" i="9"/>
  <c r="H1127" i="9"/>
  <c r="P1346" i="9"/>
  <c r="N1134" i="9"/>
  <c r="J857" i="9"/>
  <c r="I719" i="9"/>
  <c r="I1150" i="9"/>
  <c r="I572" i="9"/>
  <c r="Q1552" i="9"/>
  <c r="L1356" i="9"/>
  <c r="Q1397" i="9"/>
  <c r="H1038" i="9"/>
  <c r="N924" i="9"/>
  <c r="H1344" i="9"/>
  <c r="I832" i="9"/>
  <c r="U832" i="9" s="1"/>
  <c r="J882" i="9"/>
  <c r="R423" i="9"/>
  <c r="R376" i="9"/>
  <c r="Q1493" i="9"/>
  <c r="N1457" i="9"/>
  <c r="K930" i="9"/>
  <c r="W930" i="9" s="1"/>
  <c r="L1423" i="9"/>
  <c r="M737" i="9"/>
  <c r="K1123" i="9"/>
  <c r="K777" i="9"/>
  <c r="H482" i="9"/>
  <c r="M1323" i="9"/>
  <c r="I1053" i="9"/>
  <c r="AF364" i="9"/>
  <c r="R1362" i="9"/>
  <c r="L1466" i="9"/>
  <c r="K716" i="9"/>
  <c r="G423" i="9"/>
  <c r="P575" i="9"/>
  <c r="AF1031" i="9"/>
  <c r="N957" i="9"/>
  <c r="Q956" i="9"/>
  <c r="M1163" i="9"/>
  <c r="L615" i="9"/>
  <c r="M673" i="9"/>
  <c r="M674" i="9" s="1"/>
  <c r="Y674" i="9" s="1"/>
  <c r="R695" i="9"/>
  <c r="G940" i="9"/>
  <c r="N1344" i="9"/>
  <c r="R1051" i="9"/>
  <c r="L1280" i="9"/>
  <c r="P562" i="9"/>
  <c r="O1417" i="9"/>
  <c r="H1166" i="9"/>
  <c r="I597" i="9"/>
  <c r="K1398" i="9"/>
  <c r="J1353" i="9"/>
  <c r="L1500" i="9"/>
  <c r="P1013" i="9"/>
  <c r="R429" i="9"/>
  <c r="Q891" i="9"/>
  <c r="J429" i="9"/>
  <c r="L1102" i="9"/>
  <c r="L1417" i="9"/>
  <c r="J1304" i="9"/>
  <c r="O1350" i="9"/>
  <c r="I918" i="9"/>
  <c r="R1006" i="9"/>
  <c r="G512" i="9"/>
  <c r="J611" i="9"/>
  <c r="M1442" i="9"/>
  <c r="R1114" i="9"/>
  <c r="R1115" i="9" s="1"/>
  <c r="AD1115" i="9" s="1"/>
  <c r="M1010" i="9"/>
  <c r="L708" i="9"/>
  <c r="N908" i="9"/>
  <c r="R1270" i="9"/>
  <c r="AF533" i="9"/>
  <c r="J1074" i="9"/>
  <c r="K1421" i="9"/>
  <c r="L1199" i="9"/>
  <c r="N1052" i="9"/>
  <c r="K416" i="9"/>
  <c r="G663" i="9"/>
  <c r="R908" i="9"/>
  <c r="J1218" i="9"/>
  <c r="Q1345" i="9"/>
  <c r="H1108" i="9"/>
  <c r="O1224" i="9"/>
  <c r="AA1224" i="9" s="1"/>
  <c r="R364" i="9"/>
  <c r="L711" i="9"/>
  <c r="K1172" i="9"/>
  <c r="H856" i="9"/>
  <c r="K904" i="9"/>
  <c r="G1519" i="9"/>
  <c r="M578" i="9"/>
  <c r="Q643" i="9"/>
  <c r="L761" i="9"/>
  <c r="N1169" i="9"/>
  <c r="AF742" i="9"/>
  <c r="O621" i="9"/>
  <c r="O622" i="9" s="1"/>
  <c r="AA622" i="9" s="1"/>
  <c r="I1394" i="9"/>
  <c r="O659" i="9"/>
  <c r="Q561" i="9"/>
  <c r="I976" i="9"/>
  <c r="J814" i="9"/>
  <c r="J815" i="9" s="1"/>
  <c r="V815" i="9" s="1"/>
  <c r="K376" i="9"/>
  <c r="K377" i="9" s="1"/>
  <c r="W377" i="9" s="1"/>
  <c r="P1197" i="9"/>
  <c r="G1127" i="9"/>
  <c r="N1575" i="9"/>
  <c r="M1543" i="9"/>
  <c r="H1002" i="9"/>
  <c r="G611" i="9"/>
  <c r="P884" i="9"/>
  <c r="H1348" i="9"/>
  <c r="L1515" i="9"/>
  <c r="O1134" i="9"/>
  <c r="M1246" i="9"/>
  <c r="Q323" i="9"/>
  <c r="H1151" i="9"/>
  <c r="J1525" i="9"/>
  <c r="P1078" i="9"/>
  <c r="O1506" i="9"/>
  <c r="O1507" i="9" s="1"/>
  <c r="AA1507" i="9" s="1"/>
  <c r="G532" i="9"/>
  <c r="P515" i="9"/>
  <c r="Q710" i="9"/>
  <c r="J565" i="9"/>
  <c r="R315" i="9"/>
  <c r="N955" i="9"/>
  <c r="P1249" i="9"/>
  <c r="K581" i="9"/>
  <c r="Q515" i="9"/>
  <c r="K1356" i="9"/>
  <c r="O1356" i="9"/>
  <c r="AF346" i="9"/>
  <c r="P1227" i="9"/>
  <c r="J1506" i="9"/>
  <c r="Q644" i="9"/>
  <c r="O515" i="9"/>
  <c r="N382" i="9"/>
  <c r="G637" i="9"/>
  <c r="AF1574" i="9"/>
  <c r="R1134" i="9"/>
  <c r="O855" i="9"/>
  <c r="H682" i="9"/>
  <c r="H1065" i="9"/>
  <c r="K1176" i="9"/>
  <c r="I1492" i="9"/>
  <c r="L584" i="9"/>
  <c r="AF383" i="9"/>
  <c r="I1423" i="9"/>
  <c r="N1297" i="9"/>
  <c r="O1348" i="9"/>
  <c r="J1297" i="9"/>
  <c r="J1255" i="9"/>
  <c r="J1256" i="9" s="1"/>
  <c r="V1256" i="9" s="1"/>
  <c r="AF327" i="9"/>
  <c r="AF774" i="9"/>
  <c r="L1101" i="9"/>
  <c r="P1442" i="9"/>
  <c r="N1506" i="9"/>
  <c r="J1103" i="9"/>
  <c r="N564" i="9"/>
  <c r="I1200" i="9"/>
  <c r="M1509" i="9"/>
  <c r="M1510" i="9" s="1"/>
  <c r="L658" i="9"/>
  <c r="J1169" i="9"/>
  <c r="P346" i="9"/>
  <c r="P345" i="9"/>
  <c r="M1007" i="9"/>
  <c r="R1496" i="9"/>
  <c r="N1246" i="9"/>
  <c r="P532" i="9"/>
  <c r="P881" i="9"/>
  <c r="AB881" i="9" s="1"/>
  <c r="M1446" i="9"/>
  <c r="P1185" i="9"/>
  <c r="AF808" i="9"/>
  <c r="I937" i="9"/>
  <c r="P1068" i="9"/>
  <c r="J1127" i="9"/>
  <c r="Q532" i="9"/>
  <c r="L1080" i="9"/>
  <c r="Q1080" i="9"/>
  <c r="G366" i="9"/>
  <c r="P488" i="9"/>
  <c r="AB488" i="9" s="1"/>
  <c r="M1221" i="9"/>
  <c r="M1222" i="9" s="1"/>
  <c r="Y1222" i="9" s="1"/>
  <c r="O1246" i="9"/>
  <c r="N905" i="9"/>
  <c r="J1250" i="9"/>
  <c r="N1492" i="9"/>
  <c r="AF854" i="9"/>
  <c r="H1368" i="9"/>
  <c r="P907" i="9"/>
  <c r="Q884" i="9"/>
  <c r="O1007" i="9"/>
  <c r="O1023" i="9" s="1"/>
  <c r="AA1023" i="9" s="1"/>
  <c r="K855" i="9"/>
  <c r="AF640" i="9"/>
  <c r="L856" i="9"/>
  <c r="P759" i="9"/>
  <c r="L1148" i="9"/>
  <c r="Q1111" i="9"/>
  <c r="O1414" i="9"/>
  <c r="O1415" i="9" s="1"/>
  <c r="AA1415" i="9" s="1"/>
  <c r="J1104" i="9"/>
  <c r="J832" i="9"/>
  <c r="V832" i="9" s="1"/>
  <c r="G762" i="9"/>
  <c r="Q1071" i="9"/>
  <c r="G1349" i="9"/>
  <c r="O1148" i="9"/>
  <c r="G1183" i="9"/>
  <c r="H1102" i="9"/>
  <c r="I1202" i="9"/>
  <c r="O663" i="9"/>
  <c r="H545" i="9"/>
  <c r="L581" i="9"/>
  <c r="G826" i="9"/>
  <c r="K784" i="9"/>
  <c r="I1479" i="9"/>
  <c r="G1178" i="9"/>
  <c r="J1543" i="9"/>
  <c r="O373" i="9"/>
  <c r="I489" i="9"/>
  <c r="J1301" i="9"/>
  <c r="J1314" i="9" s="1"/>
  <c r="Q1463" i="9"/>
  <c r="K1299" i="9"/>
  <c r="AF1209" i="9"/>
  <c r="Q546" i="9"/>
  <c r="N1016" i="9"/>
  <c r="H737" i="9"/>
  <c r="H738" i="9" s="1"/>
  <c r="N1154" i="9"/>
  <c r="M1148" i="9"/>
  <c r="L1250" i="9"/>
  <c r="K1512" i="9"/>
  <c r="N1120" i="9"/>
  <c r="P952" i="9"/>
  <c r="I1255" i="9"/>
  <c r="M432" i="9"/>
  <c r="M433" i="9" s="1"/>
  <c r="Y433" i="9" s="1"/>
  <c r="P1133" i="9"/>
  <c r="R1054" i="9"/>
  <c r="L1016" i="9"/>
  <c r="P1215" i="9"/>
  <c r="K663" i="9"/>
  <c r="M1470" i="9"/>
  <c r="H734" i="9"/>
  <c r="T734" i="9" s="1"/>
  <c r="J1408" i="9"/>
  <c r="Q823" i="9"/>
  <c r="Q1232" i="9"/>
  <c r="R989" i="9"/>
  <c r="R742" i="9"/>
  <c r="L881" i="9"/>
  <c r="X881" i="9" s="1"/>
  <c r="H710" i="9"/>
  <c r="O575" i="9"/>
  <c r="M1232" i="9"/>
  <c r="O1038" i="9"/>
  <c r="H1087" i="9"/>
  <c r="AF1458" i="9"/>
  <c r="N692" i="9"/>
  <c r="K1313" i="9"/>
  <c r="J793" i="9"/>
  <c r="H872" i="9"/>
  <c r="L1307" i="9"/>
  <c r="L1308" i="9" s="1"/>
  <c r="X1308" i="9" s="1"/>
  <c r="G1151" i="9"/>
  <c r="P1549" i="9"/>
  <c r="P1550" i="9" s="1"/>
  <c r="AB1550" i="9" s="1"/>
  <c r="H1493" i="9"/>
  <c r="N420" i="9"/>
  <c r="N421" i="9" s="1"/>
  <c r="Z421" i="9" s="1"/>
  <c r="P639" i="9"/>
  <c r="Q1056" i="9"/>
  <c r="G1477" i="9"/>
  <c r="K1447" i="9"/>
  <c r="H1457" i="9"/>
  <c r="L1274" i="9"/>
  <c r="G811" i="9"/>
  <c r="R888" i="9"/>
  <c r="H1574" i="9"/>
  <c r="R982" i="9"/>
  <c r="Q1101" i="9"/>
  <c r="P667" i="9"/>
  <c r="H711" i="9"/>
  <c r="R793" i="9"/>
  <c r="P609" i="9"/>
  <c r="L731" i="9"/>
  <c r="J1004" i="9"/>
  <c r="L1577" i="9"/>
  <c r="G742" i="9"/>
  <c r="G1234" i="9"/>
  <c r="H439" i="9"/>
  <c r="I930" i="9"/>
  <c r="U930" i="9" s="1"/>
  <c r="H1100" i="9"/>
  <c r="G1469" i="9"/>
  <c r="S1469" i="9" s="1"/>
  <c r="J1100" i="9"/>
  <c r="N903" i="9"/>
  <c r="N1283" i="9"/>
  <c r="I1172" i="9"/>
  <c r="O784" i="9"/>
  <c r="Q1295" i="9"/>
  <c r="R1050" i="9"/>
  <c r="S1050" i="9" s="1"/>
  <c r="H685" i="9"/>
  <c r="T685" i="9" s="1"/>
  <c r="G546" i="9"/>
  <c r="M777" i="9"/>
  <c r="N1476" i="9"/>
  <c r="I373" i="9"/>
  <c r="L575" i="9"/>
  <c r="L1215" i="9"/>
  <c r="M964" i="9"/>
  <c r="M965" i="9" s="1"/>
  <c r="Y965" i="9" s="1"/>
  <c r="J869" i="9"/>
  <c r="J313" i="9"/>
  <c r="J774" i="9"/>
  <c r="H964" i="9"/>
  <c r="H965" i="9" s="1"/>
  <c r="T965" i="9" s="1"/>
  <c r="P780" i="9"/>
  <c r="H1029" i="9"/>
  <c r="N311" i="9"/>
  <c r="Q1408" i="9"/>
  <c r="K955" i="9"/>
  <c r="P875" i="9"/>
  <c r="H658" i="9"/>
  <c r="M448" i="9"/>
  <c r="K588" i="9"/>
  <c r="O539" i="9"/>
  <c r="L495" i="9"/>
  <c r="AF1133" i="9"/>
  <c r="R489" i="9"/>
  <c r="M636" i="9"/>
  <c r="Y636" i="9" s="1"/>
  <c r="G361" i="9"/>
  <c r="AF1330" i="9"/>
  <c r="J546" i="9"/>
  <c r="O1421" i="9"/>
  <c r="M744" i="9"/>
  <c r="K661" i="9"/>
  <c r="R1280" i="9"/>
  <c r="P1085" i="9"/>
  <c r="H609" i="9"/>
  <c r="J364" i="9"/>
  <c r="P594" i="9"/>
  <c r="O658" i="9"/>
  <c r="R621" i="9"/>
  <c r="O954" i="9"/>
  <c r="P1209" i="9"/>
  <c r="J693" i="9"/>
  <c r="L1022" i="9"/>
  <c r="Q1085" i="9"/>
  <c r="I1374" i="9"/>
  <c r="I1375" i="9" s="1"/>
  <c r="M1255" i="9"/>
  <c r="O878" i="9"/>
  <c r="M1273" i="9"/>
  <c r="Y1273" i="9" s="1"/>
  <c r="P888" i="9"/>
  <c r="M961" i="9"/>
  <c r="M962" i="9" s="1"/>
  <c r="Y962" i="9" s="1"/>
  <c r="L875" i="9"/>
  <c r="G335" i="9"/>
  <c r="J858" i="9"/>
  <c r="J1183" i="9"/>
  <c r="H1197" i="9"/>
  <c r="M1301" i="9"/>
  <c r="AF630" i="9"/>
  <c r="N1345" i="9"/>
  <c r="N441" i="9"/>
  <c r="I1273" i="9"/>
  <c r="U1273" i="9" s="1"/>
  <c r="L413" i="9"/>
  <c r="AF728" i="9"/>
  <c r="O976" i="9"/>
  <c r="H986" i="9"/>
  <c r="P863" i="9"/>
  <c r="H562" i="9"/>
  <c r="Q664" i="9"/>
  <c r="P370" i="9"/>
  <c r="P371" i="9" s="1"/>
  <c r="AB371" i="9" s="1"/>
  <c r="O915" i="9"/>
  <c r="O916" i="9" s="1"/>
  <c r="AA916" i="9" s="1"/>
  <c r="M1298" i="9"/>
  <c r="O1212" i="9"/>
  <c r="G809" i="9"/>
  <c r="N912" i="9"/>
  <c r="N624" i="9"/>
  <c r="K578" i="9"/>
  <c r="I563" i="9"/>
  <c r="N646" i="9"/>
  <c r="L1428" i="9"/>
  <c r="AF1550" i="9"/>
  <c r="H811" i="9"/>
  <c r="H836" i="9" s="1"/>
  <c r="O367" i="9"/>
  <c r="Q611" i="9"/>
  <c r="N445" i="9"/>
  <c r="R1123" i="9"/>
  <c r="R1124" i="9" s="1"/>
  <c r="AD1124" i="9" s="1"/>
  <c r="P915" i="9"/>
  <c r="I737" i="9"/>
  <c r="J856" i="9"/>
  <c r="J618" i="9"/>
  <c r="J619" i="9" s="1"/>
  <c r="V619" i="9" s="1"/>
  <c r="N904" i="9"/>
  <c r="L1568" i="9"/>
  <c r="L979" i="9"/>
  <c r="X979" i="9" s="1"/>
  <c r="P633" i="9"/>
  <c r="P634" i="9" s="1"/>
  <c r="AB634" i="9" s="1"/>
  <c r="M1182" i="9"/>
  <c r="M467" i="9"/>
  <c r="G854" i="9"/>
  <c r="J1016" i="9"/>
  <c r="G891" i="9"/>
  <c r="G786" i="9"/>
  <c r="I1199" i="9"/>
  <c r="Q1494" i="9"/>
  <c r="M927" i="9"/>
  <c r="P1001" i="9"/>
  <c r="P918" i="9"/>
  <c r="H814" i="9"/>
  <c r="G1421" i="9"/>
  <c r="L511" i="9"/>
  <c r="H908" i="9"/>
  <c r="G413" i="9"/>
  <c r="H1103" i="9"/>
  <c r="J904" i="9"/>
  <c r="N532" i="9"/>
  <c r="G756" i="9"/>
  <c r="M1561" i="9"/>
  <c r="M1562" i="9" s="1"/>
  <c r="Y1562" i="9" s="1"/>
  <c r="O1227" i="9"/>
  <c r="N937" i="9"/>
  <c r="Q976" i="9"/>
  <c r="Q432" i="9"/>
  <c r="AF561" i="9"/>
  <c r="R728" i="9"/>
  <c r="O445" i="9"/>
  <c r="J1065" i="9"/>
  <c r="L462" i="9"/>
  <c r="I463" i="9"/>
  <c r="K346" i="9"/>
  <c r="Q578" i="9"/>
  <c r="H332" i="9"/>
  <c r="AF962" i="9"/>
  <c r="M667" i="9"/>
  <c r="M668" i="9" s="1"/>
  <c r="Y668" i="9" s="1"/>
  <c r="G777" i="9"/>
  <c r="L1249" i="9"/>
  <c r="P584" i="9"/>
  <c r="M1295" i="9"/>
  <c r="P485" i="9"/>
  <c r="P486" i="9" s="1"/>
  <c r="AB486" i="9" s="1"/>
  <c r="N713" i="9"/>
  <c r="I810" i="9"/>
  <c r="L367" i="9"/>
  <c r="H1506" i="9"/>
  <c r="H744" i="9"/>
  <c r="M1102" i="9"/>
  <c r="R1393" i="9"/>
  <c r="S1393" i="9" s="1"/>
  <c r="M1133" i="9"/>
  <c r="O532" i="9"/>
  <c r="G881" i="9"/>
  <c r="S881" i="9" s="1"/>
  <c r="P1127" i="9"/>
  <c r="O1056" i="9"/>
  <c r="H514" i="9"/>
  <c r="R1087" i="9"/>
  <c r="Q1546" i="9"/>
  <c r="M609" i="9"/>
  <c r="N1123" i="9"/>
  <c r="Q1150" i="9"/>
  <c r="J692" i="9"/>
  <c r="K759" i="9"/>
  <c r="P855" i="9"/>
  <c r="Q1444" i="9"/>
  <c r="H438" i="9"/>
  <c r="T438" i="9" s="1"/>
  <c r="R1062" i="9"/>
  <c r="K1148" i="9"/>
  <c r="G878" i="9"/>
  <c r="H498" i="9"/>
  <c r="K341" i="9"/>
  <c r="R1148" i="9"/>
  <c r="S1148" i="9" s="1"/>
  <c r="G1330" i="9"/>
  <c r="K889" i="9"/>
  <c r="G1031" i="9"/>
  <c r="K389" i="9"/>
  <c r="AF1326" i="9"/>
  <c r="O955" i="9"/>
  <c r="M348" i="9"/>
  <c r="J563" i="9"/>
  <c r="N575" i="9"/>
  <c r="K783" i="9"/>
  <c r="W783" i="9" s="1"/>
  <c r="P389" i="9"/>
  <c r="L610" i="9"/>
  <c r="H1396" i="9"/>
  <c r="K906" i="9"/>
  <c r="Q857" i="9"/>
  <c r="K1013" i="9"/>
  <c r="L316" i="9"/>
  <c r="L496" i="9"/>
  <c r="H1198" i="9"/>
  <c r="I379" i="9"/>
  <c r="H412" i="9"/>
  <c r="L1104" i="9"/>
  <c r="J560" i="9"/>
  <c r="P320" i="9"/>
  <c r="AF1054" i="9"/>
  <c r="P931" i="9"/>
  <c r="O341" i="9"/>
  <c r="O342" i="9" s="1"/>
  <c r="J808" i="9"/>
  <c r="K498" i="9"/>
  <c r="G1134" i="9"/>
  <c r="P1028" i="9"/>
  <c r="AB1028" i="9" s="1"/>
  <c r="I612" i="9"/>
  <c r="L860" i="9"/>
  <c r="H376" i="9"/>
  <c r="O370" i="9"/>
  <c r="N346" i="9"/>
  <c r="J1117" i="9"/>
  <c r="N980" i="9"/>
  <c r="I1393" i="9"/>
  <c r="H618" i="9"/>
  <c r="H619" i="9" s="1"/>
  <c r="T619" i="9" s="1"/>
  <c r="G810" i="9"/>
  <c r="K413" i="9"/>
  <c r="Q933" i="9"/>
  <c r="N987" i="9"/>
  <c r="H1004" i="9"/>
  <c r="AF805" i="9"/>
  <c r="Q1051" i="9"/>
  <c r="O1085" i="9"/>
  <c r="R725" i="9"/>
  <c r="M1304" i="9"/>
  <c r="P1025" i="9"/>
  <c r="K1274" i="9"/>
  <c r="AF1075" i="9"/>
  <c r="M584" i="9"/>
  <c r="M585" i="9" s="1"/>
  <c r="Y585" i="9" s="1"/>
  <c r="P790" i="9"/>
  <c r="J1120" i="9"/>
  <c r="N415" i="9"/>
  <c r="P854" i="9"/>
  <c r="J986" i="9"/>
  <c r="P341" i="9"/>
  <c r="P342" i="9" s="1"/>
  <c r="M1349" i="9"/>
  <c r="O783" i="9"/>
  <c r="AA783" i="9" s="1"/>
  <c r="K982" i="9"/>
  <c r="I315" i="9"/>
  <c r="AF820" i="9"/>
  <c r="L791" i="9"/>
  <c r="N742" i="9"/>
  <c r="AF1543" i="9"/>
  <c r="K1526" i="9"/>
  <c r="K1545" i="9"/>
  <c r="N842" i="9"/>
  <c r="N1577" i="9"/>
  <c r="K338" i="9"/>
  <c r="W338" i="9" s="1"/>
  <c r="I1203" i="9"/>
  <c r="L878" i="9"/>
  <c r="G1379" i="9"/>
  <c r="H646" i="9"/>
  <c r="L1304" i="9"/>
  <c r="J940" i="9"/>
  <c r="H676" i="9"/>
  <c r="AF1019" i="9"/>
  <c r="N1430" i="9"/>
  <c r="AF1501" i="9"/>
  <c r="O875" i="9"/>
  <c r="Q826" i="9"/>
  <c r="Q827" i="9" s="1"/>
  <c r="AC827" i="9" s="1"/>
  <c r="L964" i="9"/>
  <c r="L965" i="9" s="1"/>
  <c r="X965" i="9" s="1"/>
  <c r="H538" i="9"/>
  <c r="T538" i="9" s="1"/>
  <c r="N1295" i="9"/>
  <c r="I1003" i="9"/>
  <c r="G367" i="9"/>
  <c r="K791" i="9"/>
  <c r="O839" i="9"/>
  <c r="Q326" i="9"/>
  <c r="R476" i="9"/>
  <c r="I1101" i="9"/>
  <c r="L335" i="9"/>
  <c r="R346" i="9"/>
  <c r="R1225" i="9"/>
  <c r="I564" i="9"/>
  <c r="J888" i="9"/>
  <c r="N1136" i="9"/>
  <c r="I676" i="9"/>
  <c r="Q513" i="9"/>
  <c r="N1313" i="9"/>
  <c r="R1160" i="9"/>
  <c r="R1161" i="9" s="1"/>
  <c r="AD1161" i="9" s="1"/>
  <c r="H1394" i="9"/>
  <c r="H1160" i="9"/>
  <c r="H1161" i="9" s="1"/>
  <c r="T1161" i="9" s="1"/>
  <c r="Q982" i="9"/>
  <c r="L1157" i="9"/>
  <c r="L1158" i="9" s="1"/>
  <c r="X1158" i="9" s="1"/>
  <c r="M615" i="9"/>
  <c r="M625" i="9" s="1"/>
  <c r="Y625" i="9" s="1"/>
  <c r="N1526" i="9"/>
  <c r="R523" i="9"/>
  <c r="R627" i="9"/>
  <c r="H912" i="9"/>
  <c r="M1077" i="9"/>
  <c r="Y1077" i="9" s="1"/>
  <c r="R1068" i="9"/>
  <c r="H854" i="9"/>
  <c r="H1054" i="9"/>
  <c r="Q1176" i="9"/>
  <c r="O1036" i="9"/>
  <c r="J1227" i="9"/>
  <c r="G716" i="9"/>
  <c r="L1136" i="9"/>
  <c r="G1003" i="9"/>
  <c r="R762" i="9"/>
  <c r="H362" i="9"/>
  <c r="L707" i="9"/>
  <c r="K1022" i="9"/>
  <c r="I711" i="9"/>
  <c r="L637" i="9"/>
  <c r="Q676" i="9"/>
  <c r="K1054" i="9"/>
  <c r="O329" i="9"/>
  <c r="R1298" i="9"/>
  <c r="I376" i="9"/>
  <c r="AF1300" i="9"/>
  <c r="M476" i="9"/>
  <c r="L1055" i="9"/>
  <c r="Q516" i="9"/>
  <c r="G345" i="9"/>
  <c r="AF517" i="9"/>
  <c r="O676" i="9"/>
  <c r="R618" i="9"/>
  <c r="O760" i="9"/>
  <c r="J515" i="9"/>
  <c r="P807" i="9"/>
  <c r="K415" i="9"/>
  <c r="M692" i="9"/>
  <c r="Q725" i="9"/>
  <c r="I1345" i="9"/>
  <c r="L685" i="9"/>
  <c r="X685" i="9" s="1"/>
  <c r="K1252" i="9"/>
  <c r="G1393" i="9"/>
  <c r="K670" i="9"/>
  <c r="N1525" i="9"/>
  <c r="Q906" i="9"/>
  <c r="P1500" i="9"/>
  <c r="O415" i="9"/>
  <c r="J495" i="9"/>
  <c r="Q1151" i="9"/>
  <c r="R1304" i="9"/>
  <c r="H712" i="9"/>
  <c r="M1346" i="9"/>
  <c r="M1457" i="9"/>
  <c r="I1136" i="9"/>
  <c r="J970" i="9"/>
  <c r="Q388" i="9"/>
  <c r="AC388" i="9" s="1"/>
  <c r="G1231" i="9"/>
  <c r="G1150" i="9"/>
  <c r="M1169" i="9"/>
  <c r="J1108" i="9"/>
  <c r="J1109" i="9" s="1"/>
  <c r="V1109" i="9" s="1"/>
  <c r="G903" i="9"/>
  <c r="J760" i="9"/>
  <c r="N712" i="9"/>
  <c r="M621" i="9"/>
  <c r="J1371" i="9"/>
  <c r="V1371" i="9" s="1"/>
  <c r="I1552" i="9"/>
  <c r="I1553" i="9" s="1"/>
  <c r="U1553" i="9" s="1"/>
  <c r="G1029" i="9"/>
  <c r="L955" i="9"/>
  <c r="L1007" i="9"/>
  <c r="K566" i="9"/>
  <c r="K1182" i="9"/>
  <c r="L561" i="9"/>
  <c r="P1250" i="9"/>
  <c r="M639" i="9"/>
  <c r="K516" i="9"/>
  <c r="K1029" i="9"/>
  <c r="H391" i="9"/>
  <c r="Q466" i="9"/>
  <c r="J1035" i="9"/>
  <c r="J1472" i="9"/>
  <c r="M1496" i="9"/>
  <c r="P742" i="9"/>
  <c r="P692" i="9"/>
  <c r="H1025" i="9"/>
  <c r="H1026" i="9" s="1"/>
  <c r="T1026" i="9" s="1"/>
  <c r="M1276" i="9"/>
  <c r="Q1087" i="9"/>
  <c r="Q496" i="9"/>
  <c r="L1103" i="9"/>
  <c r="H1120" i="9"/>
  <c r="R903" i="9"/>
  <c r="S903" i="9" s="1"/>
  <c r="G1163" i="9"/>
  <c r="O866" i="9"/>
  <c r="J686" i="9"/>
  <c r="L1068" i="9"/>
  <c r="L1542" i="9"/>
  <c r="K541" i="9"/>
  <c r="G1497" i="9"/>
  <c r="M1202" i="9"/>
  <c r="G808" i="9"/>
  <c r="P1117" i="9"/>
  <c r="P1118" i="9" s="1"/>
  <c r="H1209" i="9"/>
  <c r="L1084" i="9"/>
  <c r="I806" i="9"/>
  <c r="N693" i="9"/>
  <c r="P448" i="9"/>
  <c r="N1395" i="9"/>
  <c r="R1316" i="9"/>
  <c r="H1250" i="9"/>
  <c r="I395" i="9"/>
  <c r="N1232" i="9"/>
  <c r="R676" i="9"/>
  <c r="I448" i="9"/>
  <c r="L439" i="9"/>
  <c r="I1001" i="9"/>
  <c r="J423" i="9"/>
  <c r="J424" i="9" s="1"/>
  <c r="V424" i="9" s="1"/>
  <c r="M612" i="9"/>
  <c r="O496" i="9"/>
  <c r="J470" i="9"/>
  <c r="AF1252" i="9"/>
  <c r="H590" i="9"/>
  <c r="L808" i="9"/>
  <c r="R855" i="9"/>
  <c r="R712" i="9"/>
  <c r="H1129" i="9"/>
  <c r="L891" i="9"/>
  <c r="K467" i="9"/>
  <c r="N777" i="9"/>
  <c r="G1007" i="9"/>
  <c r="O1078" i="9"/>
  <c r="I817" i="9"/>
  <c r="O1054" i="9"/>
  <c r="H903" i="9"/>
  <c r="Q491" i="9"/>
  <c r="Q492" i="9" s="1"/>
  <c r="M1274" i="9"/>
  <c r="P1114" i="9"/>
  <c r="P1115" i="9" s="1"/>
  <c r="AB1115" i="9" s="1"/>
  <c r="R1332" i="9"/>
  <c r="G1149" i="9"/>
  <c r="R973" i="9"/>
  <c r="R1545" i="9"/>
  <c r="J1446" i="9"/>
  <c r="H1503" i="9"/>
  <c r="Q1442" i="9"/>
  <c r="I316" i="9"/>
  <c r="Q1010" i="9"/>
  <c r="M1215" i="9"/>
  <c r="H693" i="9"/>
  <c r="L908" i="9"/>
  <c r="M363" i="9"/>
  <c r="R1322" i="9"/>
  <c r="AD1322" i="9" s="1"/>
  <c r="R1166" i="9"/>
  <c r="R1167" i="9" s="1"/>
  <c r="L1203" i="9"/>
  <c r="G1129" i="9"/>
  <c r="N581" i="9"/>
  <c r="R491" i="9"/>
  <c r="K768" i="9"/>
  <c r="K769" i="9" s="1"/>
  <c r="W769" i="9" s="1"/>
  <c r="G326" i="9"/>
  <c r="I512" i="9"/>
  <c r="M539" i="9"/>
  <c r="G1247" i="9"/>
  <c r="I1016" i="9"/>
  <c r="I1017" i="9" s="1"/>
  <c r="U1017" i="9" s="1"/>
  <c r="J964" i="9"/>
  <c r="J965" i="9" s="1"/>
  <c r="V965" i="9" s="1"/>
  <c r="Q441" i="9"/>
  <c r="O791" i="9"/>
  <c r="M1127" i="9"/>
  <c r="M1227" i="9"/>
  <c r="M1006" i="9"/>
  <c r="M1503" i="9"/>
  <c r="Q498" i="9"/>
  <c r="N520" i="9"/>
  <c r="N521" i="9" s="1"/>
  <c r="Z521" i="9" s="1"/>
  <c r="I790" i="9"/>
  <c r="J1149" i="9"/>
  <c r="M955" i="9"/>
  <c r="L1264" i="9"/>
  <c r="R737" i="9"/>
  <c r="R738" i="9" s="1"/>
  <c r="O1016" i="9"/>
  <c r="L1114" i="9"/>
  <c r="K1276" i="9"/>
  <c r="O756" i="9"/>
  <c r="P762" i="9"/>
  <c r="AF569" i="9"/>
  <c r="I1251" i="9"/>
  <c r="P735" i="9"/>
  <c r="I909" i="9"/>
  <c r="I922" i="9" s="1"/>
  <c r="N1479" i="9"/>
  <c r="I1133" i="9"/>
  <c r="J316" i="9"/>
  <c r="I826" i="9"/>
  <c r="R938" i="9"/>
  <c r="I363" i="9"/>
  <c r="I495" i="9"/>
  <c r="P719" i="9"/>
  <c r="G1408" i="9"/>
  <c r="M1408" i="9"/>
  <c r="J1013" i="9"/>
  <c r="J1014" i="9" s="1"/>
  <c r="V1014" i="9" s="1"/>
  <c r="N636" i="9"/>
  <c r="Z636" i="9" s="1"/>
  <c r="Q1255" i="9"/>
  <c r="J373" i="9"/>
  <c r="J374" i="9" s="1"/>
  <c r="V374" i="9" s="1"/>
  <c r="Q915" i="9"/>
  <c r="H758" i="9"/>
  <c r="K462" i="9"/>
  <c r="Q760" i="9"/>
  <c r="G1062" i="9"/>
  <c r="R1552" i="9"/>
  <c r="R615" i="9"/>
  <c r="AF719" i="9"/>
  <c r="O710" i="9"/>
  <c r="G479" i="9"/>
  <c r="P496" i="9"/>
  <c r="L465" i="9"/>
  <c r="R1255" i="9"/>
  <c r="J1374" i="9"/>
  <c r="Q908" i="9"/>
  <c r="G1492" i="9"/>
  <c r="K569" i="9"/>
  <c r="K839" i="9"/>
  <c r="H807" i="9"/>
  <c r="H1472" i="9"/>
  <c r="I765" i="9"/>
  <c r="P376" i="9"/>
  <c r="I1117" i="9"/>
  <c r="O1013" i="9"/>
  <c r="N976" i="9"/>
  <c r="O859" i="9"/>
  <c r="R906" i="9"/>
  <c r="Q630" i="9"/>
  <c r="M805" i="9"/>
  <c r="Q538" i="9"/>
  <c r="AC538" i="9" s="1"/>
  <c r="R659" i="9"/>
  <c r="N1010" i="9"/>
  <c r="K561" i="9"/>
  <c r="G761" i="9"/>
  <c r="O1176" i="9"/>
  <c r="O1495" i="9"/>
  <c r="J805" i="9"/>
  <c r="G676" i="9"/>
  <c r="H1056" i="9"/>
  <c r="H1069" i="9" s="1"/>
  <c r="J1411" i="9"/>
  <c r="H906" i="9"/>
  <c r="L1448" i="9"/>
  <c r="L1455" i="9" s="1"/>
  <c r="X1455" i="9" s="1"/>
  <c r="J644" i="9"/>
  <c r="I1036" i="9"/>
  <c r="R398" i="9"/>
  <c r="H370" i="9"/>
  <c r="G411" i="9"/>
  <c r="H561" i="9"/>
  <c r="M725" i="9"/>
  <c r="I646" i="9"/>
  <c r="N515" i="9"/>
  <c r="R856" i="9"/>
  <c r="Q722" i="9"/>
  <c r="I362" i="9"/>
  <c r="Q835" i="9"/>
  <c r="H884" i="9"/>
  <c r="L1414" i="9"/>
  <c r="L1415" i="9" s="1"/>
  <c r="X1415" i="9" s="1"/>
  <c r="Q889" i="9"/>
  <c r="J931" i="9"/>
  <c r="O882" i="9"/>
  <c r="M712" i="9"/>
  <c r="J1544" i="9"/>
  <c r="G341" i="9"/>
  <c r="Q953" i="9"/>
  <c r="K1528" i="9"/>
  <c r="G1084" i="9"/>
  <c r="I1430" i="9"/>
  <c r="AF618" i="9"/>
  <c r="R784" i="9"/>
  <c r="H952" i="9"/>
  <c r="Q1443" i="9"/>
  <c r="K1561" i="9"/>
  <c r="Q1099" i="9"/>
  <c r="Q317" i="9"/>
  <c r="O884" i="9"/>
  <c r="L953" i="9"/>
  <c r="N1198" i="9"/>
  <c r="I1059" i="9"/>
  <c r="I1060" i="9" s="1"/>
  <c r="U1060" i="9" s="1"/>
  <c r="P643" i="9"/>
  <c r="AF711" i="9"/>
  <c r="L835" i="9"/>
  <c r="L1202" i="9"/>
  <c r="J637" i="9"/>
  <c r="L1506" i="9"/>
  <c r="J1010" i="9"/>
  <c r="H366" i="9"/>
  <c r="M316" i="9"/>
  <c r="M1477" i="9"/>
  <c r="L679" i="9"/>
  <c r="AF1036" i="9"/>
  <c r="R448" i="9"/>
  <c r="H756" i="9"/>
  <c r="I1166" i="9"/>
  <c r="K1255" i="9"/>
  <c r="L1296" i="9"/>
  <c r="G731" i="9"/>
  <c r="J594" i="9"/>
  <c r="Q609" i="9"/>
  <c r="AF1558" i="9"/>
  <c r="R1055" i="9"/>
  <c r="O644" i="9"/>
  <c r="M659" i="9"/>
  <c r="I566" i="9"/>
  <c r="O927" i="9"/>
  <c r="H719" i="9"/>
  <c r="K693" i="9"/>
  <c r="M1152" i="9"/>
  <c r="N470" i="9"/>
  <c r="L612" i="9"/>
  <c r="H1212" i="9"/>
  <c r="P1300" i="9"/>
  <c r="L646" i="9"/>
  <c r="AF1405" i="9"/>
  <c r="K613" i="9"/>
  <c r="R872" i="9"/>
  <c r="O957" i="9"/>
  <c r="M1445" i="9"/>
  <c r="K1163" i="9"/>
  <c r="K1164" i="9" s="1"/>
  <c r="W1164" i="9" s="1"/>
  <c r="O1152" i="9"/>
  <c r="K332" i="9"/>
  <c r="H1247" i="9"/>
  <c r="H1261" i="9"/>
  <c r="G1227" i="9"/>
  <c r="J1102" i="9"/>
  <c r="L716" i="9"/>
  <c r="M806" i="9"/>
  <c r="N958" i="9"/>
  <c r="N1281" i="9"/>
  <c r="AF563" i="9"/>
  <c r="Q1252" i="9"/>
  <c r="I462" i="9"/>
  <c r="J884" i="9"/>
  <c r="J885" i="9" s="1"/>
  <c r="M908" i="9"/>
  <c r="J1246" i="9"/>
  <c r="N1074" i="9"/>
  <c r="N1075" i="9" s="1"/>
  <c r="Z1075" i="9" s="1"/>
  <c r="Q1224" i="9"/>
  <c r="AC1224" i="9" s="1"/>
  <c r="L842" i="9"/>
  <c r="R979" i="9"/>
  <c r="AD979" i="9" s="1"/>
  <c r="H1221" i="9"/>
  <c r="I590" i="9"/>
  <c r="M930" i="9"/>
  <c r="Y930" i="9" s="1"/>
  <c r="H345" i="9"/>
  <c r="O1247" i="9"/>
  <c r="K744" i="9"/>
  <c r="K1031" i="9"/>
  <c r="L924" i="9"/>
  <c r="R391" i="9"/>
  <c r="G489" i="9"/>
  <c r="P820" i="9"/>
  <c r="Q909" i="9"/>
  <c r="N884" i="9"/>
  <c r="H954" i="9"/>
  <c r="P987" i="9"/>
  <c r="AF1005" i="9"/>
  <c r="R952" i="9"/>
  <c r="S952" i="9" s="1"/>
  <c r="I1444" i="9"/>
  <c r="L863" i="9"/>
  <c r="J1495" i="9"/>
  <c r="R1345" i="9"/>
  <c r="I610" i="9"/>
  <c r="N1200" i="9"/>
  <c r="I1035" i="9"/>
  <c r="G760" i="9"/>
  <c r="AF1467" i="9"/>
  <c r="Q1149" i="9"/>
  <c r="O891" i="9"/>
  <c r="Q882" i="9"/>
  <c r="R777" i="9"/>
  <c r="AF479" i="9"/>
  <c r="Q1446" i="9"/>
  <c r="I1010" i="9"/>
  <c r="N835" i="9"/>
  <c r="O314" i="9"/>
  <c r="AF482" i="9"/>
  <c r="J765" i="9"/>
  <c r="M814" i="9"/>
  <c r="H323" i="9"/>
  <c r="H324" i="9" s="1"/>
  <c r="T324" i="9" s="1"/>
  <c r="G595" i="9"/>
  <c r="P1182" i="9"/>
  <c r="P1111" i="9"/>
  <c r="R575" i="9"/>
  <c r="Q904" i="9"/>
  <c r="I520" i="9"/>
  <c r="I521" i="9" s="1"/>
  <c r="U521" i="9" s="1"/>
  <c r="M757" i="9"/>
  <c r="M784" i="9"/>
  <c r="R624" i="9"/>
  <c r="G711" i="9"/>
  <c r="K1080" i="9"/>
  <c r="K829" i="9"/>
  <c r="K463" i="9"/>
  <c r="R658" i="9"/>
  <c r="S658" i="9" s="1"/>
  <c r="AF1280" i="9"/>
  <c r="M1099" i="9"/>
  <c r="G1540" i="9"/>
  <c r="H957" i="9"/>
  <c r="O1005" i="9"/>
  <c r="H1301" i="9"/>
  <c r="H1314" i="9" s="1"/>
  <c r="M1427" i="9"/>
  <c r="R373" i="9"/>
  <c r="O595" i="9"/>
  <c r="L1362" i="9"/>
  <c r="R808" i="9"/>
  <c r="P1172" i="9"/>
  <c r="P1173" i="9" s="1"/>
  <c r="AB1173" i="9" s="1"/>
  <c r="Q758" i="9"/>
  <c r="O1445" i="9"/>
  <c r="K884" i="9"/>
  <c r="P644" i="9"/>
  <c r="P1175" i="9"/>
  <c r="AB1175" i="9" s="1"/>
  <c r="J311" i="9"/>
  <c r="M1062" i="9"/>
  <c r="L364" i="9"/>
  <c r="H1203" i="9"/>
  <c r="Q858" i="9"/>
  <c r="M1231" i="9"/>
  <c r="M953" i="9"/>
  <c r="J312" i="9"/>
  <c r="J1344" i="9"/>
  <c r="O872" i="9"/>
  <c r="O873" i="9" s="1"/>
  <c r="G744" i="9"/>
  <c r="Q514" i="9"/>
  <c r="R562" i="9"/>
  <c r="J1203" i="9"/>
  <c r="J1216" i="9" s="1"/>
  <c r="K878" i="9"/>
  <c r="K879" i="9" s="1"/>
  <c r="W879" i="9" s="1"/>
  <c r="O1444" i="9"/>
  <c r="O758" i="9"/>
  <c r="I643" i="9"/>
  <c r="M695" i="9"/>
  <c r="R482" i="9"/>
  <c r="O463" i="9"/>
  <c r="R956" i="9"/>
  <c r="R646" i="9"/>
  <c r="AF859" i="9"/>
  <c r="M1025" i="9"/>
  <c r="P957" i="9"/>
  <c r="H1016" i="9"/>
  <c r="AF817" i="9"/>
  <c r="L491" i="9"/>
  <c r="I578" i="9"/>
  <c r="R768" i="9"/>
  <c r="G1022" i="9"/>
  <c r="R1231" i="9"/>
  <c r="M1059" i="9"/>
  <c r="M940" i="9"/>
  <c r="O840" i="9"/>
  <c r="I1102" i="9"/>
  <c r="AF1126" i="9"/>
  <c r="G491" i="9"/>
  <c r="J564" i="9"/>
  <c r="K1515" i="9"/>
  <c r="R1420" i="9"/>
  <c r="AD1420" i="9" s="1"/>
  <c r="N1445" i="9"/>
  <c r="M646" i="9"/>
  <c r="I1126" i="9"/>
  <c r="U1126" i="9" s="1"/>
  <c r="L1231" i="9"/>
  <c r="K805" i="9"/>
  <c r="J1176" i="9"/>
  <c r="AF516" i="9"/>
  <c r="R1202" i="9"/>
  <c r="P363" i="9"/>
  <c r="R1544" i="9"/>
  <c r="G1101" i="9"/>
  <c r="L1518" i="9"/>
  <c r="X1518" i="9" s="1"/>
  <c r="L713" i="9"/>
  <c r="L738" i="9" s="1"/>
  <c r="N1301" i="9"/>
  <c r="N1035" i="9"/>
  <c r="P777" i="9"/>
  <c r="R594" i="9"/>
  <c r="L744" i="9"/>
  <c r="G1038" i="9"/>
  <c r="M1250" i="9"/>
  <c r="P1005" i="9"/>
  <c r="Q810" i="9"/>
  <c r="L415" i="9"/>
  <c r="P909" i="9"/>
  <c r="G1051" i="9"/>
  <c r="J906" i="9"/>
  <c r="P1283" i="9"/>
  <c r="J709" i="9"/>
  <c r="R560" i="9"/>
  <c r="S560" i="9" s="1"/>
  <c r="P859" i="9"/>
  <c r="J415" i="9"/>
  <c r="H314" i="9"/>
  <c r="O952" i="9"/>
  <c r="O826" i="9"/>
  <c r="G1117" i="9"/>
  <c r="K514" i="9"/>
  <c r="H516" i="9"/>
  <c r="G1199" i="9"/>
  <c r="J860" i="9"/>
  <c r="K624" i="9"/>
  <c r="M1149" i="9"/>
  <c r="O491" i="9"/>
  <c r="Q833" i="9"/>
  <c r="K856" i="9"/>
  <c r="I341" i="9"/>
  <c r="I342" i="9" s="1"/>
  <c r="M881" i="9"/>
  <c r="Y881" i="9" s="1"/>
  <c r="H955" i="9"/>
  <c r="L1078" i="9"/>
  <c r="K316" i="9"/>
  <c r="L931" i="9"/>
  <c r="G1526" i="9"/>
  <c r="I1215" i="9"/>
  <c r="P806" i="9"/>
  <c r="I989" i="9"/>
  <c r="R967" i="9"/>
  <c r="P858" i="9"/>
  <c r="I1108" i="9"/>
  <c r="G1297" i="9"/>
  <c r="L1126" i="9"/>
  <c r="X1126" i="9" s="1"/>
  <c r="N1001" i="9"/>
  <c r="P1084" i="9"/>
  <c r="R958" i="9"/>
  <c r="N1280" i="9"/>
  <c r="Q860" i="9"/>
  <c r="H1010" i="9"/>
  <c r="P878" i="9"/>
  <c r="K1280" i="9"/>
  <c r="N710" i="9"/>
  <c r="M435" i="9"/>
  <c r="M436" i="9" s="1"/>
  <c r="Y436" i="9" s="1"/>
  <c r="N363" i="9"/>
  <c r="I956" i="9"/>
  <c r="I1509" i="9"/>
  <c r="Q332" i="9"/>
  <c r="G346" i="9"/>
  <c r="J1448" i="9"/>
  <c r="J1153" i="9"/>
  <c r="N967" i="9"/>
  <c r="L859" i="9"/>
  <c r="P572" i="9"/>
  <c r="R806" i="9"/>
  <c r="P1062" i="9"/>
  <c r="AF313" i="9"/>
  <c r="G364" i="9"/>
  <c r="M688" i="9"/>
  <c r="R783" i="9"/>
  <c r="AD783" i="9" s="1"/>
  <c r="K760" i="9"/>
  <c r="J1150" i="9"/>
  <c r="M1153" i="9"/>
  <c r="AF1454" i="9"/>
  <c r="H411" i="9"/>
  <c r="O728" i="9"/>
  <c r="AF906" i="9"/>
  <c r="I630" i="9"/>
  <c r="I631" i="9" s="1"/>
  <c r="U631" i="9" s="1"/>
  <c r="Q716" i="9"/>
  <c r="L1359" i="9"/>
  <c r="M707" i="9"/>
  <c r="P856" i="9"/>
  <c r="H933" i="9"/>
  <c r="O757" i="9"/>
  <c r="J735" i="9"/>
  <c r="N1051" i="9"/>
  <c r="L854" i="9"/>
  <c r="H839" i="9"/>
  <c r="L341" i="9"/>
  <c r="AF974" i="9"/>
  <c r="K1010" i="9"/>
  <c r="P588" i="9"/>
  <c r="R612" i="9"/>
  <c r="Q1108" i="9"/>
  <c r="Q1109" i="9" s="1"/>
  <c r="AC1109" i="9" s="1"/>
  <c r="AF821" i="9"/>
  <c r="O1084" i="9"/>
  <c r="M1154" i="9"/>
  <c r="M1179" i="9" s="1"/>
  <c r="M810" i="9"/>
  <c r="P664" i="9"/>
  <c r="Q1102" i="9"/>
  <c r="I958" i="9"/>
  <c r="G1445" i="9"/>
  <c r="K952" i="9"/>
  <c r="N685" i="9"/>
  <c r="Z685" i="9" s="1"/>
  <c r="H316" i="9"/>
  <c r="L1348" i="9"/>
  <c r="G931" i="9"/>
  <c r="O435" i="9"/>
  <c r="O436" i="9" s="1"/>
  <c r="AA436" i="9" s="1"/>
  <c r="G627" i="9"/>
  <c r="J539" i="9"/>
  <c r="J1056" i="9"/>
  <c r="N1545" i="9"/>
  <c r="K964" i="9"/>
  <c r="G660" i="9"/>
  <c r="P809" i="9"/>
  <c r="L464" i="9"/>
  <c r="O413" i="9"/>
  <c r="G722" i="9"/>
  <c r="N479" i="9"/>
  <c r="AF1085" i="9"/>
  <c r="H823" i="9"/>
  <c r="O709" i="9"/>
  <c r="K1577" i="9"/>
  <c r="J426" i="9"/>
  <c r="O476" i="9"/>
  <c r="J1232" i="9"/>
  <c r="P679" i="9"/>
  <c r="H329" i="9"/>
  <c r="N889" i="9"/>
  <c r="Q636" i="9"/>
  <c r="AC636" i="9" s="1"/>
  <c r="J1002" i="9"/>
  <c r="J833" i="9"/>
  <c r="L1160" i="9"/>
  <c r="L1161" i="9" s="1"/>
  <c r="X1161" i="9" s="1"/>
  <c r="R761" i="9"/>
  <c r="P491" i="9"/>
  <c r="R1472" i="9"/>
  <c r="R1497" i="9"/>
  <c r="AF1298" i="9"/>
  <c r="M630" i="9"/>
  <c r="O940" i="9"/>
  <c r="AF1166" i="9"/>
  <c r="R1301" i="9"/>
  <c r="Q759" i="9"/>
  <c r="AF521" i="9"/>
  <c r="R1546" i="9"/>
  <c r="N529" i="9"/>
  <c r="N530" i="9" s="1"/>
  <c r="R1252" i="9"/>
  <c r="R1476" i="9"/>
  <c r="AF1564" i="9"/>
  <c r="R1374" i="9"/>
  <c r="R1375" i="9" s="1"/>
  <c r="R1264" i="9"/>
  <c r="R1325" i="9"/>
  <c r="R1326" i="9" s="1"/>
  <c r="R1227" i="9"/>
  <c r="R1228" i="9" s="1"/>
  <c r="R1423" i="9"/>
  <c r="R1178" i="9"/>
  <c r="R1179" i="9" s="1"/>
  <c r="R1558" i="9"/>
  <c r="R1570" i="9"/>
  <c r="R1509" i="9"/>
  <c r="R1521" i="9"/>
  <c r="R1276" i="9"/>
  <c r="R1313" i="9"/>
  <c r="R1329" i="9"/>
  <c r="Y117" i="1"/>
  <c r="AA94" i="1"/>
  <c r="AA100" i="1" s="1"/>
  <c r="Z94" i="1"/>
  <c r="Z100" i="1" s="1"/>
  <c r="AA114" i="1"/>
  <c r="AA116" i="1" s="1"/>
  <c r="Z114" i="1"/>
  <c r="Z116" i="1" s="1"/>
  <c r="D11" i="1"/>
  <c r="D77" i="1"/>
  <c r="D13" i="1"/>
  <c r="N1164" i="9" l="1"/>
  <c r="Z1164" i="9" s="1"/>
  <c r="R1510" i="9"/>
  <c r="AG760" i="9"/>
  <c r="J1473" i="9"/>
  <c r="N913" i="9"/>
  <c r="Z913" i="9" s="1"/>
  <c r="L1464" i="9"/>
  <c r="X1464" i="9" s="1"/>
  <c r="L1259" i="9"/>
  <c r="X1259" i="9" s="1"/>
  <c r="K1265" i="9"/>
  <c r="J492" i="9"/>
  <c r="P1017" i="9"/>
  <c r="AB1017" i="9" s="1"/>
  <c r="O983" i="9"/>
  <c r="L864" i="9"/>
  <c r="X864" i="9" s="1"/>
  <c r="I1179" i="9"/>
  <c r="N433" i="9"/>
  <c r="Z433" i="9" s="1"/>
  <c r="N424" i="9"/>
  <c r="Z424" i="9" s="1"/>
  <c r="O521" i="9"/>
  <c r="AA521" i="9" s="1"/>
  <c r="O1418" i="9"/>
  <c r="AA1418" i="9" s="1"/>
  <c r="L1403" i="9"/>
  <c r="X1403" i="9" s="1"/>
  <c r="L1305" i="9"/>
  <c r="X1305" i="9" s="1"/>
  <c r="L879" i="9"/>
  <c r="X879" i="9" s="1"/>
  <c r="Q433" i="9"/>
  <c r="AC433" i="9" s="1"/>
  <c r="H1369" i="9"/>
  <c r="T1369" i="9" s="1"/>
  <c r="H922" i="9"/>
  <c r="H1020" i="9"/>
  <c r="M971" i="9"/>
  <c r="H591" i="9"/>
  <c r="G876" i="9"/>
  <c r="S876" i="9" s="1"/>
  <c r="H524" i="9"/>
  <c r="T524" i="9" s="1"/>
  <c r="H1262" i="9"/>
  <c r="T1262" i="9" s="1"/>
  <c r="N1032" i="9"/>
  <c r="N876" i="9"/>
  <c r="Z876" i="9" s="1"/>
  <c r="H1032" i="9"/>
  <c r="H585" i="9"/>
  <c r="T585" i="9" s="1"/>
  <c r="N1026" i="9"/>
  <c r="Z1026" i="9" s="1"/>
  <c r="P386" i="9"/>
  <c r="AB386" i="9" s="1"/>
  <c r="L1320" i="9"/>
  <c r="X1320" i="9" s="1"/>
  <c r="I781" i="9"/>
  <c r="U781" i="9" s="1"/>
  <c r="P1501" i="9"/>
  <c r="AB1501" i="9" s="1"/>
  <c r="P1418" i="9"/>
  <c r="AB1418" i="9" s="1"/>
  <c r="O1501" i="9"/>
  <c r="AA1501" i="9" s="1"/>
  <c r="O1504" i="9"/>
  <c r="AA1504" i="9" s="1"/>
  <c r="P1259" i="9"/>
  <c r="AB1259" i="9" s="1"/>
  <c r="M1320" i="9"/>
  <c r="Y1320" i="9" s="1"/>
  <c r="I983" i="9"/>
  <c r="M1522" i="9"/>
  <c r="L333" i="9"/>
  <c r="X333" i="9" s="1"/>
  <c r="H1461" i="9"/>
  <c r="O1118" i="9"/>
  <c r="H492" i="9"/>
  <c r="M1308" i="9"/>
  <c r="Y1308" i="9" s="1"/>
  <c r="M1305" i="9"/>
  <c r="Y1305" i="9" s="1"/>
  <c r="N1259" i="9"/>
  <c r="Z1259" i="9" s="1"/>
  <c r="M576" i="9"/>
  <c r="Y576" i="9" s="1"/>
  <c r="M582" i="9"/>
  <c r="Y582" i="9" s="1"/>
  <c r="H1516" i="9"/>
  <c r="T1516" i="9" s="1"/>
  <c r="H1501" i="9"/>
  <c r="T1501" i="9" s="1"/>
  <c r="K1320" i="9"/>
  <c r="W1320" i="9" s="1"/>
  <c r="O570" i="9"/>
  <c r="AA570" i="9" s="1"/>
  <c r="N1461" i="9"/>
  <c r="G677" i="9"/>
  <c r="J766" i="9"/>
  <c r="V766" i="9" s="1"/>
  <c r="P1216" i="9"/>
  <c r="K1311" i="9"/>
  <c r="W1311" i="9" s="1"/>
  <c r="N1513" i="9"/>
  <c r="Z1513" i="9" s="1"/>
  <c r="H775" i="9"/>
  <c r="J573" i="9"/>
  <c r="V573" i="9" s="1"/>
  <c r="M769" i="9"/>
  <c r="Y769" i="9" s="1"/>
  <c r="O1553" i="9"/>
  <c r="AA1553" i="9" s="1"/>
  <c r="O836" i="9"/>
  <c r="H1360" i="9"/>
  <c r="T1360" i="9" s="1"/>
  <c r="Q377" i="9"/>
  <c r="AC377" i="9" s="1"/>
  <c r="L1213" i="9"/>
  <c r="X1213" i="9" s="1"/>
  <c r="J1354" i="9"/>
  <c r="V1354" i="9" s="1"/>
  <c r="J570" i="9"/>
  <c r="V570" i="9" s="1"/>
  <c r="J1455" i="9"/>
  <c r="V1455" i="9" s="1"/>
  <c r="I1366" i="9"/>
  <c r="U1366" i="9" s="1"/>
  <c r="I1170" i="9"/>
  <c r="U1170" i="9" s="1"/>
  <c r="H1375" i="9"/>
  <c r="J1357" i="9"/>
  <c r="V1357" i="9" s="1"/>
  <c r="L1357" i="9"/>
  <c r="X1357" i="9" s="1"/>
  <c r="I818" i="9"/>
  <c r="U818" i="9" s="1"/>
  <c r="H1112" i="9"/>
  <c r="T1112" i="9" s="1"/>
  <c r="P680" i="9"/>
  <c r="AB680" i="9" s="1"/>
  <c r="O492" i="9"/>
  <c r="H1216" i="9"/>
  <c r="K1562" i="9"/>
  <c r="W1562" i="9" s="1"/>
  <c r="N1011" i="9"/>
  <c r="Z1011" i="9" s="1"/>
  <c r="H1121" i="9"/>
  <c r="T1121" i="9" s="1"/>
  <c r="H677" i="9"/>
  <c r="O533" i="9"/>
  <c r="AA533" i="9" s="1"/>
  <c r="K1314" i="9"/>
  <c r="P1228" i="9"/>
  <c r="M579" i="9"/>
  <c r="L1369" i="9"/>
  <c r="X1369" i="9" s="1"/>
  <c r="I1452" i="9"/>
  <c r="U1452" i="9" s="1"/>
  <c r="L533" i="9"/>
  <c r="X533" i="9" s="1"/>
  <c r="O433" i="9"/>
  <c r="AA433" i="9" s="1"/>
  <c r="N787" i="9"/>
  <c r="J1023" i="9"/>
  <c r="V1023" i="9" s="1"/>
  <c r="I683" i="9"/>
  <c r="U683" i="9" s="1"/>
  <c r="H1556" i="9"/>
  <c r="T1556" i="9" s="1"/>
  <c r="M533" i="9"/>
  <c r="Y533" i="9" s="1"/>
  <c r="K683" i="9"/>
  <c r="W683" i="9" s="1"/>
  <c r="L1268" i="9"/>
  <c r="X1268" i="9" s="1"/>
  <c r="O1305" i="9"/>
  <c r="AA1305" i="9" s="1"/>
  <c r="O1467" i="9"/>
  <c r="AA1467" i="9" s="1"/>
  <c r="J480" i="9"/>
  <c r="K928" i="9"/>
  <c r="W928" i="9" s="1"/>
  <c r="K1412" i="9"/>
  <c r="O1115" i="9"/>
  <c r="AA1115" i="9" s="1"/>
  <c r="H1562" i="9"/>
  <c r="T1562" i="9" s="1"/>
  <c r="K521" i="9"/>
  <c r="W521" i="9" s="1"/>
  <c r="K775" i="9"/>
  <c r="J536" i="9"/>
  <c r="V536" i="9" s="1"/>
  <c r="N1268" i="9"/>
  <c r="Z1268" i="9" s="1"/>
  <c r="N1256" i="9"/>
  <c r="Z1256" i="9" s="1"/>
  <c r="J327" i="9"/>
  <c r="V327" i="9" s="1"/>
  <c r="H1011" i="9"/>
  <c r="T1011" i="9" s="1"/>
  <c r="H1017" i="9"/>
  <c r="T1017" i="9" s="1"/>
  <c r="L1501" i="9"/>
  <c r="X1501" i="9" s="1"/>
  <c r="O977" i="9"/>
  <c r="AA977" i="9" s="1"/>
  <c r="K922" i="9"/>
  <c r="M1571" i="9"/>
  <c r="H1170" i="9"/>
  <c r="T1170" i="9" s="1"/>
  <c r="H1522" i="9"/>
  <c r="H1366" i="9"/>
  <c r="T1366" i="9" s="1"/>
  <c r="K342" i="9"/>
  <c r="I327" i="9"/>
  <c r="U327" i="9" s="1"/>
  <c r="K1556" i="9"/>
  <c r="W1556" i="9" s="1"/>
  <c r="O1109" i="9"/>
  <c r="AA1109" i="9" s="1"/>
  <c r="M527" i="9"/>
  <c r="Y527" i="9" s="1"/>
  <c r="J377" i="9"/>
  <c r="V377" i="9" s="1"/>
  <c r="Q1124" i="9"/>
  <c r="AC1124" i="9" s="1"/>
  <c r="I1011" i="9"/>
  <c r="U1011" i="9" s="1"/>
  <c r="M928" i="9"/>
  <c r="Y928" i="9" s="1"/>
  <c r="N579" i="9"/>
  <c r="N1213" i="9"/>
  <c r="Z1213" i="9" s="1"/>
  <c r="H1268" i="9"/>
  <c r="T1268" i="9" s="1"/>
  <c r="H919" i="9"/>
  <c r="T919" i="9" s="1"/>
  <c r="P1020" i="9"/>
  <c r="P483" i="9"/>
  <c r="AB483" i="9" s="1"/>
  <c r="Q1271" i="9"/>
  <c r="AC1271" i="9" s="1"/>
  <c r="I827" i="9"/>
  <c r="U827" i="9" s="1"/>
  <c r="R1317" i="9"/>
  <c r="AD1317" i="9" s="1"/>
  <c r="M1011" i="9"/>
  <c r="Y1011" i="9" s="1"/>
  <c r="M573" i="9"/>
  <c r="Y573" i="9" s="1"/>
  <c r="O1510" i="9"/>
  <c r="K1130" i="9"/>
  <c r="M1219" i="9"/>
  <c r="Y1219" i="9" s="1"/>
  <c r="L324" i="9"/>
  <c r="X324" i="9" s="1"/>
  <c r="P729" i="9"/>
  <c r="AB729" i="9" s="1"/>
  <c r="M1213" i="9"/>
  <c r="Y1213" i="9" s="1"/>
  <c r="I1507" i="9"/>
  <c r="U1507" i="9" s="1"/>
  <c r="N1418" i="9"/>
  <c r="Z1418" i="9" s="1"/>
  <c r="L971" i="9"/>
  <c r="I1406" i="9"/>
  <c r="U1406" i="9" s="1"/>
  <c r="J1366" i="9"/>
  <c r="V1366" i="9" s="1"/>
  <c r="K386" i="9"/>
  <c r="W386" i="9" s="1"/>
  <c r="M781" i="9"/>
  <c r="Y781" i="9" s="1"/>
  <c r="O321" i="9"/>
  <c r="AA321" i="9" s="1"/>
  <c r="I430" i="9"/>
  <c r="M1412" i="9"/>
  <c r="Q1504" i="9"/>
  <c r="AC1504" i="9" s="1"/>
  <c r="L1375" i="9"/>
  <c r="M442" i="9"/>
  <c r="J631" i="9"/>
  <c r="V631" i="9" s="1"/>
  <c r="R1164" i="9"/>
  <c r="AD1164" i="9" s="1"/>
  <c r="K533" i="9"/>
  <c r="W533" i="9" s="1"/>
  <c r="H1354" i="9"/>
  <c r="T1354" i="9" s="1"/>
  <c r="G830" i="9"/>
  <c r="S830" i="9" s="1"/>
  <c r="M1026" i="9"/>
  <c r="Y1026" i="9" s="1"/>
  <c r="L1513" i="9"/>
  <c r="X1513" i="9" s="1"/>
  <c r="L1366" i="9"/>
  <c r="X1366" i="9" s="1"/>
  <c r="N885" i="9"/>
  <c r="G631" i="9"/>
  <c r="S631" i="9" s="1"/>
  <c r="K433" i="9"/>
  <c r="W433" i="9" s="1"/>
  <c r="L1504" i="9"/>
  <c r="X1504" i="9" s="1"/>
  <c r="L974" i="9"/>
  <c r="X974" i="9" s="1"/>
  <c r="O821" i="9"/>
  <c r="AA821" i="9" s="1"/>
  <c r="L1179" i="9"/>
  <c r="J383" i="9"/>
  <c r="V383" i="9" s="1"/>
  <c r="R1170" i="9"/>
  <c r="AD1170" i="9" s="1"/>
  <c r="P1354" i="9"/>
  <c r="AB1354" i="9" s="1"/>
  <c r="J873" i="9"/>
  <c r="M726" i="9"/>
  <c r="K492" i="9"/>
  <c r="N442" i="9"/>
  <c r="R622" i="9"/>
  <c r="AD622" i="9" s="1"/>
  <c r="L582" i="9"/>
  <c r="X582" i="9" s="1"/>
  <c r="K1357" i="9"/>
  <c r="W1357" i="9" s="1"/>
  <c r="L873" i="9"/>
  <c r="L1170" i="9"/>
  <c r="X1170" i="9" s="1"/>
  <c r="J1369" i="9"/>
  <c r="V1369" i="9" s="1"/>
  <c r="I925" i="9"/>
  <c r="U925" i="9" s="1"/>
  <c r="K1158" i="9"/>
  <c r="W1158" i="9" s="1"/>
  <c r="K1403" i="9"/>
  <c r="W1403" i="9" s="1"/>
  <c r="G619" i="9"/>
  <c r="S619" i="9" s="1"/>
  <c r="N436" i="9"/>
  <c r="Z436" i="9" s="1"/>
  <c r="L867" i="9"/>
  <c r="X867" i="9" s="1"/>
  <c r="N864" i="9"/>
  <c r="Z864" i="9" s="1"/>
  <c r="J576" i="9"/>
  <c r="V576" i="9" s="1"/>
  <c r="Q471" i="9"/>
  <c r="AC471" i="9" s="1"/>
  <c r="K870" i="9"/>
  <c r="W870" i="9" s="1"/>
  <c r="J922" i="9"/>
  <c r="P1256" i="9"/>
  <c r="AB1256" i="9" s="1"/>
  <c r="H383" i="9"/>
  <c r="T383" i="9" s="1"/>
  <c r="P521" i="9"/>
  <c r="AB521" i="9" s="1"/>
  <c r="K1228" i="9"/>
  <c r="P1366" i="9"/>
  <c r="AB1366" i="9" s="1"/>
  <c r="K1170" i="9"/>
  <c r="W1170" i="9" s="1"/>
  <c r="H928" i="9"/>
  <c r="T928" i="9" s="1"/>
  <c r="R1305" i="9"/>
  <c r="AD1305" i="9" s="1"/>
  <c r="M778" i="9"/>
  <c r="Y778" i="9" s="1"/>
  <c r="J1507" i="9"/>
  <c r="V1507" i="9" s="1"/>
  <c r="N1161" i="9"/>
  <c r="Z1161" i="9" s="1"/>
  <c r="K913" i="9"/>
  <c r="W913" i="9" s="1"/>
  <c r="P1210" i="9"/>
  <c r="AB1210" i="9" s="1"/>
  <c r="J1032" i="9"/>
  <c r="O1461" i="9"/>
  <c r="P1271" i="9"/>
  <c r="AB1271" i="9" s="1"/>
  <c r="O1314" i="9"/>
  <c r="O477" i="9"/>
  <c r="AA477" i="9" s="1"/>
  <c r="J427" i="9"/>
  <c r="V427" i="9" s="1"/>
  <c r="M1216" i="9"/>
  <c r="J977" i="9"/>
  <c r="V977" i="9" s="1"/>
  <c r="K1458" i="9"/>
  <c r="W1458" i="9" s="1"/>
  <c r="M772" i="9"/>
  <c r="Y772" i="9" s="1"/>
  <c r="AH1469" i="9"/>
  <c r="AH881" i="9"/>
  <c r="R640" i="9"/>
  <c r="Q1522" i="9"/>
  <c r="O542" i="9"/>
  <c r="I1354" i="9"/>
  <c r="U1354" i="9" s="1"/>
  <c r="M371" i="9"/>
  <c r="Y371" i="9" s="1"/>
  <c r="L876" i="9"/>
  <c r="X876" i="9" s="1"/>
  <c r="O971" i="9"/>
  <c r="L787" i="9"/>
  <c r="J870" i="9"/>
  <c r="V870" i="9" s="1"/>
  <c r="P732" i="9"/>
  <c r="AB732" i="9" s="1"/>
  <c r="O1513" i="9"/>
  <c r="AA1513" i="9" s="1"/>
  <c r="J717" i="9"/>
  <c r="V717" i="9" s="1"/>
  <c r="L392" i="9"/>
  <c r="J983" i="9"/>
  <c r="Q383" i="9"/>
  <c r="AC383" i="9" s="1"/>
  <c r="H570" i="9"/>
  <c r="T570" i="9" s="1"/>
  <c r="J1458" i="9"/>
  <c r="V1458" i="9" s="1"/>
  <c r="M836" i="9"/>
  <c r="M974" i="9"/>
  <c r="Y974" i="9" s="1"/>
  <c r="Q1565" i="9"/>
  <c r="AC1565" i="9" s="1"/>
  <c r="N983" i="9"/>
  <c r="R1320" i="9"/>
  <c r="AD1320" i="9" s="1"/>
  <c r="P717" i="9"/>
  <c r="AB717" i="9" s="1"/>
  <c r="P1124" i="9"/>
  <c r="AB1124" i="9" s="1"/>
  <c r="I1069" i="9"/>
  <c r="O962" i="9"/>
  <c r="AA962" i="9" s="1"/>
  <c r="O530" i="9"/>
  <c r="N971" i="9"/>
  <c r="I885" i="9"/>
  <c r="L1360" i="9"/>
  <c r="X1360" i="9" s="1"/>
  <c r="Q1501" i="9"/>
  <c r="AC1501" i="9" s="1"/>
  <c r="P1268" i="9"/>
  <c r="AB1268" i="9" s="1"/>
  <c r="Q386" i="9"/>
  <c r="AC386" i="9" s="1"/>
  <c r="J1464" i="9"/>
  <c r="V1464" i="9" s="1"/>
  <c r="M1032" i="9"/>
  <c r="P542" i="9"/>
  <c r="M570" i="9"/>
  <c r="Y570" i="9" s="1"/>
  <c r="P1311" i="9"/>
  <c r="AB1311" i="9" s="1"/>
  <c r="M1366" i="9"/>
  <c r="Y1366" i="9" s="1"/>
  <c r="O974" i="9"/>
  <c r="AA974" i="9" s="1"/>
  <c r="N1072" i="9"/>
  <c r="Z1072" i="9" s="1"/>
  <c r="J729" i="9"/>
  <c r="V729" i="9" s="1"/>
  <c r="O1326" i="9"/>
  <c r="I1369" i="9"/>
  <c r="U1369" i="9" s="1"/>
  <c r="P1317" i="9"/>
  <c r="AB1317" i="9" s="1"/>
  <c r="I965" i="9"/>
  <c r="U965" i="9" s="1"/>
  <c r="P1308" i="9"/>
  <c r="AB1308" i="9" s="1"/>
  <c r="H640" i="9"/>
  <c r="J640" i="9"/>
  <c r="M983" i="9"/>
  <c r="L380" i="9"/>
  <c r="M1014" i="9"/>
  <c r="Y1014" i="9" s="1"/>
  <c r="O1026" i="9"/>
  <c r="AA1026" i="9" s="1"/>
  <c r="K480" i="9"/>
  <c r="I787" i="9"/>
  <c r="L885" i="9"/>
  <c r="M977" i="9"/>
  <c r="Y977" i="9" s="1"/>
  <c r="I876" i="9"/>
  <c r="U876" i="9" s="1"/>
  <c r="N371" i="9"/>
  <c r="Z371" i="9" s="1"/>
  <c r="M1314" i="9"/>
  <c r="J723" i="9"/>
  <c r="V723" i="9" s="1"/>
  <c r="H1424" i="9"/>
  <c r="I962" i="9"/>
  <c r="U962" i="9" s="1"/>
  <c r="I916" i="9"/>
  <c r="U916" i="9" s="1"/>
  <c r="N430" i="9"/>
  <c r="I867" i="9"/>
  <c r="U867" i="9" s="1"/>
  <c r="L1167" i="9"/>
  <c r="H1559" i="9"/>
  <c r="J1170" i="9"/>
  <c r="V1170" i="9" s="1"/>
  <c r="S416" i="9"/>
  <c r="AH783" i="9"/>
  <c r="S363" i="9"/>
  <c r="T361" i="9"/>
  <c r="AH1371" i="9"/>
  <c r="S761" i="9"/>
  <c r="AH438" i="9"/>
  <c r="AH1322" i="9"/>
  <c r="T1344" i="9"/>
  <c r="S1346" i="9"/>
  <c r="S1104" i="9"/>
  <c r="T1099" i="9"/>
  <c r="S1101" i="9"/>
  <c r="S1545" i="9"/>
  <c r="J1320" i="9"/>
  <c r="V1320" i="9" s="1"/>
  <c r="S810" i="9"/>
  <c r="L928" i="9"/>
  <c r="X928" i="9" s="1"/>
  <c r="P1219" i="9"/>
  <c r="AB1219" i="9" s="1"/>
  <c r="H671" i="9"/>
  <c r="T671" i="9" s="1"/>
  <c r="AH1273" i="9"/>
  <c r="S859" i="9"/>
  <c r="I1161" i="9"/>
  <c r="U1161" i="9" s="1"/>
  <c r="O1565" i="9"/>
  <c r="AA1565" i="9" s="1"/>
  <c r="L573" i="9"/>
  <c r="X573" i="9" s="1"/>
  <c r="H1115" i="9"/>
  <c r="T1115" i="9" s="1"/>
  <c r="J1207" i="9"/>
  <c r="V1207" i="9" s="1"/>
  <c r="K824" i="9"/>
  <c r="G680" i="9"/>
  <c r="S680" i="9" s="1"/>
  <c r="O818" i="9"/>
  <c r="AA818" i="9" s="1"/>
  <c r="T1001" i="9"/>
  <c r="S1003" i="9"/>
  <c r="I536" i="9"/>
  <c r="U536" i="9" s="1"/>
  <c r="S1153" i="9"/>
  <c r="T560" i="9"/>
  <c r="S562" i="9"/>
  <c r="T1197" i="9"/>
  <c r="S1199" i="9"/>
  <c r="S466" i="9"/>
  <c r="S712" i="9"/>
  <c r="N962" i="9"/>
  <c r="Z962" i="9" s="1"/>
  <c r="P421" i="9"/>
  <c r="AB421" i="9" s="1"/>
  <c r="S1202" i="9"/>
  <c r="AH685" i="9"/>
  <c r="T311" i="9"/>
  <c r="S313" i="9"/>
  <c r="T952" i="9"/>
  <c r="S954" i="9"/>
  <c r="J1075" i="9"/>
  <c r="V1075" i="9" s="1"/>
  <c r="H336" i="9"/>
  <c r="T336" i="9" s="1"/>
  <c r="H674" i="9"/>
  <c r="T674" i="9" s="1"/>
  <c r="T1246" i="9"/>
  <c r="S1248" i="9"/>
  <c r="H1277" i="9"/>
  <c r="M1559" i="9"/>
  <c r="I821" i="9"/>
  <c r="U821" i="9" s="1"/>
  <c r="S1251" i="9"/>
  <c r="AH587" i="9"/>
  <c r="P1213" i="9"/>
  <c r="AB1213" i="9" s="1"/>
  <c r="S957" i="9"/>
  <c r="AH979" i="9"/>
  <c r="AH388" i="9"/>
  <c r="J622" i="9"/>
  <c r="V622" i="9" s="1"/>
  <c r="T756" i="9"/>
  <c r="S758" i="9"/>
  <c r="L1023" i="9"/>
  <c r="X1023" i="9" s="1"/>
  <c r="T461" i="9"/>
  <c r="S463" i="9"/>
  <c r="AH832" i="9"/>
  <c r="O1216" i="9"/>
  <c r="N1562" i="9"/>
  <c r="Z1562" i="9" s="1"/>
  <c r="G1271" i="9"/>
  <c r="S1271" i="9" s="1"/>
  <c r="P818" i="9"/>
  <c r="AB818" i="9" s="1"/>
  <c r="K677" i="9"/>
  <c r="S1398" i="9"/>
  <c r="N934" i="9"/>
  <c r="M1424" i="9"/>
  <c r="N928" i="9"/>
  <c r="Z928" i="9" s="1"/>
  <c r="H983" i="9"/>
  <c r="P1066" i="9"/>
  <c r="AB1066" i="9" s="1"/>
  <c r="I830" i="9"/>
  <c r="U830" i="9" s="1"/>
  <c r="I1415" i="9"/>
  <c r="U1415" i="9" s="1"/>
  <c r="M775" i="9"/>
  <c r="T903" i="9"/>
  <c r="S905" i="9"/>
  <c r="AH1567" i="9"/>
  <c r="M374" i="9"/>
  <c r="Y374" i="9" s="1"/>
  <c r="S565" i="9"/>
  <c r="T1442" i="9"/>
  <c r="S1444" i="9"/>
  <c r="N922" i="9"/>
  <c r="H729" i="9"/>
  <c r="T729" i="9" s="1"/>
  <c r="N1403" i="9"/>
  <c r="Z1403" i="9" s="1"/>
  <c r="S1496" i="9"/>
  <c r="S1006" i="9"/>
  <c r="J1072" i="9"/>
  <c r="V1072" i="9" s="1"/>
  <c r="S663" i="9"/>
  <c r="AH636" i="9"/>
  <c r="R1308" i="9"/>
  <c r="AD1308" i="9" s="1"/>
  <c r="N1507" i="9"/>
  <c r="Z1507" i="9" s="1"/>
  <c r="I815" i="9"/>
  <c r="U815" i="9" s="1"/>
  <c r="I542" i="9"/>
  <c r="K836" i="9"/>
  <c r="T511" i="9"/>
  <c r="S513" i="9"/>
  <c r="AH1224" i="9"/>
  <c r="H1023" i="9"/>
  <c r="T1023" i="9" s="1"/>
  <c r="T854" i="9"/>
  <c r="S856" i="9"/>
  <c r="I1256" i="9"/>
  <c r="U1256" i="9" s="1"/>
  <c r="H1256" i="9"/>
  <c r="T1256" i="9" s="1"/>
  <c r="O1124" i="9"/>
  <c r="AA1124" i="9" s="1"/>
  <c r="M717" i="9"/>
  <c r="Y717" i="9" s="1"/>
  <c r="O1458" i="9"/>
  <c r="AA1458" i="9" s="1"/>
  <c r="J521" i="9"/>
  <c r="V521" i="9" s="1"/>
  <c r="S908" i="9"/>
  <c r="AH1028" i="9"/>
  <c r="J1066" i="9"/>
  <c r="V1066" i="9" s="1"/>
  <c r="T707" i="9"/>
  <c r="S709" i="9"/>
  <c r="M1504" i="9"/>
  <c r="Y1504" i="9" s="1"/>
  <c r="P1081" i="9"/>
  <c r="M1458" i="9"/>
  <c r="Y1458" i="9" s="1"/>
  <c r="L1510" i="9"/>
  <c r="J1562" i="9"/>
  <c r="V1562" i="9" s="1"/>
  <c r="J1228" i="9"/>
  <c r="O1210" i="9"/>
  <c r="AA1210" i="9" s="1"/>
  <c r="P374" i="9"/>
  <c r="AB374" i="9" s="1"/>
  <c r="H680" i="9"/>
  <c r="T680" i="9" s="1"/>
  <c r="T805" i="9"/>
  <c r="S807" i="9"/>
  <c r="M870" i="9"/>
  <c r="Y870" i="9" s="1"/>
  <c r="S366" i="9"/>
  <c r="J1556" i="9"/>
  <c r="V1556" i="9" s="1"/>
  <c r="H934" i="9"/>
  <c r="M1277" i="9"/>
  <c r="K1014" i="9"/>
  <c r="W1014" i="9" s="1"/>
  <c r="P533" i="9"/>
  <c r="AB533" i="9" s="1"/>
  <c r="K1173" i="9"/>
  <c r="W1173" i="9" s="1"/>
  <c r="K778" i="9"/>
  <c r="W778" i="9" s="1"/>
  <c r="P436" i="9"/>
  <c r="AB436" i="9" s="1"/>
  <c r="Q1118" i="9"/>
  <c r="K1167" i="9"/>
  <c r="N1066" i="9"/>
  <c r="Z1066" i="9" s="1"/>
  <c r="H962" i="9"/>
  <c r="T962" i="9" s="1"/>
  <c r="J830" i="9"/>
  <c r="V830" i="9" s="1"/>
  <c r="I321" i="9"/>
  <c r="U321" i="9" s="1"/>
  <c r="J836" i="9"/>
  <c r="O1550" i="9"/>
  <c r="AA1550" i="9" s="1"/>
  <c r="J671" i="9"/>
  <c r="V671" i="9" s="1"/>
  <c r="J974" i="9"/>
  <c r="V974" i="9" s="1"/>
  <c r="Q1510" i="9"/>
  <c r="AH734" i="9"/>
  <c r="O968" i="9"/>
  <c r="AA968" i="9" s="1"/>
  <c r="J1553" i="9"/>
  <c r="V1553" i="9" s="1"/>
  <c r="AH1175" i="9"/>
  <c r="K619" i="9"/>
  <c r="W619" i="9" s="1"/>
  <c r="T658" i="9"/>
  <c r="S660" i="9"/>
  <c r="S1447" i="9"/>
  <c r="AH488" i="9"/>
  <c r="S1150" i="9"/>
  <c r="T1148" i="9"/>
  <c r="K827" i="9"/>
  <c r="W827" i="9" s="1"/>
  <c r="N815" i="9"/>
  <c r="Z815" i="9" s="1"/>
  <c r="T1050" i="9"/>
  <c r="S1052" i="9"/>
  <c r="I477" i="9"/>
  <c r="U477" i="9" s="1"/>
  <c r="AH930" i="9"/>
  <c r="AH1077" i="9"/>
  <c r="S316" i="9"/>
  <c r="T1295" i="9"/>
  <c r="S1297" i="9"/>
  <c r="AH538" i="9"/>
  <c r="M619" i="9"/>
  <c r="Y619" i="9" s="1"/>
  <c r="T609" i="9"/>
  <c r="S611" i="9"/>
  <c r="S1300" i="9"/>
  <c r="AH1420" i="9"/>
  <c r="T1491" i="9"/>
  <c r="S1493" i="9"/>
  <c r="T1540" i="9"/>
  <c r="S1542" i="9"/>
  <c r="S614" i="9"/>
  <c r="P1063" i="9"/>
  <c r="AB1063" i="9" s="1"/>
  <c r="T1393" i="9"/>
  <c r="S1395" i="9"/>
  <c r="J1158" i="9"/>
  <c r="V1158" i="9" s="1"/>
  <c r="K830" i="9"/>
  <c r="W830" i="9" s="1"/>
  <c r="I971" i="9"/>
  <c r="S1055" i="9"/>
  <c r="S516" i="9"/>
  <c r="T411" i="9"/>
  <c r="S413" i="9"/>
  <c r="S1349" i="9"/>
  <c r="K327" i="9"/>
  <c r="W327" i="9" s="1"/>
  <c r="AH1126" i="9"/>
  <c r="AH1518" i="9"/>
  <c r="AH338" i="9"/>
  <c r="G1014" i="9"/>
  <c r="S1014" i="9" s="1"/>
  <c r="O1069" i="9"/>
  <c r="K625" i="9"/>
  <c r="W625" i="9" s="1"/>
  <c r="J1308" i="9"/>
  <c r="V1308" i="9" s="1"/>
  <c r="G668" i="9"/>
  <c r="S668" i="9" s="1"/>
  <c r="M1060" i="9"/>
  <c r="Y1060" i="9" s="1"/>
  <c r="L640" i="9"/>
  <c r="H1403" i="9"/>
  <c r="T1403" i="9" s="1"/>
  <c r="I1403" i="9"/>
  <c r="U1403" i="9" s="1"/>
  <c r="H726" i="9"/>
  <c r="P1320" i="9"/>
  <c r="AB1320" i="9" s="1"/>
  <c r="P1121" i="9"/>
  <c r="AB1121" i="9" s="1"/>
  <c r="M885" i="9"/>
  <c r="K1317" i="9"/>
  <c r="W1317" i="9" s="1"/>
  <c r="J1415" i="9"/>
  <c r="V1415" i="9" s="1"/>
  <c r="P925" i="9"/>
  <c r="AB925" i="9" s="1"/>
  <c r="M1075" i="9"/>
  <c r="Y1075" i="9" s="1"/>
  <c r="O380" i="9"/>
  <c r="I1268" i="9"/>
  <c r="U1268" i="9" s="1"/>
  <c r="K421" i="9"/>
  <c r="W421" i="9" s="1"/>
  <c r="P922" i="9"/>
  <c r="J1317" i="9"/>
  <c r="V1317" i="9" s="1"/>
  <c r="L1207" i="9"/>
  <c r="X1207" i="9" s="1"/>
  <c r="P377" i="9"/>
  <c r="AB377" i="9" s="1"/>
  <c r="J1305" i="9"/>
  <c r="V1305" i="9" s="1"/>
  <c r="I1565" i="9"/>
  <c r="U1565" i="9" s="1"/>
  <c r="I1409" i="9"/>
  <c r="U1409" i="9" s="1"/>
  <c r="I1271" i="9"/>
  <c r="U1271" i="9" s="1"/>
  <c r="L474" i="9"/>
  <c r="X474" i="9" s="1"/>
  <c r="L824" i="9"/>
  <c r="R821" i="9"/>
  <c r="AD821" i="9" s="1"/>
  <c r="O1571" i="9"/>
  <c r="P622" i="9"/>
  <c r="AB622" i="9" s="1"/>
  <c r="G1366" i="9"/>
  <c r="S1366" i="9" s="1"/>
  <c r="I1556" i="9"/>
  <c r="U1556" i="9" s="1"/>
  <c r="K974" i="9"/>
  <c r="W974" i="9" s="1"/>
  <c r="R585" i="9"/>
  <c r="AD585" i="9" s="1"/>
  <c r="I1112" i="9"/>
  <c r="U1112" i="9" s="1"/>
  <c r="I530" i="9"/>
  <c r="L1363" i="9"/>
  <c r="R576" i="9"/>
  <c r="AD576" i="9" s="1"/>
  <c r="I766" i="9"/>
  <c r="U766" i="9" s="1"/>
  <c r="P585" i="9"/>
  <c r="AB585" i="9" s="1"/>
  <c r="H683" i="9"/>
  <c r="T683" i="9" s="1"/>
  <c r="L527" i="9"/>
  <c r="X527" i="9" s="1"/>
  <c r="K1464" i="9"/>
  <c r="W1464" i="9" s="1"/>
  <c r="N916" i="9"/>
  <c r="Z916" i="9" s="1"/>
  <c r="N824" i="9"/>
  <c r="M1403" i="9"/>
  <c r="Y1403" i="9" s="1"/>
  <c r="K1326" i="9"/>
  <c r="I836" i="9"/>
  <c r="L830" i="9"/>
  <c r="X830" i="9" s="1"/>
  <c r="M1072" i="9"/>
  <c r="Y1072" i="9" s="1"/>
  <c r="P873" i="9"/>
  <c r="N830" i="9"/>
  <c r="Z830" i="9" s="1"/>
  <c r="N1415" i="9"/>
  <c r="Z1415" i="9" s="1"/>
  <c r="N1424" i="9"/>
  <c r="I1305" i="9"/>
  <c r="U1305" i="9" s="1"/>
  <c r="J1081" i="9"/>
  <c r="K680" i="9"/>
  <c r="W680" i="9" s="1"/>
  <c r="J962" i="9"/>
  <c r="V962" i="9" s="1"/>
  <c r="L579" i="9"/>
  <c r="J1360" i="9"/>
  <c r="V1360" i="9" s="1"/>
  <c r="K1522" i="9"/>
  <c r="N827" i="9"/>
  <c r="Z827" i="9" s="1"/>
  <c r="P867" i="9"/>
  <c r="AB867" i="9" s="1"/>
  <c r="I1326" i="9"/>
  <c r="L1219" i="9"/>
  <c r="X1219" i="9" s="1"/>
  <c r="L827" i="9"/>
  <c r="X827" i="9" s="1"/>
  <c r="L821" i="9"/>
  <c r="X821" i="9" s="1"/>
  <c r="H392" i="9"/>
  <c r="G674" i="9"/>
  <c r="S674" i="9" s="1"/>
  <c r="P870" i="9"/>
  <c r="AB870" i="9" s="1"/>
  <c r="P1265" i="9"/>
  <c r="I1259" i="9"/>
  <c r="U1259" i="9" s="1"/>
  <c r="H342" i="9"/>
  <c r="L1262" i="9"/>
  <c r="X1262" i="9" s="1"/>
  <c r="M1081" i="9"/>
  <c r="N619" i="9"/>
  <c r="Z619" i="9" s="1"/>
  <c r="I778" i="9"/>
  <c r="U778" i="9" s="1"/>
  <c r="K689" i="9"/>
  <c r="H668" i="9"/>
  <c r="T668" i="9" s="1"/>
  <c r="L486" i="9"/>
  <c r="X486" i="9" s="1"/>
  <c r="L1317" i="9"/>
  <c r="X1317" i="9" s="1"/>
  <c r="L1571" i="9"/>
  <c r="L1311" i="9"/>
  <c r="X1311" i="9" s="1"/>
  <c r="L1216" i="9"/>
  <c r="O1112" i="9"/>
  <c r="AA1112" i="9" s="1"/>
  <c r="K977" i="9"/>
  <c r="W977" i="9" s="1"/>
  <c r="K965" i="9"/>
  <c r="W965" i="9" s="1"/>
  <c r="I732" i="9"/>
  <c r="U732" i="9" s="1"/>
  <c r="P576" i="9"/>
  <c r="AB576" i="9" s="1"/>
  <c r="M1069" i="9"/>
  <c r="H333" i="9"/>
  <c r="T333" i="9" s="1"/>
  <c r="N631" i="9"/>
  <c r="Z631" i="9" s="1"/>
  <c r="H542" i="9"/>
  <c r="P916" i="9"/>
  <c r="AB916" i="9" s="1"/>
  <c r="P864" i="9"/>
  <c r="AB864" i="9" s="1"/>
  <c r="I1311" i="9"/>
  <c r="U1311" i="9" s="1"/>
  <c r="I1308" i="9"/>
  <c r="U1308" i="9" s="1"/>
  <c r="P720" i="9"/>
  <c r="AB720" i="9" s="1"/>
  <c r="P570" i="9"/>
  <c r="AB570" i="9" s="1"/>
  <c r="K668" i="9"/>
  <c r="W668" i="9" s="1"/>
  <c r="I717" i="9"/>
  <c r="U717" i="9" s="1"/>
  <c r="L769" i="9"/>
  <c r="X769" i="9" s="1"/>
  <c r="G689" i="9"/>
  <c r="L1032" i="9"/>
  <c r="H787" i="9"/>
  <c r="N772" i="9"/>
  <c r="Z772" i="9" s="1"/>
  <c r="L916" i="9"/>
  <c r="X916" i="9" s="1"/>
  <c r="N1081" i="9"/>
  <c r="J821" i="9"/>
  <c r="V821" i="9" s="1"/>
  <c r="K1452" i="9"/>
  <c r="W1452" i="9" s="1"/>
  <c r="I1124" i="9"/>
  <c r="U1124" i="9" s="1"/>
  <c r="P928" i="9"/>
  <c r="AB928" i="9" s="1"/>
  <c r="P1510" i="9"/>
  <c r="N821" i="9"/>
  <c r="Z821" i="9" s="1"/>
  <c r="L818" i="9"/>
  <c r="X818" i="9" s="1"/>
  <c r="AG1346" i="9"/>
  <c r="N640" i="9"/>
  <c r="P591" i="9"/>
  <c r="H873" i="9"/>
  <c r="K674" i="9"/>
  <c r="W674" i="9" s="1"/>
  <c r="N527" i="9"/>
  <c r="Z527" i="9" s="1"/>
  <c r="I486" i="9"/>
  <c r="U486" i="9" s="1"/>
  <c r="K1069" i="9"/>
  <c r="O778" i="9"/>
  <c r="AA778" i="9" s="1"/>
  <c r="K383" i="9"/>
  <c r="W383" i="9" s="1"/>
  <c r="G781" i="9"/>
  <c r="S781" i="9" s="1"/>
  <c r="L934" i="9"/>
  <c r="I772" i="9"/>
  <c r="U772" i="9" s="1"/>
  <c r="P919" i="9"/>
  <c r="AB919" i="9" s="1"/>
  <c r="I492" i="9"/>
  <c r="G671" i="9"/>
  <c r="S671" i="9" s="1"/>
  <c r="P1553" i="9"/>
  <c r="AB1553" i="9" s="1"/>
  <c r="L1222" i="9"/>
  <c r="X1222" i="9" s="1"/>
  <c r="P726" i="9"/>
  <c r="P383" i="9"/>
  <c r="AB383" i="9" s="1"/>
  <c r="O1409" i="9"/>
  <c r="AA1409" i="9" s="1"/>
  <c r="K374" i="9"/>
  <c r="W374" i="9" s="1"/>
  <c r="P1222" i="9"/>
  <c r="AB1222" i="9" s="1"/>
  <c r="N634" i="9"/>
  <c r="Z634" i="9" s="1"/>
  <c r="M1063" i="9"/>
  <c r="Y1063" i="9" s="1"/>
  <c r="I1063" i="9"/>
  <c r="U1063" i="9" s="1"/>
  <c r="I474" i="9"/>
  <c r="U474" i="9" s="1"/>
  <c r="L922" i="9"/>
  <c r="M1415" i="9"/>
  <c r="Y1415" i="9" s="1"/>
  <c r="P1556" i="9"/>
  <c r="AB1556" i="9" s="1"/>
  <c r="I1317" i="9"/>
  <c r="U1317" i="9" s="1"/>
  <c r="H689" i="9"/>
  <c r="K1308" i="9"/>
  <c r="W1308" i="9" s="1"/>
  <c r="J818" i="9"/>
  <c r="V818" i="9" s="1"/>
  <c r="P876" i="9"/>
  <c r="AB876" i="9" s="1"/>
  <c r="I723" i="9"/>
  <c r="U723" i="9" s="1"/>
  <c r="L1017" i="9"/>
  <c r="X1017" i="9" s="1"/>
  <c r="P934" i="9"/>
  <c r="I729" i="9"/>
  <c r="U729" i="9" s="1"/>
  <c r="L815" i="9"/>
  <c r="X815" i="9" s="1"/>
  <c r="H430" i="9"/>
  <c r="I1173" i="9"/>
  <c r="U1173" i="9" s="1"/>
  <c r="K1513" i="9"/>
  <c r="W1513" i="9" s="1"/>
  <c r="H371" i="9"/>
  <c r="T371" i="9" s="1"/>
  <c r="K671" i="9"/>
  <c r="W671" i="9" s="1"/>
  <c r="H913" i="9"/>
  <c r="T913" i="9" s="1"/>
  <c r="H377" i="9"/>
  <c r="T377" i="9" s="1"/>
  <c r="L377" i="9"/>
  <c r="X377" i="9" s="1"/>
  <c r="J1017" i="9"/>
  <c r="V1017" i="9" s="1"/>
  <c r="O576" i="9"/>
  <c r="AA576" i="9" s="1"/>
  <c r="M738" i="9"/>
  <c r="P1072" i="9"/>
  <c r="AB1072" i="9" s="1"/>
  <c r="L536" i="9"/>
  <c r="X536" i="9" s="1"/>
  <c r="J1026" i="9"/>
  <c r="V1026" i="9" s="1"/>
  <c r="J333" i="9"/>
  <c r="V333" i="9" s="1"/>
  <c r="K1210" i="9"/>
  <c r="W1210" i="9" s="1"/>
  <c r="M766" i="9"/>
  <c r="Y766" i="9" s="1"/>
  <c r="P977" i="9"/>
  <c r="AB977" i="9" s="1"/>
  <c r="G769" i="9"/>
  <c r="S769" i="9" s="1"/>
  <c r="P1011" i="9"/>
  <c r="AB1011" i="9" s="1"/>
  <c r="P971" i="9"/>
  <c r="J689" i="9"/>
  <c r="P962" i="9"/>
  <c r="AB962" i="9" s="1"/>
  <c r="J778" i="9"/>
  <c r="V778" i="9" s="1"/>
  <c r="J1571" i="9"/>
  <c r="J324" i="9"/>
  <c r="V324" i="9" s="1"/>
  <c r="N628" i="9"/>
  <c r="L781" i="9"/>
  <c r="X781" i="9" s="1"/>
  <c r="J677" i="9"/>
  <c r="O333" i="9"/>
  <c r="AA333" i="9" s="1"/>
  <c r="I769" i="9"/>
  <c r="U769" i="9" s="1"/>
  <c r="J674" i="9"/>
  <c r="V674" i="9" s="1"/>
  <c r="N622" i="9"/>
  <c r="Z622" i="9" s="1"/>
  <c r="O1072" i="9"/>
  <c r="AA1072" i="9" s="1"/>
  <c r="P573" i="9"/>
  <c r="AB573" i="9" s="1"/>
  <c r="I471" i="9"/>
  <c r="U471" i="9" s="1"/>
  <c r="J769" i="9"/>
  <c r="V769" i="9" s="1"/>
  <c r="J1461" i="9"/>
  <c r="J1011" i="9"/>
  <c r="V1011" i="9" s="1"/>
  <c r="L585" i="9"/>
  <c r="X585" i="9" s="1"/>
  <c r="M1513" i="9"/>
  <c r="Y1513" i="9" s="1"/>
  <c r="I1158" i="9"/>
  <c r="U1158" i="9" s="1"/>
  <c r="L778" i="9"/>
  <c r="X778" i="9" s="1"/>
  <c r="J668" i="9"/>
  <c r="V668" i="9" s="1"/>
  <c r="J827" i="9"/>
  <c r="V827" i="9" s="1"/>
  <c r="P1562" i="9"/>
  <c r="AB1562" i="9" s="1"/>
  <c r="J1565" i="9"/>
  <c r="V1565" i="9" s="1"/>
  <c r="J781" i="9"/>
  <c r="V781" i="9" s="1"/>
  <c r="K1501" i="9"/>
  <c r="W1501" i="9" s="1"/>
  <c r="P1571" i="9"/>
  <c r="L471" i="9"/>
  <c r="X471" i="9" s="1"/>
  <c r="P885" i="9"/>
  <c r="I720" i="9"/>
  <c r="U720" i="9" s="1"/>
  <c r="O1424" i="9"/>
  <c r="P579" i="9"/>
  <c r="M631" i="9"/>
  <c r="Y631" i="9" s="1"/>
  <c r="N480" i="9"/>
  <c r="O827" i="9"/>
  <c r="AA827" i="9" s="1"/>
  <c r="N1311" i="9"/>
  <c r="Z1311" i="9" s="1"/>
  <c r="O928" i="9"/>
  <c r="AA928" i="9" s="1"/>
  <c r="L1507" i="9"/>
  <c r="X1507" i="9" s="1"/>
  <c r="O1014" i="9"/>
  <c r="AA1014" i="9" s="1"/>
  <c r="H1504" i="9"/>
  <c r="T1504" i="9" s="1"/>
  <c r="N723" i="9"/>
  <c r="Z723" i="9" s="1"/>
  <c r="O1228" i="9"/>
  <c r="M477" i="9"/>
  <c r="Y477" i="9" s="1"/>
  <c r="H1109" i="9"/>
  <c r="T1109" i="9" s="1"/>
  <c r="I919" i="9"/>
  <c r="U919" i="9" s="1"/>
  <c r="I1081" i="9"/>
  <c r="J683" i="9"/>
  <c r="V683" i="9" s="1"/>
  <c r="O689" i="9"/>
  <c r="L330" i="9"/>
  <c r="L1109" i="9"/>
  <c r="X1109" i="9" s="1"/>
  <c r="N818" i="9"/>
  <c r="Z818" i="9" s="1"/>
  <c r="O772" i="9"/>
  <c r="AA772" i="9" s="1"/>
  <c r="L1210" i="9"/>
  <c r="X1210" i="9" s="1"/>
  <c r="H1357" i="9"/>
  <c r="T1357" i="9" s="1"/>
  <c r="K1060" i="9"/>
  <c r="W1060" i="9" s="1"/>
  <c r="P471" i="9"/>
  <c r="AB471" i="9" s="1"/>
  <c r="I1164" i="9"/>
  <c r="U1164" i="9" s="1"/>
  <c r="I1020" i="9"/>
  <c r="J968" i="9"/>
  <c r="V968" i="9" s="1"/>
  <c r="L483" i="9"/>
  <c r="X483" i="9" s="1"/>
  <c r="G766" i="9"/>
  <c r="S766" i="9" s="1"/>
  <c r="P1559" i="9"/>
  <c r="P1507" i="9"/>
  <c r="AB1507" i="9" s="1"/>
  <c r="H977" i="9"/>
  <c r="T977" i="9" s="1"/>
  <c r="O1173" i="9"/>
  <c r="AA1173" i="9" s="1"/>
  <c r="H925" i="9"/>
  <c r="T925" i="9" s="1"/>
  <c r="O1406" i="9"/>
  <c r="AA1406" i="9" s="1"/>
  <c r="L530" i="9"/>
  <c r="O1473" i="9"/>
  <c r="H1124" i="9"/>
  <c r="T1124" i="9" s="1"/>
  <c r="Q677" i="9"/>
  <c r="AG1280" i="9"/>
  <c r="AG1448" i="9"/>
  <c r="AG1449" i="9" s="1"/>
  <c r="Q524" i="9"/>
  <c r="AC524" i="9" s="1"/>
  <c r="AG395" i="9"/>
  <c r="Q1363" i="9"/>
  <c r="R427" i="9"/>
  <c r="AD427" i="9" s="1"/>
  <c r="Q1458" i="9"/>
  <c r="AC1458" i="9" s="1"/>
  <c r="Q726" i="9"/>
  <c r="R726" i="9"/>
  <c r="R1363" i="9"/>
  <c r="Q717" i="9"/>
  <c r="AC717" i="9" s="1"/>
  <c r="AG315" i="9"/>
  <c r="R1075" i="9"/>
  <c r="AD1075" i="9" s="1"/>
  <c r="Q1513" i="9"/>
  <c r="AC1513" i="9" s="1"/>
  <c r="Q474" i="9"/>
  <c r="AC474" i="9" s="1"/>
  <c r="Q1507" i="9"/>
  <c r="AC1507" i="9" s="1"/>
  <c r="Q1369" i="9"/>
  <c r="AC1369" i="9" s="1"/>
  <c r="R377" i="9"/>
  <c r="AD377" i="9" s="1"/>
  <c r="R913" i="9"/>
  <c r="AD913" i="9" s="1"/>
  <c r="R1473" i="9"/>
  <c r="R374" i="9"/>
  <c r="AD374" i="9" s="1"/>
  <c r="Q1256" i="9"/>
  <c r="AC1256" i="9" s="1"/>
  <c r="Q1473" i="9"/>
  <c r="Q333" i="9"/>
  <c r="AC333" i="9" s="1"/>
  <c r="Q1464" i="9"/>
  <c r="AC1464" i="9" s="1"/>
  <c r="Q1357" i="9"/>
  <c r="AC1357" i="9" s="1"/>
  <c r="Q772" i="9"/>
  <c r="AC772" i="9" s="1"/>
  <c r="Q870" i="9"/>
  <c r="AC870" i="9" s="1"/>
  <c r="Q336" i="9"/>
  <c r="AC336" i="9" s="1"/>
  <c r="Q867" i="9"/>
  <c r="AC867" i="9" s="1"/>
  <c r="R922" i="9"/>
  <c r="R919" i="9"/>
  <c r="AD919" i="9" s="1"/>
  <c r="Q873" i="9"/>
  <c r="R524" i="9"/>
  <c r="AD524" i="9" s="1"/>
  <c r="R1222" i="9"/>
  <c r="AD1222" i="9" s="1"/>
  <c r="R442" i="9"/>
  <c r="Q965" i="9"/>
  <c r="AC965" i="9" s="1"/>
  <c r="R380" i="9"/>
  <c r="R732" i="9"/>
  <c r="AD732" i="9" s="1"/>
  <c r="Q787" i="9"/>
  <c r="Q625" i="9"/>
  <c r="AC625" i="9" s="1"/>
  <c r="Q836" i="9"/>
  <c r="Q723" i="9"/>
  <c r="AC723" i="9" s="1"/>
  <c r="Q1179" i="9"/>
  <c r="Q821" i="9"/>
  <c r="AC821" i="9" s="1"/>
  <c r="Q1467" i="9"/>
  <c r="AC1467" i="9" s="1"/>
  <c r="R723" i="9"/>
  <c r="AD723" i="9" s="1"/>
  <c r="Q1170" i="9"/>
  <c r="AC1170" i="9" s="1"/>
  <c r="R371" i="9"/>
  <c r="AD371" i="9" s="1"/>
  <c r="Q1553" i="9"/>
  <c r="AC1553" i="9" s="1"/>
  <c r="R1066" i="9"/>
  <c r="AD1066" i="9" s="1"/>
  <c r="Q1222" i="9"/>
  <c r="AC1222" i="9" s="1"/>
  <c r="AG904" i="9"/>
  <c r="R573" i="9"/>
  <c r="AD573" i="9" s="1"/>
  <c r="Q1158" i="9"/>
  <c r="AC1158" i="9" s="1"/>
  <c r="R1017" i="9"/>
  <c r="AD1017" i="9" s="1"/>
  <c r="R1081" i="9"/>
  <c r="Q536" i="9"/>
  <c r="AC536" i="9" s="1"/>
  <c r="Q1550" i="9"/>
  <c r="AC1550" i="9" s="1"/>
  <c r="Q570" i="9"/>
  <c r="AC570" i="9" s="1"/>
  <c r="R870" i="9"/>
  <c r="AD870" i="9" s="1"/>
  <c r="Q330" i="9"/>
  <c r="R864" i="9"/>
  <c r="AD864" i="9" s="1"/>
  <c r="R492" i="9"/>
  <c r="R873" i="9"/>
  <c r="AG662" i="9"/>
  <c r="R1467" i="9"/>
  <c r="AD1467" i="9" s="1"/>
  <c r="Q738" i="9"/>
  <c r="Q689" i="9"/>
  <c r="Q634" i="9"/>
  <c r="AC634" i="9" s="1"/>
  <c r="Q1308" i="9"/>
  <c r="AC1308" i="9" s="1"/>
  <c r="Q729" i="9"/>
  <c r="AC729" i="9" s="1"/>
  <c r="R386" i="9"/>
  <c r="AD386" i="9" s="1"/>
  <c r="Q1069" i="9"/>
  <c r="R717" i="9"/>
  <c r="AD717" i="9" s="1"/>
  <c r="R582" i="9"/>
  <c r="AD582" i="9" s="1"/>
  <c r="Q1164" i="9"/>
  <c r="AC1164" i="9" s="1"/>
  <c r="R392" i="9"/>
  <c r="R1314" i="9"/>
  <c r="R625" i="9"/>
  <c r="AD625" i="9" s="1"/>
  <c r="Q622" i="9"/>
  <c r="AC622" i="9" s="1"/>
  <c r="R634" i="9"/>
  <c r="AD634" i="9" s="1"/>
  <c r="Q1112" i="9"/>
  <c r="AC1112" i="9" s="1"/>
  <c r="Q1081" i="9"/>
  <c r="Q928" i="9"/>
  <c r="AC928" i="9" s="1"/>
  <c r="Q628" i="9"/>
  <c r="Q1571" i="9"/>
  <c r="Q1366" i="9"/>
  <c r="AC1366" i="9" s="1"/>
  <c r="Q885" i="9"/>
  <c r="R1060" i="9"/>
  <c r="AD1060" i="9" s="1"/>
  <c r="Q815" i="9"/>
  <c r="AC815" i="9" s="1"/>
  <c r="R1069" i="9"/>
  <c r="Q720" i="9"/>
  <c r="AC720" i="9" s="1"/>
  <c r="R720" i="9"/>
  <c r="AD720" i="9" s="1"/>
  <c r="R928" i="9"/>
  <c r="AD928" i="9" s="1"/>
  <c r="R1522" i="9"/>
  <c r="Q1311" i="9"/>
  <c r="AC1311" i="9" s="1"/>
  <c r="R867" i="9"/>
  <c r="AD867" i="9" s="1"/>
  <c r="Q1075" i="9"/>
  <c r="AC1075" i="9" s="1"/>
  <c r="Q1066" i="9"/>
  <c r="AC1066" i="9" s="1"/>
  <c r="AG709" i="9"/>
  <c r="AG1103" i="9"/>
  <c r="G726" i="9"/>
  <c r="AG713" i="9"/>
  <c r="M480" i="9"/>
  <c r="AG332" i="9"/>
  <c r="G333" i="9"/>
  <c r="S333" i="9" s="1"/>
  <c r="G1210" i="9"/>
  <c r="S1210" i="9" s="1"/>
  <c r="AG1203" i="9"/>
  <c r="L1011" i="9"/>
  <c r="X1011" i="9" s="1"/>
  <c r="R977" i="9"/>
  <c r="AD977" i="9" s="1"/>
  <c r="G1075" i="9"/>
  <c r="S1075" i="9" s="1"/>
  <c r="AG1074" i="9"/>
  <c r="G530" i="9"/>
  <c r="AG517" i="9"/>
  <c r="G342" i="9"/>
  <c r="AG341" i="9"/>
  <c r="I380" i="9"/>
  <c r="R1424" i="9"/>
  <c r="AG768" i="9"/>
  <c r="R769" i="9"/>
  <c r="AD769" i="9" s="1"/>
  <c r="H1222" i="9"/>
  <c r="T1222" i="9" s="1"/>
  <c r="G327" i="9"/>
  <c r="S327" i="9" s="1"/>
  <c r="AG326" i="9"/>
  <c r="G778" i="9"/>
  <c r="S778" i="9" s="1"/>
  <c r="AG777" i="9"/>
  <c r="J1409" i="9"/>
  <c r="V1409" i="9" s="1"/>
  <c r="AG365" i="9"/>
  <c r="M1118" i="9"/>
  <c r="G1461" i="9"/>
  <c r="AG1460" i="9"/>
  <c r="AG1010" i="9"/>
  <c r="R1011" i="9"/>
  <c r="AD1011" i="9" s="1"/>
  <c r="G640" i="9"/>
  <c r="AG639" i="9"/>
  <c r="K732" i="9"/>
  <c r="W732" i="9" s="1"/>
  <c r="G913" i="9"/>
  <c r="S913" i="9" s="1"/>
  <c r="AG912" i="9"/>
  <c r="AG670" i="9"/>
  <c r="R671" i="9"/>
  <c r="AD671" i="9" s="1"/>
  <c r="AG1469" i="9"/>
  <c r="P1161" i="9"/>
  <c r="AB1161" i="9" s="1"/>
  <c r="AG1255" i="9"/>
  <c r="R1256" i="9"/>
  <c r="AD1256" i="9" s="1"/>
  <c r="AG578" i="9"/>
  <c r="R579" i="9"/>
  <c r="AG1509" i="9"/>
  <c r="G576" i="9"/>
  <c r="S576" i="9" s="1"/>
  <c r="AG575" i="9"/>
  <c r="AG581" i="9"/>
  <c r="G582" i="9"/>
  <c r="S582" i="9" s="1"/>
  <c r="O1256" i="9"/>
  <c r="AA1256" i="9" s="1"/>
  <c r="O1357" i="9"/>
  <c r="AA1357" i="9" s="1"/>
  <c r="G625" i="9"/>
  <c r="S625" i="9" s="1"/>
  <c r="AG624" i="9"/>
  <c r="AG1476" i="9"/>
  <c r="AG814" i="9"/>
  <c r="R815" i="9"/>
  <c r="AD815" i="9" s="1"/>
  <c r="G1081" i="9"/>
  <c r="AG1080" i="9"/>
  <c r="P668" i="9"/>
  <c r="AB668" i="9" s="1"/>
  <c r="AG479" i="9"/>
  <c r="N1375" i="9"/>
  <c r="AG1052" i="9"/>
  <c r="AG881" i="9"/>
  <c r="AG1567" i="9"/>
  <c r="G1403" i="9"/>
  <c r="S1403" i="9" s="1"/>
  <c r="AG1402" i="9"/>
  <c r="N778" i="9"/>
  <c r="Z778" i="9" s="1"/>
  <c r="AG826" i="9"/>
  <c r="G827" i="9"/>
  <c r="S827" i="9" s="1"/>
  <c r="M474" i="9"/>
  <c r="Y474" i="9" s="1"/>
  <c r="G723" i="9"/>
  <c r="S723" i="9" s="1"/>
  <c r="AG722" i="9"/>
  <c r="J1412" i="9"/>
  <c r="G1501" i="9"/>
  <c r="S1501" i="9" s="1"/>
  <c r="AG1500" i="9"/>
  <c r="N1326" i="9"/>
  <c r="K573" i="9"/>
  <c r="W573" i="9" s="1"/>
  <c r="AG659" i="9"/>
  <c r="G1020" i="9"/>
  <c r="AG1007" i="9"/>
  <c r="I573" i="9"/>
  <c r="U573" i="9" s="1"/>
  <c r="G977" i="9"/>
  <c r="S977" i="9" s="1"/>
  <c r="AG976" i="9"/>
  <c r="H1213" i="9"/>
  <c r="T1213" i="9" s="1"/>
  <c r="G1565" i="9"/>
  <c r="S1565" i="9" s="1"/>
  <c r="AG1564" i="9"/>
  <c r="I579" i="9"/>
  <c r="K576" i="9"/>
  <c r="W576" i="9" s="1"/>
  <c r="G1179" i="9"/>
  <c r="AG1178" i="9"/>
  <c r="AG1270" i="9"/>
  <c r="R1271" i="9"/>
  <c r="AD1271" i="9" s="1"/>
  <c r="G1311" i="9"/>
  <c r="S1311" i="9" s="1"/>
  <c r="AG1310" i="9"/>
  <c r="H769" i="9"/>
  <c r="T769" i="9" s="1"/>
  <c r="G1369" i="9"/>
  <c r="S1369" i="9" s="1"/>
  <c r="AG1368" i="9"/>
  <c r="G1228" i="9"/>
  <c r="AG1227" i="9"/>
  <c r="AG832" i="9"/>
  <c r="AG858" i="9"/>
  <c r="H1210" i="9"/>
  <c r="T1210" i="9" s="1"/>
  <c r="H1458" i="9"/>
  <c r="T1458" i="9" s="1"/>
  <c r="N576" i="9"/>
  <c r="Z576" i="9" s="1"/>
  <c r="G1026" i="9"/>
  <c r="S1026" i="9" s="1"/>
  <c r="AG1378" i="9"/>
  <c r="N1130" i="9"/>
  <c r="H1219" i="9"/>
  <c r="T1219" i="9" s="1"/>
  <c r="AG445" i="9"/>
  <c r="AG1248" i="9"/>
  <c r="G1124" i="9"/>
  <c r="S1124" i="9" s="1"/>
  <c r="AG1123" i="9"/>
  <c r="G1363" i="9"/>
  <c r="AG1362" i="9"/>
  <c r="J1213" i="9"/>
  <c r="V1213" i="9" s="1"/>
  <c r="AG783" i="9"/>
  <c r="AG532" i="9"/>
  <c r="R533" i="9"/>
  <c r="AD533" i="9" s="1"/>
  <c r="AG1414" i="9"/>
  <c r="G1415" i="9"/>
  <c r="S1415" i="9" s="1"/>
  <c r="O1063" i="9"/>
  <c r="AA1063" i="9" s="1"/>
  <c r="K1262" i="9"/>
  <c r="W1262" i="9" s="1"/>
  <c r="O766" i="9"/>
  <c r="AA766" i="9" s="1"/>
  <c r="K864" i="9"/>
  <c r="W864" i="9" s="1"/>
  <c r="K471" i="9"/>
  <c r="W471" i="9" s="1"/>
  <c r="O1081" i="9"/>
  <c r="H766" i="9"/>
  <c r="T766" i="9" s="1"/>
  <c r="I386" i="9"/>
  <c r="U386" i="9" s="1"/>
  <c r="G1167" i="9"/>
  <c r="AG1154" i="9"/>
  <c r="L1277" i="9"/>
  <c r="P689" i="9"/>
  <c r="P330" i="9"/>
  <c r="N1207" i="9"/>
  <c r="Z1207" i="9" s="1"/>
  <c r="Q1424" i="9"/>
  <c r="H1565" i="9"/>
  <c r="T1565" i="9" s="1"/>
  <c r="R1504" i="9"/>
  <c r="AD1504" i="9" s="1"/>
  <c r="R1550" i="9"/>
  <c r="AD1550" i="9" s="1"/>
  <c r="M430" i="9"/>
  <c r="P827" i="9"/>
  <c r="AB827" i="9" s="1"/>
  <c r="R536" i="9"/>
  <c r="AD536" i="9" s="1"/>
  <c r="O1207" i="9"/>
  <c r="AA1207" i="9" s="1"/>
  <c r="K1565" i="9"/>
  <c r="W1565" i="9" s="1"/>
  <c r="H380" i="9"/>
  <c r="N333" i="9"/>
  <c r="Z333" i="9" s="1"/>
  <c r="M542" i="9"/>
  <c r="K622" i="9"/>
  <c r="W622" i="9" s="1"/>
  <c r="P324" i="9"/>
  <c r="AB324" i="9" s="1"/>
  <c r="I427" i="9"/>
  <c r="U427" i="9" s="1"/>
  <c r="P781" i="9"/>
  <c r="AB781" i="9" s="1"/>
  <c r="M1170" i="9"/>
  <c r="Y1170" i="9" s="1"/>
  <c r="G380" i="9"/>
  <c r="AG367" i="9"/>
  <c r="H1066" i="9"/>
  <c r="T1066" i="9" s="1"/>
  <c r="G1069" i="9"/>
  <c r="AG1056" i="9"/>
  <c r="P1167" i="9"/>
  <c r="AG692" i="9"/>
  <c r="L1271" i="9"/>
  <c r="X1271" i="9" s="1"/>
  <c r="AG875" i="9"/>
  <c r="R876" i="9"/>
  <c r="AD876" i="9" s="1"/>
  <c r="G421" i="9"/>
  <c r="S421" i="9" s="1"/>
  <c r="AG417" i="9"/>
  <c r="L1072" i="9"/>
  <c r="X1072" i="9" s="1"/>
  <c r="K876" i="9"/>
  <c r="W876" i="9" s="1"/>
  <c r="P1060" i="9"/>
  <c r="AB1060" i="9" s="1"/>
  <c r="I576" i="9"/>
  <c r="U576" i="9" s="1"/>
  <c r="M1357" i="9"/>
  <c r="Y1357" i="9" s="1"/>
  <c r="Q769" i="9"/>
  <c r="AC769" i="9" s="1"/>
  <c r="K787" i="9"/>
  <c r="H1320" i="9"/>
  <c r="T1320" i="9" s="1"/>
  <c r="I442" i="9"/>
  <c r="AG682" i="9"/>
  <c r="R683" i="9"/>
  <c r="AD683" i="9" s="1"/>
  <c r="R1571" i="9"/>
  <c r="AG1247" i="9"/>
  <c r="AG335" i="9"/>
  <c r="G336" i="9"/>
  <c r="S336" i="9" s="1"/>
  <c r="J1219" i="9"/>
  <c r="V1219" i="9" s="1"/>
  <c r="K1118" i="9"/>
  <c r="Q1210" i="9"/>
  <c r="AC1210" i="9" s="1"/>
  <c r="AG1019" i="9"/>
  <c r="R1020" i="9"/>
  <c r="AG1443" i="9"/>
  <c r="R1559" i="9"/>
  <c r="O729" i="9"/>
  <c r="AA729" i="9" s="1"/>
  <c r="AG1101" i="9"/>
  <c r="AG1231" i="9"/>
  <c r="Q916" i="9"/>
  <c r="AC916" i="9" s="1"/>
  <c r="AG973" i="9"/>
  <c r="R974" i="9"/>
  <c r="AD974" i="9" s="1"/>
  <c r="J471" i="9"/>
  <c r="V471" i="9" s="1"/>
  <c r="N533" i="9"/>
  <c r="Z533" i="9" s="1"/>
  <c r="O1213" i="9"/>
  <c r="AA1213" i="9" s="1"/>
  <c r="Q1072" i="9"/>
  <c r="AC1072" i="9" s="1"/>
  <c r="I977" i="9"/>
  <c r="U977" i="9" s="1"/>
  <c r="L1418" i="9"/>
  <c r="X1418" i="9" s="1"/>
  <c r="M1164" i="9"/>
  <c r="Y1164" i="9" s="1"/>
  <c r="P631" i="9"/>
  <c r="AB631" i="9" s="1"/>
  <c r="AG1297" i="9"/>
  <c r="G1207" i="9"/>
  <c r="S1207" i="9" s="1"/>
  <c r="AG1206" i="9"/>
  <c r="AG1365" i="9"/>
  <c r="R1366" i="9"/>
  <c r="AD1366" i="9" s="1"/>
  <c r="G1256" i="9"/>
  <c r="S1256" i="9" s="1"/>
  <c r="K1409" i="9"/>
  <c r="W1409" i="9" s="1"/>
  <c r="O1179" i="9"/>
  <c r="G720" i="9"/>
  <c r="S720" i="9" s="1"/>
  <c r="AG719" i="9"/>
  <c r="O628" i="9"/>
  <c r="M1464" i="9"/>
  <c r="Y1464" i="9" s="1"/>
  <c r="AG806" i="9"/>
  <c r="I383" i="9"/>
  <c r="U383" i="9" s="1"/>
  <c r="AG1301" i="9"/>
  <c r="N1179" i="9"/>
  <c r="H573" i="9"/>
  <c r="T573" i="9" s="1"/>
  <c r="R1354" i="9"/>
  <c r="AD1354" i="9" s="1"/>
  <c r="I1075" i="9"/>
  <c r="U1075" i="9" s="1"/>
  <c r="J1501" i="9"/>
  <c r="V1501" i="9" s="1"/>
  <c r="N342" i="9"/>
  <c r="L1118" i="9"/>
  <c r="G1375" i="9"/>
  <c r="AG1374" i="9"/>
  <c r="G524" i="9"/>
  <c r="S524" i="9" s="1"/>
  <c r="AG523" i="9"/>
  <c r="Q1415" i="9"/>
  <c r="AC1415" i="9" s="1"/>
  <c r="L436" i="9"/>
  <c r="X436" i="9" s="1"/>
  <c r="Q925" i="9"/>
  <c r="AC925" i="9" s="1"/>
  <c r="H781" i="9"/>
  <c r="T781" i="9" s="1"/>
  <c r="K1216" i="9"/>
  <c r="N738" i="9"/>
  <c r="Q977" i="9"/>
  <c r="AC977" i="9" s="1"/>
  <c r="K1550" i="9"/>
  <c r="W1550" i="9" s="1"/>
  <c r="G483" i="9"/>
  <c r="S483" i="9" s="1"/>
  <c r="K934" i="9"/>
  <c r="H971" i="9"/>
  <c r="N330" i="9"/>
  <c r="H772" i="9"/>
  <c r="T772" i="9" s="1"/>
  <c r="AG435" i="9"/>
  <c r="G436" i="9"/>
  <c r="S436" i="9" s="1"/>
  <c r="Q1161" i="9"/>
  <c r="AC1161" i="9" s="1"/>
  <c r="H1415" i="9"/>
  <c r="T1415" i="9" s="1"/>
  <c r="L968" i="9"/>
  <c r="X968" i="9" s="1"/>
  <c r="AG391" i="9"/>
  <c r="G392" i="9"/>
  <c r="G1115" i="9"/>
  <c r="S1115" i="9" s="1"/>
  <c r="AG1114" i="9"/>
  <c r="R787" i="9"/>
  <c r="H1081" i="9"/>
  <c r="Q1317" i="9"/>
  <c r="AC1317" i="9" s="1"/>
  <c r="N1109" i="9"/>
  <c r="Z1109" i="9" s="1"/>
  <c r="P1473" i="9"/>
  <c r="K1179" i="9"/>
  <c r="O392" i="9"/>
  <c r="G427" i="9"/>
  <c r="S427" i="9" s="1"/>
  <c r="AG426" i="9"/>
  <c r="P492" i="9"/>
  <c r="AG1544" i="9"/>
  <c r="AG1022" i="9"/>
  <c r="G1023" i="9"/>
  <c r="S1023" i="9" s="1"/>
  <c r="P1112" i="9"/>
  <c r="AB1112" i="9" s="1"/>
  <c r="I591" i="9"/>
  <c r="K333" i="9"/>
  <c r="W333" i="9" s="1"/>
  <c r="H1473" i="9"/>
  <c r="K1277" i="9"/>
  <c r="AG1149" i="9"/>
  <c r="G1510" i="9"/>
  <c r="AG1497" i="9"/>
  <c r="K1023" i="9"/>
  <c r="W1023" i="9" s="1"/>
  <c r="Q983" i="9"/>
  <c r="N1124" i="9"/>
  <c r="Z1124" i="9" s="1"/>
  <c r="P640" i="9"/>
  <c r="Q824" i="9"/>
  <c r="G775" i="9"/>
  <c r="AG762" i="9"/>
  <c r="G533" i="9"/>
  <c r="S533" i="9" s="1"/>
  <c r="R424" i="9"/>
  <c r="AD424" i="9" s="1"/>
  <c r="G821" i="9"/>
  <c r="S821" i="9" s="1"/>
  <c r="AG820" i="9"/>
  <c r="M1265" i="9"/>
  <c r="P619" i="9"/>
  <c r="AB619" i="9" s="1"/>
  <c r="N1553" i="9"/>
  <c r="Z1553" i="9" s="1"/>
  <c r="J433" i="9"/>
  <c r="V433" i="9" s="1"/>
  <c r="Q619" i="9"/>
  <c r="AC619" i="9" s="1"/>
  <c r="R772" i="9"/>
  <c r="AD772" i="9" s="1"/>
  <c r="AG1371" i="9"/>
  <c r="J1060" i="9"/>
  <c r="V1060" i="9" s="1"/>
  <c r="AG956" i="9"/>
  <c r="L371" i="9"/>
  <c r="X371" i="9" s="1"/>
  <c r="G1305" i="9"/>
  <c r="S1305" i="9" s="1"/>
  <c r="AG1304" i="9"/>
  <c r="AG1305" i="9" s="1"/>
  <c r="L492" i="9"/>
  <c r="O324" i="9"/>
  <c r="AA324" i="9" s="1"/>
  <c r="J1179" i="9"/>
  <c r="Q1265" i="9"/>
  <c r="I1066" i="9"/>
  <c r="U1066" i="9" s="1"/>
  <c r="J483" i="9"/>
  <c r="V483" i="9" s="1"/>
  <c r="K983" i="9"/>
  <c r="H1207" i="9"/>
  <c r="T1207" i="9" s="1"/>
  <c r="Q1167" i="9"/>
  <c r="K1072" i="9"/>
  <c r="W1072" i="9" s="1"/>
  <c r="N836" i="9"/>
  <c r="K726" i="9"/>
  <c r="M1326" i="9"/>
  <c r="L836" i="9"/>
  <c r="I1207" i="9"/>
  <c r="U1207" i="9" s="1"/>
  <c r="AG1182" i="9"/>
  <c r="L1256" i="9"/>
  <c r="X1256" i="9" s="1"/>
  <c r="N625" i="9"/>
  <c r="Z625" i="9" s="1"/>
  <c r="M1354" i="9"/>
  <c r="Y1354" i="9" s="1"/>
  <c r="N726" i="9"/>
  <c r="AG1350" i="9"/>
  <c r="I1320" i="9"/>
  <c r="U1320" i="9" s="1"/>
  <c r="AG855" i="9"/>
  <c r="O1121" i="9"/>
  <c r="AA1121" i="9" s="1"/>
  <c r="H821" i="9"/>
  <c r="T821" i="9" s="1"/>
  <c r="R1516" i="9"/>
  <c r="AD1516" i="9" s="1"/>
  <c r="L677" i="9"/>
  <c r="K962" i="9"/>
  <c r="W962" i="9" s="1"/>
  <c r="K430" i="9"/>
  <c r="J1124" i="9"/>
  <c r="V1124" i="9" s="1"/>
  <c r="I1277" i="9"/>
  <c r="AG1296" i="9"/>
  <c r="I480" i="9"/>
  <c r="N873" i="9"/>
  <c r="AG664" i="9"/>
  <c r="AG1250" i="9"/>
  <c r="M1507" i="9"/>
  <c r="Y1507" i="9" s="1"/>
  <c r="AG1111" i="9"/>
  <c r="G1112" i="9"/>
  <c r="S1112" i="9" s="1"/>
  <c r="N965" i="9"/>
  <c r="Z965" i="9" s="1"/>
  <c r="R836" i="9"/>
  <c r="J1268" i="9"/>
  <c r="V1268" i="9" s="1"/>
  <c r="K330" i="9"/>
  <c r="L570" i="9"/>
  <c r="X570" i="9" s="1"/>
  <c r="AG438" i="9"/>
  <c r="G1277" i="9"/>
  <c r="AG1276" i="9"/>
  <c r="R324" i="9"/>
  <c r="AD324" i="9" s="1"/>
  <c r="R527" i="9"/>
  <c r="AD527" i="9" s="1"/>
  <c r="AG379" i="9"/>
  <c r="Q1360" i="9"/>
  <c r="AC1360" i="9" s="1"/>
  <c r="N1317" i="9"/>
  <c r="Z1317" i="9" s="1"/>
  <c r="L477" i="9"/>
  <c r="X477" i="9" s="1"/>
  <c r="R1369" i="9"/>
  <c r="AD1369" i="9" s="1"/>
  <c r="I1513" i="9"/>
  <c r="U1513" i="9" s="1"/>
  <c r="H879" i="9"/>
  <c r="T879" i="9" s="1"/>
  <c r="N775" i="9"/>
  <c r="K1026" i="9"/>
  <c r="W1026" i="9" s="1"/>
  <c r="O1522" i="9"/>
  <c r="P1207" i="9"/>
  <c r="AB1207" i="9" s="1"/>
  <c r="K631" i="9"/>
  <c r="W631" i="9" s="1"/>
  <c r="O430" i="9"/>
  <c r="R1268" i="9"/>
  <c r="AD1268" i="9" s="1"/>
  <c r="H330" i="9"/>
  <c r="L1354" i="9"/>
  <c r="X1354" i="9" s="1"/>
  <c r="J775" i="9"/>
  <c r="M787" i="9"/>
  <c r="Q477" i="9"/>
  <c r="AC477" i="9" s="1"/>
  <c r="AG1322" i="9"/>
  <c r="R474" i="9"/>
  <c r="AD474" i="9" s="1"/>
  <c r="M1553" i="9"/>
  <c r="Y1553" i="9" s="1"/>
  <c r="P1412" i="9"/>
  <c r="Q1452" i="9"/>
  <c r="AC1452" i="9" s="1"/>
  <c r="G1326" i="9"/>
  <c r="AG1325" i="9"/>
  <c r="AG905" i="9"/>
  <c r="L1452" i="9"/>
  <c r="X1452" i="9" s="1"/>
  <c r="Q591" i="9"/>
  <c r="L480" i="9"/>
  <c r="AG1307" i="9"/>
  <c r="G1308" i="9"/>
  <c r="S1308" i="9" s="1"/>
  <c r="G1262" i="9"/>
  <c r="S1262" i="9" s="1"/>
  <c r="AG1261" i="9"/>
  <c r="AG572" i="9"/>
  <c r="G573" i="9"/>
  <c r="S573" i="9" s="1"/>
  <c r="L1406" i="9"/>
  <c r="X1406" i="9" s="1"/>
  <c r="M1516" i="9"/>
  <c r="Y1516" i="9" s="1"/>
  <c r="N674" i="9"/>
  <c r="Z674" i="9" s="1"/>
  <c r="J527" i="9"/>
  <c r="V527" i="9" s="1"/>
  <c r="K1219" i="9"/>
  <c r="W1219" i="9" s="1"/>
  <c r="M483" i="9"/>
  <c r="Y483" i="9" s="1"/>
  <c r="AG1133" i="9"/>
  <c r="AG1463" i="9"/>
  <c r="G1464" i="9"/>
  <c r="S1464" i="9" s="1"/>
  <c r="Q321" i="9"/>
  <c r="AC321" i="9" s="1"/>
  <c r="G1553" i="9"/>
  <c r="S1553" i="9" s="1"/>
  <c r="AG1552" i="9"/>
  <c r="AG1025" i="9"/>
  <c r="R1026" i="9"/>
  <c r="AD1026" i="9" s="1"/>
  <c r="L1115" i="9"/>
  <c r="X1115" i="9" s="1"/>
  <c r="AG839" i="9"/>
  <c r="P1461" i="9"/>
  <c r="P683" i="9"/>
  <c r="AB683" i="9" s="1"/>
  <c r="K1553" i="9"/>
  <c r="W1553" i="9" s="1"/>
  <c r="G1516" i="9"/>
  <c r="S1516" i="9" s="1"/>
  <c r="AG1515" i="9"/>
  <c r="N1167" i="9"/>
  <c r="Q573" i="9"/>
  <c r="AC573" i="9" s="1"/>
  <c r="H1167" i="9"/>
  <c r="L433" i="9"/>
  <c r="X433" i="9" s="1"/>
  <c r="AG1503" i="9"/>
  <c r="G1504" i="9"/>
  <c r="S1504" i="9" s="1"/>
  <c r="AG1273" i="9"/>
  <c r="O1060" i="9"/>
  <c r="AA1060" i="9" s="1"/>
  <c r="I1522" i="9"/>
  <c r="K867" i="9"/>
  <c r="W867" i="9" s="1"/>
  <c r="H723" i="9"/>
  <c r="T723" i="9" s="1"/>
  <c r="O421" i="9"/>
  <c r="AA421" i="9" s="1"/>
  <c r="G916" i="9"/>
  <c r="S916" i="9" s="1"/>
  <c r="AG915" i="9"/>
  <c r="L430" i="9"/>
  <c r="K436" i="9"/>
  <c r="W436" i="9" s="1"/>
  <c r="R333" i="9"/>
  <c r="AD333" i="9" s="1"/>
  <c r="L1458" i="9"/>
  <c r="X1458" i="9" s="1"/>
  <c r="K1259" i="9"/>
  <c r="W1259" i="9" s="1"/>
  <c r="AG953" i="9"/>
  <c r="G1559" i="9"/>
  <c r="AG1546" i="9"/>
  <c r="K321" i="9"/>
  <c r="W321" i="9" s="1"/>
  <c r="AG613" i="9"/>
  <c r="N1516" i="9"/>
  <c r="Z1516" i="9" s="1"/>
  <c r="AG807" i="9"/>
  <c r="AG513" i="9"/>
  <c r="N386" i="9"/>
  <c r="Z386" i="9" s="1"/>
  <c r="I1571" i="9"/>
  <c r="I934" i="9"/>
  <c r="R1409" i="9"/>
  <c r="AD1409" i="9" s="1"/>
  <c r="AG907" i="9"/>
  <c r="M1317" i="9"/>
  <c r="Y1317" i="9" s="1"/>
  <c r="H1072" i="9"/>
  <c r="T1072" i="9" s="1"/>
  <c r="J1262" i="9"/>
  <c r="V1262" i="9" s="1"/>
  <c r="O864" i="9"/>
  <c r="AA864" i="9" s="1"/>
  <c r="O582" i="9"/>
  <c r="AA582" i="9" s="1"/>
  <c r="M867" i="9"/>
  <c r="Y867" i="9" s="1"/>
  <c r="H424" i="9"/>
  <c r="T424" i="9" s="1"/>
  <c r="L619" i="9"/>
  <c r="X619" i="9" s="1"/>
  <c r="O1017" i="9"/>
  <c r="AA1017" i="9" s="1"/>
  <c r="K1571" i="9"/>
  <c r="G1507" i="9"/>
  <c r="S1507" i="9" s="1"/>
  <c r="AG1506" i="9"/>
  <c r="H870" i="9"/>
  <c r="T870" i="9" s="1"/>
  <c r="O925" i="9"/>
  <c r="AA925" i="9" s="1"/>
  <c r="I1510" i="9"/>
  <c r="J879" i="9"/>
  <c r="V879" i="9" s="1"/>
  <c r="G1360" i="9"/>
  <c r="S1360" i="9" s="1"/>
  <c r="AG1359" i="9"/>
  <c r="N1363" i="9"/>
  <c r="N327" i="9"/>
  <c r="Z327" i="9" s="1"/>
  <c r="AG673" i="9"/>
  <c r="R674" i="9"/>
  <c r="AD674" i="9" s="1"/>
  <c r="AG1542" i="9"/>
  <c r="I585" i="9"/>
  <c r="U585" i="9" s="1"/>
  <c r="Q1228" i="9"/>
  <c r="G873" i="9"/>
  <c r="AG860" i="9"/>
  <c r="G1216" i="9"/>
  <c r="AG1215" i="9"/>
  <c r="O386" i="9"/>
  <c r="AA386" i="9" s="1"/>
  <c r="J1510" i="9"/>
  <c r="M380" i="9"/>
  <c r="G570" i="9"/>
  <c r="S570" i="9" s="1"/>
  <c r="AG569" i="9"/>
  <c r="AG1495" i="9"/>
  <c r="K720" i="9"/>
  <c r="W720" i="9" s="1"/>
  <c r="K1222" i="9"/>
  <c r="W1222" i="9" s="1"/>
  <c r="R879" i="9"/>
  <c r="AD879" i="9" s="1"/>
  <c r="G628" i="9"/>
  <c r="AG615" i="9"/>
  <c r="AG420" i="9"/>
  <c r="Q778" i="9"/>
  <c r="AC778" i="9" s="1"/>
  <c r="N1360" i="9"/>
  <c r="Z1360" i="9" s="1"/>
  <c r="Q1063" i="9"/>
  <c r="AC1063" i="9" s="1"/>
  <c r="P674" i="9"/>
  <c r="AB674" i="9" s="1"/>
  <c r="I330" i="9"/>
  <c r="AG1348" i="9"/>
  <c r="I324" i="9"/>
  <c r="U324" i="9" s="1"/>
  <c r="N1277" i="9"/>
  <c r="I582" i="9"/>
  <c r="U582" i="9" s="1"/>
  <c r="Q521" i="9"/>
  <c r="AC521" i="9" s="1"/>
  <c r="G1473" i="9"/>
  <c r="AG1472" i="9"/>
  <c r="M377" i="9"/>
  <c r="Y377" i="9" s="1"/>
  <c r="K570" i="9"/>
  <c r="W570" i="9" s="1"/>
  <c r="L1069" i="9"/>
  <c r="M640" i="9"/>
  <c r="O879" i="9"/>
  <c r="AA879" i="9" s="1"/>
  <c r="L1081" i="9"/>
  <c r="R430" i="9"/>
  <c r="N781" i="9"/>
  <c r="Z781" i="9" s="1"/>
  <c r="AG495" i="9"/>
  <c r="L919" i="9"/>
  <c r="X919" i="9" s="1"/>
  <c r="O1222" i="9"/>
  <c r="AA1222" i="9" s="1"/>
  <c r="G1265" i="9"/>
  <c r="AG1252" i="9"/>
  <c r="AG1316" i="9"/>
  <c r="G1317" i="9"/>
  <c r="S1317" i="9" s="1"/>
  <c r="Q1305" i="9"/>
  <c r="AC1305" i="9" s="1"/>
  <c r="N1357" i="9"/>
  <c r="Z1357" i="9" s="1"/>
  <c r="N1305" i="9"/>
  <c r="Z1305" i="9" s="1"/>
  <c r="K336" i="9"/>
  <c r="W336" i="9" s="1"/>
  <c r="P830" i="9"/>
  <c r="AB830" i="9" s="1"/>
  <c r="N1222" i="9"/>
  <c r="Z1222" i="9" s="1"/>
  <c r="G968" i="9"/>
  <c r="S968" i="9" s="1"/>
  <c r="AG967" i="9"/>
  <c r="AG545" i="9"/>
  <c r="N769" i="9"/>
  <c r="Z769" i="9" s="1"/>
  <c r="H1418" i="9"/>
  <c r="T1418" i="9" s="1"/>
  <c r="AG363" i="9"/>
  <c r="H1317" i="9"/>
  <c r="T1317" i="9" s="1"/>
  <c r="AG970" i="9"/>
  <c r="P787" i="9"/>
  <c r="AG1054" i="9"/>
  <c r="P836" i="9"/>
  <c r="M1158" i="9"/>
  <c r="Y1158" i="9" s="1"/>
  <c r="M1409" i="9"/>
  <c r="Y1409" i="9" s="1"/>
  <c r="L1516" i="9"/>
  <c r="X1516" i="9" s="1"/>
  <c r="H1553" i="9"/>
  <c r="T1553" i="9" s="1"/>
  <c r="G1219" i="9"/>
  <c r="S1219" i="9" s="1"/>
  <c r="AG986" i="9"/>
  <c r="AG415" i="9"/>
  <c r="R1259" i="9"/>
  <c r="AD1259" i="9" s="1"/>
  <c r="I1213" i="9"/>
  <c r="U1213" i="9" s="1"/>
  <c r="K1213" i="9"/>
  <c r="W1213" i="9" s="1"/>
  <c r="K1109" i="9"/>
  <c r="W1109" i="9" s="1"/>
  <c r="I1118" i="9"/>
  <c r="Q1375" i="9"/>
  <c r="I1115" i="9"/>
  <c r="U1115" i="9" s="1"/>
  <c r="AG382" i="9"/>
  <c r="R383" i="9"/>
  <c r="AD383" i="9" s="1"/>
  <c r="M1418" i="9"/>
  <c r="Y1418" i="9" s="1"/>
  <c r="J1259" i="9"/>
  <c r="V1259" i="9" s="1"/>
  <c r="H477" i="9"/>
  <c r="T477" i="9" s="1"/>
  <c r="J867" i="9"/>
  <c r="V867" i="9" s="1"/>
  <c r="I1412" i="9"/>
  <c r="N879" i="9"/>
  <c r="Z879" i="9" s="1"/>
  <c r="Q631" i="9"/>
  <c r="AC631" i="9" s="1"/>
  <c r="N1559" i="9"/>
  <c r="AG1152" i="9"/>
  <c r="I968" i="9"/>
  <c r="U968" i="9" s="1"/>
  <c r="H1510" i="9"/>
  <c r="I1228" i="9"/>
  <c r="O579" i="9"/>
  <c r="K772" i="9"/>
  <c r="W772" i="9" s="1"/>
  <c r="K1305" i="9"/>
  <c r="W1305" i="9" s="1"/>
  <c r="P524" i="9"/>
  <c r="AB524" i="9" s="1"/>
  <c r="K1207" i="9"/>
  <c r="W1207" i="9" s="1"/>
  <c r="H486" i="9"/>
  <c r="T486" i="9" s="1"/>
  <c r="P474" i="9"/>
  <c r="AB474" i="9" s="1"/>
  <c r="N1501" i="9"/>
  <c r="Z1501" i="9" s="1"/>
  <c r="L1522" i="9"/>
  <c r="G1467" i="9"/>
  <c r="S1467" i="9" s="1"/>
  <c r="AG1466" i="9"/>
  <c r="M471" i="9"/>
  <c r="Y471" i="9" s="1"/>
  <c r="P433" i="9"/>
  <c r="AB433" i="9" s="1"/>
  <c r="N1369" i="9"/>
  <c r="Z1369" i="9" s="1"/>
  <c r="I668" i="9"/>
  <c r="U668" i="9" s="1"/>
  <c r="K1369" i="9"/>
  <c r="W1369" i="9" s="1"/>
  <c r="P1075" i="9"/>
  <c r="AB1075" i="9" s="1"/>
  <c r="R1265" i="9"/>
  <c r="J1069" i="9"/>
  <c r="K1011" i="9"/>
  <c r="W1011" i="9" s="1"/>
  <c r="M815" i="9"/>
  <c r="Y815" i="9" s="1"/>
  <c r="G732" i="9"/>
  <c r="S732" i="9" s="1"/>
  <c r="AG731" i="9"/>
  <c r="H885" i="9"/>
  <c r="AG1492" i="9"/>
  <c r="L1265" i="9"/>
  <c r="N582" i="9"/>
  <c r="Z582" i="9" s="1"/>
  <c r="AG1003" i="9"/>
  <c r="N1314" i="9"/>
  <c r="O876" i="9"/>
  <c r="AA876" i="9" s="1"/>
  <c r="P321" i="9"/>
  <c r="AB321" i="9" s="1"/>
  <c r="I738" i="9"/>
  <c r="M1256" i="9"/>
  <c r="Y1256" i="9" s="1"/>
  <c r="Q533" i="9"/>
  <c r="AC533" i="9" s="1"/>
  <c r="N383" i="9"/>
  <c r="Z383" i="9" s="1"/>
  <c r="P1014" i="9"/>
  <c r="AB1014" i="9" s="1"/>
  <c r="G424" i="9"/>
  <c r="S424" i="9" s="1"/>
  <c r="AG423" i="9"/>
  <c r="N925" i="9"/>
  <c r="Z925" i="9" s="1"/>
  <c r="L1173" i="9"/>
  <c r="X1173" i="9" s="1"/>
  <c r="R1562" i="9"/>
  <c r="AD1562" i="9" s="1"/>
  <c r="N1014" i="9"/>
  <c r="Z1014" i="9" s="1"/>
  <c r="I1072" i="9"/>
  <c r="U1072" i="9" s="1"/>
  <c r="Q1023" i="9"/>
  <c r="AC1023" i="9" s="1"/>
  <c r="H1265" i="9"/>
  <c r="N1060" i="9"/>
  <c r="Z1060" i="9" s="1"/>
  <c r="K1121" i="9"/>
  <c r="W1121" i="9" s="1"/>
  <c r="M824" i="9"/>
  <c r="M1556" i="9"/>
  <c r="Y1556" i="9" s="1"/>
  <c r="M1121" i="9"/>
  <c r="Y1121" i="9" s="1"/>
  <c r="Q913" i="9"/>
  <c r="AC913" i="9" s="1"/>
  <c r="G1354" i="9"/>
  <c r="S1354" i="9" s="1"/>
  <c r="AG1353" i="9"/>
  <c r="K1455" i="9"/>
  <c r="W1455" i="9" s="1"/>
  <c r="AG685" i="9"/>
  <c r="Q830" i="9"/>
  <c r="AC830" i="9" s="1"/>
  <c r="AG660" i="9"/>
  <c r="M1020" i="9"/>
  <c r="Q1562" i="9"/>
  <c r="AC1562" i="9" s="1"/>
  <c r="I1167" i="9"/>
  <c r="AG1005" i="9"/>
  <c r="N1504" i="9"/>
  <c r="Z1504" i="9" s="1"/>
  <c r="K634" i="9"/>
  <c r="W634" i="9" s="1"/>
  <c r="K1418" i="9"/>
  <c r="W1418" i="9" s="1"/>
  <c r="K925" i="9"/>
  <c r="W925" i="9" s="1"/>
  <c r="R480" i="9"/>
  <c r="M1161" i="9"/>
  <c r="Y1161" i="9" s="1"/>
  <c r="H1118" i="9"/>
  <c r="O424" i="9"/>
  <c r="AA424" i="9" s="1"/>
  <c r="Q732" i="9"/>
  <c r="AC732" i="9" s="1"/>
  <c r="O738" i="9"/>
  <c r="H1363" i="9"/>
  <c r="M1375" i="9"/>
  <c r="H1179" i="9"/>
  <c r="AG610" i="9"/>
  <c r="N1406" i="9"/>
  <c r="Z1406" i="9" s="1"/>
  <c r="P480" i="9"/>
  <c r="L421" i="9"/>
  <c r="X421" i="9" s="1"/>
  <c r="R818" i="9"/>
  <c r="AD818" i="9" s="1"/>
  <c r="H968" i="9"/>
  <c r="T968" i="9" s="1"/>
  <c r="H717" i="9"/>
  <c r="T717" i="9" s="1"/>
  <c r="AG313" i="9"/>
  <c r="K1354" i="9"/>
  <c r="W1354" i="9" s="1"/>
  <c r="AG1166" i="9"/>
  <c r="AG1167" i="9" s="1"/>
  <c r="Q775" i="9"/>
  <c r="M1268" i="9"/>
  <c r="Y1268" i="9" s="1"/>
  <c r="M1501" i="9"/>
  <c r="Y1501" i="9" s="1"/>
  <c r="AG1299" i="9"/>
  <c r="N336" i="9"/>
  <c r="Z336" i="9" s="1"/>
  <c r="L1565" i="9"/>
  <c r="X1565" i="9" s="1"/>
  <c r="R1406" i="9"/>
  <c r="AD1406" i="9" s="1"/>
  <c r="J787" i="9"/>
  <c r="J732" i="9"/>
  <c r="V732" i="9" s="1"/>
  <c r="AG643" i="9"/>
  <c r="J1559" i="9"/>
  <c r="J1161" i="9"/>
  <c r="V1161" i="9" s="1"/>
  <c r="N1308" i="9"/>
  <c r="Z1308" i="9" s="1"/>
  <c r="N374" i="9"/>
  <c r="Z374" i="9" s="1"/>
  <c r="R1213" i="9"/>
  <c r="AD1213" i="9" s="1"/>
  <c r="J680" i="9"/>
  <c r="V680" i="9" s="1"/>
  <c r="G634" i="9"/>
  <c r="S634" i="9" s="1"/>
  <c r="AG633" i="9"/>
  <c r="I483" i="9"/>
  <c r="U483" i="9" s="1"/>
  <c r="N1069" i="9"/>
  <c r="J634" i="9"/>
  <c r="V634" i="9" s="1"/>
  <c r="J1467" i="9"/>
  <c r="V1467" i="9" s="1"/>
  <c r="I1504" i="9"/>
  <c r="U1504" i="9" s="1"/>
  <c r="G521" i="9"/>
  <c r="S521" i="9" s="1"/>
  <c r="AG520" i="9"/>
  <c r="AG521" i="9" s="1"/>
  <c r="O683" i="9"/>
  <c r="AA683" i="9" s="1"/>
  <c r="N1173" i="9"/>
  <c r="Z1173" i="9" s="1"/>
  <c r="N1409" i="9"/>
  <c r="Z1409" i="9" s="1"/>
  <c r="J925" i="9"/>
  <c r="V925" i="9" s="1"/>
  <c r="H582" i="9"/>
  <c r="T582" i="9" s="1"/>
  <c r="P392" i="9"/>
  <c r="O870" i="9"/>
  <c r="AA870" i="9" s="1"/>
  <c r="O327" i="9"/>
  <c r="AA327" i="9" s="1"/>
  <c r="M383" i="9"/>
  <c r="Y383" i="9" s="1"/>
  <c r="G1412" i="9"/>
  <c r="AG1411" i="9"/>
  <c r="P815" i="9"/>
  <c r="AB815" i="9" s="1"/>
  <c r="G1556" i="9"/>
  <c r="S1556" i="9" s="1"/>
  <c r="AG1555" i="9"/>
  <c r="J1516" i="9"/>
  <c r="V1516" i="9" s="1"/>
  <c r="G683" i="9"/>
  <c r="S683" i="9" s="1"/>
  <c r="O573" i="9"/>
  <c r="AA573" i="9" s="1"/>
  <c r="AG413" i="9"/>
  <c r="O867" i="9"/>
  <c r="AA867" i="9" s="1"/>
  <c r="AG1031" i="9"/>
  <c r="G1032" i="9"/>
  <c r="Q579" i="9"/>
  <c r="I374" i="9"/>
  <c r="U374" i="9" s="1"/>
  <c r="O374" i="9"/>
  <c r="AA374" i="9" s="1"/>
  <c r="N1170" i="9"/>
  <c r="Z1170" i="9" s="1"/>
  <c r="K717" i="9"/>
  <c r="W717" i="9" s="1"/>
  <c r="I1032" i="9"/>
  <c r="AG1427" i="9"/>
  <c r="AG1558" i="9"/>
  <c r="O1075" i="9"/>
  <c r="AA1075" i="9" s="1"/>
  <c r="J876" i="9"/>
  <c r="V876" i="9" s="1"/>
  <c r="N377" i="9"/>
  <c r="Z377" i="9" s="1"/>
  <c r="AG1319" i="9"/>
  <c r="AG1320" i="9" s="1"/>
  <c r="G1320" i="9"/>
  <c r="S1320" i="9" s="1"/>
  <c r="I1210" i="9"/>
  <c r="U1210" i="9" s="1"/>
  <c r="H1063" i="9"/>
  <c r="T1063" i="9" s="1"/>
  <c r="O717" i="9"/>
  <c r="AA717" i="9" s="1"/>
  <c r="J1311" i="9"/>
  <c r="V1311" i="9" s="1"/>
  <c r="Q576" i="9"/>
  <c r="AC576" i="9" s="1"/>
  <c r="AG1218" i="9"/>
  <c r="R1219" i="9"/>
  <c r="AD1219" i="9" s="1"/>
  <c r="H628" i="9"/>
  <c r="O1516" i="9"/>
  <c r="AA1516" i="9" s="1"/>
  <c r="O383" i="9"/>
  <c r="AA383" i="9" s="1"/>
  <c r="R336" i="9"/>
  <c r="AD336" i="9" s="1"/>
  <c r="Q680" i="9"/>
  <c r="AC680" i="9" s="1"/>
  <c r="M1461" i="9"/>
  <c r="AG725" i="9"/>
  <c r="G430" i="9"/>
  <c r="AG429" i="9"/>
  <c r="AG741" i="9"/>
  <c r="P766" i="9"/>
  <c r="AB766" i="9" s="1"/>
  <c r="K591" i="9"/>
  <c r="AG587" i="9"/>
  <c r="H480" i="9"/>
  <c r="H1406" i="9"/>
  <c r="T1406" i="9" s="1"/>
  <c r="L386" i="9"/>
  <c r="X386" i="9" s="1"/>
  <c r="K766" i="9"/>
  <c r="W766" i="9" s="1"/>
  <c r="H521" i="9"/>
  <c r="T521" i="9" s="1"/>
  <c r="K324" i="9"/>
  <c r="W324" i="9" s="1"/>
  <c r="L668" i="9"/>
  <c r="X668" i="9" s="1"/>
  <c r="AG1051" i="9"/>
  <c r="O885" i="9"/>
  <c r="G1409" i="9"/>
  <c r="S1409" i="9" s="1"/>
  <c r="AG1408" i="9"/>
  <c r="G1130" i="9"/>
  <c r="AG1129" i="9"/>
  <c r="AG618" i="9"/>
  <c r="R619" i="9"/>
  <c r="AD619" i="9" s="1"/>
  <c r="Q934" i="9"/>
  <c r="L732" i="9"/>
  <c r="X732" i="9" s="1"/>
  <c r="H1060" i="9"/>
  <c r="T1060" i="9" s="1"/>
  <c r="R1501" i="9"/>
  <c r="AD1501" i="9" s="1"/>
  <c r="G867" i="9"/>
  <c r="S867" i="9" s="1"/>
  <c r="AG866" i="9"/>
  <c r="J916" i="9"/>
  <c r="V916" i="9" s="1"/>
  <c r="O1265" i="9"/>
  <c r="R486" i="9"/>
  <c r="AD486" i="9" s="1"/>
  <c r="O1354" i="9"/>
  <c r="AA1354" i="9" s="1"/>
  <c r="Q683" i="9"/>
  <c r="AC683" i="9" s="1"/>
  <c r="N591" i="9"/>
  <c r="M1124" i="9"/>
  <c r="Y1124" i="9" s="1"/>
  <c r="K1559" i="9"/>
  <c r="L374" i="9"/>
  <c r="X374" i="9" s="1"/>
  <c r="L723" i="9"/>
  <c r="X723" i="9" s="1"/>
  <c r="L321" i="9"/>
  <c r="X321" i="9" s="1"/>
  <c r="Q542" i="9"/>
  <c r="H1455" i="9"/>
  <c r="T1455" i="9" s="1"/>
  <c r="P1406" i="9"/>
  <c r="AB1406" i="9" s="1"/>
  <c r="Q781" i="9"/>
  <c r="AC781" i="9" s="1"/>
  <c r="AG320" i="9"/>
  <c r="G321" i="9"/>
  <c r="S321" i="9" s="1"/>
  <c r="G729" i="9"/>
  <c r="S729" i="9" s="1"/>
  <c r="I928" i="9"/>
  <c r="U928" i="9" s="1"/>
  <c r="O668" i="9"/>
  <c r="AA668" i="9" s="1"/>
  <c r="L342" i="9"/>
  <c r="M689" i="9"/>
  <c r="Q879" i="9"/>
  <c r="AC879" i="9" s="1"/>
  <c r="K1256" i="9"/>
  <c r="W1256" i="9" s="1"/>
  <c r="Q324" i="9"/>
  <c r="AC324" i="9" s="1"/>
  <c r="AG676" i="9"/>
  <c r="R677" i="9"/>
  <c r="G1164" i="9"/>
  <c r="S1164" i="9" s="1"/>
  <c r="AG1163" i="9"/>
  <c r="O677" i="9"/>
  <c r="G717" i="9"/>
  <c r="S717" i="9" s="1"/>
  <c r="AG716" i="9"/>
  <c r="I677" i="9"/>
  <c r="H815" i="9"/>
  <c r="T815" i="9" s="1"/>
  <c r="P1069" i="9"/>
  <c r="L1467" i="9"/>
  <c r="X1467" i="9" s="1"/>
  <c r="AG829" i="9"/>
  <c r="R830" i="9"/>
  <c r="AD830" i="9" s="1"/>
  <c r="AG1100" i="9"/>
  <c r="L625" i="9"/>
  <c r="X625" i="9" s="1"/>
  <c r="O1161" i="9"/>
  <c r="AA1161" i="9" s="1"/>
  <c r="I1130" i="9"/>
  <c r="I726" i="9"/>
  <c r="L1112" i="9"/>
  <c r="X1112" i="9" s="1"/>
  <c r="P775" i="9"/>
  <c r="AG1264" i="9"/>
  <c r="G486" i="9"/>
  <c r="S486" i="9" s="1"/>
  <c r="AG485" i="9"/>
  <c r="P879" i="9"/>
  <c r="AB879" i="9" s="1"/>
  <c r="L962" i="9"/>
  <c r="X962" i="9" s="1"/>
  <c r="Q974" i="9"/>
  <c r="AC974" i="9" s="1"/>
  <c r="Q766" i="9"/>
  <c r="AC766" i="9" s="1"/>
  <c r="AG979" i="9"/>
  <c r="P1375" i="9"/>
  <c r="R1023" i="9"/>
  <c r="AD1023" i="9" s="1"/>
  <c r="AG823" i="9"/>
  <c r="AG1561" i="9"/>
  <c r="G1562" i="9"/>
  <c r="S1562" i="9" s="1"/>
  <c r="I622" i="9"/>
  <c r="U622" i="9" s="1"/>
  <c r="O634" i="9"/>
  <c r="AA634" i="9" s="1"/>
  <c r="P477" i="9"/>
  <c r="AB477" i="9" s="1"/>
  <c r="I1314" i="9"/>
  <c r="L622" i="9"/>
  <c r="X622" i="9" s="1"/>
  <c r="N1063" i="9"/>
  <c r="Z1063" i="9" s="1"/>
  <c r="I1501" i="9"/>
  <c r="U1501" i="9" s="1"/>
  <c r="N919" i="9"/>
  <c r="Z919" i="9" s="1"/>
  <c r="H864" i="9"/>
  <c r="T864" i="9" s="1"/>
  <c r="R1455" i="9"/>
  <c r="AD1455" i="9" s="1"/>
  <c r="O781" i="9"/>
  <c r="AA781" i="9" s="1"/>
  <c r="AG780" i="9"/>
  <c r="R781" i="9"/>
  <c r="AD781" i="9" s="1"/>
  <c r="G1455" i="9"/>
  <c r="S1455" i="9" s="1"/>
  <c r="AG1454" i="9"/>
  <c r="I1516" i="9"/>
  <c r="U1516" i="9" s="1"/>
  <c r="K1467" i="9"/>
  <c r="W1467" i="9" s="1"/>
  <c r="AG462" i="9"/>
  <c r="K1268" i="9"/>
  <c r="W1268" i="9" s="1"/>
  <c r="O1311" i="9"/>
  <c r="AA1311" i="9" s="1"/>
  <c r="AG1169" i="9"/>
  <c r="G1170" i="9"/>
  <c r="S1170" i="9" s="1"/>
  <c r="H1409" i="9"/>
  <c r="T1409" i="9" s="1"/>
  <c r="AG388" i="9"/>
  <c r="P1409" i="9"/>
  <c r="AB1409" i="9" s="1"/>
  <c r="R1311" i="9"/>
  <c r="AD1311" i="9" s="1"/>
  <c r="I336" i="9"/>
  <c r="U336" i="9" s="1"/>
  <c r="L671" i="9"/>
  <c r="X671" i="9" s="1"/>
  <c r="AG1525" i="9"/>
  <c r="Q1017" i="9"/>
  <c r="AC1017" i="9" s="1"/>
  <c r="H530" i="9"/>
  <c r="H1311" i="9"/>
  <c r="T1311" i="9" s="1"/>
  <c r="H1308" i="9"/>
  <c r="T1308" i="9" s="1"/>
  <c r="O619" i="9"/>
  <c r="AA619" i="9" s="1"/>
  <c r="I1455" i="9"/>
  <c r="U1455" i="9" s="1"/>
  <c r="Q922" i="9"/>
  <c r="Q1320" i="9"/>
  <c r="AC1320" i="9" s="1"/>
  <c r="P1403" i="9"/>
  <c r="AB1403" i="9" s="1"/>
  <c r="J864" i="9"/>
  <c r="V864" i="9" s="1"/>
  <c r="J486" i="9"/>
  <c r="V486" i="9" s="1"/>
  <c r="L772" i="9"/>
  <c r="X772" i="9" s="1"/>
  <c r="N492" i="9"/>
  <c r="L1326" i="9"/>
  <c r="P536" i="9"/>
  <c r="AB536" i="9" s="1"/>
  <c r="I775" i="9"/>
  <c r="AG1199" i="9"/>
  <c r="H436" i="9"/>
  <c r="T436" i="9" s="1"/>
  <c r="O1562" i="9"/>
  <c r="AA1562" i="9" s="1"/>
  <c r="AG708" i="9"/>
  <c r="I619" i="9"/>
  <c r="U619" i="9" s="1"/>
  <c r="J1522" i="9"/>
  <c r="P582" i="9"/>
  <c r="AB582" i="9" s="1"/>
  <c r="O480" i="9"/>
  <c r="Q674" i="9"/>
  <c r="AC674" i="9" s="1"/>
  <c r="K1424" i="9"/>
  <c r="AG1016" i="9"/>
  <c r="G1017" i="9"/>
  <c r="S1017" i="9" s="1"/>
  <c r="G442" i="9"/>
  <c r="AG441" i="9"/>
  <c r="AG630" i="9"/>
  <c r="R631" i="9"/>
  <c r="AD631" i="9" s="1"/>
  <c r="N1452" i="9"/>
  <c r="Z1452" i="9" s="1"/>
  <c r="J1406" i="9"/>
  <c r="V1406" i="9" s="1"/>
  <c r="Q1406" i="9"/>
  <c r="AC1406" i="9" s="1"/>
  <c r="P430" i="9"/>
  <c r="N974" i="9"/>
  <c r="Z974" i="9" s="1"/>
  <c r="J533" i="9"/>
  <c r="V533" i="9" s="1"/>
  <c r="H1550" i="9"/>
  <c r="T1550" i="9" s="1"/>
  <c r="P1516" i="9"/>
  <c r="AB1516" i="9" s="1"/>
  <c r="P1565" i="9"/>
  <c r="AB1565" i="9" s="1"/>
  <c r="N867" i="9"/>
  <c r="Z867" i="9" s="1"/>
  <c r="J824" i="9"/>
  <c r="K1516" i="9"/>
  <c r="W1516" i="9" s="1"/>
  <c r="Q1262" i="9"/>
  <c r="AC1262" i="9" s="1"/>
  <c r="H1271" i="9"/>
  <c r="T1271" i="9" s="1"/>
  <c r="H830" i="9"/>
  <c r="T830" i="9" s="1"/>
  <c r="G1161" i="9"/>
  <c r="S1161" i="9" s="1"/>
  <c r="AG1160" i="9"/>
  <c r="N720" i="9"/>
  <c r="Z720" i="9" s="1"/>
  <c r="G934" i="9"/>
  <c r="AG933" i="9"/>
  <c r="N1550" i="9"/>
  <c r="Z1550" i="9" s="1"/>
  <c r="Q1461" i="9"/>
  <c r="G1268" i="9"/>
  <c r="S1268" i="9" s="1"/>
  <c r="AG1267" i="9"/>
  <c r="AG1417" i="9"/>
  <c r="G1418" i="9"/>
  <c r="S1418" i="9" s="1"/>
  <c r="M424" i="9"/>
  <c r="Y424" i="9" s="1"/>
  <c r="AG1574" i="9"/>
  <c r="H818" i="9"/>
  <c r="T818" i="9" s="1"/>
  <c r="J1210" i="9"/>
  <c r="V1210" i="9" s="1"/>
  <c r="M1112" i="9"/>
  <c r="Y1112" i="9" s="1"/>
  <c r="G374" i="9"/>
  <c r="S374" i="9" s="1"/>
  <c r="AG373" i="9"/>
  <c r="R962" i="9"/>
  <c r="AD962" i="9" s="1"/>
  <c r="N1228" i="9"/>
  <c r="H1326" i="9"/>
  <c r="K729" i="9"/>
  <c r="W729" i="9" s="1"/>
  <c r="N321" i="9"/>
  <c r="Z321" i="9" s="1"/>
  <c r="H474" i="9"/>
  <c r="T474" i="9" s="1"/>
  <c r="AG1345" i="9"/>
  <c r="AG1344" i="9" s="1"/>
  <c r="R436" i="9"/>
  <c r="AD436" i="9" s="1"/>
  <c r="L913" i="9"/>
  <c r="X913" i="9" s="1"/>
  <c r="AG562" i="9"/>
  <c r="J913" i="9"/>
  <c r="V913" i="9" s="1"/>
  <c r="R1458" i="9"/>
  <c r="AD1458" i="9" s="1"/>
  <c r="R321" i="9"/>
  <c r="AD321" i="9" s="1"/>
  <c r="M330" i="9"/>
  <c r="P628" i="9"/>
  <c r="N477" i="9"/>
  <c r="Z477" i="9" s="1"/>
  <c r="G1452" i="9"/>
  <c r="S1452" i="9" s="1"/>
  <c r="AG1451" i="9"/>
  <c r="Q585" i="9"/>
  <c r="AC585" i="9" s="1"/>
  <c r="H1228" i="9"/>
  <c r="M536" i="9"/>
  <c r="Y536" i="9" s="1"/>
  <c r="J442" i="9"/>
  <c r="I1222" i="9"/>
  <c r="U1222" i="9" s="1"/>
  <c r="P1026" i="9"/>
  <c r="AB1026" i="9" s="1"/>
  <c r="AG924" i="9"/>
  <c r="R925" i="9"/>
  <c r="AD925" i="9" s="1"/>
  <c r="J330" i="9"/>
  <c r="Q876" i="9"/>
  <c r="AC876" i="9" s="1"/>
  <c r="L524" i="9"/>
  <c r="X524" i="9" s="1"/>
  <c r="H625" i="9"/>
  <c r="T625" i="9" s="1"/>
  <c r="K1271" i="9"/>
  <c r="W1271" i="9" s="1"/>
  <c r="N1320" i="9"/>
  <c r="Z1320" i="9" s="1"/>
  <c r="AG1399" i="9"/>
  <c r="O1032" i="9"/>
  <c r="AG463" i="9"/>
  <c r="L1409" i="9"/>
  <c r="X1409" i="9" s="1"/>
  <c r="G928" i="9"/>
  <c r="S928" i="9" s="1"/>
  <c r="AG927" i="9"/>
  <c r="AG1035" i="9"/>
  <c r="N1112" i="9"/>
  <c r="Z1112" i="9" s="1"/>
  <c r="O769" i="9"/>
  <c r="AA769" i="9" s="1"/>
  <c r="AG809" i="9"/>
  <c r="G1522" i="9"/>
  <c r="AG1521" i="9"/>
  <c r="H1452" i="9"/>
  <c r="T1452" i="9" s="1"/>
  <c r="K723" i="9"/>
  <c r="W723" i="9" s="1"/>
  <c r="G1314" i="9"/>
  <c r="AG1313" i="9"/>
  <c r="R1262" i="9"/>
  <c r="AD1262" i="9" s="1"/>
  <c r="P1464" i="9"/>
  <c r="AB1464" i="9" s="1"/>
  <c r="M1167" i="9"/>
  <c r="AG636" i="9"/>
  <c r="Q1559" i="9"/>
  <c r="R1216" i="9"/>
  <c r="P1314" i="9"/>
  <c r="I424" i="9"/>
  <c r="U424" i="9" s="1"/>
  <c r="Q1026" i="9"/>
  <c r="AC1026" i="9" s="1"/>
  <c r="N1565" i="9"/>
  <c r="Z1565" i="9" s="1"/>
  <c r="J1326" i="9"/>
  <c r="AG757" i="9"/>
  <c r="AG1013" i="9"/>
  <c r="R1014" i="9"/>
  <c r="AD1014" i="9" s="1"/>
  <c r="M392" i="9"/>
  <c r="AG1209" i="9"/>
  <c r="N729" i="9"/>
  <c r="Z729" i="9" s="1"/>
  <c r="L1461" i="9"/>
  <c r="M521" i="9"/>
  <c r="Y521" i="9" s="1"/>
  <c r="M486" i="9"/>
  <c r="Y486" i="9" s="1"/>
  <c r="R542" i="9"/>
  <c r="L1553" i="9"/>
  <c r="X1553" i="9" s="1"/>
  <c r="Q371" i="9"/>
  <c r="AC371" i="9" s="1"/>
  <c r="L689" i="9"/>
  <c r="AG1224" i="9"/>
  <c r="M1369" i="9"/>
  <c r="Y1369" i="9" s="1"/>
  <c r="K1406" i="9"/>
  <c r="W1406" i="9" s="1"/>
  <c r="AG1512" i="9"/>
  <c r="G1513" i="9"/>
  <c r="S1513" i="9" s="1"/>
  <c r="G330" i="9"/>
  <c r="AG317" i="9"/>
  <c r="N1118" i="9"/>
  <c r="J1424" i="9"/>
  <c r="O787" i="9"/>
  <c r="AG1541" i="9"/>
  <c r="M827" i="9"/>
  <c r="Y827" i="9" s="1"/>
  <c r="O1011" i="9"/>
  <c r="AA1011" i="9" s="1"/>
  <c r="N570" i="9"/>
  <c r="Z570" i="9" s="1"/>
  <c r="O377" i="9"/>
  <c r="AA377" i="9" s="1"/>
  <c r="G836" i="9"/>
  <c r="AG835" i="9"/>
  <c r="O1375" i="9"/>
  <c r="O1363" i="9"/>
  <c r="G480" i="9"/>
  <c r="AG467" i="9"/>
  <c r="AG1084" i="9"/>
  <c r="AG667" i="9"/>
  <c r="R668" i="9"/>
  <c r="AD668" i="9" s="1"/>
  <c r="G919" i="9"/>
  <c r="S919" i="9" s="1"/>
  <c r="AG918" i="9"/>
  <c r="G925" i="9"/>
  <c r="S925" i="9" s="1"/>
  <c r="AG526" i="9"/>
  <c r="AG527" i="9" s="1"/>
  <c r="G527" i="9"/>
  <c r="S527" i="9" s="1"/>
  <c r="G738" i="9"/>
  <c r="AG737" i="9"/>
  <c r="I628" i="9"/>
  <c r="H1305" i="9"/>
  <c r="T1305" i="9" s="1"/>
  <c r="H1164" i="9"/>
  <c r="T1164" i="9" s="1"/>
  <c r="G1571" i="9"/>
  <c r="AG1570" i="9"/>
  <c r="AG566" i="9"/>
  <c r="G1550" i="9"/>
  <c r="S1550" i="9" s="1"/>
  <c r="AG1549" i="9"/>
  <c r="O726" i="9"/>
  <c r="K477" i="9"/>
  <c r="W477" i="9" s="1"/>
  <c r="R1415" i="9"/>
  <c r="AD1415" i="9" s="1"/>
  <c r="Q582" i="9"/>
  <c r="AC582" i="9" s="1"/>
  <c r="AG1397" i="9"/>
  <c r="AG1068" i="9"/>
  <c r="G879" i="9"/>
  <c r="S879" i="9" s="1"/>
  <c r="AG878" i="9"/>
  <c r="AG541" i="9"/>
  <c r="AG542" i="9" s="1"/>
  <c r="G542" i="9"/>
  <c r="L1075" i="9"/>
  <c r="X1075" i="9" s="1"/>
  <c r="M1173" i="9"/>
  <c r="Y1173" i="9" s="1"/>
  <c r="N1366" i="9"/>
  <c r="Z1366" i="9" s="1"/>
  <c r="O1369" i="9"/>
  <c r="AA1369" i="9" s="1"/>
  <c r="I392" i="9"/>
  <c r="R1565" i="9"/>
  <c r="AD1565" i="9" s="1"/>
  <c r="H1412" i="9"/>
  <c r="H1571" i="9"/>
  <c r="M336" i="9"/>
  <c r="Y336" i="9" s="1"/>
  <c r="O631" i="9"/>
  <c r="AA631" i="9" s="1"/>
  <c r="P1130" i="9"/>
  <c r="N1216" i="9"/>
  <c r="M421" i="9"/>
  <c r="Y421" i="9" s="1"/>
  <c r="AG790" i="9"/>
  <c r="AG791" i="9" s="1"/>
  <c r="R1403" i="9"/>
  <c r="AD1403" i="9" s="1"/>
  <c r="I913" i="9"/>
  <c r="U913" i="9" s="1"/>
  <c r="K380" i="9"/>
  <c r="H732" i="9"/>
  <c r="T732" i="9" s="1"/>
  <c r="O922" i="9"/>
  <c r="L1026" i="9"/>
  <c r="X1026" i="9" s="1"/>
  <c r="I1026" i="9"/>
  <c r="U1026" i="9" s="1"/>
  <c r="J1265" i="9"/>
  <c r="O824" i="9"/>
  <c r="O1360" i="9"/>
  <c r="AA1360" i="9" s="1"/>
  <c r="K486" i="9"/>
  <c r="W486" i="9" s="1"/>
  <c r="M321" i="9"/>
  <c r="Y321" i="9" s="1"/>
  <c r="K1473" i="9"/>
  <c r="L1124" i="9"/>
  <c r="X1124" i="9" s="1"/>
  <c r="P527" i="9"/>
  <c r="AB527" i="9" s="1"/>
  <c r="Q1412" i="9"/>
  <c r="R1412" i="9"/>
  <c r="G870" i="9"/>
  <c r="S870" i="9" s="1"/>
  <c r="AG869" i="9"/>
  <c r="J421" i="9"/>
  <c r="V421" i="9" s="1"/>
  <c r="N1571" i="9"/>
  <c r="K640" i="9"/>
  <c r="H421" i="9"/>
  <c r="T421" i="9" s="1"/>
  <c r="H386" i="9"/>
  <c r="T386" i="9" s="1"/>
  <c r="G1066" i="9"/>
  <c r="S1066" i="9" s="1"/>
  <c r="AG1065" i="9"/>
  <c r="R983" i="9"/>
  <c r="H483" i="9"/>
  <c r="T483" i="9" s="1"/>
  <c r="Q1277" i="9"/>
  <c r="AG345" i="9"/>
  <c r="AG346" i="9" s="1"/>
  <c r="K1081" i="9"/>
  <c r="G787" i="9"/>
  <c r="AG786" i="9"/>
  <c r="N1121" i="9"/>
  <c r="Z1121" i="9" s="1"/>
  <c r="I974" i="9"/>
  <c r="U974" i="9" s="1"/>
  <c r="K1363" i="9"/>
  <c r="J726" i="9"/>
  <c r="O919" i="9"/>
  <c r="AA919" i="9" s="1"/>
  <c r="I873" i="9"/>
  <c r="N766" i="9"/>
  <c r="Z766" i="9" s="1"/>
  <c r="L1014" i="9"/>
  <c r="X1014" i="9" s="1"/>
  <c r="J1513" i="9"/>
  <c r="V1513" i="9" s="1"/>
  <c r="O934" i="9"/>
  <c r="AG312" i="9"/>
  <c r="R1556" i="9"/>
  <c r="AD1556" i="9" s="1"/>
  <c r="AG538" i="9"/>
  <c r="G477" i="9"/>
  <c r="S477" i="9" s="1"/>
  <c r="AG476" i="9"/>
  <c r="P821" i="9"/>
  <c r="AB821" i="9" s="1"/>
  <c r="O913" i="9"/>
  <c r="AA913" i="9" s="1"/>
  <c r="L683" i="9"/>
  <c r="X683" i="9" s="1"/>
  <c r="G1109" i="9"/>
  <c r="S1109" i="9" s="1"/>
  <c r="AG1108" i="9"/>
  <c r="AG561" i="9"/>
  <c r="K1066" i="9"/>
  <c r="W1066" i="9" s="1"/>
  <c r="I421" i="9"/>
  <c r="U421" i="9" s="1"/>
  <c r="J1118" i="9"/>
  <c r="AG1444" i="9"/>
  <c r="L336" i="9"/>
  <c r="X336" i="9" s="1"/>
  <c r="J1121" i="9"/>
  <c r="V1121" i="9" s="1"/>
  <c r="AG515" i="9"/>
  <c r="M628" i="9"/>
  <c r="K442" i="9"/>
  <c r="K1415" i="9"/>
  <c r="W1415" i="9" s="1"/>
  <c r="Q1314" i="9"/>
  <c r="AG688" i="9"/>
  <c r="R689" i="9"/>
  <c r="H827" i="9"/>
  <c r="T827" i="9" s="1"/>
  <c r="M1360" i="9"/>
  <c r="Y1360" i="9" s="1"/>
  <c r="I1559" i="9"/>
  <c r="M634" i="9"/>
  <c r="Y634" i="9" s="1"/>
  <c r="K1112" i="9"/>
  <c r="W1112" i="9" s="1"/>
  <c r="O427" i="9"/>
  <c r="AA427" i="9" s="1"/>
  <c r="N1210" i="9"/>
  <c r="Z1210" i="9" s="1"/>
  <c r="R1461" i="9"/>
  <c r="J1418" i="9"/>
  <c r="V1418" i="9" s="1"/>
  <c r="Q1219" i="9"/>
  <c r="AC1219" i="9" s="1"/>
  <c r="L628" i="9"/>
  <c r="J720" i="9"/>
  <c r="V720" i="9" s="1"/>
  <c r="G536" i="9"/>
  <c r="S536" i="9" s="1"/>
  <c r="AG535" i="9"/>
  <c r="AG536" i="9" s="1"/>
  <c r="R471" i="9"/>
  <c r="AD471" i="9" s="1"/>
  <c r="AG872" i="9"/>
  <c r="L1121" i="9"/>
  <c r="X1121" i="9" s="1"/>
  <c r="M683" i="9"/>
  <c r="Y683" i="9" s="1"/>
  <c r="R1210" i="9"/>
  <c r="AD1210" i="9" s="1"/>
  <c r="J934" i="9"/>
  <c r="AG734" i="9"/>
  <c r="N668" i="9"/>
  <c r="Z668" i="9" s="1"/>
  <c r="I533" i="9"/>
  <c r="U533" i="9" s="1"/>
  <c r="Q1060" i="9"/>
  <c r="AC1060" i="9" s="1"/>
  <c r="Q1173" i="9"/>
  <c r="AC1173" i="9" s="1"/>
  <c r="M680" i="9"/>
  <c r="Y680" i="9" s="1"/>
  <c r="I1464" i="9"/>
  <c r="U1464" i="9" s="1"/>
  <c r="Q919" i="9"/>
  <c r="AC919" i="9" s="1"/>
  <c r="K818" i="9"/>
  <c r="W818" i="9" s="1"/>
  <c r="Q530" i="9"/>
  <c r="M1262" i="9"/>
  <c r="Y1262" i="9" s="1"/>
  <c r="O1219" i="9"/>
  <c r="AA1219" i="9" s="1"/>
  <c r="G1213" i="9"/>
  <c r="S1213" i="9" s="1"/>
  <c r="AG1212" i="9"/>
  <c r="AG1493" i="9"/>
  <c r="H1158" i="9"/>
  <c r="T1158" i="9" s="1"/>
  <c r="Q1216" i="9"/>
  <c r="N483" i="9"/>
  <c r="Z483" i="9" s="1"/>
  <c r="R1418" i="9"/>
  <c r="AD1418" i="9" s="1"/>
  <c r="N524" i="9"/>
  <c r="Z524" i="9" s="1"/>
  <c r="AG1175" i="9"/>
  <c r="N542" i="9"/>
  <c r="P983" i="9"/>
  <c r="AG1329" i="9"/>
  <c r="I1109" i="9"/>
  <c r="U1109" i="9" s="1"/>
  <c r="AG594" i="9"/>
  <c r="G492" i="9"/>
  <c r="AG491" i="9"/>
  <c r="AG711" i="9"/>
  <c r="N968" i="9"/>
  <c r="Z968" i="9" s="1"/>
  <c r="Q1011" i="9"/>
  <c r="AC1011" i="9" s="1"/>
  <c r="M622" i="9"/>
  <c r="Y622" i="9" s="1"/>
  <c r="I377" i="9"/>
  <c r="U377" i="9" s="1"/>
  <c r="O371" i="9"/>
  <c r="AA371" i="9" s="1"/>
  <c r="R1063" i="9"/>
  <c r="AD1063" i="9" s="1"/>
  <c r="H1507" i="9"/>
  <c r="T1507" i="9" s="1"/>
  <c r="AG888" i="9"/>
  <c r="I1424" i="9"/>
  <c r="K582" i="9"/>
  <c r="W582" i="9" s="1"/>
  <c r="K1124" i="9"/>
  <c r="W1124" i="9" s="1"/>
  <c r="N680" i="9"/>
  <c r="Z680" i="9" s="1"/>
  <c r="I824" i="9"/>
  <c r="G965" i="9"/>
  <c r="S965" i="9" s="1"/>
  <c r="AG964" i="9"/>
  <c r="P1415" i="9"/>
  <c r="AB1415" i="9" s="1"/>
  <c r="AG765" i="9"/>
  <c r="R766" i="9"/>
  <c r="AD766" i="9" s="1"/>
  <c r="M864" i="9"/>
  <c r="Y864" i="9" s="1"/>
  <c r="O486" i="9"/>
  <c r="AA486" i="9" s="1"/>
  <c r="J1020" i="9"/>
  <c r="P723" i="9"/>
  <c r="AB723" i="9" s="1"/>
  <c r="P677" i="9"/>
  <c r="I1014" i="9"/>
  <c r="U1014" i="9" s="1"/>
  <c r="M1565" i="9"/>
  <c r="Y1565" i="9" s="1"/>
  <c r="AG1120" i="9"/>
  <c r="G1121" i="9"/>
  <c r="S1121" i="9" s="1"/>
  <c r="P1452" i="9"/>
  <c r="AB1452" i="9" s="1"/>
  <c r="O723" i="9"/>
  <c r="AA723" i="9" s="1"/>
  <c r="L1473" i="9"/>
  <c r="G1406" i="9"/>
  <c r="S1406" i="9" s="1"/>
  <c r="AG1405" i="9"/>
  <c r="G772" i="9"/>
  <c r="S772" i="9" s="1"/>
  <c r="AG771" i="9"/>
  <c r="L1130" i="9"/>
  <c r="P1458" i="9"/>
  <c r="AB1458" i="9" s="1"/>
  <c r="L576" i="9"/>
  <c r="X576" i="9" s="1"/>
  <c r="O775" i="9"/>
  <c r="O336" i="9"/>
  <c r="AA336" i="9" s="1"/>
  <c r="L1060" i="9"/>
  <c r="X1060" i="9" s="1"/>
  <c r="O674" i="9"/>
  <c r="AA674" i="9" s="1"/>
  <c r="I433" i="9"/>
  <c r="U433" i="9" s="1"/>
  <c r="P1179" i="9"/>
  <c r="O1066" i="9"/>
  <c r="AA1066" i="9" s="1"/>
  <c r="K1366" i="9"/>
  <c r="W1366" i="9" s="1"/>
  <c r="N1262" i="9"/>
  <c r="Z1262" i="9" s="1"/>
  <c r="AG930" i="9"/>
  <c r="J1164" i="9"/>
  <c r="V1164" i="9" s="1"/>
  <c r="H1130" i="9"/>
  <c r="G591" i="9"/>
  <c r="AG590" i="9"/>
  <c r="M723" i="9"/>
  <c r="Y723" i="9" s="1"/>
  <c r="K483" i="9"/>
  <c r="W483" i="9" s="1"/>
  <c r="Q1354" i="9"/>
  <c r="AC1354" i="9" s="1"/>
  <c r="AG1395" i="9"/>
  <c r="I524" i="9"/>
  <c r="U524" i="9" s="1"/>
  <c r="AG1420" i="9"/>
  <c r="L1559" i="9"/>
  <c r="L591" i="9"/>
  <c r="K424" i="9"/>
  <c r="W424" i="9" s="1"/>
  <c r="L977" i="9"/>
  <c r="X977" i="9" s="1"/>
  <c r="Q1326" i="9"/>
  <c r="J628" i="9"/>
  <c r="AG465" i="9"/>
  <c r="N573" i="9"/>
  <c r="Z573" i="9" s="1"/>
  <c r="O720" i="9"/>
  <c r="AA720" i="9" s="1"/>
  <c r="N1158" i="9"/>
  <c r="Z1158" i="9" s="1"/>
  <c r="G324" i="9"/>
  <c r="S324" i="9" s="1"/>
  <c r="AG323" i="9"/>
  <c r="J1271" i="9"/>
  <c r="V1271" i="9" s="1"/>
  <c r="J342" i="9"/>
  <c r="P671" i="9"/>
  <c r="AB671" i="9" s="1"/>
  <c r="R330" i="9"/>
  <c r="N1455" i="9"/>
  <c r="Z1455" i="9" s="1"/>
  <c r="I1265" i="9"/>
  <c r="P738" i="9"/>
  <c r="I1418" i="9"/>
  <c r="U1418" i="9" s="1"/>
  <c r="K427" i="9"/>
  <c r="W427" i="9" s="1"/>
  <c r="H876" i="9"/>
  <c r="T876" i="9" s="1"/>
  <c r="N1265" i="9"/>
  <c r="J1173" i="9"/>
  <c r="V1173" i="9" s="1"/>
  <c r="AG1201" i="9"/>
  <c r="O1559" i="9"/>
  <c r="I1467" i="9"/>
  <c r="U1467" i="9" s="1"/>
  <c r="H1467" i="9"/>
  <c r="T1467" i="9" s="1"/>
  <c r="AG488" i="9"/>
  <c r="J530" i="9"/>
  <c r="P974" i="9"/>
  <c r="AB974" i="9" s="1"/>
  <c r="AG564" i="9"/>
  <c r="G383" i="9"/>
  <c r="S383" i="9" s="1"/>
  <c r="I680" i="9"/>
  <c r="U680" i="9" s="1"/>
  <c r="M1115" i="9"/>
  <c r="Y1115" i="9" s="1"/>
  <c r="K815" i="9"/>
  <c r="W815" i="9" s="1"/>
  <c r="J474" i="9"/>
  <c r="V474" i="9" s="1"/>
  <c r="M1452" i="9"/>
  <c r="Y1452" i="9" s="1"/>
  <c r="K1115" i="9"/>
  <c r="W1115" i="9" s="1"/>
  <c r="I1023" i="9"/>
  <c r="U1023" i="9" s="1"/>
  <c r="N380" i="9"/>
  <c r="R1513" i="9"/>
  <c r="AD1513" i="9" s="1"/>
  <c r="H778" i="9"/>
  <c r="T778" i="9" s="1"/>
  <c r="P769" i="9"/>
  <c r="AB769" i="9" s="1"/>
  <c r="H1075" i="9"/>
  <c r="T1075" i="9" s="1"/>
  <c r="Q1556" i="9"/>
  <c r="AC1556" i="9" s="1"/>
  <c r="Q1121" i="9"/>
  <c r="AC1121" i="9" s="1"/>
  <c r="K971" i="9"/>
  <c r="J1375" i="9"/>
  <c r="M1550" i="9"/>
  <c r="Y1550" i="9" s="1"/>
  <c r="J1115" i="9"/>
  <c r="V1115" i="9" s="1"/>
  <c r="AG412" i="9"/>
  <c r="I634" i="9"/>
  <c r="U634" i="9" s="1"/>
  <c r="P1369" i="9"/>
  <c r="AB1369" i="9" s="1"/>
  <c r="L1228" i="9"/>
  <c r="I1562" i="9"/>
  <c r="U1562" i="9" s="1"/>
  <c r="J1403" i="9"/>
  <c r="V1403" i="9" s="1"/>
  <c r="L680" i="9"/>
  <c r="X680" i="9" s="1"/>
  <c r="AG728" i="9"/>
  <c r="R729" i="9"/>
  <c r="AD729" i="9" s="1"/>
  <c r="AG611" i="9"/>
  <c r="M1109" i="9"/>
  <c r="Y1109" i="9" s="1"/>
  <c r="AG856" i="9"/>
  <c r="AG854" i="9" s="1"/>
  <c r="AG954" i="9"/>
  <c r="G386" i="9"/>
  <c r="S386" i="9" s="1"/>
  <c r="AG385" i="9"/>
  <c r="Q1259" i="9"/>
  <c r="AC1259" i="9" s="1"/>
  <c r="R778" i="9"/>
  <c r="AD778" i="9" s="1"/>
  <c r="H824" i="9"/>
  <c r="P778" i="9"/>
  <c r="AB778" i="9" s="1"/>
  <c r="L925" i="9"/>
  <c r="X925" i="9" s="1"/>
  <c r="G815" i="9"/>
  <c r="S815" i="9" s="1"/>
  <c r="G1060" i="9"/>
  <c r="S1060" i="9" s="1"/>
  <c r="AG1059" i="9"/>
  <c r="L726" i="9"/>
  <c r="H579" i="9"/>
  <c r="Q374" i="9"/>
  <c r="AC374" i="9" s="1"/>
  <c r="P1326" i="9"/>
  <c r="AG937" i="9"/>
  <c r="N870" i="9"/>
  <c r="Z870" i="9" s="1"/>
  <c r="M879" i="9"/>
  <c r="Y879" i="9" s="1"/>
  <c r="AG1028" i="9"/>
  <c r="M1455" i="9"/>
  <c r="Y1455" i="9" s="1"/>
  <c r="AG1198" i="9"/>
  <c r="K919" i="9"/>
  <c r="W919" i="9" s="1"/>
  <c r="I1458" i="9"/>
  <c r="U1458" i="9" s="1"/>
  <c r="Q1455" i="9"/>
  <c r="AC1455" i="9" s="1"/>
  <c r="I879" i="9"/>
  <c r="U879" i="9" s="1"/>
  <c r="Q671" i="9"/>
  <c r="AC671" i="9" s="1"/>
  <c r="K738" i="9"/>
  <c r="M818" i="9"/>
  <c r="Y818" i="9" s="1"/>
  <c r="AG1446" i="9"/>
  <c r="P1109" i="9"/>
  <c r="AB1109" i="9" s="1"/>
  <c r="G1072" i="9"/>
  <c r="S1072" i="9" s="1"/>
  <c r="J477" i="9"/>
  <c r="V477" i="9" s="1"/>
  <c r="G1118" i="9"/>
  <c r="AG1105" i="9"/>
  <c r="N717" i="9"/>
  <c r="Z717" i="9" s="1"/>
  <c r="G864" i="9"/>
  <c r="S864" i="9" s="1"/>
  <c r="AG863" i="9"/>
  <c r="P1170" i="9"/>
  <c r="AB1170" i="9" s="1"/>
  <c r="AG482" i="9"/>
  <c r="R483" i="9"/>
  <c r="AD483" i="9" s="1"/>
  <c r="N471" i="9"/>
  <c r="Z471" i="9" s="1"/>
  <c r="K885" i="9"/>
  <c r="R1553" i="9"/>
  <c r="AD1553" i="9" s="1"/>
  <c r="R477" i="9"/>
  <c r="AD477" i="9" s="1"/>
  <c r="I1216" i="9"/>
  <c r="M1311" i="9"/>
  <c r="Y1311" i="9" s="1"/>
  <c r="Q1409" i="9"/>
  <c r="AC1409" i="9" s="1"/>
  <c r="G824" i="9"/>
  <c r="AG811" i="9"/>
  <c r="AG512" i="9"/>
  <c r="I1219" i="9"/>
  <c r="U1219" i="9" s="1"/>
  <c r="H471" i="9"/>
  <c r="T471" i="9" s="1"/>
  <c r="L427" i="9"/>
  <c r="X427" i="9" s="1"/>
  <c r="G1424" i="9"/>
  <c r="AG1423" i="9"/>
  <c r="AG1424" i="9" s="1"/>
  <c r="N732" i="9"/>
  <c r="Z732" i="9" s="1"/>
  <c r="R885" i="9"/>
  <c r="L634" i="9"/>
  <c r="X634" i="9" s="1"/>
  <c r="AG1077" i="9"/>
  <c r="M1467" i="9"/>
  <c r="Y1467" i="9" s="1"/>
  <c r="H867" i="9"/>
  <c r="T867" i="9" s="1"/>
  <c r="N474" i="9"/>
  <c r="Z474" i="9" s="1"/>
  <c r="O680" i="9"/>
  <c r="AA680" i="9" s="1"/>
  <c r="K1075" i="9"/>
  <c r="W1075" i="9" s="1"/>
  <c r="O625" i="9"/>
  <c r="AA625" i="9" s="1"/>
  <c r="M1363" i="9"/>
  <c r="G433" i="9"/>
  <c r="S433" i="9" s="1"/>
  <c r="N1017" i="9"/>
  <c r="Z1017" i="9" s="1"/>
  <c r="AG1457" i="9"/>
  <c r="G1458" i="9"/>
  <c r="S1458" i="9" s="1"/>
  <c r="I671" i="9"/>
  <c r="U671" i="9" s="1"/>
  <c r="R1452" i="9"/>
  <c r="AD1452" i="9" s="1"/>
  <c r="L424" i="9"/>
  <c r="X424" i="9" s="1"/>
  <c r="R775" i="9"/>
  <c r="I436" i="9"/>
  <c r="U436" i="9" s="1"/>
  <c r="K628" i="9"/>
  <c r="O1366" i="9"/>
  <c r="AA1366" i="9" s="1"/>
  <c r="O671" i="9"/>
  <c r="AA671" i="9" s="1"/>
  <c r="M671" i="9"/>
  <c r="Y671" i="9" s="1"/>
  <c r="M591" i="9"/>
  <c r="N585" i="9"/>
  <c r="Z585" i="9" s="1"/>
  <c r="L1412" i="9"/>
  <c r="O1317" i="9"/>
  <c r="AA1317" i="9" s="1"/>
  <c r="Q1020" i="9"/>
  <c r="G585" i="9"/>
  <c r="S585" i="9" s="1"/>
  <c r="AG584" i="9"/>
  <c r="N324" i="9"/>
  <c r="Z324" i="9" s="1"/>
  <c r="G1173" i="9"/>
  <c r="S1173" i="9" s="1"/>
  <c r="AG1172" i="9"/>
  <c r="R1464" i="9"/>
  <c r="AD1464" i="9" s="1"/>
  <c r="O442" i="9"/>
  <c r="AG329" i="9"/>
  <c r="R965" i="9"/>
  <c r="AD965" i="9" s="1"/>
  <c r="AG1258" i="9"/>
  <c r="G1259" i="9"/>
  <c r="S1259" i="9" s="1"/>
  <c r="P1357" i="9"/>
  <c r="AB1357" i="9" s="1"/>
  <c r="N1458" i="9"/>
  <c r="Z1458" i="9" s="1"/>
  <c r="Q640" i="9"/>
  <c r="Q1268" i="9"/>
  <c r="AC1268" i="9" s="1"/>
  <c r="I1121" i="9"/>
  <c r="U1121" i="9" s="1"/>
  <c r="G1011" i="9"/>
  <c r="S1011" i="9" s="1"/>
  <c r="R1277" i="9"/>
  <c r="R968" i="9"/>
  <c r="AD968" i="9" s="1"/>
  <c r="AG1117" i="9"/>
  <c r="K1032" i="9"/>
  <c r="L717" i="9"/>
  <c r="X717" i="9" s="1"/>
  <c r="H720" i="9"/>
  <c r="T720" i="9" s="1"/>
  <c r="N977" i="9"/>
  <c r="Z977" i="9" s="1"/>
  <c r="G1063" i="9"/>
  <c r="S1063" i="9" s="1"/>
  <c r="AG1062" i="9"/>
  <c r="AG1063" i="9" s="1"/>
  <c r="O330" i="9"/>
  <c r="AG627" i="9"/>
  <c r="R628" i="9"/>
  <c r="Q327" i="9"/>
  <c r="AC327" i="9" s="1"/>
  <c r="L870" i="9"/>
  <c r="X870" i="9" s="1"/>
  <c r="K579" i="9"/>
  <c r="M1017" i="9"/>
  <c r="Y1017" i="9" s="1"/>
  <c r="L1424" i="9"/>
  <c r="J1222" i="9"/>
  <c r="V1222" i="9" s="1"/>
  <c r="J928" i="9"/>
  <c r="V928" i="9" s="1"/>
  <c r="O591" i="9"/>
  <c r="N1510" i="9"/>
  <c r="O1262" i="9"/>
  <c r="AA1262" i="9" s="1"/>
  <c r="H1173" i="9"/>
  <c r="T1173" i="9" s="1"/>
  <c r="AG621" i="9"/>
  <c r="G622" i="9"/>
  <c r="S622" i="9" s="1"/>
  <c r="Q1032" i="9"/>
  <c r="P913" i="9"/>
  <c r="AB913" i="9" s="1"/>
  <c r="K371" i="9"/>
  <c r="W371" i="9" s="1"/>
  <c r="M324" i="9"/>
  <c r="Y324" i="9" s="1"/>
  <c r="O965" i="9"/>
  <c r="AA965" i="9" s="1"/>
  <c r="J1063" i="9"/>
  <c r="V1063" i="9" s="1"/>
  <c r="N1023" i="9"/>
  <c r="Z1023" i="9" s="1"/>
  <c r="M530" i="9"/>
  <c r="O815" i="9"/>
  <c r="AA815" i="9" s="1"/>
  <c r="N1020" i="9"/>
  <c r="P772" i="9"/>
  <c r="AB772" i="9" s="1"/>
  <c r="H1259" i="9"/>
  <c r="T1259" i="9" s="1"/>
  <c r="Q668" i="9"/>
  <c r="AC668" i="9" s="1"/>
  <c r="H1014" i="9"/>
  <c r="T1014" i="9" s="1"/>
  <c r="H916" i="9"/>
  <c r="T916" i="9" s="1"/>
  <c r="N1354" i="9"/>
  <c r="Z1354" i="9" s="1"/>
  <c r="Q1213" i="9"/>
  <c r="AC1213" i="9" s="1"/>
  <c r="G1357" i="9"/>
  <c r="S1357" i="9" s="1"/>
  <c r="AG1356" i="9"/>
  <c r="H974" i="9"/>
  <c r="T974" i="9" s="1"/>
  <c r="J971" i="9"/>
  <c r="M1406" i="9"/>
  <c r="Y1406" i="9" s="1"/>
  <c r="Q864" i="9"/>
  <c r="AC864" i="9" s="1"/>
  <c r="G885" i="9"/>
  <c r="AG884" i="9"/>
  <c r="O1158" i="9"/>
  <c r="AA1158" i="9" s="1"/>
  <c r="H576" i="9"/>
  <c r="T576" i="9" s="1"/>
  <c r="I1363" i="9"/>
  <c r="O1020" i="9"/>
  <c r="P625" i="9"/>
  <c r="AB625" i="9" s="1"/>
  <c r="J1277" i="9"/>
  <c r="Q342" i="9"/>
  <c r="R1507" i="9"/>
  <c r="AD1507" i="9" s="1"/>
  <c r="M968" i="9"/>
  <c r="Y968" i="9" s="1"/>
  <c r="N427" i="9"/>
  <c r="Z427" i="9" s="1"/>
  <c r="AG679" i="9"/>
  <c r="R680" i="9"/>
  <c r="AD680" i="9" s="1"/>
  <c r="I1262" i="9"/>
  <c r="U1262" i="9" s="1"/>
  <c r="AG1394" i="9"/>
  <c r="I371" i="9"/>
  <c r="U371" i="9" s="1"/>
  <c r="O1164" i="9"/>
  <c r="AA1164" i="9" s="1"/>
  <c r="N536" i="9"/>
  <c r="Z536" i="9" s="1"/>
  <c r="L631" i="9"/>
  <c r="X631" i="9" s="1"/>
  <c r="O524" i="9"/>
  <c r="AA524" i="9" s="1"/>
  <c r="K968" i="9"/>
  <c r="W968" i="9" s="1"/>
  <c r="Q1516" i="9"/>
  <c r="AC1516" i="9" s="1"/>
  <c r="K916" i="9"/>
  <c r="W916" i="9" s="1"/>
  <c r="Q483" i="9"/>
  <c r="AC483" i="9" s="1"/>
  <c r="M327" i="9"/>
  <c r="Y327" i="9" s="1"/>
  <c r="O585" i="9"/>
  <c r="AA585" i="9" s="1"/>
  <c r="H634" i="9"/>
  <c r="T634" i="9" s="1"/>
  <c r="G474" i="9"/>
  <c r="S474" i="9" s="1"/>
  <c r="AG473" i="9"/>
  <c r="H533" i="9"/>
  <c r="T533" i="9" s="1"/>
  <c r="M919" i="9"/>
  <c r="Y919" i="9" s="1"/>
  <c r="M492" i="9"/>
  <c r="Q392" i="9"/>
  <c r="H321" i="9"/>
  <c r="T321" i="9" s="1"/>
  <c r="M1271" i="9"/>
  <c r="Y1271" i="9" s="1"/>
  <c r="R934" i="9"/>
  <c r="N1467" i="9"/>
  <c r="Z1467" i="9" s="1"/>
  <c r="P1032" i="9"/>
  <c r="M934" i="9"/>
  <c r="AG1002" i="9"/>
  <c r="AG529" i="9"/>
  <c r="AG530" i="9" s="1"/>
  <c r="R530" i="9"/>
  <c r="J380" i="9"/>
  <c r="AG774" i="9"/>
  <c r="N392" i="9"/>
  <c r="P1455" i="9"/>
  <c r="AB1455" i="9" s="1"/>
  <c r="I864" i="9"/>
  <c r="U864" i="9" s="1"/>
  <c r="I870" i="9"/>
  <c r="U870" i="9" s="1"/>
  <c r="AG758" i="9"/>
  <c r="J1130" i="9"/>
  <c r="Q971" i="9"/>
  <c r="G1222" i="9"/>
  <c r="S1222" i="9" s="1"/>
  <c r="AG1221" i="9"/>
  <c r="M1023" i="9"/>
  <c r="Y1023" i="9" s="1"/>
  <c r="N1219" i="9"/>
  <c r="Z1219" i="9" s="1"/>
  <c r="G1158" i="9"/>
  <c r="S1158" i="9" s="1"/>
  <c r="AG1157" i="9"/>
  <c r="AG1158" i="9" s="1"/>
  <c r="O1271" i="9"/>
  <c r="AA1271" i="9" s="1"/>
  <c r="R521" i="9"/>
  <c r="AD521" i="9" s="1"/>
  <c r="P380" i="9"/>
  <c r="J1452" i="9"/>
  <c r="V1452" i="9" s="1"/>
  <c r="G983" i="9"/>
  <c r="AG982" i="9"/>
  <c r="Q442" i="9"/>
  <c r="H1513" i="9"/>
  <c r="T1513" i="9" s="1"/>
  <c r="J579" i="9"/>
  <c r="K542" i="9"/>
  <c r="M1228" i="9"/>
  <c r="M677" i="9"/>
  <c r="G371" i="9"/>
  <c r="S371" i="9" s="1"/>
  <c r="AG370" i="9"/>
  <c r="G962" i="9"/>
  <c r="S962" i="9" s="1"/>
  <c r="AG961" i="9"/>
  <c r="O1259" i="9"/>
  <c r="AA1259" i="9" s="1"/>
  <c r="P1158" i="9"/>
  <c r="AB1158" i="9" s="1"/>
  <c r="G922" i="9"/>
  <c r="AG909" i="9"/>
  <c r="AG1150" i="9"/>
  <c r="AG1148" i="9" s="1"/>
  <c r="L1020" i="9"/>
  <c r="M386" i="9"/>
  <c r="Y386" i="9" s="1"/>
  <c r="M427" i="9"/>
  <c r="Y427" i="9" s="1"/>
  <c r="Q1207" i="9"/>
  <c r="AC1207" i="9" s="1"/>
  <c r="AG1126" i="9"/>
  <c r="H1464" i="9"/>
  <c r="T1464" i="9" s="1"/>
  <c r="J430" i="9"/>
  <c r="Q1418" i="9"/>
  <c r="AC1418" i="9" s="1"/>
  <c r="R971" i="9"/>
  <c r="O732" i="9"/>
  <c r="AA732" i="9" s="1"/>
  <c r="AG921" i="9"/>
  <c r="M333" i="9"/>
  <c r="Y333" i="9" s="1"/>
  <c r="N683" i="9"/>
  <c r="Z683" i="9" s="1"/>
  <c r="AG362" i="9"/>
  <c r="P336" i="9"/>
  <c r="AB336" i="9" s="1"/>
  <c r="G377" i="9"/>
  <c r="S377" i="9" s="1"/>
  <c r="AG376" i="9"/>
  <c r="AG1518" i="9"/>
  <c r="G471" i="9"/>
  <c r="S471" i="9" s="1"/>
  <c r="AG470" i="9"/>
  <c r="AG817" i="9"/>
  <c r="G818" i="9"/>
  <c r="S818" i="9" s="1"/>
  <c r="L720" i="9"/>
  <c r="X720" i="9" s="1"/>
  <c r="AG338" i="9"/>
  <c r="P1424" i="9"/>
  <c r="AG432" i="9"/>
  <c r="R433" i="9"/>
  <c r="AD433" i="9" s="1"/>
  <c r="H622" i="9"/>
  <c r="T622" i="9" s="1"/>
  <c r="P1305" i="9"/>
  <c r="AB1305" i="9" s="1"/>
  <c r="I1461" i="9"/>
  <c r="J436" i="9"/>
  <c r="V436" i="9" s="1"/>
  <c r="I570" i="9"/>
  <c r="U570" i="9" s="1"/>
  <c r="Q380" i="9"/>
  <c r="AG1071" i="9"/>
  <c r="R1072" i="9"/>
  <c r="AD1072" i="9" s="1"/>
  <c r="L383" i="9"/>
  <c r="X383" i="9" s="1"/>
  <c r="P327" i="9"/>
  <c r="AB327" i="9" s="1"/>
  <c r="G971" i="9"/>
  <c r="AG958" i="9"/>
  <c r="K585" i="9"/>
  <c r="W585" i="9" s="1"/>
  <c r="J1504" i="9"/>
  <c r="V1504" i="9" s="1"/>
  <c r="L729" i="9"/>
  <c r="X729" i="9" s="1"/>
  <c r="R421" i="9"/>
  <c r="AD421" i="9" s="1"/>
  <c r="R570" i="9"/>
  <c r="AD570" i="9" s="1"/>
  <c r="AA117" i="1"/>
  <c r="Z117" i="1"/>
  <c r="E9" i="1"/>
  <c r="AG1200" i="9" l="1"/>
  <c r="AG1234" i="9" s="1"/>
  <c r="AG474" i="9"/>
  <c r="AG738" i="9"/>
  <c r="AG1458" i="9"/>
  <c r="AG889" i="9"/>
  <c r="AG766" i="9"/>
  <c r="AG775" i="9"/>
  <c r="AG477" i="9"/>
  <c r="AG787" i="9"/>
  <c r="AG781" i="9"/>
  <c r="AG1347" i="9"/>
  <c r="AG1381" i="9" s="1"/>
  <c r="AG1213" i="9"/>
  <c r="AG1210" i="9"/>
  <c r="U658" i="9"/>
  <c r="T660" i="9"/>
  <c r="U1246" i="9"/>
  <c r="T1248" i="9"/>
  <c r="S496" i="9"/>
  <c r="T466" i="9"/>
  <c r="U1295" i="9"/>
  <c r="T1297" i="9"/>
  <c r="U707" i="9"/>
  <c r="T709" i="9"/>
  <c r="U1540" i="9"/>
  <c r="T1542" i="9"/>
  <c r="S1036" i="9"/>
  <c r="T1006" i="9"/>
  <c r="T1398" i="9"/>
  <c r="S1428" i="9"/>
  <c r="U560" i="9"/>
  <c r="T562" i="9"/>
  <c r="U1050" i="9"/>
  <c r="T1052" i="9"/>
  <c r="T663" i="9"/>
  <c r="S693" i="9"/>
  <c r="T1202" i="9"/>
  <c r="S1232" i="9"/>
  <c r="T1395" i="9"/>
  <c r="U1393" i="9"/>
  <c r="T1496" i="9"/>
  <c r="S1526" i="9"/>
  <c r="S1183" i="9"/>
  <c r="T1153" i="9"/>
  <c r="U1491" i="9"/>
  <c r="T1493" i="9"/>
  <c r="U511" i="9"/>
  <c r="T513" i="9"/>
  <c r="AG1575" i="9"/>
  <c r="T1349" i="9"/>
  <c r="S1379" i="9"/>
  <c r="U756" i="9"/>
  <c r="T758" i="9"/>
  <c r="U1099" i="9"/>
  <c r="T1101" i="9"/>
  <c r="S446" i="9"/>
  <c r="T416" i="9"/>
  <c r="U411" i="9"/>
  <c r="T413" i="9"/>
  <c r="T316" i="9"/>
  <c r="S346" i="9"/>
  <c r="S1330" i="9"/>
  <c r="T1300" i="9"/>
  <c r="U1148" i="9"/>
  <c r="T1150" i="9"/>
  <c r="T1251" i="9"/>
  <c r="S1281" i="9"/>
  <c r="T810" i="9"/>
  <c r="S840" i="9"/>
  <c r="S1134" i="9"/>
  <c r="T1104" i="9"/>
  <c r="AG710" i="9"/>
  <c r="AG744" i="9" s="1"/>
  <c r="T516" i="9"/>
  <c r="S546" i="9"/>
  <c r="S396" i="9"/>
  <c r="T366" i="9"/>
  <c r="U609" i="9"/>
  <c r="T611" i="9"/>
  <c r="U1344" i="9"/>
  <c r="T1346" i="9"/>
  <c r="S1085" i="9"/>
  <c r="T1055" i="9"/>
  <c r="S987" i="9"/>
  <c r="T957" i="9"/>
  <c r="AG864" i="9"/>
  <c r="AG524" i="9"/>
  <c r="U311" i="9"/>
  <c r="T313" i="9"/>
  <c r="U1197" i="9"/>
  <c r="T1199" i="9"/>
  <c r="U1001" i="9"/>
  <c r="T1003" i="9"/>
  <c r="S889" i="9"/>
  <c r="T859" i="9"/>
  <c r="T1447" i="9"/>
  <c r="S1477" i="9"/>
  <c r="U805" i="9"/>
  <c r="T807" i="9"/>
  <c r="T908" i="9"/>
  <c r="S938" i="9"/>
  <c r="T761" i="9"/>
  <c r="S791" i="9"/>
  <c r="U1442" i="9"/>
  <c r="T1444" i="9"/>
  <c r="T712" i="9"/>
  <c r="S742" i="9"/>
  <c r="S1575" i="9"/>
  <c r="T1545" i="9"/>
  <c r="AG1473" i="9"/>
  <c r="U903" i="9"/>
  <c r="T905" i="9"/>
  <c r="U361" i="9"/>
  <c r="T363" i="9"/>
  <c r="U854" i="9"/>
  <c r="T856" i="9"/>
  <c r="T565" i="9"/>
  <c r="S595" i="9"/>
  <c r="U461" i="9"/>
  <c r="T463" i="9"/>
  <c r="AG330" i="9"/>
  <c r="AG1060" i="9"/>
  <c r="S644" i="9"/>
  <c r="T614" i="9"/>
  <c r="U952" i="9"/>
  <c r="T954" i="9"/>
  <c r="AG1081" i="9"/>
  <c r="AG628" i="9"/>
  <c r="AG1556" i="9"/>
  <c r="AG1357" i="9"/>
  <c r="AG1461" i="9"/>
  <c r="AG1161" i="9"/>
  <c r="AG1354" i="9"/>
  <c r="AG471" i="9"/>
  <c r="AG1467" i="9"/>
  <c r="AG1464" i="9"/>
  <c r="AG1571" i="9"/>
  <c r="AG1452" i="9"/>
  <c r="AG1455" i="9"/>
  <c r="AG1170" i="9"/>
  <c r="AG1330" i="9"/>
  <c r="AG1173" i="9"/>
  <c r="AG1164" i="9"/>
  <c r="AG421" i="9"/>
  <c r="AG1445" i="9"/>
  <c r="AG1479" i="9" s="1"/>
  <c r="AG756" i="9"/>
  <c r="AG772" i="9"/>
  <c r="AG483" i="9"/>
  <c r="AG619" i="9"/>
  <c r="AG717" i="9"/>
  <c r="AG430" i="9"/>
  <c r="AG1222" i="9"/>
  <c r="AG622" i="9"/>
  <c r="AG726" i="9"/>
  <c r="AG433" i="9"/>
  <c r="AG661" i="9"/>
  <c r="AG695" i="9" s="1"/>
  <c r="AG424" i="9"/>
  <c r="AG729" i="9"/>
  <c r="AG442" i="9"/>
  <c r="AG720" i="9"/>
  <c r="AG1491" i="9"/>
  <c r="AG723" i="9"/>
  <c r="AG732" i="9"/>
  <c r="AG1219" i="9"/>
  <c r="AG1369" i="9"/>
  <c r="AG1550" i="9"/>
  <c r="AG1562" i="9"/>
  <c r="AG1326" i="9"/>
  <c r="AG1363" i="9"/>
  <c r="AG1075" i="9"/>
  <c r="AG818" i="9"/>
  <c r="AG1317" i="9"/>
  <c r="AG1249" i="9"/>
  <c r="AG1283" i="9" s="1"/>
  <c r="AG1183" i="9"/>
  <c r="AG1406" i="9"/>
  <c r="AG1311" i="9"/>
  <c r="AG1298" i="9"/>
  <c r="AG1332" i="9" s="1"/>
  <c r="AG1216" i="9"/>
  <c r="AG1134" i="9"/>
  <c r="AG1246" i="9"/>
  <c r="AG446" i="9"/>
  <c r="AG885" i="9"/>
  <c r="AG938" i="9"/>
  <c r="AG1066" i="9"/>
  <c r="AG634" i="9"/>
  <c r="AG609" i="9"/>
  <c r="AG1375" i="9"/>
  <c r="AG1366" i="9"/>
  <c r="AG873" i="9"/>
  <c r="AG1526" i="9"/>
  <c r="AG1559" i="9"/>
  <c r="AG1207" i="9"/>
  <c r="AG1428" i="9"/>
  <c r="AG922" i="9"/>
  <c r="AG879" i="9"/>
  <c r="AG436" i="9"/>
  <c r="AG1069" i="9"/>
  <c r="AG1360" i="9"/>
  <c r="AG870" i="9"/>
  <c r="AG928" i="9"/>
  <c r="AG511" i="9"/>
  <c r="AG683" i="9"/>
  <c r="AG824" i="9"/>
  <c r="AG830" i="9"/>
  <c r="AG974" i="9"/>
  <c r="AG321" i="9"/>
  <c r="AG411" i="9"/>
  <c r="AG1115" i="9"/>
  <c r="AG1124" i="9"/>
  <c r="AG1099" i="9"/>
  <c r="AG427" i="9"/>
  <c r="AG769" i="9"/>
  <c r="AG693" i="9"/>
  <c r="AG640" i="9"/>
  <c r="AG1228" i="9"/>
  <c r="AG582" i="9"/>
  <c r="AG324" i="9"/>
  <c r="AG631" i="9"/>
  <c r="AG867" i="9"/>
  <c r="AH1176" i="9"/>
  <c r="AG1176" i="9"/>
  <c r="AG1507" i="9"/>
  <c r="AH1372" i="9"/>
  <c r="AG1372" i="9"/>
  <c r="AG983" i="9"/>
  <c r="AG386" i="9"/>
  <c r="AG464" i="9"/>
  <c r="AG498" i="9" s="1"/>
  <c r="AH931" i="9"/>
  <c r="AG931" i="9"/>
  <c r="AG735" i="9"/>
  <c r="AH735" i="9"/>
  <c r="AG567" i="9"/>
  <c r="AG565" i="9"/>
  <c r="AG836" i="9"/>
  <c r="AH637" i="9"/>
  <c r="AG637" i="9"/>
  <c r="AG644" i="9"/>
  <c r="AG612" i="9"/>
  <c r="AG646" i="9" s="1"/>
  <c r="AG1504" i="9"/>
  <c r="AG1232" i="9"/>
  <c r="AG1155" i="9"/>
  <c r="AG1153" i="9"/>
  <c r="AG759" i="9"/>
  <c r="AG793" i="9" s="1"/>
  <c r="AG576" i="9"/>
  <c r="AG342" i="9"/>
  <c r="AG489" i="9"/>
  <c r="AH489" i="9"/>
  <c r="AG808" i="9"/>
  <c r="AG842" i="9" s="1"/>
  <c r="AG805" i="9"/>
  <c r="AG1259" i="9"/>
  <c r="AG461" i="9"/>
  <c r="AG952" i="9"/>
  <c r="AG742" i="9"/>
  <c r="AG1001" i="9"/>
  <c r="AG861" i="9"/>
  <c r="AG859" i="9"/>
  <c r="AG1545" i="9"/>
  <c r="AG1547" i="9"/>
  <c r="AG392" i="9"/>
  <c r="AG1050" i="9"/>
  <c r="AG1510" i="9"/>
  <c r="AG518" i="9"/>
  <c r="AG516" i="9"/>
  <c r="AG374" i="9"/>
  <c r="AG980" i="9"/>
  <c r="AH980" i="9"/>
  <c r="AG1085" i="9"/>
  <c r="AG1053" i="9"/>
  <c r="AG1087" i="9" s="1"/>
  <c r="AG1011" i="9"/>
  <c r="AG377" i="9"/>
  <c r="AG1121" i="9"/>
  <c r="AG689" i="9"/>
  <c r="AG539" i="9"/>
  <c r="AH539" i="9"/>
  <c r="AG1400" i="9"/>
  <c r="AG1398" i="9"/>
  <c r="AG1130" i="9"/>
  <c r="AG971" i="9"/>
  <c r="AG496" i="9"/>
  <c r="AG1323" i="9"/>
  <c r="AH1323" i="9"/>
  <c r="AG380" i="9"/>
  <c r="AG1501" i="9"/>
  <c r="AG366" i="9"/>
  <c r="AG368" i="9"/>
  <c r="AG383" i="9"/>
  <c r="AG480" i="9"/>
  <c r="AG579" i="9"/>
  <c r="AG1026" i="9"/>
  <c r="AG1006" i="9"/>
  <c r="AG1008" i="9"/>
  <c r="AG957" i="9"/>
  <c r="AG959" i="9"/>
  <c r="AG1104" i="9"/>
  <c r="AG1106" i="9"/>
  <c r="AG1409" i="9"/>
  <c r="AG361" i="9"/>
  <c r="AG1379" i="9"/>
  <c r="AG1271" i="9"/>
  <c r="AG1519" i="9"/>
  <c r="AH1519" i="9"/>
  <c r="AG908" i="9"/>
  <c r="AG910" i="9"/>
  <c r="AG1412" i="9"/>
  <c r="AG311" i="9"/>
  <c r="AG1540" i="9"/>
  <c r="AG1516" i="9"/>
  <c r="AG1277" i="9"/>
  <c r="AG1020" i="9"/>
  <c r="AG1179" i="9"/>
  <c r="AG1256" i="9"/>
  <c r="AG1029" i="9"/>
  <c r="AH1029" i="9"/>
  <c r="AG1421" i="9"/>
  <c r="AH1421" i="9"/>
  <c r="AG486" i="9"/>
  <c r="AG616" i="9"/>
  <c r="AG614" i="9"/>
  <c r="AG821" i="9"/>
  <c r="AG1023" i="9"/>
  <c r="AG418" i="9"/>
  <c r="AG416" i="9"/>
  <c r="AG1281" i="9"/>
  <c r="AH1568" i="9"/>
  <c r="AG1568" i="9"/>
  <c r="AH882" i="9"/>
  <c r="AG882" i="9"/>
  <c r="AG514" i="9"/>
  <c r="AG548" i="9" s="1"/>
  <c r="AG1036" i="9"/>
  <c r="AG1004" i="9"/>
  <c r="AG1038" i="9" s="1"/>
  <c r="AG546" i="9"/>
  <c r="AG674" i="9"/>
  <c r="AG573" i="9"/>
  <c r="AG439" i="9"/>
  <c r="AH439" i="9"/>
  <c r="AG1543" i="9"/>
  <c r="AG1577" i="9" s="1"/>
  <c r="AG1295" i="9"/>
  <c r="AG1204" i="9"/>
  <c r="AG1202" i="9"/>
  <c r="AG962" i="9"/>
  <c r="AG585" i="9"/>
  <c r="AG1014" i="9"/>
  <c r="AG560" i="9"/>
  <c r="AG1418" i="9"/>
  <c r="AG1197" i="9"/>
  <c r="AG1265" i="9"/>
  <c r="AG677" i="9"/>
  <c r="AG968" i="9"/>
  <c r="AG1262" i="9"/>
  <c r="AG314" i="9"/>
  <c r="AG348" i="9" s="1"/>
  <c r="AG396" i="9"/>
  <c r="AG364" i="9"/>
  <c r="AG398" i="9" s="1"/>
  <c r="AG1393" i="9"/>
  <c r="AG316" i="9"/>
  <c r="AG318" i="9"/>
  <c r="AG1268" i="9"/>
  <c r="AG916" i="9"/>
  <c r="AG876" i="9"/>
  <c r="AG815" i="9"/>
  <c r="AH1470" i="9"/>
  <c r="AG1470" i="9"/>
  <c r="AG1118" i="9"/>
  <c r="AG1442" i="9"/>
  <c r="AG919" i="9"/>
  <c r="AG1522" i="9"/>
  <c r="AH389" i="9"/>
  <c r="AG389" i="9"/>
  <c r="AG840" i="9"/>
  <c r="AG761" i="9"/>
  <c r="AG763" i="9"/>
  <c r="AG336" i="9"/>
  <c r="AG1415" i="9"/>
  <c r="AG827" i="9"/>
  <c r="AG1477" i="9"/>
  <c r="AG778" i="9"/>
  <c r="AG333" i="9"/>
  <c r="AH1078" i="9"/>
  <c r="AG1078" i="9"/>
  <c r="AG987" i="9"/>
  <c r="AG955" i="9"/>
  <c r="AG989" i="9" s="1"/>
  <c r="AG1274" i="9"/>
  <c r="AH1274" i="9"/>
  <c r="AG1017" i="9"/>
  <c r="AG663" i="9"/>
  <c r="AG665" i="9"/>
  <c r="AG810" i="9"/>
  <c r="AG812" i="9"/>
  <c r="AG371" i="9"/>
  <c r="AG492" i="9"/>
  <c r="AG1396" i="9"/>
  <c r="AG925" i="9"/>
  <c r="AG658" i="9"/>
  <c r="AG414" i="9"/>
  <c r="AG448" i="9" s="1"/>
  <c r="AG1308" i="9"/>
  <c r="AG857" i="9"/>
  <c r="AG891" i="9" s="1"/>
  <c r="AG1565" i="9"/>
  <c r="AG1447" i="9"/>
  <c r="AG671" i="9"/>
  <c r="AG1496" i="9"/>
  <c r="AG1498" i="9"/>
  <c r="AG680" i="9"/>
  <c r="AG1513" i="9"/>
  <c r="AG1151" i="9"/>
  <c r="AG1185" i="9" s="1"/>
  <c r="AG1351" i="9"/>
  <c r="AG1349" i="9"/>
  <c r="AG533" i="9"/>
  <c r="AH833" i="9"/>
  <c r="AG833" i="9"/>
  <c r="AG1403" i="9"/>
  <c r="AG913" i="9"/>
  <c r="AG327" i="9"/>
  <c r="AG714" i="9"/>
  <c r="AG712" i="9"/>
  <c r="AG595" i="9"/>
  <c r="AG563" i="9"/>
  <c r="AG591" i="9"/>
  <c r="AG965" i="9"/>
  <c r="AG668" i="9"/>
  <c r="AG934" i="9"/>
  <c r="AG686" i="9"/>
  <c r="AH686" i="9"/>
  <c r="AG1494" i="9"/>
  <c r="AG1528" i="9" s="1"/>
  <c r="AG1314" i="9"/>
  <c r="AG1302" i="9"/>
  <c r="AG1300" i="9"/>
  <c r="AG1072" i="9"/>
  <c r="AG1055" i="9"/>
  <c r="AG1057" i="9"/>
  <c r="AH784" i="9"/>
  <c r="AG784" i="9"/>
  <c r="AG625" i="9"/>
  <c r="AG1253" i="9"/>
  <c r="AG1251" i="9"/>
  <c r="AG339" i="9"/>
  <c r="AH339" i="9"/>
  <c r="AG1032" i="9"/>
  <c r="AG570" i="9"/>
  <c r="AG1553" i="9"/>
  <c r="AG977" i="9"/>
  <c r="AG1102" i="9"/>
  <c r="AG1136" i="9" s="1"/>
  <c r="AH1127" i="9"/>
  <c r="AG1127" i="9"/>
  <c r="AG1109" i="9"/>
  <c r="AG468" i="9"/>
  <c r="AG466" i="9"/>
  <c r="AH1225" i="9"/>
  <c r="AG1225" i="9"/>
  <c r="AH588" i="9"/>
  <c r="AG588" i="9"/>
  <c r="AG906" i="9"/>
  <c r="AG940" i="9" s="1"/>
  <c r="AG903" i="9"/>
  <c r="AG1112" i="9"/>
  <c r="AG707" i="9"/>
  <c r="F9" i="1"/>
  <c r="G9" i="1"/>
  <c r="E77" i="1"/>
  <c r="E13" i="1"/>
  <c r="E11" i="1"/>
  <c r="V952" i="9" l="1"/>
  <c r="U954" i="9"/>
  <c r="U957" i="9"/>
  <c r="T987" i="9"/>
  <c r="T840" i="9"/>
  <c r="U810" i="9"/>
  <c r="U1447" i="9"/>
  <c r="T1477" i="9"/>
  <c r="U516" i="9"/>
  <c r="T546" i="9"/>
  <c r="T1281" i="9"/>
  <c r="U1251" i="9"/>
  <c r="U1202" i="9"/>
  <c r="T1232" i="9"/>
  <c r="V1540" i="9"/>
  <c r="U1542" i="9"/>
  <c r="V854" i="9"/>
  <c r="U856" i="9"/>
  <c r="V311" i="9"/>
  <c r="U313" i="9"/>
  <c r="V903" i="9"/>
  <c r="U905" i="9"/>
  <c r="V707" i="9"/>
  <c r="U709" i="9"/>
  <c r="U363" i="9"/>
  <c r="V361" i="9"/>
  <c r="U1349" i="9"/>
  <c r="T1379" i="9"/>
  <c r="U614" i="9"/>
  <c r="T644" i="9"/>
  <c r="U663" i="9"/>
  <c r="T693" i="9"/>
  <c r="V511" i="9"/>
  <c r="U513" i="9"/>
  <c r="U859" i="9"/>
  <c r="T889" i="9"/>
  <c r="T496" i="9"/>
  <c r="U466" i="9"/>
  <c r="V560" i="9"/>
  <c r="U562" i="9"/>
  <c r="U1545" i="9"/>
  <c r="T1575" i="9"/>
  <c r="V1344" i="9"/>
  <c r="U1346" i="9"/>
  <c r="V1246" i="9"/>
  <c r="U1248" i="9"/>
  <c r="T1526" i="9"/>
  <c r="U1496" i="9"/>
  <c r="U1052" i="9"/>
  <c r="V1050" i="9"/>
  <c r="U416" i="9"/>
  <c r="T446" i="9"/>
  <c r="U1398" i="9"/>
  <c r="T1428" i="9"/>
  <c r="V658" i="9"/>
  <c r="U660" i="9"/>
  <c r="U761" i="9"/>
  <c r="T791" i="9"/>
  <c r="U1493" i="9"/>
  <c r="V1491" i="9"/>
  <c r="V1295" i="9"/>
  <c r="U1297" i="9"/>
  <c r="V756" i="9"/>
  <c r="U758" i="9"/>
  <c r="U463" i="9"/>
  <c r="V461" i="9"/>
  <c r="T742" i="9"/>
  <c r="U712" i="9"/>
  <c r="V1001" i="9"/>
  <c r="U1003" i="9"/>
  <c r="V1393" i="9"/>
  <c r="U1395" i="9"/>
  <c r="T346" i="9"/>
  <c r="U316" i="9"/>
  <c r="U1006" i="9"/>
  <c r="T1036" i="9"/>
  <c r="U565" i="9"/>
  <c r="T595" i="9"/>
  <c r="U908" i="9"/>
  <c r="T938" i="9"/>
  <c r="V1197" i="9"/>
  <c r="U1199" i="9"/>
  <c r="V609" i="9"/>
  <c r="U611" i="9"/>
  <c r="U1104" i="9"/>
  <c r="T1134" i="9"/>
  <c r="U1150" i="9"/>
  <c r="V1148" i="9"/>
  <c r="V1099" i="9"/>
  <c r="U1101" i="9"/>
  <c r="U1153" i="9"/>
  <c r="T1183" i="9"/>
  <c r="V805" i="9"/>
  <c r="U807" i="9"/>
  <c r="V1442" i="9"/>
  <c r="U1444" i="9"/>
  <c r="U1055" i="9"/>
  <c r="T1085" i="9"/>
  <c r="T396" i="9"/>
  <c r="U366" i="9"/>
  <c r="U1300" i="9"/>
  <c r="T1330" i="9"/>
  <c r="V411" i="9"/>
  <c r="U413" i="9"/>
  <c r="AG1430" i="9"/>
  <c r="AG597" i="9"/>
  <c r="H9" i="1"/>
  <c r="V859" i="9" l="1"/>
  <c r="U889" i="9"/>
  <c r="V1003" i="9"/>
  <c r="W1001" i="9"/>
  <c r="U742" i="9"/>
  <c r="V712" i="9"/>
  <c r="V1300" i="9"/>
  <c r="U1330" i="9"/>
  <c r="W1540" i="9"/>
  <c r="V1542" i="9"/>
  <c r="V957" i="9"/>
  <c r="U987" i="9"/>
  <c r="V413" i="9"/>
  <c r="W411" i="9"/>
  <c r="V1101" i="9"/>
  <c r="W1099" i="9"/>
  <c r="V663" i="9"/>
  <c r="U693" i="9"/>
  <c r="W952" i="9"/>
  <c r="V954" i="9"/>
  <c r="V1202" i="9"/>
  <c r="U1232" i="9"/>
  <c r="W311" i="9"/>
  <c r="V313" i="9"/>
  <c r="V363" i="9"/>
  <c r="W361" i="9"/>
  <c r="V565" i="9"/>
  <c r="U595" i="9"/>
  <c r="V709" i="9"/>
  <c r="W707" i="9"/>
  <c r="V366" i="9"/>
  <c r="U396" i="9"/>
  <c r="W1491" i="9"/>
  <c r="V1493" i="9"/>
  <c r="V1395" i="9"/>
  <c r="W1393" i="9"/>
  <c r="V1251" i="9"/>
  <c r="U1281" i="9"/>
  <c r="V908" i="9"/>
  <c r="U938" i="9"/>
  <c r="W1148" i="9"/>
  <c r="V1150" i="9"/>
  <c r="V1104" i="9"/>
  <c r="U1134" i="9"/>
  <c r="W1344" i="9"/>
  <c r="V1346" i="9"/>
  <c r="V513" i="9"/>
  <c r="W511" i="9"/>
  <c r="V1153" i="9"/>
  <c r="U1183" i="9"/>
  <c r="V1006" i="9"/>
  <c r="U1036" i="9"/>
  <c r="U791" i="9"/>
  <c r="V761" i="9"/>
  <c r="V466" i="9"/>
  <c r="U496" i="9"/>
  <c r="V463" i="9"/>
  <c r="W461" i="9"/>
  <c r="V614" i="9"/>
  <c r="U644" i="9"/>
  <c r="V516" i="9"/>
  <c r="U546" i="9"/>
  <c r="W609" i="9"/>
  <c r="V611" i="9"/>
  <c r="W854" i="9"/>
  <c r="V856" i="9"/>
  <c r="V1248" i="9"/>
  <c r="W1246" i="9"/>
  <c r="V660" i="9"/>
  <c r="W658" i="9"/>
  <c r="V1545" i="9"/>
  <c r="U1575" i="9"/>
  <c r="U1085" i="9"/>
  <c r="V1055" i="9"/>
  <c r="V1052" i="9"/>
  <c r="W1050" i="9"/>
  <c r="V810" i="9"/>
  <c r="U840" i="9"/>
  <c r="W756" i="9"/>
  <c r="V758" i="9"/>
  <c r="U346" i="9"/>
  <c r="V316" i="9"/>
  <c r="V562" i="9"/>
  <c r="W560" i="9"/>
  <c r="V1447" i="9"/>
  <c r="U1477" i="9"/>
  <c r="U446" i="9"/>
  <c r="V416" i="9"/>
  <c r="W1295" i="9"/>
  <c r="V1297" i="9"/>
  <c r="U1526" i="9"/>
  <c r="V1496" i="9"/>
  <c r="W805" i="9"/>
  <c r="V807" i="9"/>
  <c r="W1197" i="9"/>
  <c r="V1199" i="9"/>
  <c r="V1444" i="9"/>
  <c r="W1442" i="9"/>
  <c r="U1428" i="9"/>
  <c r="V1398" i="9"/>
  <c r="V1349" i="9"/>
  <c r="U1379" i="9"/>
  <c r="W903" i="9"/>
  <c r="V905" i="9"/>
  <c r="F13" i="1"/>
  <c r="F77" i="1"/>
  <c r="F11" i="1"/>
  <c r="I9" i="1"/>
  <c r="G77" i="1"/>
  <c r="G13" i="1"/>
  <c r="G11" i="1"/>
  <c r="W611" i="9" l="1"/>
  <c r="X609" i="9"/>
  <c r="X707" i="9"/>
  <c r="W709" i="9"/>
  <c r="W954" i="9"/>
  <c r="X952" i="9"/>
  <c r="V1330" i="9"/>
  <c r="W1300" i="9"/>
  <c r="V496" i="9"/>
  <c r="W466" i="9"/>
  <c r="W905" i="9"/>
  <c r="X903" i="9"/>
  <c r="V1477" i="9"/>
  <c r="W1447" i="9"/>
  <c r="W810" i="9"/>
  <c r="V840" i="9"/>
  <c r="V791" i="9"/>
  <c r="W761" i="9"/>
  <c r="W712" i="9"/>
  <c r="V742" i="9"/>
  <c r="V938" i="9"/>
  <c r="W908" i="9"/>
  <c r="X1050" i="9"/>
  <c r="W1052" i="9"/>
  <c r="V546" i="9"/>
  <c r="W516" i="9"/>
  <c r="W363" i="9"/>
  <c r="X361" i="9"/>
  <c r="V693" i="9"/>
  <c r="W663" i="9"/>
  <c r="W1349" i="9"/>
  <c r="V1379" i="9"/>
  <c r="X1197" i="9"/>
  <c r="W1199" i="9"/>
  <c r="V396" i="9"/>
  <c r="W366" i="9"/>
  <c r="X1099" i="9"/>
  <c r="W1101" i="9"/>
  <c r="W463" i="9"/>
  <c r="X461" i="9"/>
  <c r="W416" i="9"/>
  <c r="V446" i="9"/>
  <c r="W562" i="9"/>
  <c r="X560" i="9"/>
  <c r="V1085" i="9"/>
  <c r="W1055" i="9"/>
  <c r="X1246" i="9"/>
  <c r="W1248" i="9"/>
  <c r="V644" i="9"/>
  <c r="W614" i="9"/>
  <c r="X1344" i="9"/>
  <c r="W1346" i="9"/>
  <c r="X1491" i="9"/>
  <c r="W1493" i="9"/>
  <c r="W807" i="9"/>
  <c r="X805" i="9"/>
  <c r="X311" i="9"/>
  <c r="W313" i="9"/>
  <c r="W413" i="9"/>
  <c r="X411" i="9"/>
  <c r="X854" i="9"/>
  <c r="W856" i="9"/>
  <c r="V1134" i="9"/>
  <c r="W1104" i="9"/>
  <c r="V595" i="9"/>
  <c r="W565" i="9"/>
  <c r="V1232" i="9"/>
  <c r="W1202" i="9"/>
  <c r="W1251" i="9"/>
  <c r="V1281" i="9"/>
  <c r="W316" i="9"/>
  <c r="V346" i="9"/>
  <c r="W758" i="9"/>
  <c r="X756" i="9"/>
  <c r="W957" i="9"/>
  <c r="V987" i="9"/>
  <c r="V1526" i="9"/>
  <c r="W1496" i="9"/>
  <c r="V1183" i="9"/>
  <c r="W1153" i="9"/>
  <c r="W1398" i="9"/>
  <c r="V1428" i="9"/>
  <c r="W1444" i="9"/>
  <c r="X1442" i="9"/>
  <c r="W660" i="9"/>
  <c r="X658" i="9"/>
  <c r="W1003" i="9"/>
  <c r="X1001" i="9"/>
  <c r="V1575" i="9"/>
  <c r="W1545" i="9"/>
  <c r="V889" i="9"/>
  <c r="W859" i="9"/>
  <c r="W1297" i="9"/>
  <c r="X1295" i="9"/>
  <c r="V1036" i="9"/>
  <c r="W1006" i="9"/>
  <c r="W513" i="9"/>
  <c r="X511" i="9"/>
  <c r="X1148" i="9"/>
  <c r="W1150" i="9"/>
  <c r="X1393" i="9"/>
  <c r="W1395" i="9"/>
  <c r="W1542" i="9"/>
  <c r="X1540" i="9"/>
  <c r="J9" i="1"/>
  <c r="H77" i="1"/>
  <c r="H13" i="1"/>
  <c r="H11" i="1"/>
  <c r="X1199" i="9" l="1"/>
  <c r="Y1197" i="9"/>
  <c r="X758" i="9"/>
  <c r="Y756" i="9"/>
  <c r="X1346" i="9"/>
  <c r="Y1344" i="9"/>
  <c r="X810" i="9"/>
  <c r="W840" i="9"/>
  <c r="X466" i="9"/>
  <c r="W496" i="9"/>
  <c r="X1447" i="9"/>
  <c r="W1477" i="9"/>
  <c r="W1183" i="9"/>
  <c r="X1153" i="9"/>
  <c r="X660" i="9"/>
  <c r="Y658" i="9"/>
  <c r="X413" i="9"/>
  <c r="Y411" i="9"/>
  <c r="X614" i="9"/>
  <c r="W644" i="9"/>
  <c r="X905" i="9"/>
  <c r="Y903" i="9"/>
  <c r="X761" i="9"/>
  <c r="W791" i="9"/>
  <c r="W1232" i="9"/>
  <c r="X1202" i="9"/>
  <c r="X1300" i="9"/>
  <c r="W1330" i="9"/>
  <c r="X856" i="9"/>
  <c r="Y854" i="9"/>
  <c r="W1575" i="9"/>
  <c r="X1545" i="9"/>
  <c r="W987" i="9"/>
  <c r="X957" i="9"/>
  <c r="X1101" i="9"/>
  <c r="Y1099" i="9"/>
  <c r="W1036" i="9"/>
  <c r="X1006" i="9"/>
  <c r="X1542" i="9"/>
  <c r="Y1540" i="9"/>
  <c r="X316" i="9"/>
  <c r="W346" i="9"/>
  <c r="X313" i="9"/>
  <c r="Y311" i="9"/>
  <c r="Y1246" i="9"/>
  <c r="X1248" i="9"/>
  <c r="X516" i="9"/>
  <c r="W546" i="9"/>
  <c r="X954" i="9"/>
  <c r="Y952" i="9"/>
  <c r="X709" i="9"/>
  <c r="Y707" i="9"/>
  <c r="W595" i="9"/>
  <c r="X565" i="9"/>
  <c r="X1055" i="9"/>
  <c r="W1085" i="9"/>
  <c r="X712" i="9"/>
  <c r="W742" i="9"/>
  <c r="X807" i="9"/>
  <c r="Y805" i="9"/>
  <c r="W396" i="9"/>
  <c r="X366" i="9"/>
  <c r="X1349" i="9"/>
  <c r="W1379" i="9"/>
  <c r="X1395" i="9"/>
  <c r="Y1393" i="9"/>
  <c r="X1003" i="9"/>
  <c r="Y1001" i="9"/>
  <c r="Y1050" i="9"/>
  <c r="X1052" i="9"/>
  <c r="X611" i="9"/>
  <c r="Y609" i="9"/>
  <c r="X1444" i="9"/>
  <c r="Y1442" i="9"/>
  <c r="X562" i="9"/>
  <c r="Y560" i="9"/>
  <c r="X1493" i="9"/>
  <c r="Y1491" i="9"/>
  <c r="X663" i="9"/>
  <c r="W693" i="9"/>
  <c r="X1150" i="9"/>
  <c r="Y1148" i="9"/>
  <c r="X859" i="9"/>
  <c r="W889" i="9"/>
  <c r="X1398" i="9"/>
  <c r="W1428" i="9"/>
  <c r="X1251" i="9"/>
  <c r="W1281" i="9"/>
  <c r="X416" i="9"/>
  <c r="W446" i="9"/>
  <c r="X908" i="9"/>
  <c r="W938" i="9"/>
  <c r="W1134" i="9"/>
  <c r="X1104" i="9"/>
  <c r="W1526" i="9"/>
  <c r="X1496" i="9"/>
  <c r="X513" i="9"/>
  <c r="Y511" i="9"/>
  <c r="X463" i="9"/>
  <c r="Y461" i="9"/>
  <c r="X363" i="9"/>
  <c r="Y361" i="9"/>
  <c r="X1297" i="9"/>
  <c r="Y1295" i="9"/>
  <c r="K9" i="1"/>
  <c r="I13" i="1"/>
  <c r="I77" i="1"/>
  <c r="I11" i="1"/>
  <c r="Y1493" i="9" l="1"/>
  <c r="Z1491" i="9"/>
  <c r="Z560" i="9"/>
  <c r="Y562" i="9"/>
  <c r="Y1542" i="9"/>
  <c r="Z1540" i="9"/>
  <c r="Y1202" i="9"/>
  <c r="X1232" i="9"/>
  <c r="Y363" i="9"/>
  <c r="Z361" i="9"/>
  <c r="Y660" i="9"/>
  <c r="Z658" i="9"/>
  <c r="Y810" i="9"/>
  <c r="X840" i="9"/>
  <c r="Y1444" i="9"/>
  <c r="Z1442" i="9"/>
  <c r="Y1346" i="9"/>
  <c r="Z1344" i="9"/>
  <c r="Y466" i="9"/>
  <c r="X496" i="9"/>
  <c r="Y516" i="9"/>
  <c r="X546" i="9"/>
  <c r="Y1349" i="9"/>
  <c r="X1379" i="9"/>
  <c r="Y565" i="9"/>
  <c r="X595" i="9"/>
  <c r="Y905" i="9"/>
  <c r="Z903" i="9"/>
  <c r="Y611" i="9"/>
  <c r="Z609" i="9"/>
  <c r="Y366" i="9"/>
  <c r="X396" i="9"/>
  <c r="Y1006" i="9"/>
  <c r="X1036" i="9"/>
  <c r="Y957" i="9"/>
  <c r="X987" i="9"/>
  <c r="X1428" i="9"/>
  <c r="Y1398" i="9"/>
  <c r="Y463" i="9"/>
  <c r="Z461" i="9"/>
  <c r="Y712" i="9"/>
  <c r="X742" i="9"/>
  <c r="Y1545" i="9"/>
  <c r="X1575" i="9"/>
  <c r="Y614" i="9"/>
  <c r="X644" i="9"/>
  <c r="Z411" i="9"/>
  <c r="Y413" i="9"/>
  <c r="Y908" i="9"/>
  <c r="X938" i="9"/>
  <c r="Y758" i="9"/>
  <c r="Z756" i="9"/>
  <c r="Y1300" i="9"/>
  <c r="X1330" i="9"/>
  <c r="Y1297" i="9"/>
  <c r="Z1295" i="9"/>
  <c r="Y513" i="9"/>
  <c r="Z511" i="9"/>
  <c r="X446" i="9"/>
  <c r="Y416" i="9"/>
  <c r="X1183" i="9"/>
  <c r="Y1153" i="9"/>
  <c r="X889" i="9"/>
  <c r="Y859" i="9"/>
  <c r="Y1150" i="9"/>
  <c r="Z1148" i="9"/>
  <c r="Y1496" i="9"/>
  <c r="X1526" i="9"/>
  <c r="Y663" i="9"/>
  <c r="X693" i="9"/>
  <c r="Z1001" i="9"/>
  <c r="Y1003" i="9"/>
  <c r="Z707" i="9"/>
  <c r="Y709" i="9"/>
  <c r="Y313" i="9"/>
  <c r="Z311" i="9"/>
  <c r="Y1447" i="9"/>
  <c r="X1477" i="9"/>
  <c r="Y807" i="9"/>
  <c r="Z805" i="9"/>
  <c r="Y1199" i="9"/>
  <c r="Z1197" i="9"/>
  <c r="Y1052" i="9"/>
  <c r="Z1050" i="9"/>
  <c r="Y1055" i="9"/>
  <c r="X1085" i="9"/>
  <c r="Y1101" i="9"/>
  <c r="Z1099" i="9"/>
  <c r="Y856" i="9"/>
  <c r="Z854" i="9"/>
  <c r="Y1248" i="9"/>
  <c r="Z1246" i="9"/>
  <c r="Y1395" i="9"/>
  <c r="Z1393" i="9"/>
  <c r="X346" i="9"/>
  <c r="Y316" i="9"/>
  <c r="X791" i="9"/>
  <c r="Y761" i="9"/>
  <c r="Y1104" i="9"/>
  <c r="X1134" i="9"/>
  <c r="Y954" i="9"/>
  <c r="Z952" i="9"/>
  <c r="X1281" i="9"/>
  <c r="Y1251" i="9"/>
  <c r="L9" i="1"/>
  <c r="J77" i="1"/>
  <c r="J13" i="1"/>
  <c r="J11" i="1"/>
  <c r="Z1150" i="9" l="1"/>
  <c r="AA1148" i="9"/>
  <c r="Z413" i="9"/>
  <c r="AA411" i="9"/>
  <c r="Z1447" i="9"/>
  <c r="Y1477" i="9"/>
  <c r="Z516" i="9"/>
  <c r="Y546" i="9"/>
  <c r="Z1297" i="9"/>
  <c r="AA1295" i="9"/>
  <c r="Z1104" i="9"/>
  <c r="Y1134" i="9"/>
  <c r="AA311" i="9"/>
  <c r="Z313" i="9"/>
  <c r="AA1344" i="9"/>
  <c r="Z1346" i="9"/>
  <c r="Z957" i="9"/>
  <c r="Y987" i="9"/>
  <c r="Z859" i="9"/>
  <c r="Y889" i="9"/>
  <c r="AA1393" i="9"/>
  <c r="Z1395" i="9"/>
  <c r="Z905" i="9"/>
  <c r="AA903" i="9"/>
  <c r="Z810" i="9"/>
  <c r="Y840" i="9"/>
  <c r="Y1232" i="9"/>
  <c r="Z1202" i="9"/>
  <c r="Y1085" i="9"/>
  <c r="Z1055" i="9"/>
  <c r="AA1050" i="9"/>
  <c r="Z1052" i="9"/>
  <c r="Z1300" i="9"/>
  <c r="Y1330" i="9"/>
  <c r="Z761" i="9"/>
  <c r="Y791" i="9"/>
  <c r="AA707" i="9"/>
  <c r="Z709" i="9"/>
  <c r="Z614" i="9"/>
  <c r="Y644" i="9"/>
  <c r="Z1398" i="9"/>
  <c r="Y1428" i="9"/>
  <c r="Z1248" i="9"/>
  <c r="AA1246" i="9"/>
  <c r="Y1036" i="9"/>
  <c r="Z1006" i="9"/>
  <c r="Z1199" i="9"/>
  <c r="AA1197" i="9"/>
  <c r="Z1003" i="9"/>
  <c r="AA1001" i="9"/>
  <c r="Z1153" i="9"/>
  <c r="Y1183" i="9"/>
  <c r="Y1575" i="9"/>
  <c r="Z1545" i="9"/>
  <c r="Z466" i="9"/>
  <c r="Y496" i="9"/>
  <c r="Z908" i="9"/>
  <c r="Y938" i="9"/>
  <c r="Z807" i="9"/>
  <c r="AA805" i="9"/>
  <c r="Z712" i="9"/>
  <c r="Y742" i="9"/>
  <c r="Z366" i="9"/>
  <c r="Y396" i="9"/>
  <c r="Z663" i="9"/>
  <c r="Y693" i="9"/>
  <c r="Z565" i="9"/>
  <c r="Y595" i="9"/>
  <c r="Z1542" i="9"/>
  <c r="AA1540" i="9"/>
  <c r="Z611" i="9"/>
  <c r="AA609" i="9"/>
  <c r="Z660" i="9"/>
  <c r="AA658" i="9"/>
  <c r="Z758" i="9"/>
  <c r="AA756" i="9"/>
  <c r="Z1349" i="9"/>
  <c r="Y1379" i="9"/>
  <c r="Z1444" i="9"/>
  <c r="AA1442" i="9"/>
  <c r="Z856" i="9"/>
  <c r="AA854" i="9"/>
  <c r="Z316" i="9"/>
  <c r="Y346" i="9"/>
  <c r="Z1496" i="9"/>
  <c r="Y1526" i="9"/>
  <c r="Z954" i="9"/>
  <c r="AA952" i="9"/>
  <c r="Z1101" i="9"/>
  <c r="AA1099" i="9"/>
  <c r="Z416" i="9"/>
  <c r="Y446" i="9"/>
  <c r="Z463" i="9"/>
  <c r="AA461" i="9"/>
  <c r="Z363" i="9"/>
  <c r="AA361" i="9"/>
  <c r="Z562" i="9"/>
  <c r="AA560" i="9"/>
  <c r="Y1281" i="9"/>
  <c r="Z1251" i="9"/>
  <c r="Z1493" i="9"/>
  <c r="AA1491" i="9"/>
  <c r="AA511" i="9"/>
  <c r="Z513" i="9"/>
  <c r="M9" i="1"/>
  <c r="K77" i="1"/>
  <c r="K13" i="1"/>
  <c r="K11" i="1"/>
  <c r="AC8" i="1"/>
  <c r="AC8" i="8" s="1"/>
  <c r="AA908" i="9" l="1"/>
  <c r="Z938" i="9"/>
  <c r="AA905" i="9"/>
  <c r="AB903" i="9"/>
  <c r="AA1199" i="9"/>
  <c r="AB1197" i="9"/>
  <c r="AB311" i="9"/>
  <c r="AA313" i="9"/>
  <c r="AA463" i="9"/>
  <c r="AB461" i="9"/>
  <c r="AA513" i="9"/>
  <c r="AB511" i="9"/>
  <c r="AA660" i="9"/>
  <c r="AB658" i="9"/>
  <c r="Z742" i="9"/>
  <c r="AA712" i="9"/>
  <c r="AA1006" i="9"/>
  <c r="Z1036" i="9"/>
  <c r="AA761" i="9"/>
  <c r="Z791" i="9"/>
  <c r="AA1251" i="9"/>
  <c r="Z1281" i="9"/>
  <c r="AA416" i="9"/>
  <c r="Z446" i="9"/>
  <c r="AA1542" i="9"/>
  <c r="AB1540" i="9"/>
  <c r="AA1104" i="9"/>
  <c r="Z1134" i="9"/>
  <c r="AB1099" i="9"/>
  <c r="AA1101" i="9"/>
  <c r="AB805" i="9"/>
  <c r="AA807" i="9"/>
  <c r="AA466" i="9"/>
  <c r="Z496" i="9"/>
  <c r="AA1300" i="9"/>
  <c r="Z1330" i="9"/>
  <c r="AA1297" i="9"/>
  <c r="AB1295" i="9"/>
  <c r="AA366" i="9"/>
  <c r="Z396" i="9"/>
  <c r="AA1248" i="9"/>
  <c r="AB1246" i="9"/>
  <c r="AA1444" i="9"/>
  <c r="AB1442" i="9"/>
  <c r="AA1052" i="9"/>
  <c r="AB1050" i="9"/>
  <c r="AA562" i="9"/>
  <c r="AB560" i="9"/>
  <c r="AA1055" i="9"/>
  <c r="Z1085" i="9"/>
  <c r="AA957" i="9"/>
  <c r="Z987" i="9"/>
  <c r="AA516" i="9"/>
  <c r="Z546" i="9"/>
  <c r="AB1148" i="9"/>
  <c r="AA1150" i="9"/>
  <c r="AA954" i="9"/>
  <c r="AB952" i="9"/>
  <c r="AA1398" i="9"/>
  <c r="Z1428" i="9"/>
  <c r="Z1232" i="9"/>
  <c r="AA1202" i="9"/>
  <c r="AA1447" i="9"/>
  <c r="Z1477" i="9"/>
  <c r="AA1493" i="9"/>
  <c r="AB1491" i="9"/>
  <c r="AA413" i="9"/>
  <c r="AB411" i="9"/>
  <c r="AA1003" i="9"/>
  <c r="AB1001" i="9"/>
  <c r="AA614" i="9"/>
  <c r="Z644" i="9"/>
  <c r="AA1496" i="9"/>
  <c r="Z1526" i="9"/>
  <c r="AA316" i="9"/>
  <c r="Z346" i="9"/>
  <c r="AA810" i="9"/>
  <c r="Z840" i="9"/>
  <c r="AA1545" i="9"/>
  <c r="Z1575" i="9"/>
  <c r="AA709" i="9"/>
  <c r="AB707" i="9"/>
  <c r="AA363" i="9"/>
  <c r="AB361" i="9"/>
  <c r="Z595" i="9"/>
  <c r="AA565" i="9"/>
  <c r="AA856" i="9"/>
  <c r="AB854" i="9"/>
  <c r="AA1395" i="9"/>
  <c r="AB1393" i="9"/>
  <c r="AA1349" i="9"/>
  <c r="Z1379" i="9"/>
  <c r="AB609" i="9"/>
  <c r="AA611" i="9"/>
  <c r="AB756" i="9"/>
  <c r="AA758" i="9"/>
  <c r="Z693" i="9"/>
  <c r="AA663" i="9"/>
  <c r="AA1346" i="9"/>
  <c r="AB1344" i="9"/>
  <c r="AA1153" i="9"/>
  <c r="Z1183" i="9"/>
  <c r="AA859" i="9"/>
  <c r="Z889" i="9"/>
  <c r="L13" i="1"/>
  <c r="L77" i="1"/>
  <c r="L11" i="1"/>
  <c r="N9" i="1"/>
  <c r="AA1330" i="9" l="1"/>
  <c r="AB1300" i="9"/>
  <c r="AB1202" i="9"/>
  <c r="AA1232" i="9"/>
  <c r="AB562" i="9"/>
  <c r="AC560" i="9"/>
  <c r="AA496" i="9"/>
  <c r="AB466" i="9"/>
  <c r="AB905" i="9"/>
  <c r="AC903" i="9"/>
  <c r="AC411" i="9"/>
  <c r="AB413" i="9"/>
  <c r="AB516" i="9"/>
  <c r="AA546" i="9"/>
  <c r="AA1428" i="9"/>
  <c r="AB1398" i="9"/>
  <c r="AB1052" i="9"/>
  <c r="AC1050" i="9"/>
  <c r="AB807" i="9"/>
  <c r="AC805" i="9"/>
  <c r="AB810" i="9"/>
  <c r="AA840" i="9"/>
  <c r="AB957" i="9"/>
  <c r="AA987" i="9"/>
  <c r="AB1542" i="9"/>
  <c r="AC1540" i="9"/>
  <c r="AB908" i="9"/>
  <c r="AA938" i="9"/>
  <c r="AC756" i="9"/>
  <c r="AB758" i="9"/>
  <c r="AB565" i="9"/>
  <c r="AA595" i="9"/>
  <c r="AB859" i="9"/>
  <c r="AA889" i="9"/>
  <c r="AB709" i="9"/>
  <c r="AC707" i="9"/>
  <c r="AB1101" i="9"/>
  <c r="AC1099" i="9"/>
  <c r="AB363" i="9"/>
  <c r="AC361" i="9"/>
  <c r="AA742" i="9"/>
  <c r="AB712" i="9"/>
  <c r="AB1346" i="9"/>
  <c r="AC1344" i="9"/>
  <c r="AB611" i="9"/>
  <c r="AC609" i="9"/>
  <c r="AB1444" i="9"/>
  <c r="AC1442" i="9"/>
  <c r="AB1395" i="9"/>
  <c r="AC1393" i="9"/>
  <c r="AB1055" i="9"/>
  <c r="AA1085" i="9"/>
  <c r="AB1545" i="9"/>
  <c r="AA1575" i="9"/>
  <c r="AB660" i="9"/>
  <c r="AC658" i="9"/>
  <c r="AB1493" i="9"/>
  <c r="AC1491" i="9"/>
  <c r="AB366" i="9"/>
  <c r="AA396" i="9"/>
  <c r="AC511" i="9"/>
  <c r="AB513" i="9"/>
  <c r="AB416" i="9"/>
  <c r="AA446" i="9"/>
  <c r="AB463" i="9"/>
  <c r="AC461" i="9"/>
  <c r="AB856" i="9"/>
  <c r="AC854" i="9"/>
  <c r="AB1104" i="9"/>
  <c r="AA1134" i="9"/>
  <c r="AB1496" i="9"/>
  <c r="AA1526" i="9"/>
  <c r="AB954" i="9"/>
  <c r="AC952" i="9"/>
  <c r="AB1297" i="9"/>
  <c r="AC1295" i="9"/>
  <c r="AB1251" i="9"/>
  <c r="AA1281" i="9"/>
  <c r="AB761" i="9"/>
  <c r="AA791" i="9"/>
  <c r="AB1447" i="9"/>
  <c r="AA1477" i="9"/>
  <c r="AB313" i="9"/>
  <c r="AC311" i="9"/>
  <c r="AB316" i="9"/>
  <c r="AA346" i="9"/>
  <c r="AA644" i="9"/>
  <c r="AB614" i="9"/>
  <c r="AB1006" i="9"/>
  <c r="AA1036" i="9"/>
  <c r="AB1199" i="9"/>
  <c r="AC1197" i="9"/>
  <c r="AB1153" i="9"/>
  <c r="AA1183" i="9"/>
  <c r="AB663" i="9"/>
  <c r="AA693" i="9"/>
  <c r="AB1349" i="9"/>
  <c r="AA1379" i="9"/>
  <c r="AB1003" i="9"/>
  <c r="AC1001" i="9"/>
  <c r="AB1150" i="9"/>
  <c r="AC1148" i="9"/>
  <c r="AB1248" i="9"/>
  <c r="AC1246" i="9"/>
  <c r="AC10" i="1"/>
  <c r="AC10" i="8" s="1"/>
  <c r="M77" i="1"/>
  <c r="M13" i="1"/>
  <c r="M11" i="1"/>
  <c r="AC908" i="9" l="1"/>
  <c r="AB938" i="9"/>
  <c r="AC807" i="9"/>
  <c r="AD805" i="9"/>
  <c r="AD807" i="9" s="1"/>
  <c r="AC1542" i="9"/>
  <c r="AD1540" i="9"/>
  <c r="AD1542" i="9" s="1"/>
  <c r="AC709" i="9"/>
  <c r="AD707" i="9"/>
  <c r="AD709" i="9" s="1"/>
  <c r="AC1052" i="9"/>
  <c r="AD1050" i="9"/>
  <c r="AD1052" i="9" s="1"/>
  <c r="AC1297" i="9"/>
  <c r="AD1295" i="9"/>
  <c r="AD1297" i="9" s="1"/>
  <c r="AC363" i="9"/>
  <c r="AD361" i="9"/>
  <c r="AD363" i="9" s="1"/>
  <c r="AC513" i="9"/>
  <c r="AD511" i="9"/>
  <c r="AD513" i="9" s="1"/>
  <c r="AC1545" i="9"/>
  <c r="AB1575" i="9"/>
  <c r="AC1398" i="9"/>
  <c r="AB1428" i="9"/>
  <c r="AC562" i="9"/>
  <c r="AD560" i="9"/>
  <c r="AD562" i="9" s="1"/>
  <c r="AC957" i="9"/>
  <c r="AB987" i="9"/>
  <c r="AC761" i="9"/>
  <c r="AB791" i="9"/>
  <c r="AD952" i="9"/>
  <c r="AD954" i="9" s="1"/>
  <c r="AC954" i="9"/>
  <c r="AC366" i="9"/>
  <c r="AB396" i="9"/>
  <c r="AC1444" i="9"/>
  <c r="AD1442" i="9"/>
  <c r="AD1444" i="9" s="1"/>
  <c r="AC905" i="9"/>
  <c r="AD903" i="9"/>
  <c r="AD905" i="9" s="1"/>
  <c r="AC1202" i="9"/>
  <c r="AB1232" i="9"/>
  <c r="AC611" i="9"/>
  <c r="AD609" i="9"/>
  <c r="AD611" i="9" s="1"/>
  <c r="AC810" i="9"/>
  <c r="AB840" i="9"/>
  <c r="AC466" i="9"/>
  <c r="AB496" i="9"/>
  <c r="AB742" i="9"/>
  <c r="AC712" i="9"/>
  <c r="AB1379" i="9"/>
  <c r="AC1349" i="9"/>
  <c r="AC1346" i="9"/>
  <c r="AD1344" i="9"/>
  <c r="AD1346" i="9" s="1"/>
  <c r="AC313" i="9"/>
  <c r="AD311" i="9"/>
  <c r="AC660" i="9"/>
  <c r="AD658" i="9"/>
  <c r="AD660" i="9" s="1"/>
  <c r="AC1055" i="9"/>
  <c r="AB1085" i="9"/>
  <c r="AC859" i="9"/>
  <c r="AB889" i="9"/>
  <c r="AC516" i="9"/>
  <c r="AB546" i="9"/>
  <c r="AB1330" i="9"/>
  <c r="AC1300" i="9"/>
  <c r="AC1251" i="9"/>
  <c r="AB1281" i="9"/>
  <c r="AC1101" i="9"/>
  <c r="AD1099" i="9"/>
  <c r="AD1101" i="9" s="1"/>
  <c r="AC463" i="9"/>
  <c r="AD461" i="9"/>
  <c r="AD463" i="9" s="1"/>
  <c r="AC1496" i="9"/>
  <c r="AB1526" i="9"/>
  <c r="AC416" i="9"/>
  <c r="AB446" i="9"/>
  <c r="AC1493" i="9"/>
  <c r="AD1491" i="9"/>
  <c r="AD1493" i="9" s="1"/>
  <c r="AD1393" i="9"/>
  <c r="AD1395" i="9" s="1"/>
  <c r="AC1395" i="9"/>
  <c r="AB595" i="9"/>
  <c r="AC565" i="9"/>
  <c r="AC1003" i="9"/>
  <c r="AD1001" i="9"/>
  <c r="AD1003" i="9" s="1"/>
  <c r="AC856" i="9"/>
  <c r="AD854" i="9"/>
  <c r="AD856" i="9" s="1"/>
  <c r="AC413" i="9"/>
  <c r="AD411" i="9"/>
  <c r="AD413" i="9" s="1"/>
  <c r="AC1248" i="9"/>
  <c r="AD1246" i="9"/>
  <c r="AD1248" i="9" s="1"/>
  <c r="AC1006" i="9"/>
  <c r="AB1036" i="9"/>
  <c r="AC316" i="9"/>
  <c r="AB346" i="9"/>
  <c r="AC1447" i="9"/>
  <c r="AB1477" i="9"/>
  <c r="AC758" i="9"/>
  <c r="AD756" i="9"/>
  <c r="AD758" i="9" s="1"/>
  <c r="AB644" i="9"/>
  <c r="AC614" i="9"/>
  <c r="AC663" i="9"/>
  <c r="AB693" i="9"/>
  <c r="AC1153" i="9"/>
  <c r="AB1183" i="9"/>
  <c r="AC1150" i="9"/>
  <c r="AD1148" i="9"/>
  <c r="AD1150" i="9" s="1"/>
  <c r="AD1197" i="9"/>
  <c r="AD1199" i="9" s="1"/>
  <c r="AC1199" i="9"/>
  <c r="AC1104" i="9"/>
  <c r="AB1134" i="9"/>
  <c r="O9" i="1"/>
  <c r="AC9" i="1" s="1"/>
  <c r="AC9" i="8" s="1"/>
  <c r="N77" i="1"/>
  <c r="N13" i="1"/>
  <c r="N11" i="1"/>
  <c r="P9" i="1"/>
  <c r="D9" i="8" s="1"/>
  <c r="AH562" i="9" l="1"/>
  <c r="AH560" i="9" s="1"/>
  <c r="AD313" i="9"/>
  <c r="AA10" i="8" s="1"/>
  <c r="AA8" i="8"/>
  <c r="AD1006" i="9"/>
  <c r="AC1036" i="9"/>
  <c r="AD1349" i="9"/>
  <c r="AD1379" i="9" s="1"/>
  <c r="AC1379" i="9"/>
  <c r="AC742" i="9"/>
  <c r="AD712" i="9"/>
  <c r="AD742" i="9" s="1"/>
  <c r="AD1496" i="9"/>
  <c r="AD1526" i="9" s="1"/>
  <c r="AC1526" i="9"/>
  <c r="AD1398" i="9"/>
  <c r="AC1428" i="9"/>
  <c r="AD1055" i="9"/>
  <c r="AC1085" i="9"/>
  <c r="AD1104" i="9"/>
  <c r="AC1134" i="9"/>
  <c r="AD1300" i="9"/>
  <c r="AD1330" i="9" s="1"/>
  <c r="AC1330" i="9"/>
  <c r="AD466" i="9"/>
  <c r="AD496" i="9" s="1"/>
  <c r="AC496" i="9"/>
  <c r="AD1202" i="9"/>
  <c r="AD1232" i="9" s="1"/>
  <c r="AC1232" i="9"/>
  <c r="AD516" i="9"/>
  <c r="AC546" i="9"/>
  <c r="AD565" i="9"/>
  <c r="AC595" i="9"/>
  <c r="AD1447" i="9"/>
  <c r="AC1477" i="9"/>
  <c r="AD366" i="9"/>
  <c r="AC396" i="9"/>
  <c r="AD1153" i="9"/>
  <c r="AD1183" i="9" s="1"/>
  <c r="AC1183" i="9"/>
  <c r="AD810" i="9"/>
  <c r="AD840" i="9" s="1"/>
  <c r="AC840" i="9"/>
  <c r="AH1395" i="9"/>
  <c r="AH1393" i="9" s="1"/>
  <c r="AC889" i="9"/>
  <c r="AD859" i="9"/>
  <c r="AD889" i="9" s="1"/>
  <c r="AD1545" i="9"/>
  <c r="AC1575" i="9"/>
  <c r="AD957" i="9"/>
  <c r="AC987" i="9"/>
  <c r="AC693" i="9"/>
  <c r="AD663" i="9"/>
  <c r="AD693" i="9" s="1"/>
  <c r="AD1251" i="9"/>
  <c r="AD1281" i="9" s="1"/>
  <c r="AC1281" i="9"/>
  <c r="AD761" i="9"/>
  <c r="AD791" i="9" s="1"/>
  <c r="AC791" i="9"/>
  <c r="AC346" i="9"/>
  <c r="AD316" i="9"/>
  <c r="AD614" i="9"/>
  <c r="AD644" i="9" s="1"/>
  <c r="AC644" i="9"/>
  <c r="AD416" i="9"/>
  <c r="AD446" i="9" s="1"/>
  <c r="AC446" i="9"/>
  <c r="AD908" i="9"/>
  <c r="AD938" i="9" s="1"/>
  <c r="AC938" i="9"/>
  <c r="O77" i="1"/>
  <c r="O13" i="1"/>
  <c r="AC12" i="1"/>
  <c r="AC12" i="8" s="1"/>
  <c r="O11" i="1"/>
  <c r="Q9" i="1"/>
  <c r="E9" i="8" s="1"/>
  <c r="AA9" i="8" l="1"/>
  <c r="AD396" i="9"/>
  <c r="AD987" i="9"/>
  <c r="AD595" i="9"/>
  <c r="AD346" i="9"/>
  <c r="AD1134" i="9"/>
  <c r="AD1085" i="9"/>
  <c r="AD546" i="9"/>
  <c r="AD1036" i="9"/>
  <c r="AD1428" i="9"/>
  <c r="AD1575" i="9"/>
  <c r="AD1477" i="9"/>
  <c r="AH758" i="9"/>
  <c r="AH756" i="9" s="1"/>
  <c r="AH905" i="9"/>
  <c r="AH903" i="9" s="1"/>
  <c r="AH1101" i="9"/>
  <c r="AH1099" i="9" s="1"/>
  <c r="AH1150" i="9"/>
  <c r="AH1148" i="9" s="1"/>
  <c r="AH807" i="9"/>
  <c r="AH805" i="9" s="1"/>
  <c r="AH413" i="9"/>
  <c r="AH411" i="9" s="1"/>
  <c r="AH1444" i="9"/>
  <c r="AH1442" i="9" s="1"/>
  <c r="AH463" i="9"/>
  <c r="AH461" i="9" s="1"/>
  <c r="AH1493" i="9"/>
  <c r="AH1491" i="9" s="1"/>
  <c r="AH313" i="9"/>
  <c r="AH311" i="9" s="1"/>
  <c r="AH611" i="9"/>
  <c r="AH609" i="9" s="1"/>
  <c r="AH1052" i="9"/>
  <c r="AH1050" i="9" s="1"/>
  <c r="AH709" i="9"/>
  <c r="AH707" i="9" s="1"/>
  <c r="AH1542" i="9"/>
  <c r="AH1540" i="9" s="1"/>
  <c r="AH513" i="9"/>
  <c r="AH511" i="9" s="1"/>
  <c r="AH1003" i="9"/>
  <c r="AH1001" i="9" s="1"/>
  <c r="AH1199" i="9"/>
  <c r="AH1197" i="9" s="1"/>
  <c r="AH660" i="9"/>
  <c r="AH658" i="9" s="1"/>
  <c r="AH363" i="9"/>
  <c r="AH361" i="9" s="1"/>
  <c r="AH1346" i="9"/>
  <c r="AH1344" i="9" s="1"/>
  <c r="AH1297" i="9"/>
  <c r="AH1295" i="9" s="1"/>
  <c r="AH954" i="9"/>
  <c r="AH952" i="9" s="1"/>
  <c r="AH856" i="9"/>
  <c r="AH854" i="9" s="1"/>
  <c r="AH1248" i="9"/>
  <c r="AH1246" i="9" s="1"/>
  <c r="AC11" i="1"/>
  <c r="AC11" i="8" s="1"/>
  <c r="AD79" i="8" s="1"/>
  <c r="AC77" i="1"/>
  <c r="AC77" i="8" s="1"/>
  <c r="AC13" i="1"/>
  <c r="AC13" i="8" s="1"/>
  <c r="R9" i="1"/>
  <c r="F9" i="8" s="1"/>
  <c r="P13" i="1"/>
  <c r="D13" i="8" s="1"/>
  <c r="P77" i="1"/>
  <c r="P11" i="1"/>
  <c r="P79" i="1" l="1"/>
  <c r="D79" i="8" s="1"/>
  <c r="D11" i="8"/>
  <c r="E21" i="12"/>
  <c r="S9" i="1"/>
  <c r="G9" i="8" s="1"/>
  <c r="Q77" i="1"/>
  <c r="Q13" i="1"/>
  <c r="E13" i="8" s="1"/>
  <c r="Q11" i="1"/>
  <c r="Q79" i="1" l="1"/>
  <c r="E79" i="8" s="1"/>
  <c r="E11" i="8"/>
  <c r="F21" i="12"/>
  <c r="T9" i="1"/>
  <c r="H9" i="8" s="1"/>
  <c r="R77" i="1"/>
  <c r="R13" i="1"/>
  <c r="F13" i="8" s="1"/>
  <c r="R11" i="1"/>
  <c r="R79" i="1" l="1"/>
  <c r="F79" i="8" s="1"/>
  <c r="F11" i="8"/>
  <c r="G21" i="12"/>
  <c r="U9" i="1"/>
  <c r="I9" i="8" s="1"/>
  <c r="S77" i="1"/>
  <c r="S13" i="1"/>
  <c r="G13" i="8" s="1"/>
  <c r="S11" i="1"/>
  <c r="S79" i="1" l="1"/>
  <c r="G79" i="8" s="1"/>
  <c r="G11" i="8"/>
  <c r="H21" i="12"/>
  <c r="T13" i="1"/>
  <c r="H13" i="8" s="1"/>
  <c r="T77" i="1"/>
  <c r="T11" i="1"/>
  <c r="V9" i="1"/>
  <c r="J9" i="8" s="1"/>
  <c r="T79" i="1" l="1"/>
  <c r="H79" i="8" s="1"/>
  <c r="H11" i="8"/>
  <c r="I21" i="12"/>
  <c r="U77" i="1"/>
  <c r="U13" i="1"/>
  <c r="I13" i="8" s="1"/>
  <c r="U11" i="1"/>
  <c r="W9" i="1"/>
  <c r="K9" i="8" s="1"/>
  <c r="U79" i="1" l="1"/>
  <c r="I79" i="8" s="1"/>
  <c r="I11" i="8"/>
  <c r="J21" i="12"/>
  <c r="V13" i="1"/>
  <c r="J13" i="8" s="1"/>
  <c r="V77" i="1"/>
  <c r="V11" i="1"/>
  <c r="X9" i="1"/>
  <c r="L9" i="8" s="1"/>
  <c r="V79" i="1" l="1"/>
  <c r="J79" i="8" s="1"/>
  <c r="J11" i="8"/>
  <c r="K21" i="12"/>
  <c r="Y9" i="1"/>
  <c r="M9" i="8" s="1"/>
  <c r="W13" i="1"/>
  <c r="K13" i="8" s="1"/>
  <c r="W77" i="1"/>
  <c r="W11" i="1"/>
  <c r="AD8" i="1"/>
  <c r="W79" i="1" l="1"/>
  <c r="K79" i="8" s="1"/>
  <c r="K11" i="8"/>
  <c r="L21" i="12"/>
  <c r="Z9" i="1"/>
  <c r="N9" i="8" s="1"/>
  <c r="X13" i="1"/>
  <c r="L13" i="8" s="1"/>
  <c r="X77" i="1"/>
  <c r="X11" i="1"/>
  <c r="X79" i="1" l="1"/>
  <c r="L79" i="8" s="1"/>
  <c r="L11" i="8"/>
  <c r="M21" i="12"/>
  <c r="AA9" i="1"/>
  <c r="Y77" i="1"/>
  <c r="Y13" i="1"/>
  <c r="M13" i="8" s="1"/>
  <c r="Y11" i="1"/>
  <c r="AD9" i="1" l="1"/>
  <c r="O9" i="8"/>
  <c r="AD9" i="8" s="1"/>
  <c r="Y79" i="1"/>
  <c r="M79" i="8" s="1"/>
  <c r="M11" i="8"/>
  <c r="N21" i="12"/>
  <c r="AD10" i="1"/>
  <c r="Z77" i="1"/>
  <c r="Z13" i="1"/>
  <c r="N13" i="8" s="1"/>
  <c r="Z11" i="1"/>
  <c r="Z79" i="1" l="1"/>
  <c r="N79" i="8" s="1"/>
  <c r="N11" i="8"/>
  <c r="O21" i="12"/>
  <c r="AA77" i="1"/>
  <c r="AA13" i="1"/>
  <c r="O13" i="8" s="1"/>
  <c r="AD12" i="1"/>
  <c r="AD77" i="1" s="1"/>
  <c r="AA11" i="1"/>
  <c r="AA79" i="1" l="1"/>
  <c r="O79" i="8" s="1"/>
  <c r="O11" i="8"/>
  <c r="P21" i="12"/>
  <c r="AD13" i="1"/>
  <c r="AD11" i="1"/>
  <c r="AD79" i="1" l="1"/>
  <c r="P10" i="8"/>
  <c r="P8" i="8"/>
  <c r="P35" i="8"/>
  <c r="T10" i="8"/>
  <c r="T8" i="8"/>
  <c r="T35" i="8"/>
  <c r="T36" i="8" s="1"/>
  <c r="Q8" i="8"/>
  <c r="Q10" i="8"/>
  <c r="Q35" i="8"/>
  <c r="Q36" i="8" s="1"/>
  <c r="AA35" i="8"/>
  <c r="AA36" i="8" s="1"/>
  <c r="Y8" i="8"/>
  <c r="Y10" i="8"/>
  <c r="Y35" i="8"/>
  <c r="Y36" i="8" s="1"/>
  <c r="S10" i="8"/>
  <c r="S8" i="8"/>
  <c r="S35" i="8"/>
  <c r="S36" i="8" s="1"/>
  <c r="R10" i="8"/>
  <c r="R8" i="8"/>
  <c r="R35" i="8"/>
  <c r="V10" i="8"/>
  <c r="V8" i="8"/>
  <c r="V9" i="8" s="1"/>
  <c r="V35" i="8"/>
  <c r="V36" i="8" s="1"/>
  <c r="U10" i="8"/>
  <c r="U8" i="8"/>
  <c r="U35" i="8"/>
  <c r="U36" i="8" s="1"/>
  <c r="X10" i="8"/>
  <c r="X8" i="8"/>
  <c r="X35" i="8"/>
  <c r="X36" i="8" s="1"/>
  <c r="W8" i="8"/>
  <c r="W10" i="8"/>
  <c r="W35" i="8"/>
  <c r="W36" i="8" s="1"/>
  <c r="Z10" i="8"/>
  <c r="Z8" i="8"/>
  <c r="Z35" i="8"/>
  <c r="Z36" i="8" s="1"/>
  <c r="E23" i="12"/>
  <c r="E19" i="12" s="1"/>
  <c r="P36" i="8" l="1"/>
  <c r="AE35" i="8"/>
  <c r="AE36" i="8" s="1"/>
  <c r="AE10" i="8"/>
  <c r="S9" i="8"/>
  <c r="Y9" i="8"/>
  <c r="T9" i="8"/>
  <c r="W9" i="8"/>
  <c r="R9" i="8"/>
  <c r="X9" i="8"/>
  <c r="Z9" i="8"/>
  <c r="Q9" i="8"/>
  <c r="U9" i="8"/>
  <c r="R36" i="8"/>
  <c r="AE8" i="8"/>
  <c r="P9" i="8"/>
  <c r="E16" i="12"/>
  <c r="S214" i="9" s="1"/>
  <c r="S248" i="9" s="1"/>
  <c r="S364" i="9"/>
  <c r="S955" i="9"/>
  <c r="S464" i="9"/>
  <c r="S465" i="9" s="1"/>
  <c r="S661" i="9"/>
  <c r="S1053" i="9"/>
  <c r="S710" i="9"/>
  <c r="S744" i="9" s="1"/>
  <c r="S1151" i="9"/>
  <c r="S759" i="9"/>
  <c r="S793" i="9" s="1"/>
  <c r="S857" i="9"/>
  <c r="S164" i="9"/>
  <c r="S1004" i="9"/>
  <c r="S906" i="9"/>
  <c r="S612" i="9"/>
  <c r="S646" i="9" s="1"/>
  <c r="E15" i="12"/>
  <c r="E17" i="12"/>
  <c r="E18" i="12"/>
  <c r="AE9" i="8" l="1"/>
  <c r="S215" i="9"/>
  <c r="S498" i="9"/>
  <c r="S314" i="9"/>
  <c r="S315" i="9" s="1"/>
  <c r="S711" i="9"/>
  <c r="S713" i="9" s="1"/>
  <c r="S760" i="9"/>
  <c r="S762" i="9" s="1"/>
  <c r="S907" i="9"/>
  <c r="S940" i="9"/>
  <c r="S1005" i="9"/>
  <c r="S1038" i="9"/>
  <c r="S165" i="9"/>
  <c r="S198" i="9"/>
  <c r="S217" i="9"/>
  <c r="S245" i="9"/>
  <c r="S858" i="9"/>
  <c r="S891" i="9"/>
  <c r="S1152" i="9"/>
  <c r="S1185" i="9"/>
  <c r="S1054" i="9"/>
  <c r="S1087" i="9"/>
  <c r="S662" i="9"/>
  <c r="S695" i="9"/>
  <c r="S613" i="9"/>
  <c r="S615" i="9" s="1"/>
  <c r="S956" i="9"/>
  <c r="S989" i="9"/>
  <c r="S365" i="9"/>
  <c r="S398" i="9"/>
  <c r="S64" i="9"/>
  <c r="S808" i="9"/>
  <c r="S414" i="9"/>
  <c r="S1249" i="9"/>
  <c r="S1298" i="9"/>
  <c r="S1494" i="9"/>
  <c r="S14" i="9"/>
  <c r="S114" i="9"/>
  <c r="S264" i="9"/>
  <c r="S514" i="9"/>
  <c r="S1102" i="9"/>
  <c r="S1445" i="9"/>
  <c r="S1543" i="9"/>
  <c r="S1200" i="9"/>
  <c r="S1347" i="9"/>
  <c r="S563" i="9"/>
  <c r="S1396" i="9"/>
  <c r="S467" i="9"/>
  <c r="S495" i="9"/>
  <c r="S790" i="9" l="1"/>
  <c r="S741" i="9"/>
  <c r="S348" i="9"/>
  <c r="S1084" i="9"/>
  <c r="S1056" i="9"/>
  <c r="S986" i="9"/>
  <c r="S958" i="9"/>
  <c r="S643" i="9"/>
  <c r="S1154" i="9"/>
  <c r="S1182" i="9"/>
  <c r="S860" i="9"/>
  <c r="S888" i="9"/>
  <c r="S220" i="9"/>
  <c r="S218" i="9"/>
  <c r="S223" i="9"/>
  <c r="S226" i="9"/>
  <c r="S235" i="9"/>
  <c r="S232" i="9"/>
  <c r="S167" i="9"/>
  <c r="S195" i="9"/>
  <c r="S345" i="9"/>
  <c r="S317" i="9"/>
  <c r="S1007" i="9"/>
  <c r="S1035" i="9"/>
  <c r="S367" i="9"/>
  <c r="S395" i="9"/>
  <c r="S664" i="9"/>
  <c r="S692" i="9"/>
  <c r="S909" i="9"/>
  <c r="S937" i="9"/>
  <c r="S1397" i="9"/>
  <c r="S1430" i="9"/>
  <c r="S597" i="9"/>
  <c r="S564" i="9"/>
  <c r="S15" i="9"/>
  <c r="S48" i="9"/>
  <c r="S1528" i="9"/>
  <c r="S1495" i="9"/>
  <c r="S1332" i="9"/>
  <c r="S1299" i="9"/>
  <c r="S515" i="9"/>
  <c r="S548" i="9"/>
  <c r="S1283" i="9"/>
  <c r="S1250" i="9"/>
  <c r="S265" i="9"/>
  <c r="S298" i="9"/>
  <c r="S448" i="9"/>
  <c r="S415" i="9"/>
  <c r="S473" i="9"/>
  <c r="S470" i="9"/>
  <c r="S468" i="9"/>
  <c r="S482" i="9"/>
  <c r="S485" i="9"/>
  <c r="S476" i="9"/>
  <c r="S809" i="9"/>
  <c r="S842" i="9"/>
  <c r="S65" i="9"/>
  <c r="S98" i="9"/>
  <c r="S1381" i="9"/>
  <c r="S1348" i="9"/>
  <c r="S771" i="9"/>
  <c r="S777" i="9"/>
  <c r="S768" i="9"/>
  <c r="S780" i="9"/>
  <c r="S763" i="9"/>
  <c r="S765" i="9"/>
  <c r="S1234" i="9"/>
  <c r="S1201" i="9"/>
  <c r="S115" i="9"/>
  <c r="S148" i="9"/>
  <c r="S719" i="9"/>
  <c r="S716" i="9"/>
  <c r="S731" i="9"/>
  <c r="S714" i="9"/>
  <c r="S728" i="9"/>
  <c r="S722" i="9"/>
  <c r="S1544" i="9"/>
  <c r="S1577" i="9"/>
  <c r="S621" i="9"/>
  <c r="S618" i="9"/>
  <c r="S633" i="9"/>
  <c r="S616" i="9"/>
  <c r="S624" i="9"/>
  <c r="S630" i="9"/>
  <c r="S1446" i="9"/>
  <c r="S1479" i="9"/>
  <c r="S1136" i="9"/>
  <c r="S1103" i="9"/>
  <c r="S479" i="9" l="1"/>
  <c r="S229" i="9"/>
  <c r="S725" i="9"/>
  <c r="S737" i="9" s="1"/>
  <c r="S323" i="9"/>
  <c r="S335" i="9"/>
  <c r="S318" i="9"/>
  <c r="S332" i="9"/>
  <c r="S320" i="9"/>
  <c r="S326" i="9"/>
  <c r="S241" i="9"/>
  <c r="S242" i="9" s="1"/>
  <c r="S230" i="9"/>
  <c r="S863" i="9"/>
  <c r="S878" i="9"/>
  <c r="S869" i="9"/>
  <c r="S866" i="9"/>
  <c r="S875" i="9"/>
  <c r="S861" i="9"/>
  <c r="S927" i="9"/>
  <c r="S915" i="9"/>
  <c r="S912" i="9"/>
  <c r="S910" i="9"/>
  <c r="S918" i="9"/>
  <c r="S924" i="9"/>
  <c r="S168" i="9"/>
  <c r="S182" i="9"/>
  <c r="S170" i="9"/>
  <c r="S185" i="9"/>
  <c r="S173" i="9"/>
  <c r="S176" i="9"/>
  <c r="S1157" i="9"/>
  <c r="S1169" i="9"/>
  <c r="S1172" i="9"/>
  <c r="S1155" i="9"/>
  <c r="S1160" i="9"/>
  <c r="S1163" i="9"/>
  <c r="S1166" i="9"/>
  <c r="S679" i="9"/>
  <c r="S670" i="9"/>
  <c r="S665" i="9"/>
  <c r="S682" i="9"/>
  <c r="S667" i="9"/>
  <c r="S673" i="9"/>
  <c r="S976" i="9"/>
  <c r="S959" i="9"/>
  <c r="S964" i="9"/>
  <c r="S961" i="9"/>
  <c r="S967" i="9"/>
  <c r="S973" i="9"/>
  <c r="S376" i="9"/>
  <c r="S370" i="9"/>
  <c r="S368" i="9"/>
  <c r="S373" i="9"/>
  <c r="S385" i="9"/>
  <c r="S382" i="9"/>
  <c r="S1071" i="9"/>
  <c r="S1057" i="9"/>
  <c r="S1059" i="9"/>
  <c r="S1074" i="9"/>
  <c r="S1062" i="9"/>
  <c r="S1065" i="9"/>
  <c r="S1016" i="9"/>
  <c r="S1022" i="9"/>
  <c r="S1010" i="9"/>
  <c r="S1025" i="9"/>
  <c r="S1008" i="9"/>
  <c r="S1013" i="9"/>
  <c r="S417" i="9"/>
  <c r="S445" i="9"/>
  <c r="S1525" i="9"/>
  <c r="S1497" i="9"/>
  <c r="S1105" i="9"/>
  <c r="S1133" i="9"/>
  <c r="S95" i="9"/>
  <c r="S67" i="9"/>
  <c r="P12" i="8"/>
  <c r="S45" i="9"/>
  <c r="S17" i="9"/>
  <c r="S774" i="9"/>
  <c r="S295" i="9"/>
  <c r="S267" i="9"/>
  <c r="S1252" i="9"/>
  <c r="S1280" i="9"/>
  <c r="S726" i="9"/>
  <c r="S480" i="9"/>
  <c r="S491" i="9"/>
  <c r="S145" i="9"/>
  <c r="S117" i="9"/>
  <c r="S1203" i="9"/>
  <c r="S1231" i="9"/>
  <c r="S594" i="9"/>
  <c r="S566" i="9"/>
  <c r="S627" i="9"/>
  <c r="S1546" i="9"/>
  <c r="S1574" i="9"/>
  <c r="S811" i="9"/>
  <c r="S839" i="9"/>
  <c r="S1378" i="9"/>
  <c r="S1350" i="9"/>
  <c r="S545" i="9"/>
  <c r="S517" i="9"/>
  <c r="S1301" i="9"/>
  <c r="S1329" i="9"/>
  <c r="S1476" i="9"/>
  <c r="S1448" i="9"/>
  <c r="S1427" i="9"/>
  <c r="S1399" i="9"/>
  <c r="S379" i="9" l="1"/>
  <c r="P11" i="8"/>
  <c r="P79" i="8" s="1"/>
  <c r="S872" i="9"/>
  <c r="S329" i="9"/>
  <c r="S341" i="9" s="1"/>
  <c r="S342" i="9" s="1"/>
  <c r="S921" i="9"/>
  <c r="S676" i="9"/>
  <c r="S688" i="9" s="1"/>
  <c r="S1068" i="9"/>
  <c r="S1080" i="9" s="1"/>
  <c r="S1081" i="9" s="1"/>
  <c r="S179" i="9"/>
  <c r="S180" i="9" s="1"/>
  <c r="S970" i="9"/>
  <c r="S922" i="9"/>
  <c r="S933" i="9"/>
  <c r="S934" i="9" s="1"/>
  <c r="S884" i="9"/>
  <c r="S885" i="9" s="1"/>
  <c r="S873" i="9"/>
  <c r="S380" i="9"/>
  <c r="S391" i="9"/>
  <c r="S392" i="9" s="1"/>
  <c r="S971" i="9"/>
  <c r="S982" i="9"/>
  <c r="S983" i="9" s="1"/>
  <c r="S1069" i="9"/>
  <c r="S1167" i="9"/>
  <c r="S1178" i="9"/>
  <c r="S1179" i="9" s="1"/>
  <c r="S1019" i="9"/>
  <c r="S120" i="9"/>
  <c r="S135" i="9"/>
  <c r="S118" i="9"/>
  <c r="S126" i="9"/>
  <c r="S132" i="9"/>
  <c r="S123" i="9"/>
  <c r="S1212" i="9"/>
  <c r="S1218" i="9"/>
  <c r="S1209" i="9"/>
  <c r="S1206" i="9"/>
  <c r="S1221" i="9"/>
  <c r="S1204" i="9"/>
  <c r="S1402" i="9"/>
  <c r="S1417" i="9"/>
  <c r="S1400" i="9"/>
  <c r="S1408" i="9"/>
  <c r="S1414" i="9"/>
  <c r="S1405" i="9"/>
  <c r="S1451" i="9"/>
  <c r="S1466" i="9"/>
  <c r="S1449" i="9"/>
  <c r="S1454" i="9"/>
  <c r="S1457" i="9"/>
  <c r="S1463" i="9"/>
  <c r="S423" i="9"/>
  <c r="S420" i="9"/>
  <c r="S435" i="9"/>
  <c r="S418" i="9"/>
  <c r="S432" i="9"/>
  <c r="S426" i="9"/>
  <c r="S270" i="9"/>
  <c r="S285" i="9"/>
  <c r="S268" i="9"/>
  <c r="S276" i="9"/>
  <c r="S282" i="9"/>
  <c r="S273" i="9"/>
  <c r="S18" i="9"/>
  <c r="P14" i="8"/>
  <c r="S26" i="9"/>
  <c r="S32" i="9"/>
  <c r="S20" i="9"/>
  <c r="S35" i="9"/>
  <c r="S23" i="9"/>
  <c r="P76" i="8"/>
  <c r="S1368" i="9"/>
  <c r="S1359" i="9"/>
  <c r="S1365" i="9"/>
  <c r="S1356" i="9"/>
  <c r="S1353" i="9"/>
  <c r="S1351" i="9"/>
  <c r="S1108" i="9"/>
  <c r="S1114" i="9"/>
  <c r="S1120" i="9"/>
  <c r="S1123" i="9"/>
  <c r="S1106" i="9"/>
  <c r="S1111" i="9"/>
  <c r="S1500" i="9"/>
  <c r="S1515" i="9"/>
  <c r="S1498" i="9"/>
  <c r="S1506" i="9"/>
  <c r="S1512" i="9"/>
  <c r="S1503" i="9"/>
  <c r="S775" i="9"/>
  <c r="S786" i="9"/>
  <c r="S738" i="9"/>
  <c r="S1552" i="9"/>
  <c r="S1549" i="9"/>
  <c r="S1547" i="9"/>
  <c r="S1555" i="9"/>
  <c r="S1564" i="9"/>
  <c r="S1561" i="9"/>
  <c r="S569" i="9"/>
  <c r="S584" i="9"/>
  <c r="S567" i="9"/>
  <c r="S575" i="9"/>
  <c r="S581" i="9"/>
  <c r="S572" i="9"/>
  <c r="S812" i="9"/>
  <c r="S820" i="9"/>
  <c r="S814" i="9"/>
  <c r="S826" i="9"/>
  <c r="S817" i="9"/>
  <c r="S829" i="9"/>
  <c r="S1302" i="9"/>
  <c r="S1310" i="9"/>
  <c r="S1316" i="9"/>
  <c r="S1304" i="9"/>
  <c r="S1319" i="9"/>
  <c r="S1307" i="9"/>
  <c r="S689" i="9"/>
  <c r="S85" i="9"/>
  <c r="S68" i="9"/>
  <c r="S76" i="9"/>
  <c r="S82" i="9"/>
  <c r="S70" i="9"/>
  <c r="S73" i="9"/>
  <c r="S520" i="9"/>
  <c r="S535" i="9"/>
  <c r="S518" i="9"/>
  <c r="S526" i="9"/>
  <c r="S532" i="9"/>
  <c r="S523" i="9"/>
  <c r="S628" i="9"/>
  <c r="S639" i="9"/>
  <c r="S1253" i="9"/>
  <c r="S1261" i="9"/>
  <c r="S1267" i="9"/>
  <c r="S1258" i="9"/>
  <c r="S1255" i="9"/>
  <c r="S1270" i="9"/>
  <c r="S492" i="9"/>
  <c r="S1264" i="9" l="1"/>
  <c r="S191" i="9"/>
  <c r="S192" i="9" s="1"/>
  <c r="S330" i="9"/>
  <c r="P77" i="8"/>
  <c r="P122" i="8"/>
  <c r="P104" i="8" s="1"/>
  <c r="P168" i="8" s="1"/>
  <c r="P44" i="8"/>
  <c r="S677" i="9"/>
  <c r="S1117" i="9"/>
  <c r="S1129" i="9" s="1"/>
  <c r="S429" i="9"/>
  <c r="S441" i="9" s="1"/>
  <c r="S79" i="9"/>
  <c r="S91" i="9" s="1"/>
  <c r="S1215" i="9"/>
  <c r="S1216" i="9" s="1"/>
  <c r="S29" i="9"/>
  <c r="S30" i="9" s="1"/>
  <c r="S1020" i="9"/>
  <c r="S1031" i="9"/>
  <c r="S1032" i="9" s="1"/>
  <c r="P23" i="8"/>
  <c r="P15" i="8"/>
  <c r="P13" i="8"/>
  <c r="P42" i="8"/>
  <c r="P57" i="8"/>
  <c r="P17" i="8"/>
  <c r="S1460" i="9"/>
  <c r="P29" i="8"/>
  <c r="S1362" i="9"/>
  <c r="S787" i="9"/>
  <c r="S279" i="9"/>
  <c r="S1313" i="9"/>
  <c r="S1265" i="9"/>
  <c r="S1276" i="9"/>
  <c r="S529" i="9"/>
  <c r="S823" i="9"/>
  <c r="S1558" i="9"/>
  <c r="S578" i="9"/>
  <c r="P20" i="8"/>
  <c r="S129" i="9"/>
  <c r="S640" i="9"/>
  <c r="S1509" i="9"/>
  <c r="P32" i="8"/>
  <c r="S1411" i="9"/>
  <c r="S80" i="9" l="1"/>
  <c r="P18" i="8"/>
  <c r="P125" i="8"/>
  <c r="P91" i="8" s="1"/>
  <c r="S430" i="9"/>
  <c r="P133" i="8"/>
  <c r="P102" i="8" s="1"/>
  <c r="P50" i="8"/>
  <c r="S1118" i="9"/>
  <c r="P30" i="8"/>
  <c r="P103" i="8"/>
  <c r="P167" i="8" s="1"/>
  <c r="P33" i="8"/>
  <c r="S1227" i="9"/>
  <c r="S1228" i="9" s="1"/>
  <c r="P21" i="8"/>
  <c r="S41" i="9"/>
  <c r="S42" i="9" s="1"/>
  <c r="S1363" i="9"/>
  <c r="S1374" i="9"/>
  <c r="S530" i="9"/>
  <c r="S541" i="9"/>
  <c r="S442" i="9"/>
  <c r="P140" i="8"/>
  <c r="P26" i="8"/>
  <c r="S590" i="9"/>
  <c r="S579" i="9"/>
  <c r="S130" i="9"/>
  <c r="S141" i="9"/>
  <c r="S280" i="9"/>
  <c r="S291" i="9"/>
  <c r="S1461" i="9"/>
  <c r="S1472" i="9"/>
  <c r="S1521" i="9"/>
  <c r="S1510" i="9"/>
  <c r="S1559" i="9"/>
  <c r="S1570" i="9"/>
  <c r="P24" i="8"/>
  <c r="S1314" i="9"/>
  <c r="S1325" i="9"/>
  <c r="S1412" i="9"/>
  <c r="S1423" i="9"/>
  <c r="S1130" i="9"/>
  <c r="S1277" i="9"/>
  <c r="S92" i="9"/>
  <c r="S824" i="9"/>
  <c r="S835" i="9"/>
  <c r="P51" i="8" l="1"/>
  <c r="P166" i="8"/>
  <c r="P105" i="8"/>
  <c r="P161" i="8"/>
  <c r="P162" i="8"/>
  <c r="P164" i="8"/>
  <c r="S591" i="9"/>
  <c r="S1571" i="9"/>
  <c r="S1326" i="9"/>
  <c r="S836" i="9"/>
  <c r="S292" i="9"/>
  <c r="S1375" i="9"/>
  <c r="S142" i="9"/>
  <c r="S1473" i="9"/>
  <c r="S1424" i="9"/>
  <c r="P27" i="8"/>
  <c r="P38" i="8"/>
  <c r="S1522" i="9"/>
  <c r="S542" i="9"/>
  <c r="P39" i="8" l="1"/>
  <c r="P53" i="8"/>
  <c r="P54" i="8" l="1"/>
  <c r="P61" i="8"/>
  <c r="P62" i="8" l="1"/>
  <c r="F23" i="12" l="1"/>
  <c r="F15" i="12" s="1"/>
  <c r="G23" i="12"/>
  <c r="G15" i="12" s="1"/>
  <c r="H23" i="12"/>
  <c r="I23" i="12"/>
  <c r="I18" i="12" s="1"/>
  <c r="J23" i="12"/>
  <c r="J18" i="12" s="1"/>
  <c r="K23" i="12"/>
  <c r="K18" i="12" s="1"/>
  <c r="L23" i="12"/>
  <c r="L18" i="12" s="1"/>
  <c r="M23" i="12"/>
  <c r="M16" i="12" s="1"/>
  <c r="N23" i="12"/>
  <c r="N16" i="12" s="1"/>
  <c r="O23" i="12"/>
  <c r="O16" i="12" s="1"/>
  <c r="P23" i="12"/>
  <c r="P16" i="12" s="1"/>
  <c r="T563" i="9" l="1"/>
  <c r="U563" i="9" s="1"/>
  <c r="P17" i="12"/>
  <c r="P19" i="12"/>
  <c r="M19" i="12"/>
  <c r="I17" i="12"/>
  <c r="L16" i="12"/>
  <c r="F18" i="12"/>
  <c r="T1543" i="9" s="1"/>
  <c r="T1577" i="9" s="1"/>
  <c r="L17" i="12"/>
  <c r="J16" i="12"/>
  <c r="T1396" i="9"/>
  <c r="T1397" i="9" s="1"/>
  <c r="T1427" i="9" s="1"/>
  <c r="I19" i="12"/>
  <c r="J17" i="12"/>
  <c r="T1445" i="9"/>
  <c r="T1446" i="9" s="1"/>
  <c r="T264" i="9"/>
  <c r="N17" i="12"/>
  <c r="M17" i="12"/>
  <c r="K17" i="12"/>
  <c r="K16" i="12"/>
  <c r="I16" i="12"/>
  <c r="L19" i="12"/>
  <c r="N15" i="12"/>
  <c r="K19" i="12"/>
  <c r="M15" i="12"/>
  <c r="J19" i="12"/>
  <c r="L15" i="12"/>
  <c r="K15" i="12"/>
  <c r="F19" i="12"/>
  <c r="J15" i="12"/>
  <c r="T1200" i="9"/>
  <c r="T14" i="9"/>
  <c r="I15" i="12"/>
  <c r="N19" i="12"/>
  <c r="T1347" i="9"/>
  <c r="T1102" i="9"/>
  <c r="T514" i="9"/>
  <c r="G18" i="12"/>
  <c r="U1543" i="9" s="1"/>
  <c r="U564" i="9"/>
  <c r="U597" i="9"/>
  <c r="T1544" i="9"/>
  <c r="T597" i="9"/>
  <c r="T564" i="9"/>
  <c r="H15" i="12"/>
  <c r="V563" i="9" s="1"/>
  <c r="H17" i="12"/>
  <c r="H19" i="12"/>
  <c r="H16" i="12"/>
  <c r="H18" i="12"/>
  <c r="O19" i="12"/>
  <c r="G16" i="12"/>
  <c r="O17" i="12"/>
  <c r="F16" i="12"/>
  <c r="P15" i="12"/>
  <c r="O15" i="12"/>
  <c r="G19" i="12"/>
  <c r="P18" i="12"/>
  <c r="G17" i="12"/>
  <c r="O18" i="12"/>
  <c r="F17" i="12"/>
  <c r="N18" i="12"/>
  <c r="M18" i="12"/>
  <c r="U514" i="9" l="1"/>
  <c r="T114" i="9"/>
  <c r="T148" i="9" s="1"/>
  <c r="T1479" i="9"/>
  <c r="T1430" i="9"/>
  <c r="T1399" i="9"/>
  <c r="U1396" i="9"/>
  <c r="U1397" i="9" s="1"/>
  <c r="U1544" i="9"/>
  <c r="U1577" i="9"/>
  <c r="T1201" i="9"/>
  <c r="T1234" i="9"/>
  <c r="U1200" i="9"/>
  <c r="T115" i="9"/>
  <c r="T117" i="9" s="1"/>
  <c r="T364" i="9"/>
  <c r="T857" i="9"/>
  <c r="T1004" i="9"/>
  <c r="U1004" i="9" s="1"/>
  <c r="T1151" i="9"/>
  <c r="T661" i="9"/>
  <c r="T464" i="9"/>
  <c r="T906" i="9"/>
  <c r="T955" i="9"/>
  <c r="T1053" i="9"/>
  <c r="T164" i="9"/>
  <c r="T612" i="9"/>
  <c r="T710" i="9"/>
  <c r="T759" i="9"/>
  <c r="V1543" i="9"/>
  <c r="W1543" i="9" s="1"/>
  <c r="T548" i="9"/>
  <c r="T515" i="9"/>
  <c r="T1103" i="9"/>
  <c r="T1136" i="9"/>
  <c r="U1347" i="9"/>
  <c r="T1348" i="9"/>
  <c r="T1381" i="9"/>
  <c r="U1102" i="9"/>
  <c r="U1103" i="9" s="1"/>
  <c r="U264" i="9"/>
  <c r="T298" i="9"/>
  <c r="T265" i="9"/>
  <c r="U1445" i="9"/>
  <c r="V1445" i="9" s="1"/>
  <c r="U114" i="9"/>
  <c r="V114" i="9" s="1"/>
  <c r="U14" i="9"/>
  <c r="T15" i="9"/>
  <c r="T48" i="9"/>
  <c r="W563" i="9"/>
  <c r="V564" i="9"/>
  <c r="V597" i="9"/>
  <c r="U515" i="9"/>
  <c r="U548" i="9"/>
  <c r="V514" i="9"/>
  <c r="T1546" i="9"/>
  <c r="T1574" i="9"/>
  <c r="T594" i="9"/>
  <c r="T566" i="9"/>
  <c r="U1546" i="9"/>
  <c r="U1574" i="9"/>
  <c r="V1396" i="9"/>
  <c r="V1347" i="9"/>
  <c r="U594" i="9"/>
  <c r="U566" i="9"/>
  <c r="T1448" i="9"/>
  <c r="T1476" i="9"/>
  <c r="T64" i="9"/>
  <c r="T808" i="9"/>
  <c r="T414" i="9"/>
  <c r="T1494" i="9"/>
  <c r="T1249" i="9"/>
  <c r="T1298" i="9"/>
  <c r="T1414" i="9"/>
  <c r="T1408" i="9"/>
  <c r="T1400" i="9"/>
  <c r="T1405" i="9"/>
  <c r="T1417" i="9"/>
  <c r="T1402" i="9"/>
  <c r="T214" i="9"/>
  <c r="T314" i="9"/>
  <c r="U1430" i="9" l="1"/>
  <c r="T145" i="9"/>
  <c r="T1411" i="9"/>
  <c r="V1577" i="9"/>
  <c r="T793" i="9"/>
  <c r="T760" i="9"/>
  <c r="T744" i="9"/>
  <c r="T711" i="9"/>
  <c r="T613" i="9"/>
  <c r="T646" i="9"/>
  <c r="T17" i="9"/>
  <c r="T45" i="9"/>
  <c r="T165" i="9"/>
  <c r="T198" i="9"/>
  <c r="U164" i="9"/>
  <c r="U15" i="9"/>
  <c r="V14" i="9"/>
  <c r="U48" i="9"/>
  <c r="T1054" i="9"/>
  <c r="T1087" i="9"/>
  <c r="U1053" i="9"/>
  <c r="T956" i="9"/>
  <c r="T989" i="9"/>
  <c r="U115" i="9"/>
  <c r="U1446" i="9"/>
  <c r="U1479" i="9"/>
  <c r="T907" i="9"/>
  <c r="U906" i="9"/>
  <c r="T940" i="9"/>
  <c r="U148" i="9"/>
  <c r="T267" i="9"/>
  <c r="T295" i="9"/>
  <c r="T465" i="9"/>
  <c r="T498" i="9"/>
  <c r="U464" i="9"/>
  <c r="U759" i="9"/>
  <c r="U760" i="9" s="1"/>
  <c r="T662" i="9"/>
  <c r="U661" i="9"/>
  <c r="T695" i="9"/>
  <c r="U265" i="9"/>
  <c r="V264" i="9"/>
  <c r="U298" i="9"/>
  <c r="T1185" i="9"/>
  <c r="T1152" i="9"/>
  <c r="U1151" i="9"/>
  <c r="T1038" i="9"/>
  <c r="T1005" i="9"/>
  <c r="T858" i="9"/>
  <c r="T891" i="9"/>
  <c r="T1350" i="9"/>
  <c r="T1378" i="9"/>
  <c r="T398" i="9"/>
  <c r="T365" i="9"/>
  <c r="V1102" i="9"/>
  <c r="V1136" i="9" s="1"/>
  <c r="U1348" i="9"/>
  <c r="U1381" i="9"/>
  <c r="U1234" i="9"/>
  <c r="U1201" i="9"/>
  <c r="T1105" i="9"/>
  <c r="T1133" i="9"/>
  <c r="V1544" i="9"/>
  <c r="V1546" i="9" s="1"/>
  <c r="U857" i="9"/>
  <c r="V857" i="9" s="1"/>
  <c r="V1200" i="9"/>
  <c r="V1201" i="9" s="1"/>
  <c r="U364" i="9"/>
  <c r="T1231" i="9"/>
  <c r="T1203" i="9"/>
  <c r="U1136" i="9"/>
  <c r="U955" i="9"/>
  <c r="U956" i="9" s="1"/>
  <c r="U710" i="9"/>
  <c r="T545" i="9"/>
  <c r="T517" i="9"/>
  <c r="U612" i="9"/>
  <c r="V612" i="9" s="1"/>
  <c r="T1412" i="9"/>
  <c r="T1423" i="9"/>
  <c r="U1105" i="9"/>
  <c r="U1133" i="9"/>
  <c r="U989" i="9"/>
  <c r="V955" i="9"/>
  <c r="T448" i="9"/>
  <c r="U414" i="9"/>
  <c r="T415" i="9"/>
  <c r="T1250" i="9"/>
  <c r="T1283" i="9"/>
  <c r="U1249" i="9"/>
  <c r="T1495" i="9"/>
  <c r="T1528" i="9"/>
  <c r="U1494" i="9"/>
  <c r="U572" i="9"/>
  <c r="U584" i="9"/>
  <c r="U569" i="9"/>
  <c r="U581" i="9"/>
  <c r="U575" i="9"/>
  <c r="U567" i="9"/>
  <c r="T809" i="9"/>
  <c r="T842" i="9"/>
  <c r="U808" i="9"/>
  <c r="V710" i="9"/>
  <c r="U711" i="9"/>
  <c r="U744" i="9"/>
  <c r="T65" i="9"/>
  <c r="T98" i="9"/>
  <c r="U64" i="9"/>
  <c r="V1381" i="9"/>
  <c r="W1347" i="9"/>
  <c r="V1348" i="9"/>
  <c r="T1552" i="9"/>
  <c r="T1561" i="9"/>
  <c r="T1549" i="9"/>
  <c r="T1555" i="9"/>
  <c r="T1547" i="9"/>
  <c r="T1564" i="9"/>
  <c r="V1397" i="9"/>
  <c r="W1396" i="9"/>
  <c r="V1430" i="9"/>
  <c r="U1549" i="9"/>
  <c r="U1558" i="9" s="1"/>
  <c r="U1561" i="9"/>
  <c r="U1555" i="9"/>
  <c r="U1547" i="9"/>
  <c r="U1552" i="9"/>
  <c r="U1564" i="9"/>
  <c r="V1004" i="9"/>
  <c r="U1005" i="9"/>
  <c r="U1038" i="9"/>
  <c r="U1427" i="9"/>
  <c r="U1399" i="9"/>
  <c r="T1299" i="9"/>
  <c r="T1332" i="9"/>
  <c r="U1298" i="9"/>
  <c r="T135" i="9"/>
  <c r="T126" i="9"/>
  <c r="T132" i="9"/>
  <c r="T118" i="9"/>
  <c r="T123" i="9"/>
  <c r="T120" i="9"/>
  <c r="V515" i="9"/>
  <c r="V548" i="9"/>
  <c r="W514" i="9"/>
  <c r="U117" i="9"/>
  <c r="U145" i="9"/>
  <c r="U545" i="9"/>
  <c r="U517" i="9"/>
  <c r="T215" i="9"/>
  <c r="U214" i="9"/>
  <c r="T248" i="9"/>
  <c r="V148" i="9"/>
  <c r="W114" i="9"/>
  <c r="V115" i="9"/>
  <c r="T315" i="9"/>
  <c r="U314" i="9"/>
  <c r="T348" i="9"/>
  <c r="T1466" i="9"/>
  <c r="T1451" i="9"/>
  <c r="T1463" i="9"/>
  <c r="T1457" i="9"/>
  <c r="T1449" i="9"/>
  <c r="T1454" i="9"/>
  <c r="T569" i="9"/>
  <c r="T575" i="9"/>
  <c r="T567" i="9"/>
  <c r="T581" i="9"/>
  <c r="T584" i="9"/>
  <c r="T572" i="9"/>
  <c r="V594" i="9"/>
  <c r="V566" i="9"/>
  <c r="X563" i="9"/>
  <c r="W564" i="9"/>
  <c r="W597" i="9"/>
  <c r="W1445" i="9"/>
  <c r="V1446" i="9"/>
  <c r="V1479" i="9"/>
  <c r="W1577" i="9"/>
  <c r="X1543" i="9"/>
  <c r="W1544" i="9"/>
  <c r="U793" i="9" l="1"/>
  <c r="V1574" i="9"/>
  <c r="V759" i="9"/>
  <c r="V793" i="9" s="1"/>
  <c r="U613" i="9"/>
  <c r="U858" i="9"/>
  <c r="U888" i="9" s="1"/>
  <c r="U891" i="9"/>
  <c r="W1102" i="9"/>
  <c r="W1103" i="9" s="1"/>
  <c r="V1103" i="9"/>
  <c r="V1105" i="9" s="1"/>
  <c r="T1558" i="9"/>
  <c r="T1559" i="9" s="1"/>
  <c r="U646" i="9"/>
  <c r="T986" i="9"/>
  <c r="T958" i="9"/>
  <c r="V265" i="9"/>
  <c r="V298" i="9"/>
  <c r="W264" i="9"/>
  <c r="V1053" i="9"/>
  <c r="U1054" i="9"/>
  <c r="U1087" i="9"/>
  <c r="U267" i="9"/>
  <c r="U295" i="9"/>
  <c r="T1108" i="9"/>
  <c r="T1123" i="9"/>
  <c r="T1111" i="9"/>
  <c r="T1106" i="9"/>
  <c r="T1120" i="9"/>
  <c r="T1114" i="9"/>
  <c r="T1056" i="9"/>
  <c r="T1084" i="9"/>
  <c r="U1231" i="9"/>
  <c r="U1203" i="9"/>
  <c r="U662" i="9"/>
  <c r="U695" i="9"/>
  <c r="V661" i="9"/>
  <c r="T692" i="9"/>
  <c r="T664" i="9"/>
  <c r="V48" i="9"/>
  <c r="W14" i="9"/>
  <c r="V15" i="9"/>
  <c r="V1234" i="9"/>
  <c r="U45" i="9"/>
  <c r="U17" i="9"/>
  <c r="U578" i="9"/>
  <c r="U590" i="9" s="1"/>
  <c r="U591" i="9" s="1"/>
  <c r="U1378" i="9"/>
  <c r="U1350" i="9"/>
  <c r="V464" i="9"/>
  <c r="U498" i="9"/>
  <c r="U465" i="9"/>
  <c r="V164" i="9"/>
  <c r="U198" i="9"/>
  <c r="U165" i="9"/>
  <c r="W1200" i="9"/>
  <c r="W1234" i="9" s="1"/>
  <c r="T395" i="9"/>
  <c r="T367" i="9"/>
  <c r="T495" i="9"/>
  <c r="T467" i="9"/>
  <c r="T195" i="9"/>
  <c r="T167" i="9"/>
  <c r="T535" i="9"/>
  <c r="T526" i="9"/>
  <c r="T518" i="9"/>
  <c r="T523" i="9"/>
  <c r="T532" i="9"/>
  <c r="T520" i="9"/>
  <c r="T268" i="9"/>
  <c r="T276" i="9"/>
  <c r="T285" i="9"/>
  <c r="T273" i="9"/>
  <c r="T270" i="9"/>
  <c r="T282" i="9"/>
  <c r="T18" i="9"/>
  <c r="T26" i="9"/>
  <c r="T32" i="9"/>
  <c r="T23" i="9"/>
  <c r="T20" i="9"/>
  <c r="T35" i="9"/>
  <c r="T1351" i="9"/>
  <c r="T1368" i="9"/>
  <c r="T1359" i="9"/>
  <c r="T1356" i="9"/>
  <c r="T1365" i="9"/>
  <c r="T1353" i="9"/>
  <c r="T615" i="9"/>
  <c r="T643" i="9"/>
  <c r="T888" i="9"/>
  <c r="T860" i="9"/>
  <c r="U940" i="9"/>
  <c r="U907" i="9"/>
  <c r="V906" i="9"/>
  <c r="T741" i="9"/>
  <c r="T713" i="9"/>
  <c r="T1460" i="9"/>
  <c r="T1461" i="9" s="1"/>
  <c r="T1035" i="9"/>
  <c r="T1007" i="9"/>
  <c r="T937" i="9"/>
  <c r="T909" i="9"/>
  <c r="T1209" i="9"/>
  <c r="T1204" i="9"/>
  <c r="T1212" i="9"/>
  <c r="T1218" i="9"/>
  <c r="T1221" i="9"/>
  <c r="T1206" i="9"/>
  <c r="T790" i="9"/>
  <c r="T762" i="9"/>
  <c r="V1151" i="9"/>
  <c r="U1152" i="9"/>
  <c r="U1185" i="9"/>
  <c r="U1476" i="9"/>
  <c r="U1448" i="9"/>
  <c r="U365" i="9"/>
  <c r="V364" i="9"/>
  <c r="U398" i="9"/>
  <c r="T1182" i="9"/>
  <c r="T1154" i="9"/>
  <c r="U809" i="9"/>
  <c r="U842" i="9"/>
  <c r="V808" i="9"/>
  <c r="W1004" i="9"/>
  <c r="V1005" i="9"/>
  <c r="V1038" i="9"/>
  <c r="W759" i="9"/>
  <c r="V1231" i="9"/>
  <c r="V1203" i="9"/>
  <c r="V1378" i="9"/>
  <c r="V1350" i="9"/>
  <c r="T811" i="9"/>
  <c r="T839" i="9"/>
  <c r="U1035" i="9"/>
  <c r="U1007" i="9"/>
  <c r="U643" i="9"/>
  <c r="U615" i="9"/>
  <c r="U135" i="9"/>
  <c r="U126" i="9"/>
  <c r="U132" i="9"/>
  <c r="U118" i="9"/>
  <c r="U123" i="9"/>
  <c r="U120" i="9"/>
  <c r="W1381" i="9"/>
  <c r="X1347" i="9"/>
  <c r="W1348" i="9"/>
  <c r="U520" i="9"/>
  <c r="U532" i="9"/>
  <c r="U526" i="9"/>
  <c r="U518" i="9"/>
  <c r="U523" i="9"/>
  <c r="U535" i="9"/>
  <c r="U790" i="9"/>
  <c r="U762" i="9"/>
  <c r="V646" i="9"/>
  <c r="W612" i="9"/>
  <c r="V613" i="9"/>
  <c r="U215" i="9"/>
  <c r="U248" i="9"/>
  <c r="V214" i="9"/>
  <c r="U860" i="9"/>
  <c r="T445" i="9"/>
  <c r="T417" i="9"/>
  <c r="V572" i="9"/>
  <c r="V584" i="9"/>
  <c r="V569" i="9"/>
  <c r="V581" i="9"/>
  <c r="V575" i="9"/>
  <c r="V567" i="9"/>
  <c r="T217" i="9"/>
  <c r="T245" i="9"/>
  <c r="T129" i="9"/>
  <c r="W857" i="9"/>
  <c r="V858" i="9"/>
  <c r="V891" i="9"/>
  <c r="U448" i="9"/>
  <c r="V414" i="9"/>
  <c r="U415" i="9"/>
  <c r="U1570" i="9"/>
  <c r="U1571" i="9" s="1"/>
  <c r="U1559" i="9"/>
  <c r="W1397" i="9"/>
  <c r="X1396" i="9"/>
  <c r="W1430" i="9"/>
  <c r="U65" i="9"/>
  <c r="U98" i="9"/>
  <c r="V64" i="9"/>
  <c r="V956" i="9"/>
  <c r="V989" i="9"/>
  <c r="W955" i="9"/>
  <c r="T95" i="9"/>
  <c r="T67" i="9"/>
  <c r="Q12" i="8"/>
  <c r="W566" i="9"/>
  <c r="W594" i="9"/>
  <c r="T1497" i="9"/>
  <c r="T1525" i="9"/>
  <c r="U958" i="9"/>
  <c r="U986" i="9"/>
  <c r="X564" i="9"/>
  <c r="X597" i="9"/>
  <c r="Y563" i="9"/>
  <c r="U1299" i="9"/>
  <c r="U1332" i="9"/>
  <c r="V1298" i="9"/>
  <c r="U741" i="9"/>
  <c r="U713" i="9"/>
  <c r="V1427" i="9"/>
  <c r="V1399" i="9"/>
  <c r="W710" i="9"/>
  <c r="V711" i="9"/>
  <c r="V744" i="9"/>
  <c r="U1250" i="9"/>
  <c r="U1283" i="9"/>
  <c r="V1249" i="9"/>
  <c r="T1301" i="9"/>
  <c r="T1329" i="9"/>
  <c r="T1570" i="9"/>
  <c r="U1123" i="9"/>
  <c r="U1108" i="9"/>
  <c r="U1120" i="9"/>
  <c r="U1114" i="9"/>
  <c r="U1106" i="9"/>
  <c r="U1111" i="9"/>
  <c r="T1280" i="9"/>
  <c r="T1252" i="9"/>
  <c r="T1424" i="9"/>
  <c r="V1494" i="9"/>
  <c r="U1495" i="9"/>
  <c r="U1528" i="9"/>
  <c r="V1476" i="9"/>
  <c r="V1448" i="9"/>
  <c r="W515" i="9"/>
  <c r="W548" i="9"/>
  <c r="X514" i="9"/>
  <c r="W1546" i="9"/>
  <c r="W1574" i="9"/>
  <c r="W148" i="9"/>
  <c r="X114" i="9"/>
  <c r="W115" i="9"/>
  <c r="T345" i="9"/>
  <c r="T317" i="9"/>
  <c r="V1133" i="9"/>
  <c r="V1549" i="9"/>
  <c r="V1561" i="9"/>
  <c r="V1555" i="9"/>
  <c r="V1564" i="9"/>
  <c r="V1547" i="9"/>
  <c r="V1552" i="9"/>
  <c r="X1445" i="9"/>
  <c r="W1446" i="9"/>
  <c r="W1479" i="9"/>
  <c r="V117" i="9"/>
  <c r="V145" i="9"/>
  <c r="Y1543" i="9"/>
  <c r="X1577" i="9"/>
  <c r="X1544" i="9"/>
  <c r="T578" i="9"/>
  <c r="U315" i="9"/>
  <c r="U348" i="9"/>
  <c r="V314" i="9"/>
  <c r="V545" i="9"/>
  <c r="V517" i="9"/>
  <c r="U1402" i="9"/>
  <c r="U1414" i="9"/>
  <c r="U1408" i="9"/>
  <c r="U1400" i="9"/>
  <c r="U1405" i="9"/>
  <c r="U1417" i="9"/>
  <c r="V760" i="9" l="1"/>
  <c r="T279" i="9"/>
  <c r="X1200" i="9"/>
  <c r="T1472" i="9"/>
  <c r="W1201" i="9"/>
  <c r="U129" i="9"/>
  <c r="W1136" i="9"/>
  <c r="X1102" i="9"/>
  <c r="T1362" i="9"/>
  <c r="T29" i="9"/>
  <c r="T529" i="9"/>
  <c r="T530" i="9" s="1"/>
  <c r="T1215" i="9"/>
  <c r="T1227" i="9" s="1"/>
  <c r="T1228" i="9" s="1"/>
  <c r="T1117" i="9"/>
  <c r="T1129" i="9" s="1"/>
  <c r="T1130" i="9" s="1"/>
  <c r="U579" i="9"/>
  <c r="T291" i="9"/>
  <c r="T292" i="9" s="1"/>
  <c r="T280" i="9"/>
  <c r="T1216" i="9"/>
  <c r="T30" i="9"/>
  <c r="T41" i="9"/>
  <c r="T42" i="9" s="1"/>
  <c r="W1151" i="9"/>
  <c r="V1152" i="9"/>
  <c r="V1185" i="9"/>
  <c r="T878" i="9"/>
  <c r="T861" i="9"/>
  <c r="T866" i="9"/>
  <c r="T863" i="9"/>
  <c r="T875" i="9"/>
  <c r="T869" i="9"/>
  <c r="V165" i="9"/>
  <c r="W164" i="9"/>
  <c r="V198" i="9"/>
  <c r="T765" i="9"/>
  <c r="T771" i="9"/>
  <c r="T768" i="9"/>
  <c r="T777" i="9"/>
  <c r="T780" i="9"/>
  <c r="T763" i="9"/>
  <c r="U495" i="9"/>
  <c r="U467" i="9"/>
  <c r="T1071" i="9"/>
  <c r="T1065" i="9"/>
  <c r="T1057" i="9"/>
  <c r="T1062" i="9"/>
  <c r="T1074" i="9"/>
  <c r="T1059" i="9"/>
  <c r="T633" i="9"/>
  <c r="T624" i="9"/>
  <c r="T616" i="9"/>
  <c r="T621" i="9"/>
  <c r="T618" i="9"/>
  <c r="T630" i="9"/>
  <c r="V498" i="9"/>
  <c r="V465" i="9"/>
  <c r="W464" i="9"/>
  <c r="T1363" i="9"/>
  <c r="T1374" i="9"/>
  <c r="T1375" i="9" s="1"/>
  <c r="U1351" i="9"/>
  <c r="U1356" i="9"/>
  <c r="U1353" i="9"/>
  <c r="U1368" i="9"/>
  <c r="U1359" i="9"/>
  <c r="U1365" i="9"/>
  <c r="U1154" i="9"/>
  <c r="U1182" i="9"/>
  <c r="U23" i="9"/>
  <c r="U18" i="9"/>
  <c r="U32" i="9"/>
  <c r="U35" i="9"/>
  <c r="U26" i="9"/>
  <c r="U20" i="9"/>
  <c r="T915" i="9"/>
  <c r="T912" i="9"/>
  <c r="T910" i="9"/>
  <c r="T924" i="9"/>
  <c r="T918" i="9"/>
  <c r="T927" i="9"/>
  <c r="V17" i="9"/>
  <c r="V45" i="9"/>
  <c r="U270" i="9"/>
  <c r="U276" i="9"/>
  <c r="U285" i="9"/>
  <c r="U268" i="9"/>
  <c r="U282" i="9"/>
  <c r="U273" i="9"/>
  <c r="T1155" i="9"/>
  <c r="T1172" i="9"/>
  <c r="T1157" i="9"/>
  <c r="T1169" i="9"/>
  <c r="T1163" i="9"/>
  <c r="T1160" i="9"/>
  <c r="T170" i="9"/>
  <c r="T173" i="9"/>
  <c r="T176" i="9"/>
  <c r="T168" i="9"/>
  <c r="T185" i="9"/>
  <c r="T182" i="9"/>
  <c r="W48" i="9"/>
  <c r="X14" i="9"/>
  <c r="W15" i="9"/>
  <c r="T1013" i="9"/>
  <c r="T1025" i="9"/>
  <c r="T1010" i="9"/>
  <c r="T1022" i="9"/>
  <c r="T1016" i="9"/>
  <c r="T1008" i="9"/>
  <c r="U1056" i="9"/>
  <c r="U1084" i="9"/>
  <c r="T468" i="9"/>
  <c r="T485" i="9"/>
  <c r="T470" i="9"/>
  <c r="T473" i="9"/>
  <c r="T476" i="9"/>
  <c r="T482" i="9"/>
  <c r="T670" i="9"/>
  <c r="T667" i="9"/>
  <c r="T679" i="9"/>
  <c r="T673" i="9"/>
  <c r="T665" i="9"/>
  <c r="T682" i="9"/>
  <c r="V1087" i="9"/>
  <c r="V1054" i="9"/>
  <c r="W1053" i="9"/>
  <c r="W364" i="9"/>
  <c r="V365" i="9"/>
  <c r="V398" i="9"/>
  <c r="X264" i="9"/>
  <c r="W265" i="9"/>
  <c r="W298" i="9"/>
  <c r="U395" i="9"/>
  <c r="U367" i="9"/>
  <c r="T714" i="9"/>
  <c r="T731" i="9"/>
  <c r="T722" i="9"/>
  <c r="T719" i="9"/>
  <c r="T716" i="9"/>
  <c r="T728" i="9"/>
  <c r="T382" i="9"/>
  <c r="T368" i="9"/>
  <c r="T370" i="9"/>
  <c r="T373" i="9"/>
  <c r="T376" i="9"/>
  <c r="T385" i="9"/>
  <c r="V662" i="9"/>
  <c r="V695" i="9"/>
  <c r="W661" i="9"/>
  <c r="U1454" i="9"/>
  <c r="U1457" i="9"/>
  <c r="U1466" i="9"/>
  <c r="U1463" i="9"/>
  <c r="U1449" i="9"/>
  <c r="U1451" i="9"/>
  <c r="V267" i="9"/>
  <c r="V295" i="9"/>
  <c r="V940" i="9"/>
  <c r="V907" i="9"/>
  <c r="W906" i="9"/>
  <c r="U692" i="9"/>
  <c r="U664" i="9"/>
  <c r="T973" i="9"/>
  <c r="T959" i="9"/>
  <c r="T976" i="9"/>
  <c r="T964" i="9"/>
  <c r="T961" i="9"/>
  <c r="T967" i="9"/>
  <c r="V578" i="9"/>
  <c r="V579" i="9" s="1"/>
  <c r="U909" i="9"/>
  <c r="U937" i="9"/>
  <c r="U195" i="9"/>
  <c r="U167" i="9"/>
  <c r="U1204" i="9"/>
  <c r="U1209" i="9"/>
  <c r="U1221" i="9"/>
  <c r="U1206" i="9"/>
  <c r="U1218" i="9"/>
  <c r="U1212" i="9"/>
  <c r="W711" i="9"/>
  <c r="W744" i="9"/>
  <c r="X710" i="9"/>
  <c r="V762" i="9"/>
  <c r="V790" i="9"/>
  <c r="V65" i="9"/>
  <c r="V98" i="9"/>
  <c r="W64" i="9"/>
  <c r="W760" i="9"/>
  <c r="W793" i="9"/>
  <c r="X759" i="9"/>
  <c r="V809" i="9"/>
  <c r="V842" i="9"/>
  <c r="W808" i="9"/>
  <c r="X515" i="9"/>
  <c r="Y514" i="9"/>
  <c r="X548" i="9"/>
  <c r="V135" i="9"/>
  <c r="V120" i="9"/>
  <c r="V126" i="9"/>
  <c r="V132" i="9"/>
  <c r="V118" i="9"/>
  <c r="V123" i="9"/>
  <c r="V1558" i="9"/>
  <c r="T320" i="9"/>
  <c r="T326" i="9"/>
  <c r="T318" i="9"/>
  <c r="T323" i="9"/>
  <c r="T335" i="9"/>
  <c r="T332" i="9"/>
  <c r="W545" i="9"/>
  <c r="W517" i="9"/>
  <c r="T1267" i="9"/>
  <c r="T1261" i="9"/>
  <c r="T1253" i="9"/>
  <c r="T1258" i="9"/>
  <c r="T1270" i="9"/>
  <c r="T1255" i="9"/>
  <c r="T1571" i="9"/>
  <c r="W584" i="9"/>
  <c r="W581" i="9"/>
  <c r="W575" i="9"/>
  <c r="W567" i="9"/>
  <c r="W569" i="9"/>
  <c r="W572" i="9"/>
  <c r="V215" i="9"/>
  <c r="V248" i="9"/>
  <c r="W214" i="9"/>
  <c r="U95" i="9"/>
  <c r="U67" i="9"/>
  <c r="R12" i="8"/>
  <c r="R11" i="8" s="1"/>
  <c r="R79" i="8" s="1"/>
  <c r="U811" i="9"/>
  <c r="U839" i="9"/>
  <c r="X1381" i="9"/>
  <c r="Y1347" i="9"/>
  <c r="X1348" i="9"/>
  <c r="T814" i="9"/>
  <c r="T820" i="9"/>
  <c r="T817" i="9"/>
  <c r="T826" i="9"/>
  <c r="T812" i="9"/>
  <c r="T829" i="9"/>
  <c r="U345" i="9"/>
  <c r="U317" i="9"/>
  <c r="V1454" i="9"/>
  <c r="V1466" i="9"/>
  <c r="V1463" i="9"/>
  <c r="V1457" i="9"/>
  <c r="V1451" i="9"/>
  <c r="V1449" i="9"/>
  <c r="U976" i="9"/>
  <c r="U961" i="9"/>
  <c r="U973" i="9"/>
  <c r="U967" i="9"/>
  <c r="U959" i="9"/>
  <c r="U964" i="9"/>
  <c r="U866" i="9"/>
  <c r="U878" i="9"/>
  <c r="U863" i="9"/>
  <c r="U875" i="9"/>
  <c r="U869" i="9"/>
  <c r="U861" i="9"/>
  <c r="W1231" i="9"/>
  <c r="W1203" i="9"/>
  <c r="Z563" i="9"/>
  <c r="Y564" i="9"/>
  <c r="Y597" i="9"/>
  <c r="W1476" i="9"/>
  <c r="W1448" i="9"/>
  <c r="Y1445" i="9"/>
  <c r="X1446" i="9"/>
  <c r="X1479" i="9"/>
  <c r="X1397" i="9"/>
  <c r="X1430" i="9"/>
  <c r="Y1396" i="9"/>
  <c r="T1319" i="9"/>
  <c r="T1304" i="9"/>
  <c r="T1316" i="9"/>
  <c r="T1310" i="9"/>
  <c r="T1302" i="9"/>
  <c r="T1307" i="9"/>
  <c r="Y114" i="9"/>
  <c r="X148" i="9"/>
  <c r="X115" i="9"/>
  <c r="T1498" i="9"/>
  <c r="T1515" i="9"/>
  <c r="T1506" i="9"/>
  <c r="T1503" i="9"/>
  <c r="T1512" i="9"/>
  <c r="T1500" i="9"/>
  <c r="T232" i="9"/>
  <c r="T220" i="9"/>
  <c r="T235" i="9"/>
  <c r="T218" i="9"/>
  <c r="T223" i="9"/>
  <c r="T226" i="9"/>
  <c r="U1008" i="9"/>
  <c r="U1013" i="9"/>
  <c r="U1025" i="9"/>
  <c r="U1010" i="9"/>
  <c r="U1022" i="9"/>
  <c r="U1016" i="9"/>
  <c r="V1359" i="9"/>
  <c r="V1351" i="9"/>
  <c r="V1356" i="9"/>
  <c r="V1368" i="9"/>
  <c r="V1353" i="9"/>
  <c r="V1365" i="9"/>
  <c r="W1549" i="9"/>
  <c r="W1561" i="9"/>
  <c r="W1564" i="9"/>
  <c r="W1552" i="9"/>
  <c r="W1555" i="9"/>
  <c r="W1547" i="9"/>
  <c r="T426" i="9"/>
  <c r="T423" i="9"/>
  <c r="T435" i="9"/>
  <c r="T420" i="9"/>
  <c r="T432" i="9"/>
  <c r="T418" i="9"/>
  <c r="V348" i="9"/>
  <c r="W314" i="9"/>
  <c r="V315" i="9"/>
  <c r="Q11" i="8"/>
  <c r="Q79" i="8" s="1"/>
  <c r="W1133" i="9"/>
  <c r="W1105" i="9"/>
  <c r="U445" i="9"/>
  <c r="U417" i="9"/>
  <c r="V643" i="9"/>
  <c r="V615" i="9"/>
  <c r="X612" i="9"/>
  <c r="W613" i="9"/>
  <c r="W646" i="9"/>
  <c r="X1546" i="9"/>
  <c r="X1574" i="9"/>
  <c r="Y1102" i="9"/>
  <c r="X1103" i="9"/>
  <c r="X1136" i="9"/>
  <c r="W414" i="9"/>
  <c r="V415" i="9"/>
  <c r="V448" i="9"/>
  <c r="U771" i="9"/>
  <c r="U763" i="9"/>
  <c r="U768" i="9"/>
  <c r="U780" i="9"/>
  <c r="U765" i="9"/>
  <c r="U777" i="9"/>
  <c r="X594" i="9"/>
  <c r="X566" i="9"/>
  <c r="V1111" i="9"/>
  <c r="V1123" i="9"/>
  <c r="V1108" i="9"/>
  <c r="V1120" i="9"/>
  <c r="V1114" i="9"/>
  <c r="V1106" i="9"/>
  <c r="X1234" i="9"/>
  <c r="Y1200" i="9"/>
  <c r="X1201" i="9"/>
  <c r="V1035" i="9"/>
  <c r="V1007" i="9"/>
  <c r="T1473" i="9"/>
  <c r="U217" i="9"/>
  <c r="U245" i="9"/>
  <c r="W1427" i="9"/>
  <c r="W1399" i="9"/>
  <c r="W1378" i="9"/>
  <c r="W1350" i="9"/>
  <c r="U719" i="9"/>
  <c r="U731" i="9"/>
  <c r="U716" i="9"/>
  <c r="U728" i="9"/>
  <c r="U722" i="9"/>
  <c r="U714" i="9"/>
  <c r="V1250" i="9"/>
  <c r="V1283" i="9"/>
  <c r="W1249" i="9"/>
  <c r="Q76" i="8"/>
  <c r="U1525" i="9"/>
  <c r="U1497" i="9"/>
  <c r="W956" i="9"/>
  <c r="W989" i="9"/>
  <c r="X955" i="9"/>
  <c r="W1038" i="9"/>
  <c r="X1004" i="9"/>
  <c r="W1005" i="9"/>
  <c r="V520" i="9"/>
  <c r="V532" i="9"/>
  <c r="V526" i="9"/>
  <c r="V523" i="9"/>
  <c r="V518" i="9"/>
  <c r="V535" i="9"/>
  <c r="T82" i="9"/>
  <c r="T76" i="9"/>
  <c r="T70" i="9"/>
  <c r="T73" i="9"/>
  <c r="T85" i="9"/>
  <c r="T68" i="9"/>
  <c r="Q14" i="8"/>
  <c r="V1528" i="9"/>
  <c r="V1495" i="9"/>
  <c r="W1494" i="9"/>
  <c r="U1280" i="9"/>
  <c r="U1252" i="9"/>
  <c r="U1301" i="9"/>
  <c r="U1329" i="9"/>
  <c r="V888" i="9"/>
  <c r="V860" i="9"/>
  <c r="T590" i="9"/>
  <c r="T579" i="9"/>
  <c r="W145" i="9"/>
  <c r="W117" i="9"/>
  <c r="V1402" i="9"/>
  <c r="V1414" i="9"/>
  <c r="V1408" i="9"/>
  <c r="V1400" i="9"/>
  <c r="V1405" i="9"/>
  <c r="V1417" i="9"/>
  <c r="Y1544" i="9"/>
  <c r="Z1543" i="9"/>
  <c r="Y1577" i="9"/>
  <c r="U1411" i="9"/>
  <c r="U1117" i="9"/>
  <c r="V958" i="9"/>
  <c r="V986" i="9"/>
  <c r="X857" i="9"/>
  <c r="W858" i="9"/>
  <c r="W891" i="9"/>
  <c r="V1204" i="9"/>
  <c r="V1209" i="9"/>
  <c r="V1221" i="9"/>
  <c r="V1206" i="9"/>
  <c r="V1212" i="9"/>
  <c r="V1218" i="9"/>
  <c r="V1299" i="9"/>
  <c r="V1332" i="9"/>
  <c r="W1298" i="9"/>
  <c r="U130" i="9"/>
  <c r="U141" i="9"/>
  <c r="U142" i="9" s="1"/>
  <c r="V713" i="9"/>
  <c r="V741" i="9"/>
  <c r="T130" i="9"/>
  <c r="T141" i="9"/>
  <c r="U529" i="9"/>
  <c r="U624" i="9"/>
  <c r="U621" i="9"/>
  <c r="U633" i="9"/>
  <c r="U618" i="9"/>
  <c r="U630" i="9"/>
  <c r="U616" i="9"/>
  <c r="T676" i="9" l="1"/>
  <c r="T970" i="9"/>
  <c r="T1118" i="9"/>
  <c r="T541" i="9"/>
  <c r="T542" i="9" s="1"/>
  <c r="T1068" i="9"/>
  <c r="T1069" i="9" s="1"/>
  <c r="T872" i="9"/>
  <c r="T873" i="9" s="1"/>
  <c r="T627" i="9"/>
  <c r="T628" i="9" s="1"/>
  <c r="T1509" i="9"/>
  <c r="T1510" i="9" s="1"/>
  <c r="U279" i="9"/>
  <c r="U291" i="9" s="1"/>
  <c r="U292" i="9" s="1"/>
  <c r="T329" i="9"/>
  <c r="T341" i="9" s="1"/>
  <c r="U774" i="9"/>
  <c r="U775" i="9" s="1"/>
  <c r="U872" i="9"/>
  <c r="U884" i="9" s="1"/>
  <c r="T725" i="9"/>
  <c r="U1460" i="9"/>
  <c r="U1461" i="9" s="1"/>
  <c r="T921" i="9"/>
  <c r="T933" i="9" s="1"/>
  <c r="T934" i="9" s="1"/>
  <c r="T179" i="9"/>
  <c r="T180" i="9" s="1"/>
  <c r="T479" i="9"/>
  <c r="T480" i="9" s="1"/>
  <c r="T774" i="9"/>
  <c r="T775" i="9" s="1"/>
  <c r="V1460" i="9"/>
  <c r="V1461" i="9" s="1"/>
  <c r="V1084" i="9"/>
  <c r="V1056" i="9"/>
  <c r="T1019" i="9"/>
  <c r="W198" i="9"/>
  <c r="W165" i="9"/>
  <c r="X164" i="9"/>
  <c r="T379" i="9"/>
  <c r="T677" i="9"/>
  <c r="T688" i="9"/>
  <c r="T689" i="9" s="1"/>
  <c r="U1163" i="9"/>
  <c r="U1160" i="9"/>
  <c r="U1169" i="9"/>
  <c r="U1172" i="9"/>
  <c r="U1157" i="9"/>
  <c r="U1155" i="9"/>
  <c r="V195" i="9"/>
  <c r="V167" i="9"/>
  <c r="U667" i="9"/>
  <c r="U679" i="9"/>
  <c r="U673" i="9"/>
  <c r="U670" i="9"/>
  <c r="U665" i="9"/>
  <c r="U682" i="9"/>
  <c r="T229" i="9"/>
  <c r="T230" i="9" s="1"/>
  <c r="W17" i="9"/>
  <c r="W45" i="9"/>
  <c r="W907" i="9"/>
  <c r="W940" i="9"/>
  <c r="X906" i="9"/>
  <c r="X48" i="9"/>
  <c r="X15" i="9"/>
  <c r="Y14" i="9"/>
  <c r="T1080" i="9"/>
  <c r="T1081" i="9" s="1"/>
  <c r="V129" i="9"/>
  <c r="V130" i="9" s="1"/>
  <c r="V937" i="9"/>
  <c r="V909" i="9"/>
  <c r="V1411" i="9"/>
  <c r="V1423" i="9" s="1"/>
  <c r="V1424" i="9" s="1"/>
  <c r="U1215" i="9"/>
  <c r="T982" i="9"/>
  <c r="T983" i="9" s="1"/>
  <c r="T971" i="9"/>
  <c r="U627" i="9"/>
  <c r="U639" i="9" s="1"/>
  <c r="U725" i="9"/>
  <c r="U726" i="9" s="1"/>
  <c r="V23" i="9"/>
  <c r="V18" i="9"/>
  <c r="V20" i="9"/>
  <c r="V26" i="9"/>
  <c r="V32" i="9"/>
  <c r="V35" i="9"/>
  <c r="U1362" i="9"/>
  <c r="V270" i="9"/>
  <c r="V268" i="9"/>
  <c r="V276" i="9"/>
  <c r="V285" i="9"/>
  <c r="V282" i="9"/>
  <c r="V273" i="9"/>
  <c r="U173" i="9"/>
  <c r="U168" i="9"/>
  <c r="U182" i="9"/>
  <c r="U170" i="9"/>
  <c r="U185" i="9"/>
  <c r="U176" i="9"/>
  <c r="U373" i="9"/>
  <c r="U382" i="9"/>
  <c r="U376" i="9"/>
  <c r="U370" i="9"/>
  <c r="U368" i="9"/>
  <c r="U385" i="9"/>
  <c r="U468" i="9"/>
  <c r="U473" i="9"/>
  <c r="U476" i="9"/>
  <c r="U470" i="9"/>
  <c r="U482" i="9"/>
  <c r="U485" i="9"/>
  <c r="V1154" i="9"/>
  <c r="V1182" i="9"/>
  <c r="W1152" i="9"/>
  <c r="X1151" i="9"/>
  <c r="W1185" i="9"/>
  <c r="W465" i="9"/>
  <c r="W498" i="9"/>
  <c r="X464" i="9"/>
  <c r="U910" i="9"/>
  <c r="U924" i="9"/>
  <c r="U918" i="9"/>
  <c r="U915" i="9"/>
  <c r="U927" i="9"/>
  <c r="U912" i="9"/>
  <c r="W267" i="9"/>
  <c r="W295" i="9"/>
  <c r="V495" i="9"/>
  <c r="V467" i="9"/>
  <c r="Y264" i="9"/>
  <c r="X265" i="9"/>
  <c r="X298" i="9"/>
  <c r="U29" i="9"/>
  <c r="W662" i="9"/>
  <c r="X661" i="9"/>
  <c r="W695" i="9"/>
  <c r="W1087" i="9"/>
  <c r="X1053" i="9"/>
  <c r="W1054" i="9"/>
  <c r="V590" i="9"/>
  <c r="V591" i="9" s="1"/>
  <c r="V395" i="9"/>
  <c r="V367" i="9"/>
  <c r="U1071" i="9"/>
  <c r="U1065" i="9"/>
  <c r="U1057" i="9"/>
  <c r="U1062" i="9"/>
  <c r="U1074" i="9"/>
  <c r="U1059" i="9"/>
  <c r="T1166" i="9"/>
  <c r="V1117" i="9"/>
  <c r="V1118" i="9" s="1"/>
  <c r="V692" i="9"/>
  <c r="V664" i="9"/>
  <c r="W398" i="9"/>
  <c r="W365" i="9"/>
  <c r="X364" i="9"/>
  <c r="Y1348" i="9"/>
  <c r="Y1381" i="9"/>
  <c r="Z1347" i="9"/>
  <c r="Y710" i="9"/>
  <c r="X711" i="9"/>
  <c r="X744" i="9"/>
  <c r="T429" i="9"/>
  <c r="W741" i="9"/>
  <c r="W713" i="9"/>
  <c r="Y1234" i="9"/>
  <c r="Z1200" i="9"/>
  <c r="Y1201" i="9"/>
  <c r="U1319" i="9"/>
  <c r="U1304" i="9"/>
  <c r="U1316" i="9"/>
  <c r="U1310" i="9"/>
  <c r="U1302" i="9"/>
  <c r="U1307" i="9"/>
  <c r="Q29" i="8"/>
  <c r="U1267" i="9"/>
  <c r="U1261" i="9"/>
  <c r="U1253" i="9"/>
  <c r="U1258" i="9"/>
  <c r="U1270" i="9"/>
  <c r="U1255" i="9"/>
  <c r="W1250" i="9"/>
  <c r="W1283" i="9"/>
  <c r="X1249" i="9"/>
  <c r="V417" i="9"/>
  <c r="V445" i="9"/>
  <c r="T1313" i="9"/>
  <c r="Y1397" i="9"/>
  <c r="Y1430" i="9"/>
  <c r="Z1396" i="9"/>
  <c r="X891" i="9"/>
  <c r="Y857" i="9"/>
  <c r="X858" i="9"/>
  <c r="U1129" i="9"/>
  <c r="U1118" i="9"/>
  <c r="V1497" i="9"/>
  <c r="V1525" i="9"/>
  <c r="W1402" i="9"/>
  <c r="W1408" i="9"/>
  <c r="W1400" i="9"/>
  <c r="W1405" i="9"/>
  <c r="W1414" i="9"/>
  <c r="W1417" i="9"/>
  <c r="Z1102" i="9"/>
  <c r="Y1103" i="9"/>
  <c r="Y1136" i="9"/>
  <c r="U426" i="9"/>
  <c r="U423" i="9"/>
  <c r="U435" i="9"/>
  <c r="U420" i="9"/>
  <c r="U432" i="9"/>
  <c r="U418" i="9"/>
  <c r="X1427" i="9"/>
  <c r="X1399" i="9"/>
  <c r="W578" i="9"/>
  <c r="W532" i="9"/>
  <c r="W526" i="9"/>
  <c r="W518" i="9"/>
  <c r="W523" i="9"/>
  <c r="W535" i="9"/>
  <c r="W520" i="9"/>
  <c r="Y515" i="9"/>
  <c r="Y548" i="9"/>
  <c r="Z514" i="9"/>
  <c r="W1359" i="9"/>
  <c r="W1351" i="9"/>
  <c r="W1356" i="9"/>
  <c r="W1368" i="9"/>
  <c r="W1353" i="9"/>
  <c r="W1365" i="9"/>
  <c r="V1329" i="9"/>
  <c r="V1301" i="9"/>
  <c r="U530" i="9"/>
  <c r="U541" i="9"/>
  <c r="U1423" i="9"/>
  <c r="U1412" i="9"/>
  <c r="X1038" i="9"/>
  <c r="Y1004" i="9"/>
  <c r="X1005" i="9"/>
  <c r="W1111" i="9"/>
  <c r="W1123" i="9"/>
  <c r="W1108" i="9"/>
  <c r="W1120" i="9"/>
  <c r="W1114" i="9"/>
  <c r="W1106" i="9"/>
  <c r="X1476" i="9"/>
  <c r="X1448" i="9"/>
  <c r="W809" i="9"/>
  <c r="X808" i="9"/>
  <c r="W842" i="9"/>
  <c r="U1019" i="9"/>
  <c r="X1133" i="9"/>
  <c r="X1105" i="9"/>
  <c r="T330" i="9"/>
  <c r="V763" i="9"/>
  <c r="V780" i="9"/>
  <c r="V765" i="9"/>
  <c r="V768" i="9"/>
  <c r="V777" i="9"/>
  <c r="V771" i="9"/>
  <c r="X1298" i="9"/>
  <c r="W1299" i="9"/>
  <c r="W1332" i="9"/>
  <c r="U232" i="9"/>
  <c r="U226" i="9"/>
  <c r="U220" i="9"/>
  <c r="U235" i="9"/>
  <c r="U218" i="9"/>
  <c r="U223" i="9"/>
  <c r="U829" i="9"/>
  <c r="U817" i="9"/>
  <c r="U826" i="9"/>
  <c r="U820" i="9"/>
  <c r="U812" i="9"/>
  <c r="U814" i="9"/>
  <c r="V811" i="9"/>
  <c r="V839" i="9"/>
  <c r="U320" i="9"/>
  <c r="U326" i="9"/>
  <c r="U323" i="9"/>
  <c r="U335" i="9"/>
  <c r="U318" i="9"/>
  <c r="U332" i="9"/>
  <c r="X760" i="9"/>
  <c r="X793" i="9"/>
  <c r="Y759" i="9"/>
  <c r="X1231" i="9"/>
  <c r="X1203" i="9"/>
  <c r="W888" i="9"/>
  <c r="W860" i="9"/>
  <c r="W1035" i="9"/>
  <c r="W1007" i="9"/>
  <c r="X1547" i="9"/>
  <c r="X1552" i="9"/>
  <c r="X1549" i="9"/>
  <c r="X1561" i="9"/>
  <c r="X1555" i="9"/>
  <c r="X1564" i="9"/>
  <c r="W1558" i="9"/>
  <c r="Z114" i="9"/>
  <c r="Y148" i="9"/>
  <c r="Y115" i="9"/>
  <c r="W1454" i="9"/>
  <c r="W1451" i="9"/>
  <c r="W1463" i="9"/>
  <c r="W1457" i="9"/>
  <c r="W1466" i="9"/>
  <c r="W1449" i="9"/>
  <c r="Y955" i="9"/>
  <c r="X956" i="9"/>
  <c r="X989" i="9"/>
  <c r="X572" i="9"/>
  <c r="X584" i="9"/>
  <c r="X569" i="9"/>
  <c r="X581" i="9"/>
  <c r="X575" i="9"/>
  <c r="X567" i="9"/>
  <c r="W615" i="9"/>
  <c r="W643" i="9"/>
  <c r="U82" i="9"/>
  <c r="U70" i="9"/>
  <c r="U76" i="9"/>
  <c r="U73" i="9"/>
  <c r="U85" i="9"/>
  <c r="U68" i="9"/>
  <c r="R14" i="8"/>
  <c r="R122" i="8" s="1"/>
  <c r="R104" i="8" s="1"/>
  <c r="Q17" i="8"/>
  <c r="Q13" i="8"/>
  <c r="Q15" i="8"/>
  <c r="Q42" i="8"/>
  <c r="Q57" i="8"/>
  <c r="Q122" i="8"/>
  <c r="Q104" i="8" s="1"/>
  <c r="Q168" i="8" s="1"/>
  <c r="X613" i="9"/>
  <c r="X646" i="9"/>
  <c r="Y612" i="9"/>
  <c r="V345" i="9"/>
  <c r="V317" i="9"/>
  <c r="R76" i="8"/>
  <c r="R77" i="8" s="1"/>
  <c r="W762" i="9"/>
  <c r="W790" i="9"/>
  <c r="Q77" i="8"/>
  <c r="V529" i="9"/>
  <c r="Z1445" i="9"/>
  <c r="Y1446" i="9"/>
  <c r="Y1479" i="9"/>
  <c r="W986" i="9"/>
  <c r="W958" i="9"/>
  <c r="V624" i="9"/>
  <c r="V616" i="9"/>
  <c r="V621" i="9"/>
  <c r="V633" i="9"/>
  <c r="V618" i="9"/>
  <c r="V630" i="9"/>
  <c r="W315" i="9"/>
  <c r="X314" i="9"/>
  <c r="W348" i="9"/>
  <c r="Y594" i="9"/>
  <c r="Y566" i="9"/>
  <c r="U970" i="9"/>
  <c r="T823" i="9"/>
  <c r="X1494" i="9"/>
  <c r="W1495" i="9"/>
  <c r="W1528" i="9"/>
  <c r="X545" i="9"/>
  <c r="X517" i="9"/>
  <c r="X145" i="9"/>
  <c r="X117" i="9"/>
  <c r="T142" i="9"/>
  <c r="V861" i="9"/>
  <c r="V866" i="9"/>
  <c r="V878" i="9"/>
  <c r="V863" i="9"/>
  <c r="V875" i="9"/>
  <c r="V869" i="9"/>
  <c r="V1362" i="9"/>
  <c r="AA563" i="9"/>
  <c r="Z564" i="9"/>
  <c r="Z597" i="9"/>
  <c r="W248" i="9"/>
  <c r="X214" i="9"/>
  <c r="W215" i="9"/>
  <c r="T591" i="9"/>
  <c r="V731" i="9"/>
  <c r="V728" i="9"/>
  <c r="V722" i="9"/>
  <c r="V714" i="9"/>
  <c r="V716" i="9"/>
  <c r="V719" i="9"/>
  <c r="V1215" i="9"/>
  <c r="Q32" i="8"/>
  <c r="V1570" i="9"/>
  <c r="V1559" i="9"/>
  <c r="W65" i="9"/>
  <c r="X64" i="9"/>
  <c r="W98" i="9"/>
  <c r="W415" i="9"/>
  <c r="W448" i="9"/>
  <c r="X414" i="9"/>
  <c r="W123" i="9"/>
  <c r="W135" i="9"/>
  <c r="W120" i="9"/>
  <c r="W126" i="9"/>
  <c r="W132" i="9"/>
  <c r="W118" i="9"/>
  <c r="V976" i="9"/>
  <c r="V961" i="9"/>
  <c r="V973" i="9"/>
  <c r="V967" i="9"/>
  <c r="V959" i="9"/>
  <c r="V964" i="9"/>
  <c r="Q20" i="8"/>
  <c r="U1515" i="9"/>
  <c r="U1498" i="9"/>
  <c r="U1503" i="9"/>
  <c r="U1506" i="9"/>
  <c r="U1512" i="9"/>
  <c r="U1500" i="9"/>
  <c r="V1008" i="9"/>
  <c r="V1013" i="9"/>
  <c r="V1025" i="9"/>
  <c r="V1010" i="9"/>
  <c r="V1022" i="9"/>
  <c r="V1016" i="9"/>
  <c r="V217" i="9"/>
  <c r="V245" i="9"/>
  <c r="Y1546" i="9"/>
  <c r="Y1574" i="9"/>
  <c r="Q23" i="8"/>
  <c r="V1280" i="9"/>
  <c r="V1252" i="9"/>
  <c r="AA1543" i="9"/>
  <c r="Z1577" i="9"/>
  <c r="Z1544" i="9"/>
  <c r="T79" i="9"/>
  <c r="W1212" i="9"/>
  <c r="W1204" i="9"/>
  <c r="W1209" i="9"/>
  <c r="W1221" i="9"/>
  <c r="W1206" i="9"/>
  <c r="W1218" i="9"/>
  <c r="X1378" i="9"/>
  <c r="X1350" i="9"/>
  <c r="T1264" i="9"/>
  <c r="V95" i="9"/>
  <c r="V67" i="9"/>
  <c r="S12" i="8"/>
  <c r="S11" i="8" s="1"/>
  <c r="S79" i="8" s="1"/>
  <c r="V1472" i="9" l="1"/>
  <c r="U786" i="9"/>
  <c r="T1521" i="9"/>
  <c r="R168" i="8"/>
  <c r="R29" i="8"/>
  <c r="R30" i="8" s="1"/>
  <c r="T884" i="9"/>
  <c r="T885" i="9" s="1"/>
  <c r="R103" i="8"/>
  <c r="R93" i="8"/>
  <c r="T786" i="9"/>
  <c r="T787" i="9" s="1"/>
  <c r="Q93" i="8"/>
  <c r="Q103" i="8"/>
  <c r="Q167" i="8" s="1"/>
  <c r="U280" i="9"/>
  <c r="V279" i="9"/>
  <c r="V280" i="9" s="1"/>
  <c r="U1166" i="9"/>
  <c r="U1178" i="9" s="1"/>
  <c r="U1179" i="9" s="1"/>
  <c r="U921" i="9"/>
  <c r="V1412" i="9"/>
  <c r="U873" i="9"/>
  <c r="U479" i="9"/>
  <c r="U480" i="9" s="1"/>
  <c r="U329" i="9"/>
  <c r="T191" i="9"/>
  <c r="T192" i="9" s="1"/>
  <c r="T639" i="9"/>
  <c r="T640" i="9" s="1"/>
  <c r="V725" i="9"/>
  <c r="V726" i="9" s="1"/>
  <c r="Q26" i="8"/>
  <c r="U379" i="9"/>
  <c r="U391" i="9" s="1"/>
  <c r="U392" i="9" s="1"/>
  <c r="V29" i="9"/>
  <c r="V41" i="9" s="1"/>
  <c r="V42" i="9" s="1"/>
  <c r="V1129" i="9"/>
  <c r="V1130" i="9" s="1"/>
  <c r="T922" i="9"/>
  <c r="V1019" i="9"/>
  <c r="R20" i="8"/>
  <c r="R21" i="8" s="1"/>
  <c r="W1460" i="9"/>
  <c r="W1472" i="9" s="1"/>
  <c r="W1473" i="9" s="1"/>
  <c r="T491" i="9"/>
  <c r="T492" i="9" s="1"/>
  <c r="U676" i="9"/>
  <c r="U688" i="9" s="1"/>
  <c r="U689" i="9" s="1"/>
  <c r="U429" i="9"/>
  <c r="U441" i="9" s="1"/>
  <c r="U442" i="9" s="1"/>
  <c r="V141" i="9"/>
  <c r="V142" i="9" s="1"/>
  <c r="W1215" i="9"/>
  <c r="W1227" i="9" s="1"/>
  <c r="W1228" i="9" s="1"/>
  <c r="U1509" i="9"/>
  <c r="U1521" i="9" s="1"/>
  <c r="U1522" i="9" s="1"/>
  <c r="U628" i="9"/>
  <c r="T737" i="9"/>
  <c r="T738" i="9" s="1"/>
  <c r="T726" i="9"/>
  <c r="X578" i="9"/>
  <c r="X579" i="9" s="1"/>
  <c r="X1558" i="9"/>
  <c r="X1559" i="9" s="1"/>
  <c r="U1264" i="9"/>
  <c r="U1265" i="9" s="1"/>
  <c r="U1472" i="9"/>
  <c r="U1473" i="9" s="1"/>
  <c r="V872" i="9"/>
  <c r="V873" i="9" s="1"/>
  <c r="W18" i="9"/>
  <c r="W26" i="9"/>
  <c r="W35" i="9"/>
  <c r="W23" i="9"/>
  <c r="W20" i="9"/>
  <c r="W32" i="9"/>
  <c r="W467" i="9"/>
  <c r="W495" i="9"/>
  <c r="T391" i="9"/>
  <c r="T392" i="9" s="1"/>
  <c r="T380" i="9"/>
  <c r="X198" i="9"/>
  <c r="X165" i="9"/>
  <c r="Y164" i="9"/>
  <c r="X1054" i="9"/>
  <c r="X1087" i="9"/>
  <c r="Y1053" i="9"/>
  <c r="X365" i="9"/>
  <c r="X398" i="9"/>
  <c r="Y364" i="9"/>
  <c r="X662" i="9"/>
  <c r="Y661" i="9"/>
  <c r="X695" i="9"/>
  <c r="W167" i="9"/>
  <c r="W195" i="9"/>
  <c r="W367" i="9"/>
  <c r="W395" i="9"/>
  <c r="W664" i="9"/>
  <c r="W692" i="9"/>
  <c r="W1056" i="9"/>
  <c r="W1084" i="9"/>
  <c r="U229" i="9"/>
  <c r="U241" i="9" s="1"/>
  <c r="U242" i="9" s="1"/>
  <c r="U41" i="9"/>
  <c r="U42" i="9" s="1"/>
  <c r="U30" i="9"/>
  <c r="X1185" i="9"/>
  <c r="X1152" i="9"/>
  <c r="Y1151" i="9"/>
  <c r="U179" i="9"/>
  <c r="T1020" i="9"/>
  <c r="T1031" i="9"/>
  <c r="T1032" i="9" s="1"/>
  <c r="X465" i="9"/>
  <c r="Y464" i="9"/>
  <c r="X498" i="9"/>
  <c r="V673" i="9"/>
  <c r="V665" i="9"/>
  <c r="V667" i="9"/>
  <c r="V670" i="9"/>
  <c r="V682" i="9"/>
  <c r="V679" i="9"/>
  <c r="W1154" i="9"/>
  <c r="W1182" i="9"/>
  <c r="U1227" i="9"/>
  <c r="U1228" i="9" s="1"/>
  <c r="U1216" i="9"/>
  <c r="V1065" i="9"/>
  <c r="V1057" i="9"/>
  <c r="V1062" i="9"/>
  <c r="V1074" i="9"/>
  <c r="V1071" i="9"/>
  <c r="V1059" i="9"/>
  <c r="V30" i="9"/>
  <c r="U737" i="9"/>
  <c r="U738" i="9" s="1"/>
  <c r="X295" i="9"/>
  <c r="X267" i="9"/>
  <c r="Y265" i="9"/>
  <c r="Z264" i="9"/>
  <c r="Y298" i="9"/>
  <c r="V912" i="9"/>
  <c r="V924" i="9"/>
  <c r="V918" i="9"/>
  <c r="V910" i="9"/>
  <c r="V927" i="9"/>
  <c r="V915" i="9"/>
  <c r="W129" i="9"/>
  <c r="W130" i="9" s="1"/>
  <c r="T1167" i="9"/>
  <c r="T1178" i="9"/>
  <c r="T1179" i="9" s="1"/>
  <c r="V485" i="9"/>
  <c r="V473" i="9"/>
  <c r="V468" i="9"/>
  <c r="V476" i="9"/>
  <c r="V470" i="9"/>
  <c r="V482" i="9"/>
  <c r="W529" i="9"/>
  <c r="W541" i="9" s="1"/>
  <c r="W542" i="9" s="1"/>
  <c r="U1068" i="9"/>
  <c r="V1172" i="9"/>
  <c r="V1155" i="9"/>
  <c r="V1157" i="9"/>
  <c r="V1169" i="9"/>
  <c r="V1163" i="9"/>
  <c r="V1160" i="9"/>
  <c r="V774" i="9"/>
  <c r="V775" i="9" s="1"/>
  <c r="V168" i="9"/>
  <c r="V173" i="9"/>
  <c r="V185" i="9"/>
  <c r="V182" i="9"/>
  <c r="V176" i="9"/>
  <c r="V170" i="9"/>
  <c r="W268" i="9"/>
  <c r="W273" i="9"/>
  <c r="W282" i="9"/>
  <c r="W270" i="9"/>
  <c r="W276" i="9"/>
  <c r="W285" i="9"/>
  <c r="U823" i="9"/>
  <c r="U824" i="9" s="1"/>
  <c r="Y15" i="9"/>
  <c r="Y48" i="9"/>
  <c r="Z14" i="9"/>
  <c r="X45" i="9"/>
  <c r="X17" i="9"/>
  <c r="U1374" i="9"/>
  <c r="U1375" i="9" s="1"/>
  <c r="U1363" i="9"/>
  <c r="R17" i="8"/>
  <c r="R18" i="8" s="1"/>
  <c r="V368" i="9"/>
  <c r="V373" i="9"/>
  <c r="V385" i="9"/>
  <c r="V370" i="9"/>
  <c r="V376" i="9"/>
  <c r="V382" i="9"/>
  <c r="X907" i="9"/>
  <c r="X940" i="9"/>
  <c r="Y906" i="9"/>
  <c r="T241" i="9"/>
  <c r="T242" i="9" s="1"/>
  <c r="W1362" i="9"/>
  <c r="W1374" i="9" s="1"/>
  <c r="W1375" i="9" s="1"/>
  <c r="V970" i="9"/>
  <c r="V982" i="9" s="1"/>
  <c r="V983" i="9" s="1"/>
  <c r="W909" i="9"/>
  <c r="W937" i="9"/>
  <c r="T91" i="9"/>
  <c r="T80" i="9"/>
  <c r="X809" i="9"/>
  <c r="X842" i="9"/>
  <c r="Y808" i="9"/>
  <c r="W1117" i="9"/>
  <c r="Y1399" i="9"/>
  <c r="Y1427" i="9"/>
  <c r="Q125" i="8"/>
  <c r="Q91" i="8" s="1"/>
  <c r="Q24" i="8"/>
  <c r="AB563" i="9"/>
  <c r="AA564" i="9"/>
  <c r="AA597" i="9"/>
  <c r="V1307" i="9"/>
  <c r="V1319" i="9"/>
  <c r="V1304" i="9"/>
  <c r="V1316" i="9"/>
  <c r="V1310" i="9"/>
  <c r="V1302" i="9"/>
  <c r="S76" i="8"/>
  <c r="S77" i="8" s="1"/>
  <c r="V1374" i="9"/>
  <c r="V1363" i="9"/>
  <c r="Q18" i="8"/>
  <c r="T342" i="9"/>
  <c r="W811" i="9"/>
  <c r="W839" i="9"/>
  <c r="U1313" i="9"/>
  <c r="AA1445" i="9"/>
  <c r="Z1446" i="9"/>
  <c r="Z1479" i="9"/>
  <c r="Y145" i="9"/>
  <c r="Y117" i="9"/>
  <c r="X741" i="9"/>
  <c r="X713" i="9"/>
  <c r="V1473" i="9"/>
  <c r="T430" i="9"/>
  <c r="T441" i="9"/>
  <c r="X1495" i="9"/>
  <c r="Y1494" i="9"/>
  <c r="X1528" i="9"/>
  <c r="T1276" i="9"/>
  <c r="T1265" i="9"/>
  <c r="R13" i="8"/>
  <c r="R15" i="8"/>
  <c r="R42" i="8"/>
  <c r="R57" i="8"/>
  <c r="W1016" i="9"/>
  <c r="W1008" i="9"/>
  <c r="W1013" i="9"/>
  <c r="W1025" i="9"/>
  <c r="W1010" i="9"/>
  <c r="W1022" i="9"/>
  <c r="X1454" i="9"/>
  <c r="X1466" i="9"/>
  <c r="X1451" i="9"/>
  <c r="X1463" i="9"/>
  <c r="X1457" i="9"/>
  <c r="X1449" i="9"/>
  <c r="Z710" i="9"/>
  <c r="Y711" i="9"/>
  <c r="Y744" i="9"/>
  <c r="V82" i="9"/>
  <c r="V68" i="9"/>
  <c r="V73" i="9"/>
  <c r="V76" i="9"/>
  <c r="V70" i="9"/>
  <c r="V85" i="9"/>
  <c r="S14" i="8"/>
  <c r="W1497" i="9"/>
  <c r="W1525" i="9"/>
  <c r="V627" i="9"/>
  <c r="Y1476" i="9"/>
  <c r="Y1448" i="9"/>
  <c r="AB1543" i="9"/>
  <c r="AA1577" i="9"/>
  <c r="AA1544" i="9"/>
  <c r="Y1564" i="9"/>
  <c r="Y1549" i="9"/>
  <c r="Y1561" i="9"/>
  <c r="Y1555" i="9"/>
  <c r="Y1552" i="9"/>
  <c r="Y1547" i="9"/>
  <c r="X415" i="9"/>
  <c r="Y414" i="9"/>
  <c r="X448" i="9"/>
  <c r="V326" i="9"/>
  <c r="V318" i="9"/>
  <c r="V323" i="9"/>
  <c r="V335" i="9"/>
  <c r="V320" i="9"/>
  <c r="V332" i="9"/>
  <c r="AA114" i="9"/>
  <c r="Z148" i="9"/>
  <c r="Z115" i="9"/>
  <c r="W579" i="9"/>
  <c r="W590" i="9"/>
  <c r="Z594" i="9"/>
  <c r="Z566" i="9"/>
  <c r="Z1546" i="9"/>
  <c r="Z1574" i="9"/>
  <c r="X1359" i="9"/>
  <c r="X1351" i="9"/>
  <c r="X1356" i="9"/>
  <c r="X1368" i="9"/>
  <c r="X1365" i="9"/>
  <c r="X1353" i="9"/>
  <c r="V220" i="9"/>
  <c r="V232" i="9"/>
  <c r="V226" i="9"/>
  <c r="V235" i="9"/>
  <c r="V218" i="9"/>
  <c r="V223" i="9"/>
  <c r="W445" i="9"/>
  <c r="W417" i="9"/>
  <c r="Y613" i="9"/>
  <c r="Y646" i="9"/>
  <c r="Z612" i="9"/>
  <c r="R32" i="8"/>
  <c r="R33" i="8" s="1"/>
  <c r="Y1133" i="9"/>
  <c r="Y1105" i="9"/>
  <c r="W1559" i="9"/>
  <c r="W1570" i="9"/>
  <c r="W1571" i="9" s="1"/>
  <c r="W861" i="9"/>
  <c r="W866" i="9"/>
  <c r="W878" i="9"/>
  <c r="W863" i="9"/>
  <c r="W875" i="9"/>
  <c r="W869" i="9"/>
  <c r="U341" i="9"/>
  <c r="U342" i="9" s="1"/>
  <c r="U330" i="9"/>
  <c r="X1035" i="9"/>
  <c r="X1007" i="9"/>
  <c r="AA1102" i="9"/>
  <c r="Z1103" i="9"/>
  <c r="Z1136" i="9"/>
  <c r="Y1231" i="9"/>
  <c r="Y1203" i="9"/>
  <c r="Z1348" i="9"/>
  <c r="Z1381" i="9"/>
  <c r="AA1347" i="9"/>
  <c r="R23" i="8"/>
  <c r="R125" i="8" s="1"/>
  <c r="R91" i="8" s="1"/>
  <c r="Y1038" i="9"/>
  <c r="Z1004" i="9"/>
  <c r="Y1005" i="9"/>
  <c r="X1402" i="9"/>
  <c r="X1414" i="9"/>
  <c r="X1408" i="9"/>
  <c r="X1400" i="9"/>
  <c r="X1417" i="9"/>
  <c r="X1405" i="9"/>
  <c r="Z1201" i="9"/>
  <c r="Z1234" i="9"/>
  <c r="AA1200" i="9"/>
  <c r="T1325" i="9"/>
  <c r="T1314" i="9"/>
  <c r="Y1378" i="9"/>
  <c r="Y1350" i="9"/>
  <c r="Q21" i="8"/>
  <c r="Q33" i="8"/>
  <c r="Y572" i="9"/>
  <c r="Y584" i="9"/>
  <c r="Y569" i="9"/>
  <c r="Y581" i="9"/>
  <c r="Y567" i="9"/>
  <c r="Y575" i="9"/>
  <c r="W964" i="9"/>
  <c r="W976" i="9"/>
  <c r="W961" i="9"/>
  <c r="W973" i="9"/>
  <c r="W967" i="9"/>
  <c r="W959" i="9"/>
  <c r="V541" i="9"/>
  <c r="V542" i="9" s="1"/>
  <c r="V530" i="9"/>
  <c r="U79" i="9"/>
  <c r="U787" i="9"/>
  <c r="V1506" i="9"/>
  <c r="V1498" i="9"/>
  <c r="V1515" i="9"/>
  <c r="V1503" i="9"/>
  <c r="V1512" i="9"/>
  <c r="V1500" i="9"/>
  <c r="Z1397" i="9"/>
  <c r="Z1430" i="9"/>
  <c r="AA1396" i="9"/>
  <c r="V814" i="9"/>
  <c r="V812" i="9"/>
  <c r="V817" i="9"/>
  <c r="V829" i="9"/>
  <c r="V826" i="9"/>
  <c r="V820" i="9"/>
  <c r="W719" i="9"/>
  <c r="W731" i="9"/>
  <c r="W716" i="9"/>
  <c r="W728" i="9"/>
  <c r="W722" i="9"/>
  <c r="W714" i="9"/>
  <c r="R140" i="8"/>
  <c r="V1031" i="9"/>
  <c r="V1032" i="9" s="1"/>
  <c r="V1020" i="9"/>
  <c r="T835" i="9"/>
  <c r="T824" i="9"/>
  <c r="U982" i="9"/>
  <c r="U971" i="9"/>
  <c r="T1522" i="9"/>
  <c r="Q140" i="8"/>
  <c r="X986" i="9"/>
  <c r="X958" i="9"/>
  <c r="U1424" i="9"/>
  <c r="X65" i="9"/>
  <c r="X98" i="9"/>
  <c r="Y64" i="9"/>
  <c r="Z955" i="9"/>
  <c r="Y956" i="9"/>
  <c r="Y989" i="9"/>
  <c r="X1212" i="9"/>
  <c r="X1204" i="9"/>
  <c r="X1209" i="9"/>
  <c r="X1221" i="9"/>
  <c r="X1206" i="9"/>
  <c r="X1218" i="9"/>
  <c r="W1329" i="9"/>
  <c r="W1301" i="9"/>
  <c r="U1130" i="9"/>
  <c r="X643" i="9"/>
  <c r="X615" i="9"/>
  <c r="V1255" i="9"/>
  <c r="V1267" i="9"/>
  <c r="V1261" i="9"/>
  <c r="V1253" i="9"/>
  <c r="V1258" i="9"/>
  <c r="V1270" i="9"/>
  <c r="X123" i="9"/>
  <c r="X120" i="9"/>
  <c r="X135" i="9"/>
  <c r="X126" i="9"/>
  <c r="X132" i="9"/>
  <c r="X118" i="9"/>
  <c r="W95" i="9"/>
  <c r="W67" i="9"/>
  <c r="T12" i="8"/>
  <c r="T11" i="8" s="1"/>
  <c r="T79" i="8" s="1"/>
  <c r="W217" i="9"/>
  <c r="W245" i="9"/>
  <c r="Y1298" i="9"/>
  <c r="X1299" i="9"/>
  <c r="X1332" i="9"/>
  <c r="X888" i="9"/>
  <c r="X860" i="9"/>
  <c r="U885" i="9"/>
  <c r="W1280" i="9"/>
  <c r="W1252" i="9"/>
  <c r="Z515" i="9"/>
  <c r="Z548" i="9"/>
  <c r="AA514" i="9"/>
  <c r="V435" i="9"/>
  <c r="V420" i="9"/>
  <c r="V423" i="9"/>
  <c r="V432" i="9"/>
  <c r="V426" i="9"/>
  <c r="V418" i="9"/>
  <c r="Q30" i="8"/>
  <c r="U640" i="9"/>
  <c r="V1227" i="9"/>
  <c r="V1216" i="9"/>
  <c r="X520" i="9"/>
  <c r="X532" i="9"/>
  <c r="X518" i="9"/>
  <c r="X523" i="9"/>
  <c r="X535" i="9"/>
  <c r="X526" i="9"/>
  <c r="W777" i="9"/>
  <c r="W771" i="9"/>
  <c r="W763" i="9"/>
  <c r="W768" i="9"/>
  <c r="W780" i="9"/>
  <c r="W765" i="9"/>
  <c r="Y793" i="9"/>
  <c r="Z759" i="9"/>
  <c r="Y760" i="9"/>
  <c r="U542" i="9"/>
  <c r="V1571" i="9"/>
  <c r="X315" i="9"/>
  <c r="X348" i="9"/>
  <c r="Y314" i="9"/>
  <c r="W616" i="9"/>
  <c r="W633" i="9"/>
  <c r="W618" i="9"/>
  <c r="W621" i="9"/>
  <c r="W624" i="9"/>
  <c r="W630" i="9"/>
  <c r="Y517" i="9"/>
  <c r="Y545" i="9"/>
  <c r="W1411" i="9"/>
  <c r="X1250" i="9"/>
  <c r="X1283" i="9"/>
  <c r="Y1249" i="9"/>
  <c r="X248" i="9"/>
  <c r="Y214" i="9"/>
  <c r="X215" i="9"/>
  <c r="X1111" i="9"/>
  <c r="X1123" i="9"/>
  <c r="X1108" i="9"/>
  <c r="X1120" i="9"/>
  <c r="X1114" i="9"/>
  <c r="X1106" i="9"/>
  <c r="Y891" i="9"/>
  <c r="Z857" i="9"/>
  <c r="Y858" i="9"/>
  <c r="W345" i="9"/>
  <c r="W317" i="9"/>
  <c r="X790" i="9"/>
  <c r="X762" i="9"/>
  <c r="U1031" i="9"/>
  <c r="U1020" i="9"/>
  <c r="U677" i="9" l="1"/>
  <c r="U1510" i="9"/>
  <c r="U430" i="9"/>
  <c r="V291" i="9"/>
  <c r="V292" i="9" s="1"/>
  <c r="X590" i="9"/>
  <c r="X591" i="9" s="1"/>
  <c r="V737" i="9"/>
  <c r="U230" i="9"/>
  <c r="U491" i="9"/>
  <c r="U492" i="9" s="1"/>
  <c r="U380" i="9"/>
  <c r="R162" i="8"/>
  <c r="Q162" i="8"/>
  <c r="R164" i="8"/>
  <c r="Q164" i="8"/>
  <c r="R161" i="8"/>
  <c r="Q161" i="8"/>
  <c r="Q27" i="8"/>
  <c r="X1570" i="9"/>
  <c r="X1571" i="9" s="1"/>
  <c r="U1167" i="9"/>
  <c r="U1276" i="9"/>
  <c r="U1277" i="9" s="1"/>
  <c r="R167" i="8"/>
  <c r="V786" i="9"/>
  <c r="V787" i="9" s="1"/>
  <c r="Q38" i="8"/>
  <c r="Q39" i="8" s="1"/>
  <c r="W970" i="9"/>
  <c r="U933" i="9"/>
  <c r="U934" i="9" s="1"/>
  <c r="U922" i="9"/>
  <c r="W1461" i="9"/>
  <c r="U835" i="9"/>
  <c r="U836" i="9" s="1"/>
  <c r="Y578" i="9"/>
  <c r="Y590" i="9" s="1"/>
  <c r="Y591" i="9" s="1"/>
  <c r="V884" i="9"/>
  <c r="V885" i="9" s="1"/>
  <c r="W141" i="9"/>
  <c r="W142" i="9" s="1"/>
  <c r="W1216" i="9"/>
  <c r="W29" i="9"/>
  <c r="W30" i="9" s="1"/>
  <c r="W872" i="9"/>
  <c r="W884" i="9" s="1"/>
  <c r="W627" i="9"/>
  <c r="W639" i="9" s="1"/>
  <c r="W640" i="9" s="1"/>
  <c r="Y1558" i="9"/>
  <c r="Y1570" i="9" s="1"/>
  <c r="X529" i="9"/>
  <c r="X541" i="9" s="1"/>
  <c r="V379" i="9"/>
  <c r="V391" i="9" s="1"/>
  <c r="V392" i="9" s="1"/>
  <c r="V479" i="9"/>
  <c r="V480" i="9" s="1"/>
  <c r="W725" i="9"/>
  <c r="W726" i="9" s="1"/>
  <c r="W530" i="9"/>
  <c r="V179" i="9"/>
  <c r="V191" i="9" s="1"/>
  <c r="V192" i="9" s="1"/>
  <c r="X1460" i="9"/>
  <c r="X1461" i="9" s="1"/>
  <c r="V1313" i="9"/>
  <c r="V1314" i="9" s="1"/>
  <c r="V921" i="9"/>
  <c r="V1166" i="9"/>
  <c r="V1178" i="9" s="1"/>
  <c r="V1179" i="9" s="1"/>
  <c r="W774" i="9"/>
  <c r="W786" i="9" s="1"/>
  <c r="X1411" i="9"/>
  <c r="X1423" i="9" s="1"/>
  <c r="X1424" i="9" s="1"/>
  <c r="W1019" i="9"/>
  <c r="W1031" i="9" s="1"/>
  <c r="W1032" i="9" s="1"/>
  <c r="X1215" i="9"/>
  <c r="X1216" i="9" s="1"/>
  <c r="U191" i="9"/>
  <c r="U192" i="9" s="1"/>
  <c r="U180" i="9"/>
  <c r="X395" i="9"/>
  <c r="X367" i="9"/>
  <c r="Z364" i="9"/>
  <c r="Y365" i="9"/>
  <c r="Y398" i="9"/>
  <c r="Z1151" i="9"/>
  <c r="Y1152" i="9"/>
  <c r="Y1185" i="9"/>
  <c r="Y1054" i="9"/>
  <c r="Y1087" i="9"/>
  <c r="Z1053" i="9"/>
  <c r="W1363" i="9"/>
  <c r="V1068" i="9"/>
  <c r="X1154" i="9"/>
  <c r="X1182" i="9"/>
  <c r="X1084" i="9"/>
  <c r="X1056" i="9"/>
  <c r="Z164" i="9"/>
  <c r="Y165" i="9"/>
  <c r="Y198" i="9"/>
  <c r="W918" i="9"/>
  <c r="W912" i="9"/>
  <c r="W924" i="9"/>
  <c r="W910" i="9"/>
  <c r="W915" i="9"/>
  <c r="W927" i="9"/>
  <c r="X23" i="9"/>
  <c r="X32" i="9"/>
  <c r="X35" i="9"/>
  <c r="X20" i="9"/>
  <c r="X18" i="9"/>
  <c r="X26" i="9"/>
  <c r="X195" i="9"/>
  <c r="X167" i="9"/>
  <c r="V1264" i="9"/>
  <c r="V1276" i="9" s="1"/>
  <c r="V1277" i="9" s="1"/>
  <c r="X1117" i="9"/>
  <c r="X1118" i="9" s="1"/>
  <c r="Z15" i="9"/>
  <c r="Z48" i="9"/>
  <c r="AA14" i="9"/>
  <c r="W1157" i="9"/>
  <c r="W1160" i="9"/>
  <c r="W1155" i="9"/>
  <c r="W1172" i="9"/>
  <c r="W1169" i="9"/>
  <c r="W1163" i="9"/>
  <c r="W1059" i="9"/>
  <c r="W1071" i="9"/>
  <c r="W1065" i="9"/>
  <c r="W1057" i="9"/>
  <c r="W1062" i="9"/>
  <c r="W1074" i="9"/>
  <c r="V229" i="9"/>
  <c r="V230" i="9" s="1"/>
  <c r="Y45" i="9"/>
  <c r="Y17" i="9"/>
  <c r="Y907" i="9"/>
  <c r="Y940" i="9"/>
  <c r="Z906" i="9"/>
  <c r="W665" i="9"/>
  <c r="W670" i="9"/>
  <c r="W667" i="9"/>
  <c r="W679" i="9"/>
  <c r="W682" i="9"/>
  <c r="W673" i="9"/>
  <c r="W485" i="9"/>
  <c r="W476" i="9"/>
  <c r="W468" i="9"/>
  <c r="W470" i="9"/>
  <c r="W482" i="9"/>
  <c r="W473" i="9"/>
  <c r="AA264" i="9"/>
  <c r="Z265" i="9"/>
  <c r="Z298" i="9"/>
  <c r="X937" i="9"/>
  <c r="X909" i="9"/>
  <c r="U1080" i="9"/>
  <c r="U1081" i="9" s="1"/>
  <c r="U1069" i="9"/>
  <c r="Y295" i="9"/>
  <c r="Y267" i="9"/>
  <c r="V676" i="9"/>
  <c r="W376" i="9"/>
  <c r="W368" i="9"/>
  <c r="W385" i="9"/>
  <c r="W373" i="9"/>
  <c r="W370" i="9"/>
  <c r="W382" i="9"/>
  <c r="W176" i="9"/>
  <c r="W168" i="9"/>
  <c r="W185" i="9"/>
  <c r="W173" i="9"/>
  <c r="W182" i="9"/>
  <c r="W170" i="9"/>
  <c r="X129" i="9"/>
  <c r="X130" i="9" s="1"/>
  <c r="X1362" i="9"/>
  <c r="X1374" i="9" s="1"/>
  <c r="X1375" i="9" s="1"/>
  <c r="W279" i="9"/>
  <c r="X273" i="9"/>
  <c r="X282" i="9"/>
  <c r="X268" i="9"/>
  <c r="X270" i="9"/>
  <c r="X276" i="9"/>
  <c r="X285" i="9"/>
  <c r="V971" i="9"/>
  <c r="Y498" i="9"/>
  <c r="Z464" i="9"/>
  <c r="Y465" i="9"/>
  <c r="Y662" i="9"/>
  <c r="Y695" i="9"/>
  <c r="Z661" i="9"/>
  <c r="X467" i="9"/>
  <c r="X495" i="9"/>
  <c r="X692" i="9"/>
  <c r="X664" i="9"/>
  <c r="W982" i="9"/>
  <c r="W983" i="9" s="1"/>
  <c r="W971" i="9"/>
  <c r="S17" i="8"/>
  <c r="V639" i="9"/>
  <c r="V628" i="9"/>
  <c r="U1325" i="9"/>
  <c r="U1326" i="9" s="1"/>
  <c r="U1314" i="9"/>
  <c r="AA1397" i="9"/>
  <c r="AA1430" i="9"/>
  <c r="AB1396" i="9"/>
  <c r="AB114" i="9"/>
  <c r="AA148" i="9"/>
  <c r="AA115" i="9"/>
  <c r="Y741" i="9"/>
  <c r="Y713" i="9"/>
  <c r="AA594" i="9"/>
  <c r="AA566" i="9"/>
  <c r="U1032" i="9"/>
  <c r="X1525" i="9"/>
  <c r="X1497" i="9"/>
  <c r="X777" i="9"/>
  <c r="X771" i="9"/>
  <c r="X763" i="9"/>
  <c r="X768" i="9"/>
  <c r="X765" i="9"/>
  <c r="X780" i="9"/>
  <c r="V1228" i="9"/>
  <c r="T1326" i="9"/>
  <c r="Y1035" i="9"/>
  <c r="Y1007" i="9"/>
  <c r="AA710" i="9"/>
  <c r="Z711" i="9"/>
  <c r="Z744" i="9"/>
  <c r="T442" i="9"/>
  <c r="AB597" i="9"/>
  <c r="AC563" i="9"/>
  <c r="AB564" i="9"/>
  <c r="T92" i="9"/>
  <c r="Y248" i="9"/>
  <c r="Z214" i="9"/>
  <c r="Y215" i="9"/>
  <c r="X317" i="9"/>
  <c r="X345" i="9"/>
  <c r="Y1250" i="9"/>
  <c r="Y1283" i="9"/>
  <c r="Z1249" i="9"/>
  <c r="W1255" i="9"/>
  <c r="W1267" i="9"/>
  <c r="W1261" i="9"/>
  <c r="W1253" i="9"/>
  <c r="W1258" i="9"/>
  <c r="W1270" i="9"/>
  <c r="Z1231" i="9"/>
  <c r="Z1203" i="9"/>
  <c r="S122" i="8"/>
  <c r="S104" i="8" s="1"/>
  <c r="S168" i="8" s="1"/>
  <c r="Z1399" i="9"/>
  <c r="Z1427" i="9"/>
  <c r="Z1005" i="9"/>
  <c r="Z1038" i="9"/>
  <c r="AA1004" i="9"/>
  <c r="Y1111" i="9"/>
  <c r="Y1123" i="9"/>
  <c r="Y1108" i="9"/>
  <c r="Y1120" i="9"/>
  <c r="Y1114" i="9"/>
  <c r="Y1106" i="9"/>
  <c r="W814" i="9"/>
  <c r="W812" i="9"/>
  <c r="W829" i="9"/>
  <c r="W817" i="9"/>
  <c r="W826" i="9"/>
  <c r="W820" i="9"/>
  <c r="V738" i="9"/>
  <c r="W320" i="9"/>
  <c r="W318" i="9"/>
  <c r="W323" i="9"/>
  <c r="W335" i="9"/>
  <c r="W326" i="9"/>
  <c r="W332" i="9"/>
  <c r="W220" i="9"/>
  <c r="W226" i="9"/>
  <c r="W235" i="9"/>
  <c r="W232" i="9"/>
  <c r="W218" i="9"/>
  <c r="W223" i="9"/>
  <c r="Y986" i="9"/>
  <c r="Y958" i="9"/>
  <c r="AA1546" i="9"/>
  <c r="AA1574" i="9"/>
  <c r="W1515" i="9"/>
  <c r="W1506" i="9"/>
  <c r="W1498" i="9"/>
  <c r="W1503" i="9"/>
  <c r="W1512" i="9"/>
  <c r="W1500" i="9"/>
  <c r="Z646" i="9"/>
  <c r="AA612" i="9"/>
  <c r="Z613" i="9"/>
  <c r="AA955" i="9"/>
  <c r="Z956" i="9"/>
  <c r="Z989" i="9"/>
  <c r="Y315" i="9"/>
  <c r="Y348" i="9"/>
  <c r="Z314" i="9"/>
  <c r="W70" i="9"/>
  <c r="W82" i="9"/>
  <c r="W76" i="9"/>
  <c r="W73" i="9"/>
  <c r="W68" i="9"/>
  <c r="W85" i="9"/>
  <c r="T14" i="8"/>
  <c r="X630" i="9"/>
  <c r="X624" i="9"/>
  <c r="X616" i="9"/>
  <c r="X621" i="9"/>
  <c r="X633" i="9"/>
  <c r="X618" i="9"/>
  <c r="Z64" i="9"/>
  <c r="Y65" i="9"/>
  <c r="Y98" i="9"/>
  <c r="V1509" i="9"/>
  <c r="AC1543" i="9"/>
  <c r="AB1577" i="9"/>
  <c r="AB1544" i="9"/>
  <c r="T76" i="8"/>
  <c r="T77" i="8" s="1"/>
  <c r="Y643" i="9"/>
  <c r="Y615" i="9"/>
  <c r="X67" i="9"/>
  <c r="X95" i="9"/>
  <c r="U12" i="8"/>
  <c r="U11" i="8" s="1"/>
  <c r="U79" i="8" s="1"/>
  <c r="W432" i="9"/>
  <c r="W423" i="9"/>
  <c r="W435" i="9"/>
  <c r="W426" i="9"/>
  <c r="W418" i="9"/>
  <c r="W420" i="9"/>
  <c r="Z1555" i="9"/>
  <c r="Z1552" i="9"/>
  <c r="Z1564" i="9"/>
  <c r="Z1549" i="9"/>
  <c r="Z1561" i="9"/>
  <c r="Z1547" i="9"/>
  <c r="Y1454" i="9"/>
  <c r="Y1451" i="9"/>
  <c r="Y1463" i="9"/>
  <c r="Y1457" i="9"/>
  <c r="Y1466" i="9"/>
  <c r="Y1449" i="9"/>
  <c r="X719" i="9"/>
  <c r="X731" i="9"/>
  <c r="X716" i="9"/>
  <c r="X728" i="9"/>
  <c r="X722" i="9"/>
  <c r="X714" i="9"/>
  <c r="Y1417" i="9"/>
  <c r="Y1402" i="9"/>
  <c r="Y1414" i="9"/>
  <c r="Y1408" i="9"/>
  <c r="Y1400" i="9"/>
  <c r="Y1405" i="9"/>
  <c r="R24" i="8"/>
  <c r="Z567" i="9"/>
  <c r="Z572" i="9"/>
  <c r="Z584" i="9"/>
  <c r="Z569" i="9"/>
  <c r="Z581" i="9"/>
  <c r="Z575" i="9"/>
  <c r="S13" i="8"/>
  <c r="S15" i="8"/>
  <c r="S42" i="8"/>
  <c r="S57" i="8"/>
  <c r="V1375" i="9"/>
  <c r="X217" i="9"/>
  <c r="X245" i="9"/>
  <c r="AA1348" i="9"/>
  <c r="AA1381" i="9"/>
  <c r="AB1347" i="9"/>
  <c r="V329" i="9"/>
  <c r="S32" i="8"/>
  <c r="S33" i="8" s="1"/>
  <c r="R26" i="8"/>
  <c r="W1129" i="9"/>
  <c r="W1118" i="9"/>
  <c r="AA548" i="9"/>
  <c r="AB514" i="9"/>
  <c r="AA515" i="9"/>
  <c r="Z517" i="9"/>
  <c r="Z545" i="9"/>
  <c r="Y809" i="9"/>
  <c r="Y842" i="9"/>
  <c r="Z808" i="9"/>
  <c r="Z1378" i="9"/>
  <c r="Z1350" i="9"/>
  <c r="S23" i="8"/>
  <c r="S125" i="8" s="1"/>
  <c r="S91" i="8" s="1"/>
  <c r="X1280" i="9"/>
  <c r="X1252" i="9"/>
  <c r="W1423" i="9"/>
  <c r="W1412" i="9"/>
  <c r="Z1298" i="9"/>
  <c r="Y1299" i="9"/>
  <c r="Y1332" i="9"/>
  <c r="W1307" i="9"/>
  <c r="W1319" i="9"/>
  <c r="W1304" i="9"/>
  <c r="W1316" i="9"/>
  <c r="W1310" i="9"/>
  <c r="W1302" i="9"/>
  <c r="Y1212" i="9"/>
  <c r="Y1204" i="9"/>
  <c r="Y1209" i="9"/>
  <c r="Y1221" i="9"/>
  <c r="Y1218" i="9"/>
  <c r="Y1206" i="9"/>
  <c r="W591" i="9"/>
  <c r="V79" i="9"/>
  <c r="Y123" i="9"/>
  <c r="Y120" i="9"/>
  <c r="Y135" i="9"/>
  <c r="Y126" i="9"/>
  <c r="Y132" i="9"/>
  <c r="Y118" i="9"/>
  <c r="X811" i="9"/>
  <c r="X839" i="9"/>
  <c r="AA1201" i="9"/>
  <c r="AA1234" i="9"/>
  <c r="AB1200" i="9"/>
  <c r="X1329" i="9"/>
  <c r="X1301" i="9"/>
  <c r="Y888" i="9"/>
  <c r="Y860" i="9"/>
  <c r="X964" i="9"/>
  <c r="X976" i="9"/>
  <c r="X961" i="9"/>
  <c r="X973" i="9"/>
  <c r="X967" i="9"/>
  <c r="X959" i="9"/>
  <c r="S20" i="8"/>
  <c r="V429" i="9"/>
  <c r="Z891" i="9"/>
  <c r="AA857" i="9"/>
  <c r="Z858" i="9"/>
  <c r="Y790" i="9"/>
  <c r="Y762" i="9"/>
  <c r="U983" i="9"/>
  <c r="V823" i="9"/>
  <c r="U91" i="9"/>
  <c r="U92" i="9" s="1"/>
  <c r="U80" i="9"/>
  <c r="Z414" i="9"/>
  <c r="Y415" i="9"/>
  <c r="Y448" i="9"/>
  <c r="S29" i="8"/>
  <c r="T1277" i="9"/>
  <c r="Y535" i="9"/>
  <c r="Y520" i="9"/>
  <c r="Y532" i="9"/>
  <c r="Y526" i="9"/>
  <c r="Y518" i="9"/>
  <c r="Y523" i="9"/>
  <c r="Z760" i="9"/>
  <c r="Z793" i="9"/>
  <c r="AA759" i="9"/>
  <c r="Z1133" i="9"/>
  <c r="Z1105" i="9"/>
  <c r="X445" i="9"/>
  <c r="X417" i="9"/>
  <c r="X869" i="9"/>
  <c r="X861" i="9"/>
  <c r="X866" i="9"/>
  <c r="X878" i="9"/>
  <c r="X863" i="9"/>
  <c r="X875" i="9"/>
  <c r="Y1365" i="9"/>
  <c r="Y1359" i="9"/>
  <c r="Y1351" i="9"/>
  <c r="Y1356" i="9"/>
  <c r="Y1368" i="9"/>
  <c r="Y1353" i="9"/>
  <c r="AB1102" i="9"/>
  <c r="AA1103" i="9"/>
  <c r="AA1136" i="9"/>
  <c r="Z1476" i="9"/>
  <c r="Z1448" i="9"/>
  <c r="T836" i="9"/>
  <c r="X1016" i="9"/>
  <c r="X1008" i="9"/>
  <c r="X1013" i="9"/>
  <c r="X1025" i="9"/>
  <c r="X1010" i="9"/>
  <c r="X1022" i="9"/>
  <c r="Z145" i="9"/>
  <c r="Z117" i="9"/>
  <c r="Y1495" i="9"/>
  <c r="Z1494" i="9"/>
  <c r="Y1528" i="9"/>
  <c r="AB1445" i="9"/>
  <c r="AA1446" i="9"/>
  <c r="AA1479" i="9"/>
  <c r="Y579" i="9" l="1"/>
  <c r="S93" i="8"/>
  <c r="S103" i="8"/>
  <c r="S167" i="8" s="1"/>
  <c r="S162" i="8"/>
  <c r="W479" i="9"/>
  <c r="W480" i="9" s="1"/>
  <c r="Y1559" i="9"/>
  <c r="W229" i="9"/>
  <c r="W230" i="9" s="1"/>
  <c r="W628" i="9"/>
  <c r="X627" i="9"/>
  <c r="X639" i="9" s="1"/>
  <c r="X640" i="9" s="1"/>
  <c r="W737" i="9"/>
  <c r="W738" i="9" s="1"/>
  <c r="W873" i="9"/>
  <c r="W41" i="9"/>
  <c r="W42" i="9" s="1"/>
  <c r="X1227" i="9"/>
  <c r="X1228" i="9" s="1"/>
  <c r="W1020" i="9"/>
  <c r="W1068" i="9"/>
  <c r="W1080" i="9" s="1"/>
  <c r="W1081" i="9" s="1"/>
  <c r="X1472" i="9"/>
  <c r="X1473" i="9" s="1"/>
  <c r="X1363" i="9"/>
  <c r="T32" i="8"/>
  <c r="T33" i="8" s="1"/>
  <c r="W79" i="9"/>
  <c r="W80" i="9" s="1"/>
  <c r="X530" i="9"/>
  <c r="V380" i="9"/>
  <c r="W775" i="9"/>
  <c r="V1167" i="9"/>
  <c r="V491" i="9"/>
  <c r="V492" i="9" s="1"/>
  <c r="X774" i="9"/>
  <c r="X786" i="9" s="1"/>
  <c r="X787" i="9" s="1"/>
  <c r="X141" i="9"/>
  <c r="X142" i="9" s="1"/>
  <c r="Y1460" i="9"/>
  <c r="Y1472" i="9" s="1"/>
  <c r="Y1473" i="9" s="1"/>
  <c r="Y1362" i="9"/>
  <c r="Y1374" i="9" s="1"/>
  <c r="Y1117" i="9"/>
  <c r="Y1129" i="9" s="1"/>
  <c r="Y1130" i="9" s="1"/>
  <c r="Z1558" i="9"/>
  <c r="Z1559" i="9" s="1"/>
  <c r="V922" i="9"/>
  <c r="V933" i="9"/>
  <c r="V934" i="9" s="1"/>
  <c r="V1265" i="9"/>
  <c r="W676" i="9"/>
  <c r="W688" i="9" s="1"/>
  <c r="W689" i="9" s="1"/>
  <c r="W921" i="9"/>
  <c r="W933" i="9" s="1"/>
  <c r="W934" i="9" s="1"/>
  <c r="V241" i="9"/>
  <c r="V242" i="9" s="1"/>
  <c r="X1019" i="9"/>
  <c r="X1031" i="9" s="1"/>
  <c r="V1325" i="9"/>
  <c r="V1326" i="9" s="1"/>
  <c r="X1412" i="9"/>
  <c r="X1129" i="9"/>
  <c r="X1130" i="9" s="1"/>
  <c r="V180" i="9"/>
  <c r="U76" i="8"/>
  <c r="U77" i="8" s="1"/>
  <c r="Z1054" i="9"/>
  <c r="Z1087" i="9"/>
  <c r="AA1053" i="9"/>
  <c r="AA661" i="9"/>
  <c r="Z695" i="9"/>
  <c r="Z662" i="9"/>
  <c r="X29" i="9"/>
  <c r="Y1084" i="9"/>
  <c r="Y1056" i="9"/>
  <c r="Y1215" i="9"/>
  <c r="Y1227" i="9" s="1"/>
  <c r="Y664" i="9"/>
  <c r="Y692" i="9"/>
  <c r="S26" i="8"/>
  <c r="S38" i="8" s="1"/>
  <c r="W1509" i="9"/>
  <c r="W1521" i="9" s="1"/>
  <c r="W1522" i="9" s="1"/>
  <c r="W823" i="9"/>
  <c r="W835" i="9" s="1"/>
  <c r="W836" i="9" s="1"/>
  <c r="Y495" i="9"/>
  <c r="Y467" i="9"/>
  <c r="W379" i="9"/>
  <c r="Y1154" i="9"/>
  <c r="Y1182" i="9"/>
  <c r="X468" i="9"/>
  <c r="X485" i="9"/>
  <c r="X476" i="9"/>
  <c r="X470" i="9"/>
  <c r="X482" i="9"/>
  <c r="X473" i="9"/>
  <c r="X725" i="9"/>
  <c r="X737" i="9" s="1"/>
  <c r="W429" i="9"/>
  <c r="W441" i="9" s="1"/>
  <c r="W442" i="9" s="1"/>
  <c r="Y529" i="9"/>
  <c r="Y541" i="9" s="1"/>
  <c r="Y542" i="9" s="1"/>
  <c r="Z465" i="9"/>
  <c r="Z498" i="9"/>
  <c r="AA464" i="9"/>
  <c r="Z1152" i="9"/>
  <c r="AA1151" i="9"/>
  <c r="Z1185" i="9"/>
  <c r="W1264" i="9"/>
  <c r="W1265" i="9" s="1"/>
  <c r="X872" i="9"/>
  <c r="X884" i="9" s="1"/>
  <c r="X885" i="9" s="1"/>
  <c r="Z578" i="9"/>
  <c r="Z579" i="9" s="1"/>
  <c r="Y367" i="9"/>
  <c r="Y395" i="9"/>
  <c r="Z398" i="9"/>
  <c r="AA364" i="9"/>
  <c r="Z365" i="9"/>
  <c r="V688" i="9"/>
  <c r="V689" i="9" s="1"/>
  <c r="V677" i="9"/>
  <c r="X370" i="9"/>
  <c r="X373" i="9"/>
  <c r="X368" i="9"/>
  <c r="X382" i="9"/>
  <c r="X376" i="9"/>
  <c r="X385" i="9"/>
  <c r="X279" i="9"/>
  <c r="Y270" i="9"/>
  <c r="Y273" i="9"/>
  <c r="Y268" i="9"/>
  <c r="Y285" i="9"/>
  <c r="Y282" i="9"/>
  <c r="Y276" i="9"/>
  <c r="W1166" i="9"/>
  <c r="AA906" i="9"/>
  <c r="Z907" i="9"/>
  <c r="Z940" i="9"/>
  <c r="AA15" i="9"/>
  <c r="AA48" i="9"/>
  <c r="AB14" i="9"/>
  <c r="Y195" i="9"/>
  <c r="Y167" i="9"/>
  <c r="Z165" i="9"/>
  <c r="Z198" i="9"/>
  <c r="AA164" i="9"/>
  <c r="Y129" i="9"/>
  <c r="Y141" i="9" s="1"/>
  <c r="W291" i="9"/>
  <c r="W292" i="9" s="1"/>
  <c r="W280" i="9"/>
  <c r="X927" i="9"/>
  <c r="X918" i="9"/>
  <c r="X912" i="9"/>
  <c r="X924" i="9"/>
  <c r="X910" i="9"/>
  <c r="X915" i="9"/>
  <c r="Y937" i="9"/>
  <c r="Y909" i="9"/>
  <c r="Z45" i="9"/>
  <c r="Z17" i="9"/>
  <c r="X1074" i="9"/>
  <c r="X1059" i="9"/>
  <c r="X1065" i="9"/>
  <c r="X1071" i="9"/>
  <c r="X1057" i="9"/>
  <c r="X1062" i="9"/>
  <c r="X970" i="9"/>
  <c r="X971" i="9" s="1"/>
  <c r="W329" i="9"/>
  <c r="W341" i="9" s="1"/>
  <c r="W342" i="9" s="1"/>
  <c r="Y1411" i="9"/>
  <c r="Y1423" i="9" s="1"/>
  <c r="Y1424" i="9" s="1"/>
  <c r="X673" i="9"/>
  <c r="X679" i="9"/>
  <c r="X670" i="9"/>
  <c r="X682" i="9"/>
  <c r="X667" i="9"/>
  <c r="X665" i="9"/>
  <c r="W179" i="9"/>
  <c r="Z295" i="9"/>
  <c r="Z267" i="9"/>
  <c r="Y26" i="9"/>
  <c r="Y35" i="9"/>
  <c r="Y18" i="9"/>
  <c r="Y32" i="9"/>
  <c r="Y23" i="9"/>
  <c r="Y20" i="9"/>
  <c r="X168" i="9"/>
  <c r="X176" i="9"/>
  <c r="X173" i="9"/>
  <c r="X182" i="9"/>
  <c r="X185" i="9"/>
  <c r="X170" i="9"/>
  <c r="X1155" i="9"/>
  <c r="X1160" i="9"/>
  <c r="X1172" i="9"/>
  <c r="X1157" i="9"/>
  <c r="X1169" i="9"/>
  <c r="X1163" i="9"/>
  <c r="AA298" i="9"/>
  <c r="AB264" i="9"/>
  <c r="AA265" i="9"/>
  <c r="V1080" i="9"/>
  <c r="V1081" i="9" s="1"/>
  <c r="V1069" i="9"/>
  <c r="AA808" i="9"/>
  <c r="Z809" i="9"/>
  <c r="Z842" i="9"/>
  <c r="Z986" i="9"/>
  <c r="Z958" i="9"/>
  <c r="AA760" i="9"/>
  <c r="AA793" i="9"/>
  <c r="AB759" i="9"/>
  <c r="W885" i="9"/>
  <c r="Y714" i="9"/>
  <c r="Y719" i="9"/>
  <c r="Y731" i="9"/>
  <c r="Y716" i="9"/>
  <c r="Y728" i="9"/>
  <c r="Y722" i="9"/>
  <c r="X1307" i="9"/>
  <c r="X1319" i="9"/>
  <c r="X1304" i="9"/>
  <c r="X1316" i="9"/>
  <c r="X1310" i="9"/>
  <c r="X1302" i="9"/>
  <c r="S140" i="8"/>
  <c r="T20" i="8"/>
  <c r="T21" i="8" s="1"/>
  <c r="Z1218" i="9"/>
  <c r="Z1212" i="9"/>
  <c r="Z1204" i="9"/>
  <c r="Z1209" i="9"/>
  <c r="Z1221" i="9"/>
  <c r="Z1206" i="9"/>
  <c r="AB955" i="9"/>
  <c r="AA956" i="9"/>
  <c r="AA989" i="9"/>
  <c r="W1130" i="9"/>
  <c r="Z1449" i="9"/>
  <c r="Z1451" i="9"/>
  <c r="Z1454" i="9"/>
  <c r="Z1466" i="9"/>
  <c r="Z1463" i="9"/>
  <c r="Z1457" i="9"/>
  <c r="V835" i="9"/>
  <c r="V824" i="9"/>
  <c r="AA1231" i="9"/>
  <c r="AA1203" i="9"/>
  <c r="W1424" i="9"/>
  <c r="AB594" i="9"/>
  <c r="AB566" i="9"/>
  <c r="AA117" i="9"/>
  <c r="AA145" i="9"/>
  <c r="Z790" i="9"/>
  <c r="Z762" i="9"/>
  <c r="AB1201" i="9"/>
  <c r="AB1234" i="9"/>
  <c r="AC1200" i="9"/>
  <c r="Y839" i="9"/>
  <c r="Y811" i="9"/>
  <c r="V1510" i="9"/>
  <c r="V1521" i="9"/>
  <c r="R27" i="8"/>
  <c r="R38" i="8"/>
  <c r="T23" i="8"/>
  <c r="T125" i="8" s="1"/>
  <c r="T91" i="8" s="1"/>
  <c r="T162" i="8" s="1"/>
  <c r="AC597" i="9"/>
  <c r="AD563" i="9"/>
  <c r="AC564" i="9"/>
  <c r="T13" i="8"/>
  <c r="T15" i="8"/>
  <c r="T57" i="8"/>
  <c r="T42" i="8"/>
  <c r="W787" i="9"/>
  <c r="Y1497" i="9"/>
  <c r="Y1525" i="9"/>
  <c r="X1255" i="9"/>
  <c r="X1267" i="9"/>
  <c r="X1261" i="9"/>
  <c r="X1253" i="9"/>
  <c r="X1258" i="9"/>
  <c r="X1270" i="9"/>
  <c r="Z535" i="9"/>
  <c r="Z520" i="9"/>
  <c r="Z532" i="9"/>
  <c r="Z526" i="9"/>
  <c r="Z518" i="9"/>
  <c r="Z523" i="9"/>
  <c r="T29" i="8"/>
  <c r="T30" i="8" s="1"/>
  <c r="Y964" i="9"/>
  <c r="Y976" i="9"/>
  <c r="Y961" i="9"/>
  <c r="Y973" i="9"/>
  <c r="Y967" i="9"/>
  <c r="Y959" i="9"/>
  <c r="AC114" i="9"/>
  <c r="AB148" i="9"/>
  <c r="AB115" i="9"/>
  <c r="Y1329" i="9"/>
  <c r="Y1301" i="9"/>
  <c r="X220" i="9"/>
  <c r="X226" i="9"/>
  <c r="X235" i="9"/>
  <c r="X232" i="9"/>
  <c r="X218" i="9"/>
  <c r="X223" i="9"/>
  <c r="AA1298" i="9"/>
  <c r="Z1299" i="9"/>
  <c r="Z1332" i="9"/>
  <c r="T17" i="8"/>
  <c r="T18" i="8" s="1"/>
  <c r="V640" i="9"/>
  <c r="Z123" i="9"/>
  <c r="Z120" i="9"/>
  <c r="Z135" i="9"/>
  <c r="Z126" i="9"/>
  <c r="Z132" i="9"/>
  <c r="Z118" i="9"/>
  <c r="Y771" i="9"/>
  <c r="Y763" i="9"/>
  <c r="Y768" i="9"/>
  <c r="Y765" i="9"/>
  <c r="Y777" i="9"/>
  <c r="Y780" i="9"/>
  <c r="S18" i="8"/>
  <c r="AA567" i="9"/>
  <c r="AA572" i="9"/>
  <c r="AA569" i="9"/>
  <c r="AA581" i="9"/>
  <c r="AA575" i="9"/>
  <c r="AA584" i="9"/>
  <c r="X814" i="9"/>
  <c r="X820" i="9"/>
  <c r="X829" i="9"/>
  <c r="X817" i="9"/>
  <c r="X826" i="9"/>
  <c r="X812" i="9"/>
  <c r="X70" i="9"/>
  <c r="X85" i="9"/>
  <c r="X68" i="9"/>
  <c r="X76" i="9"/>
  <c r="X82" i="9"/>
  <c r="X73" i="9"/>
  <c r="U14" i="8"/>
  <c r="U122" i="8" s="1"/>
  <c r="U104" i="8" s="1"/>
  <c r="T122" i="8"/>
  <c r="T104" i="8" s="1"/>
  <c r="T168" i="8" s="1"/>
  <c r="Z248" i="9"/>
  <c r="AA214" i="9"/>
  <c r="Z215" i="9"/>
  <c r="S24" i="8"/>
  <c r="AB1348" i="9"/>
  <c r="AB1381" i="9"/>
  <c r="AC1347" i="9"/>
  <c r="Y67" i="9"/>
  <c r="Y95" i="9"/>
  <c r="V12" i="8"/>
  <c r="Y317" i="9"/>
  <c r="Y345" i="9"/>
  <c r="Z741" i="9"/>
  <c r="Z713" i="9"/>
  <c r="AA414" i="9"/>
  <c r="Z415" i="9"/>
  <c r="Z448" i="9"/>
  <c r="V91" i="9"/>
  <c r="V92" i="9" s="1"/>
  <c r="V80" i="9"/>
  <c r="Z888" i="9"/>
  <c r="Z860" i="9"/>
  <c r="AA858" i="9"/>
  <c r="AA891" i="9"/>
  <c r="AB857" i="9"/>
  <c r="AA64" i="9"/>
  <c r="Z65" i="9"/>
  <c r="Z98" i="9"/>
  <c r="AA744" i="9"/>
  <c r="AB710" i="9"/>
  <c r="AA711" i="9"/>
  <c r="Z315" i="9"/>
  <c r="Z348" i="9"/>
  <c r="AA314" i="9"/>
  <c r="AA1133" i="9"/>
  <c r="AA1105" i="9"/>
  <c r="AA1552" i="9"/>
  <c r="AA1564" i="9"/>
  <c r="AA1549" i="9"/>
  <c r="AA1561" i="9"/>
  <c r="AA1547" i="9"/>
  <c r="AA1555" i="9"/>
  <c r="AA1005" i="9"/>
  <c r="AA1038" i="9"/>
  <c r="AB1004" i="9"/>
  <c r="Z1250" i="9"/>
  <c r="Z1283" i="9"/>
  <c r="AA1249" i="9"/>
  <c r="Y1571" i="9"/>
  <c r="AA1494" i="9"/>
  <c r="Z1495" i="9"/>
  <c r="Z1528" i="9"/>
  <c r="V341" i="9"/>
  <c r="V330" i="9"/>
  <c r="X432" i="9"/>
  <c r="X423" i="9"/>
  <c r="X435" i="9"/>
  <c r="X426" i="9"/>
  <c r="X418" i="9"/>
  <c r="X420" i="9"/>
  <c r="AC1102" i="9"/>
  <c r="AB1103" i="9"/>
  <c r="AB1136" i="9"/>
  <c r="Z1365" i="9"/>
  <c r="Z1359" i="9"/>
  <c r="Z1351" i="9"/>
  <c r="Z1356" i="9"/>
  <c r="Z1368" i="9"/>
  <c r="Z1353" i="9"/>
  <c r="AA1378" i="9"/>
  <c r="AA1350" i="9"/>
  <c r="Z1111" i="9"/>
  <c r="Z1123" i="9"/>
  <c r="Z1108" i="9"/>
  <c r="Z1120" i="9"/>
  <c r="Z1114" i="9"/>
  <c r="Z1106" i="9"/>
  <c r="V430" i="9"/>
  <c r="V441" i="9"/>
  <c r="AA517" i="9"/>
  <c r="AA545" i="9"/>
  <c r="Y1016" i="9"/>
  <c r="Y1008" i="9"/>
  <c r="Y1013" i="9"/>
  <c r="Y1025" i="9"/>
  <c r="Y1010" i="9"/>
  <c r="Y1022" i="9"/>
  <c r="AB515" i="9"/>
  <c r="AB548" i="9"/>
  <c r="AC514" i="9"/>
  <c r="Z1035" i="9"/>
  <c r="Z1007" i="9"/>
  <c r="Y1280" i="9"/>
  <c r="Y1252" i="9"/>
  <c r="W1313" i="9"/>
  <c r="Y630" i="9"/>
  <c r="Y624" i="9"/>
  <c r="Y616" i="9"/>
  <c r="Y621" i="9"/>
  <c r="Y633" i="9"/>
  <c r="Y618" i="9"/>
  <c r="AB1574" i="9"/>
  <c r="AB1546" i="9"/>
  <c r="Z643" i="9"/>
  <c r="Z615" i="9"/>
  <c r="X1506" i="9"/>
  <c r="X1515" i="9"/>
  <c r="X1498" i="9"/>
  <c r="X1503" i="9"/>
  <c r="X1512" i="9"/>
  <c r="X1500" i="9"/>
  <c r="X542" i="9"/>
  <c r="AA613" i="9"/>
  <c r="AA646" i="9"/>
  <c r="AB612" i="9"/>
  <c r="Z1417" i="9"/>
  <c r="Z1402" i="9"/>
  <c r="Z1408" i="9"/>
  <c r="Z1400" i="9"/>
  <c r="Z1405" i="9"/>
  <c r="Z1414" i="9"/>
  <c r="X335" i="9"/>
  <c r="X320" i="9"/>
  <c r="X332" i="9"/>
  <c r="X326" i="9"/>
  <c r="X318" i="9"/>
  <c r="X323" i="9"/>
  <c r="AB1397" i="9"/>
  <c r="AB1430" i="9"/>
  <c r="AC1396" i="9"/>
  <c r="S30" i="8"/>
  <c r="AA1476" i="9"/>
  <c r="AA1448" i="9"/>
  <c r="Y869" i="9"/>
  <c r="Y861" i="9"/>
  <c r="Y866" i="9"/>
  <c r="Y878" i="9"/>
  <c r="Y863" i="9"/>
  <c r="Y875" i="9"/>
  <c r="AB1479" i="9"/>
  <c r="AC1445" i="9"/>
  <c r="AB1446" i="9"/>
  <c r="AD1543" i="9"/>
  <c r="AC1544" i="9"/>
  <c r="AC1577" i="9"/>
  <c r="S21" i="8"/>
  <c r="Y445" i="9"/>
  <c r="Y417" i="9"/>
  <c r="Y217" i="9"/>
  <c r="Y245" i="9"/>
  <c r="AA1399" i="9"/>
  <c r="AA1427" i="9"/>
  <c r="Z1570" i="9" l="1"/>
  <c r="Z1571" i="9" s="1"/>
  <c r="U168" i="8"/>
  <c r="Y1118" i="9"/>
  <c r="W491" i="9"/>
  <c r="W492" i="9" s="1"/>
  <c r="W91" i="9"/>
  <c r="W92" i="9" s="1"/>
  <c r="W1069" i="9"/>
  <c r="X1020" i="9"/>
  <c r="T161" i="8"/>
  <c r="T103" i="8"/>
  <c r="T167" i="8" s="1"/>
  <c r="T93" i="8"/>
  <c r="T164" i="8" s="1"/>
  <c r="W241" i="9"/>
  <c r="W242" i="9" s="1"/>
  <c r="S164" i="8"/>
  <c r="S161" i="8"/>
  <c r="U103" i="8"/>
  <c r="U93" i="8"/>
  <c r="X628" i="9"/>
  <c r="Y1461" i="9"/>
  <c r="Y1216" i="9"/>
  <c r="Y1363" i="9"/>
  <c r="W1276" i="9"/>
  <c r="W1277" i="9" s="1"/>
  <c r="S27" i="8"/>
  <c r="W430" i="9"/>
  <c r="X726" i="9"/>
  <c r="Y627" i="9"/>
  <c r="X775" i="9"/>
  <c r="W922" i="9"/>
  <c r="Y1019" i="9"/>
  <c r="Y1031" i="9" s="1"/>
  <c r="Y1032" i="9" s="1"/>
  <c r="X982" i="9"/>
  <c r="X983" i="9" s="1"/>
  <c r="X1313" i="9"/>
  <c r="X1325" i="9" s="1"/>
  <c r="X1326" i="9" s="1"/>
  <c r="Y872" i="9"/>
  <c r="Y884" i="9" s="1"/>
  <c r="W1510" i="9"/>
  <c r="X179" i="9"/>
  <c r="X191" i="9" s="1"/>
  <c r="X192" i="9" s="1"/>
  <c r="Y279" i="9"/>
  <c r="Y280" i="9" s="1"/>
  <c r="X823" i="9"/>
  <c r="X835" i="9" s="1"/>
  <c r="X836" i="9" s="1"/>
  <c r="Y130" i="9"/>
  <c r="Y970" i="9"/>
  <c r="Y971" i="9" s="1"/>
  <c r="Y725" i="9"/>
  <c r="Y737" i="9" s="1"/>
  <c r="Y738" i="9" s="1"/>
  <c r="W677" i="9"/>
  <c r="X873" i="9"/>
  <c r="Y530" i="9"/>
  <c r="X1509" i="9"/>
  <c r="X1510" i="9" s="1"/>
  <c r="X291" i="9"/>
  <c r="X292" i="9" s="1"/>
  <c r="X280" i="9"/>
  <c r="Y468" i="9"/>
  <c r="Y485" i="9"/>
  <c r="Y476" i="9"/>
  <c r="Y482" i="9"/>
  <c r="Y470" i="9"/>
  <c r="Y473" i="9"/>
  <c r="AA165" i="9"/>
  <c r="AA198" i="9"/>
  <c r="AB164" i="9"/>
  <c r="Z1411" i="9"/>
  <c r="Z1423" i="9" s="1"/>
  <c r="Z1117" i="9"/>
  <c r="Z1129" i="9" s="1"/>
  <c r="Z1130" i="9" s="1"/>
  <c r="Z195" i="9"/>
  <c r="Z167" i="9"/>
  <c r="AA1152" i="9"/>
  <c r="AB1151" i="9"/>
  <c r="AA1185" i="9"/>
  <c r="Y29" i="9"/>
  <c r="Y185" i="9"/>
  <c r="Y176" i="9"/>
  <c r="Y168" i="9"/>
  <c r="Y173" i="9"/>
  <c r="Y182" i="9"/>
  <c r="Y170" i="9"/>
  <c r="Z1154" i="9"/>
  <c r="Z1182" i="9"/>
  <c r="W380" i="9"/>
  <c r="W391" i="9"/>
  <c r="W392" i="9" s="1"/>
  <c r="W824" i="9"/>
  <c r="X1068" i="9"/>
  <c r="AB15" i="9"/>
  <c r="AC14" i="9"/>
  <c r="AB48" i="9"/>
  <c r="Y682" i="9"/>
  <c r="Y667" i="9"/>
  <c r="Y679" i="9"/>
  <c r="Y673" i="9"/>
  <c r="Y665" i="9"/>
  <c r="Y670" i="9"/>
  <c r="Y774" i="9"/>
  <c r="Y786" i="9" s="1"/>
  <c r="AA498" i="9"/>
  <c r="AB464" i="9"/>
  <c r="AA465" i="9"/>
  <c r="X379" i="9"/>
  <c r="Z495" i="9"/>
  <c r="Z467" i="9"/>
  <c r="Z1362" i="9"/>
  <c r="Z1374" i="9" s="1"/>
  <c r="Z1375" i="9" s="1"/>
  <c r="Z1460" i="9"/>
  <c r="Z1472" i="9" s="1"/>
  <c r="AA295" i="9"/>
  <c r="AA267" i="9"/>
  <c r="Z26" i="9"/>
  <c r="Z35" i="9"/>
  <c r="Z23" i="9"/>
  <c r="Z20" i="9"/>
  <c r="Z18" i="9"/>
  <c r="Z32" i="9"/>
  <c r="AA17" i="9"/>
  <c r="AA45" i="9"/>
  <c r="Y1071" i="9"/>
  <c r="Y1065" i="9"/>
  <c r="Y1057" i="9"/>
  <c r="Y1062" i="9"/>
  <c r="Y1074" i="9"/>
  <c r="Y1059" i="9"/>
  <c r="AA1558" i="9"/>
  <c r="AA1559" i="9" s="1"/>
  <c r="AB265" i="9"/>
  <c r="AC264" i="9"/>
  <c r="AB298" i="9"/>
  <c r="Y1412" i="9"/>
  <c r="Z273" i="9"/>
  <c r="Z282" i="9"/>
  <c r="Z285" i="9"/>
  <c r="Z268" i="9"/>
  <c r="Z270" i="9"/>
  <c r="Z276" i="9"/>
  <c r="Y912" i="9"/>
  <c r="Y924" i="9"/>
  <c r="Y918" i="9"/>
  <c r="Y910" i="9"/>
  <c r="Y915" i="9"/>
  <c r="Y927" i="9"/>
  <c r="Z937" i="9"/>
  <c r="Z909" i="9"/>
  <c r="X30" i="9"/>
  <c r="X41" i="9"/>
  <c r="X42" i="9" s="1"/>
  <c r="Z529" i="9"/>
  <c r="Z541" i="9" s="1"/>
  <c r="AA940" i="9"/>
  <c r="AB906" i="9"/>
  <c r="AA907" i="9"/>
  <c r="X479" i="9"/>
  <c r="Z664" i="9"/>
  <c r="Z692" i="9"/>
  <c r="W191" i="9"/>
  <c r="W192" i="9" s="1"/>
  <c r="W180" i="9"/>
  <c r="W1167" i="9"/>
  <c r="W1178" i="9"/>
  <c r="W1179" i="9" s="1"/>
  <c r="AB661" i="9"/>
  <c r="AA662" i="9"/>
  <c r="AA695" i="9"/>
  <c r="AA578" i="9"/>
  <c r="AA579" i="9" s="1"/>
  <c r="W330" i="9"/>
  <c r="X676" i="9"/>
  <c r="Z367" i="9"/>
  <c r="Z395" i="9"/>
  <c r="AA1054" i="9"/>
  <c r="AA1087" i="9"/>
  <c r="AB1053" i="9"/>
  <c r="Z129" i="9"/>
  <c r="Z130" i="9" s="1"/>
  <c r="X1166" i="9"/>
  <c r="X921" i="9"/>
  <c r="AA398" i="9"/>
  <c r="AB364" i="9"/>
  <c r="AA365" i="9"/>
  <c r="Z590" i="9"/>
  <c r="Z591" i="9" s="1"/>
  <c r="X429" i="9"/>
  <c r="X441" i="9" s="1"/>
  <c r="X442" i="9" s="1"/>
  <c r="Z1056" i="9"/>
  <c r="Z1084" i="9"/>
  <c r="Z1215" i="9"/>
  <c r="Z1227" i="9" s="1"/>
  <c r="Z1228" i="9" s="1"/>
  <c r="Y368" i="9"/>
  <c r="Y385" i="9"/>
  <c r="Y370" i="9"/>
  <c r="Y382" i="9"/>
  <c r="Y376" i="9"/>
  <c r="Y373" i="9"/>
  <c r="Y1155" i="9"/>
  <c r="Y1172" i="9"/>
  <c r="Y1160" i="9"/>
  <c r="Y1157" i="9"/>
  <c r="Y1169" i="9"/>
  <c r="Y1163" i="9"/>
  <c r="X1314" i="9"/>
  <c r="AB117" i="9"/>
  <c r="AB145" i="9"/>
  <c r="AA248" i="9"/>
  <c r="AB214" i="9"/>
  <c r="AA215" i="9"/>
  <c r="AC1348" i="9"/>
  <c r="AC1381" i="9"/>
  <c r="AD1347" i="9"/>
  <c r="AC1201" i="9"/>
  <c r="AC1234" i="9"/>
  <c r="AD1200" i="9"/>
  <c r="Y418" i="9"/>
  <c r="Y423" i="9"/>
  <c r="Y435" i="9"/>
  <c r="Y432" i="9"/>
  <c r="Y426" i="9"/>
  <c r="Y420" i="9"/>
  <c r="AB1378" i="9"/>
  <c r="AB1350" i="9"/>
  <c r="Y142" i="9"/>
  <c r="Y220" i="9"/>
  <c r="Y226" i="9"/>
  <c r="Y235" i="9"/>
  <c r="Y232" i="9"/>
  <c r="Y218" i="9"/>
  <c r="Y223" i="9"/>
  <c r="X329" i="9"/>
  <c r="Z1525" i="9"/>
  <c r="Z1497" i="9"/>
  <c r="X1032" i="9"/>
  <c r="AA1495" i="9"/>
  <c r="AB1494" i="9"/>
  <c r="AA1528" i="9"/>
  <c r="T26" i="8"/>
  <c r="AB1231" i="9"/>
  <c r="AB1203" i="9"/>
  <c r="AA986" i="9"/>
  <c r="AA958" i="9"/>
  <c r="AD114" i="9"/>
  <c r="AC148" i="9"/>
  <c r="AC115" i="9"/>
  <c r="AC955" i="9"/>
  <c r="AB956" i="9"/>
  <c r="AB989" i="9"/>
  <c r="Z964" i="9"/>
  <c r="Z976" i="9"/>
  <c r="Z961" i="9"/>
  <c r="Z973" i="9"/>
  <c r="Z967" i="9"/>
  <c r="Z959" i="9"/>
  <c r="AA1106" i="9"/>
  <c r="AA1111" i="9"/>
  <c r="AA1123" i="9"/>
  <c r="AA1108" i="9"/>
  <c r="AA1120" i="9"/>
  <c r="AA1114" i="9"/>
  <c r="Z765" i="9"/>
  <c r="Z777" i="9"/>
  <c r="Z771" i="9"/>
  <c r="Z763" i="9"/>
  <c r="Z768" i="9"/>
  <c r="Z780" i="9"/>
  <c r="AA1218" i="9"/>
  <c r="AA1212" i="9"/>
  <c r="AA1204" i="9"/>
  <c r="AA1209" i="9"/>
  <c r="AA1221" i="9"/>
  <c r="AA1206" i="9"/>
  <c r="AA1449" i="9"/>
  <c r="AA1454" i="9"/>
  <c r="AA1466" i="9"/>
  <c r="AA1451" i="9"/>
  <c r="AA1463" i="9"/>
  <c r="AA1457" i="9"/>
  <c r="AA1250" i="9"/>
  <c r="AA1283" i="9"/>
  <c r="AB1249" i="9"/>
  <c r="Z445" i="9"/>
  <c r="Z417" i="9"/>
  <c r="Z217" i="9"/>
  <c r="Z245" i="9"/>
  <c r="AC594" i="9"/>
  <c r="AC566" i="9"/>
  <c r="AD564" i="9"/>
  <c r="AD597" i="9"/>
  <c r="Z1252" i="9"/>
  <c r="Z1280" i="9"/>
  <c r="AA120" i="9"/>
  <c r="AA135" i="9"/>
  <c r="AA126" i="9"/>
  <c r="AA123" i="9"/>
  <c r="AA132" i="9"/>
  <c r="AA118" i="9"/>
  <c r="AB1005" i="9"/>
  <c r="AB1038" i="9"/>
  <c r="AC1004" i="9"/>
  <c r="Z345" i="9"/>
  <c r="Z317" i="9"/>
  <c r="Z714" i="9"/>
  <c r="Z719" i="9"/>
  <c r="Z716" i="9"/>
  <c r="Z728" i="9"/>
  <c r="Z722" i="9"/>
  <c r="Z731" i="9"/>
  <c r="T140" i="8"/>
  <c r="Z1329" i="9"/>
  <c r="Z1301" i="9"/>
  <c r="V836" i="9"/>
  <c r="Z624" i="9"/>
  <c r="Z616" i="9"/>
  <c r="Z621" i="9"/>
  <c r="Z633" i="9"/>
  <c r="Z618" i="9"/>
  <c r="Z630" i="9"/>
  <c r="AA741" i="9"/>
  <c r="AA713" i="9"/>
  <c r="AB1298" i="9"/>
  <c r="AA1299" i="9"/>
  <c r="AA1332" i="9"/>
  <c r="T24" i="8"/>
  <c r="AB575" i="9"/>
  <c r="AB572" i="9"/>
  <c r="AB584" i="9"/>
  <c r="AB569" i="9"/>
  <c r="AB581" i="9"/>
  <c r="AB567" i="9"/>
  <c r="AB760" i="9"/>
  <c r="AB793" i="9"/>
  <c r="AC759" i="9"/>
  <c r="V342" i="9"/>
  <c r="AA1035" i="9"/>
  <c r="AA1007" i="9"/>
  <c r="AB744" i="9"/>
  <c r="AC710" i="9"/>
  <c r="AB711" i="9"/>
  <c r="X1264" i="9"/>
  <c r="AC1574" i="9"/>
  <c r="AC1546" i="9"/>
  <c r="AB613" i="9"/>
  <c r="AB646" i="9"/>
  <c r="AC612" i="9"/>
  <c r="U15" i="8"/>
  <c r="U42" i="8"/>
  <c r="U57" i="8"/>
  <c r="U13" i="8"/>
  <c r="R39" i="8"/>
  <c r="AA790" i="9"/>
  <c r="AA762" i="9"/>
  <c r="X738" i="9"/>
  <c r="Y1512" i="9"/>
  <c r="Y1498" i="9"/>
  <c r="Y1506" i="9"/>
  <c r="Y1515" i="9"/>
  <c r="Y1503" i="9"/>
  <c r="Y1500" i="9"/>
  <c r="AA643" i="9"/>
  <c r="AA615" i="9"/>
  <c r="Z95" i="9"/>
  <c r="Z67" i="9"/>
  <c r="W12" i="8"/>
  <c r="W11" i="8" s="1"/>
  <c r="W79" i="8" s="1"/>
  <c r="U29" i="8"/>
  <c r="U30" i="8" s="1"/>
  <c r="AB1448" i="9"/>
  <c r="AB1476" i="9"/>
  <c r="AB1427" i="9"/>
  <c r="AB1399" i="9"/>
  <c r="AB1552" i="9"/>
  <c r="AB1564" i="9"/>
  <c r="AB1549" i="9"/>
  <c r="AB1561" i="9"/>
  <c r="AB1555" i="9"/>
  <c r="AB1547" i="9"/>
  <c r="Z1022" i="9"/>
  <c r="Z1016" i="9"/>
  <c r="Z1008" i="9"/>
  <c r="Z1013" i="9"/>
  <c r="Z1025" i="9"/>
  <c r="Z1010" i="9"/>
  <c r="AA65" i="9"/>
  <c r="AB64" i="9"/>
  <c r="AA98" i="9"/>
  <c r="Y335" i="9"/>
  <c r="Y332" i="9"/>
  <c r="Y326" i="9"/>
  <c r="Y318" i="9"/>
  <c r="Y323" i="9"/>
  <c r="Y320" i="9"/>
  <c r="U23" i="8"/>
  <c r="V1522" i="9"/>
  <c r="Z811" i="9"/>
  <c r="Z839" i="9"/>
  <c r="W1314" i="9"/>
  <c r="W1325" i="9"/>
  <c r="AA1365" i="9"/>
  <c r="AA1359" i="9"/>
  <c r="AA1351" i="9"/>
  <c r="AA1356" i="9"/>
  <c r="AA1368" i="9"/>
  <c r="AA1353" i="9"/>
  <c r="AD1544" i="9"/>
  <c r="AD1577" i="9"/>
  <c r="AD1396" i="9"/>
  <c r="AC1397" i="9"/>
  <c r="AC1430" i="9"/>
  <c r="Y1255" i="9"/>
  <c r="Y1267" i="9"/>
  <c r="Y1261" i="9"/>
  <c r="Y1253" i="9"/>
  <c r="Y1258" i="9"/>
  <c r="Y1270" i="9"/>
  <c r="AA520" i="9"/>
  <c r="AA526" i="9"/>
  <c r="AA518" i="9"/>
  <c r="AA532" i="9"/>
  <c r="AA535" i="9"/>
  <c r="AA523" i="9"/>
  <c r="U20" i="8"/>
  <c r="U21" i="8" s="1"/>
  <c r="AC1479" i="9"/>
  <c r="AD1445" i="9"/>
  <c r="AC1446" i="9"/>
  <c r="AB858" i="9"/>
  <c r="AB891" i="9"/>
  <c r="AC857" i="9"/>
  <c r="AB808" i="9"/>
  <c r="AA809" i="9"/>
  <c r="AA842" i="9"/>
  <c r="S39" i="8"/>
  <c r="V11" i="8"/>
  <c r="V79" i="8" s="1"/>
  <c r="U32" i="8"/>
  <c r="Y1375" i="9"/>
  <c r="AA448" i="9"/>
  <c r="AB414" i="9"/>
  <c r="AA415" i="9"/>
  <c r="Y639" i="9"/>
  <c r="Y628" i="9"/>
  <c r="AD514" i="9"/>
  <c r="AC515" i="9"/>
  <c r="AC548" i="9"/>
  <c r="V442" i="9"/>
  <c r="AB1133" i="9"/>
  <c r="AB1105" i="9"/>
  <c r="AA888" i="9"/>
  <c r="AA860" i="9"/>
  <c r="V76" i="8"/>
  <c r="U17" i="8"/>
  <c r="U18" i="8" s="1"/>
  <c r="AA315" i="9"/>
  <c r="AA348" i="9"/>
  <c r="AB314" i="9"/>
  <c r="AC1136" i="9"/>
  <c r="AD1102" i="9"/>
  <c r="AC1103" i="9"/>
  <c r="Z869" i="9"/>
  <c r="Z861" i="9"/>
  <c r="Z866" i="9"/>
  <c r="Z878" i="9"/>
  <c r="Z863" i="9"/>
  <c r="Z875" i="9"/>
  <c r="Y70" i="9"/>
  <c r="Y68" i="9"/>
  <c r="Y76" i="9"/>
  <c r="Y82" i="9"/>
  <c r="Y73" i="9"/>
  <c r="Y85" i="9"/>
  <c r="V14" i="8"/>
  <c r="X79" i="9"/>
  <c r="X229" i="9"/>
  <c r="Y814" i="9"/>
  <c r="Y829" i="9"/>
  <c r="Y817" i="9"/>
  <c r="Y826" i="9"/>
  <c r="Y812" i="9"/>
  <c r="Y820" i="9"/>
  <c r="AA1417" i="9"/>
  <c r="AA1402" i="9"/>
  <c r="AA1414" i="9"/>
  <c r="AA1408" i="9"/>
  <c r="AA1400" i="9"/>
  <c r="AA1405" i="9"/>
  <c r="AB545" i="9"/>
  <c r="AB517" i="9"/>
  <c r="U140" i="8"/>
  <c r="Y1307" i="9"/>
  <c r="Y1319" i="9"/>
  <c r="Y1304" i="9"/>
  <c r="Y1316" i="9"/>
  <c r="Y1310" i="9"/>
  <c r="Y1302" i="9"/>
  <c r="Y1228" i="9"/>
  <c r="U167" i="8" l="1"/>
  <c r="Z1216" i="9"/>
  <c r="U164" i="8"/>
  <c r="U161" i="8"/>
  <c r="Z29" i="9"/>
  <c r="Z41" i="9" s="1"/>
  <c r="Z42" i="9" s="1"/>
  <c r="X824" i="9"/>
  <c r="Y1020" i="9"/>
  <c r="X180" i="9"/>
  <c r="Y726" i="9"/>
  <c r="X430" i="9"/>
  <c r="X1521" i="9"/>
  <c r="X1522" i="9" s="1"/>
  <c r="Z1412" i="9"/>
  <c r="Y982" i="9"/>
  <c r="Y983" i="9" s="1"/>
  <c r="Y291" i="9"/>
  <c r="Y292" i="9" s="1"/>
  <c r="AA590" i="9"/>
  <c r="AA591" i="9" s="1"/>
  <c r="Z627" i="9"/>
  <c r="Z639" i="9" s="1"/>
  <c r="Z640" i="9" s="1"/>
  <c r="Z279" i="9"/>
  <c r="Z291" i="9" s="1"/>
  <c r="Z292" i="9" s="1"/>
  <c r="Y1313" i="9"/>
  <c r="Y1314" i="9" s="1"/>
  <c r="AB1558" i="9"/>
  <c r="AB1559" i="9" s="1"/>
  <c r="Y775" i="9"/>
  <c r="Z1118" i="9"/>
  <c r="Y1068" i="9"/>
  <c r="Y1080" i="9" s="1"/>
  <c r="Y1081" i="9" s="1"/>
  <c r="Y179" i="9"/>
  <c r="Y191" i="9" s="1"/>
  <c r="Y192" i="9" s="1"/>
  <c r="AA1215" i="9"/>
  <c r="AA1227" i="9" s="1"/>
  <c r="Y873" i="9"/>
  <c r="AA529" i="9"/>
  <c r="AA530" i="9" s="1"/>
  <c r="AA1411" i="9"/>
  <c r="AA1423" i="9" s="1"/>
  <c r="AA1424" i="9" s="1"/>
  <c r="Z970" i="9"/>
  <c r="Z982" i="9" s="1"/>
  <c r="Z141" i="9"/>
  <c r="Z142" i="9" s="1"/>
  <c r="Z774" i="9"/>
  <c r="Z775" i="9" s="1"/>
  <c r="AA1570" i="9"/>
  <c r="Y921" i="9"/>
  <c r="Y933" i="9" s="1"/>
  <c r="Y934" i="9" s="1"/>
  <c r="AA1117" i="9"/>
  <c r="AA1129" i="9" s="1"/>
  <c r="Z1461" i="9"/>
  <c r="Y429" i="9"/>
  <c r="Y441" i="9" s="1"/>
  <c r="V17" i="8"/>
  <c r="V18" i="8" s="1"/>
  <c r="AB1185" i="9"/>
  <c r="AB1152" i="9"/>
  <c r="AC1151" i="9"/>
  <c r="Y676" i="9"/>
  <c r="AA1154" i="9"/>
  <c r="AA1182" i="9"/>
  <c r="AA367" i="9"/>
  <c r="AA395" i="9"/>
  <c r="Z182" i="9"/>
  <c r="Z176" i="9"/>
  <c r="Z168" i="9"/>
  <c r="Z173" i="9"/>
  <c r="Z170" i="9"/>
  <c r="Z185" i="9"/>
  <c r="Y1264" i="9"/>
  <c r="Y1265" i="9" s="1"/>
  <c r="AA1460" i="9"/>
  <c r="AA1461" i="9" s="1"/>
  <c r="AC364" i="9"/>
  <c r="AB365" i="9"/>
  <c r="AB398" i="9"/>
  <c r="Z667" i="9"/>
  <c r="Z673" i="9"/>
  <c r="Z665" i="9"/>
  <c r="Z679" i="9"/>
  <c r="Z682" i="9"/>
  <c r="Z670" i="9"/>
  <c r="AC15" i="9"/>
  <c r="AD14" i="9"/>
  <c r="AC48" i="9"/>
  <c r="Z872" i="9"/>
  <c r="Z884" i="9" s="1"/>
  <c r="Z885" i="9" s="1"/>
  <c r="Y1166" i="9"/>
  <c r="X933" i="9"/>
  <c r="X934" i="9" s="1"/>
  <c r="X922" i="9"/>
  <c r="X491" i="9"/>
  <c r="X492" i="9" s="1"/>
  <c r="X480" i="9"/>
  <c r="AB17" i="9"/>
  <c r="AB45" i="9"/>
  <c r="AB578" i="9"/>
  <c r="AB590" i="9" s="1"/>
  <c r="AA129" i="9"/>
  <c r="AA130" i="9" s="1"/>
  <c r="X1167" i="9"/>
  <c r="X1178" i="9"/>
  <c r="X1179" i="9" s="1"/>
  <c r="AA909" i="9"/>
  <c r="AA937" i="9"/>
  <c r="AA268" i="9"/>
  <c r="AA273" i="9"/>
  <c r="AA282" i="9"/>
  <c r="AA270" i="9"/>
  <c r="AA276" i="9"/>
  <c r="AA285" i="9"/>
  <c r="X1069" i="9"/>
  <c r="X1080" i="9"/>
  <c r="X1081" i="9" s="1"/>
  <c r="AC164" i="9"/>
  <c r="AB198" i="9"/>
  <c r="AB165" i="9"/>
  <c r="Z725" i="9"/>
  <c r="Z726" i="9" s="1"/>
  <c r="AB907" i="9"/>
  <c r="AB940" i="9"/>
  <c r="AC906" i="9"/>
  <c r="Y229" i="9"/>
  <c r="Y230" i="9" s="1"/>
  <c r="AC1053" i="9"/>
  <c r="AB1087" i="9"/>
  <c r="AB1054" i="9"/>
  <c r="AC265" i="9"/>
  <c r="AC298" i="9"/>
  <c r="AD264" i="9"/>
  <c r="AA195" i="9"/>
  <c r="AA167" i="9"/>
  <c r="AB295" i="9"/>
  <c r="AB267" i="9"/>
  <c r="Y379" i="9"/>
  <c r="AA1056" i="9"/>
  <c r="AA1084" i="9"/>
  <c r="Z473" i="9"/>
  <c r="Z476" i="9"/>
  <c r="Z482" i="9"/>
  <c r="Z468" i="9"/>
  <c r="Z485" i="9"/>
  <c r="Z470" i="9"/>
  <c r="Y479" i="9"/>
  <c r="Z530" i="9"/>
  <c r="Z1155" i="9"/>
  <c r="Z1160" i="9"/>
  <c r="Z1172" i="9"/>
  <c r="Z1157" i="9"/>
  <c r="Z1169" i="9"/>
  <c r="Z1163" i="9"/>
  <c r="Z368" i="9"/>
  <c r="Z370" i="9"/>
  <c r="Z382" i="9"/>
  <c r="Z376" i="9"/>
  <c r="Z373" i="9"/>
  <c r="Z385" i="9"/>
  <c r="Z924" i="9"/>
  <c r="Z918" i="9"/>
  <c r="Z912" i="9"/>
  <c r="Z910" i="9"/>
  <c r="Z915" i="9"/>
  <c r="Z927" i="9"/>
  <c r="X391" i="9"/>
  <c r="X392" i="9" s="1"/>
  <c r="X380" i="9"/>
  <c r="X688" i="9"/>
  <c r="X689" i="9" s="1"/>
  <c r="X677" i="9"/>
  <c r="AA495" i="9"/>
  <c r="AA467" i="9"/>
  <c r="AC464" i="9"/>
  <c r="AB465" i="9"/>
  <c r="AB498" i="9"/>
  <c r="Y1509" i="9"/>
  <c r="Y1510" i="9" s="1"/>
  <c r="AA1362" i="9"/>
  <c r="AA1374" i="9" s="1"/>
  <c r="Y823" i="9"/>
  <c r="Y835" i="9" s="1"/>
  <c r="Y836" i="9" s="1"/>
  <c r="Z1363" i="9"/>
  <c r="Z1074" i="9"/>
  <c r="Z1059" i="9"/>
  <c r="Z1071" i="9"/>
  <c r="Z1065" i="9"/>
  <c r="Z1057" i="9"/>
  <c r="Z1062" i="9"/>
  <c r="AA664" i="9"/>
  <c r="AA692" i="9"/>
  <c r="Y329" i="9"/>
  <c r="Y330" i="9" s="1"/>
  <c r="Z1019" i="9"/>
  <c r="Z1031" i="9" s="1"/>
  <c r="AC661" i="9"/>
  <c r="AB662" i="9"/>
  <c r="AB695" i="9"/>
  <c r="AA23" i="9"/>
  <c r="AA32" i="9"/>
  <c r="AA18" i="9"/>
  <c r="AA26" i="9"/>
  <c r="AA20" i="9"/>
  <c r="AA35" i="9"/>
  <c r="Y30" i="9"/>
  <c r="Y41" i="9"/>
  <c r="Y42" i="9" s="1"/>
  <c r="AC545" i="9"/>
  <c r="AC517" i="9"/>
  <c r="Z235" i="9"/>
  <c r="Z220" i="9"/>
  <c r="Z226" i="9"/>
  <c r="Z232" i="9"/>
  <c r="Z218" i="9"/>
  <c r="Z223" i="9"/>
  <c r="AA1022" i="9"/>
  <c r="AA1016" i="9"/>
  <c r="AA1008" i="9"/>
  <c r="AA1013" i="9"/>
  <c r="AA1025" i="9"/>
  <c r="AA1010" i="9"/>
  <c r="Z420" i="9"/>
  <c r="Z418" i="9"/>
  <c r="Z423" i="9"/>
  <c r="Z435" i="9"/>
  <c r="Z432" i="9"/>
  <c r="Z426" i="9"/>
  <c r="AA765" i="9"/>
  <c r="AA777" i="9"/>
  <c r="AA771" i="9"/>
  <c r="AA763" i="9"/>
  <c r="AA768" i="9"/>
  <c r="AA780" i="9"/>
  <c r="Y885" i="9"/>
  <c r="Z70" i="9"/>
  <c r="Z85" i="9"/>
  <c r="Z68" i="9"/>
  <c r="Z76" i="9"/>
  <c r="Z82" i="9"/>
  <c r="Z73" i="9"/>
  <c r="W14" i="8"/>
  <c r="AB1250" i="9"/>
  <c r="AB1283" i="9"/>
  <c r="AC1249" i="9"/>
  <c r="Y787" i="9"/>
  <c r="X80" i="9"/>
  <c r="X91" i="9"/>
  <c r="W1326" i="9"/>
  <c r="AB1405" i="9"/>
  <c r="AB1417" i="9"/>
  <c r="AB1402" i="9"/>
  <c r="AB1414" i="9"/>
  <c r="AB1408" i="9"/>
  <c r="AB1400" i="9"/>
  <c r="AA345" i="9"/>
  <c r="AA317" i="9"/>
  <c r="V32" i="8"/>
  <c r="V33" i="8" s="1"/>
  <c r="AA445" i="9"/>
  <c r="AA417" i="9"/>
  <c r="AC808" i="9"/>
  <c r="AB809" i="9"/>
  <c r="AB842" i="9"/>
  <c r="W76" i="8"/>
  <c r="W77" i="8" s="1"/>
  <c r="AC613" i="9"/>
  <c r="AC646" i="9"/>
  <c r="AD612" i="9"/>
  <c r="AA964" i="9"/>
  <c r="AA976" i="9"/>
  <c r="AA961" i="9"/>
  <c r="AA973" i="9"/>
  <c r="AA967" i="9"/>
  <c r="AA959" i="9"/>
  <c r="X230" i="9"/>
  <c r="X241" i="9"/>
  <c r="AD515" i="9"/>
  <c r="AD548" i="9"/>
  <c r="V20" i="8"/>
  <c r="V21" i="8" s="1"/>
  <c r="AB448" i="9"/>
  <c r="AC414" i="9"/>
  <c r="AB415" i="9"/>
  <c r="Z817" i="9"/>
  <c r="Z814" i="9"/>
  <c r="Z829" i="9"/>
  <c r="Z826" i="9"/>
  <c r="Z812" i="9"/>
  <c r="Z820" i="9"/>
  <c r="AB1457" i="9"/>
  <c r="AB1449" i="9"/>
  <c r="AB1451" i="9"/>
  <c r="AB1466" i="9"/>
  <c r="AB1454" i="9"/>
  <c r="AB1463" i="9"/>
  <c r="AA1329" i="9"/>
  <c r="AA1301" i="9"/>
  <c r="AA1252" i="9"/>
  <c r="AA1280" i="9"/>
  <c r="AD1201" i="9"/>
  <c r="AD1234" i="9"/>
  <c r="AB888" i="9"/>
  <c r="AB860" i="9"/>
  <c r="V15" i="8"/>
  <c r="V42" i="8"/>
  <c r="V57" i="8"/>
  <c r="V13" i="8"/>
  <c r="V122" i="8"/>
  <c r="V104" i="8" s="1"/>
  <c r="V168" i="8" s="1"/>
  <c r="Y640" i="9"/>
  <c r="AA811" i="9"/>
  <c r="AA839" i="9"/>
  <c r="V29" i="8"/>
  <c r="V30" i="8" s="1"/>
  <c r="AC858" i="9"/>
  <c r="AC891" i="9"/>
  <c r="AD857" i="9"/>
  <c r="AC64" i="9"/>
  <c r="AB65" i="9"/>
  <c r="AB98" i="9"/>
  <c r="AB643" i="9"/>
  <c r="AB615" i="9"/>
  <c r="AC1298" i="9"/>
  <c r="AB1332" i="9"/>
  <c r="AB1299" i="9"/>
  <c r="AB1218" i="9"/>
  <c r="AB1212" i="9"/>
  <c r="AB1204" i="9"/>
  <c r="AB1209" i="9"/>
  <c r="AB1221" i="9"/>
  <c r="AB1206" i="9"/>
  <c r="AC314" i="9"/>
  <c r="AB315" i="9"/>
  <c r="AB348" i="9"/>
  <c r="V23" i="8"/>
  <c r="V125" i="8" s="1"/>
  <c r="V91" i="8" s="1"/>
  <c r="AA67" i="9"/>
  <c r="AA95" i="9"/>
  <c r="X12" i="8"/>
  <c r="X11" i="8" s="1"/>
  <c r="X79" i="8" s="1"/>
  <c r="AC1547" i="9"/>
  <c r="AC1552" i="9"/>
  <c r="AC1564" i="9"/>
  <c r="AC1555" i="9"/>
  <c r="AC1549" i="9"/>
  <c r="AC1561" i="9"/>
  <c r="AA722" i="9"/>
  <c r="AA719" i="9"/>
  <c r="AA731" i="9"/>
  <c r="AA716" i="9"/>
  <c r="AA728" i="9"/>
  <c r="AA714" i="9"/>
  <c r="AC1231" i="9"/>
  <c r="AC1203" i="9"/>
  <c r="Z542" i="9"/>
  <c r="T27" i="8"/>
  <c r="T38" i="8"/>
  <c r="AA1571" i="9"/>
  <c r="Z320" i="9"/>
  <c r="Z326" i="9"/>
  <c r="Z318" i="9"/>
  <c r="Z332" i="9"/>
  <c r="Z323" i="9"/>
  <c r="Z335" i="9"/>
  <c r="AD1348" i="9"/>
  <c r="AD1381" i="9"/>
  <c r="Z1424" i="9"/>
  <c r="Y79" i="9"/>
  <c r="AC1427" i="9"/>
  <c r="AC1399" i="9"/>
  <c r="AC760" i="9"/>
  <c r="AD759" i="9"/>
  <c r="AC793" i="9"/>
  <c r="AC1005" i="9"/>
  <c r="AC1038" i="9"/>
  <c r="AD1004" i="9"/>
  <c r="Z1270" i="9"/>
  <c r="Z1255" i="9"/>
  <c r="Z1267" i="9"/>
  <c r="Z1261" i="9"/>
  <c r="Z1253" i="9"/>
  <c r="Z1258" i="9"/>
  <c r="AB986" i="9"/>
  <c r="AB958" i="9"/>
  <c r="AC1494" i="9"/>
  <c r="AB1495" i="9"/>
  <c r="AB1528" i="9"/>
  <c r="AB1353" i="9"/>
  <c r="AB1365" i="9"/>
  <c r="AB1359" i="9"/>
  <c r="AB1351" i="9"/>
  <c r="AB1356" i="9"/>
  <c r="AB1368" i="9"/>
  <c r="AC1378" i="9"/>
  <c r="AC1350" i="9"/>
  <c r="AD955" i="9"/>
  <c r="AC956" i="9"/>
  <c r="AC989" i="9"/>
  <c r="AA1497" i="9"/>
  <c r="AA1525" i="9"/>
  <c r="AA217" i="9"/>
  <c r="AA245" i="9"/>
  <c r="AB1035" i="9"/>
  <c r="AB1007" i="9"/>
  <c r="AB248" i="9"/>
  <c r="AC214" i="9"/>
  <c r="AB215" i="9"/>
  <c r="AD1397" i="9"/>
  <c r="AD1430" i="9"/>
  <c r="AA618" i="9"/>
  <c r="AA630" i="9"/>
  <c r="AA624" i="9"/>
  <c r="AA616" i="9"/>
  <c r="AA621" i="9"/>
  <c r="AA633" i="9"/>
  <c r="U26" i="8"/>
  <c r="AB790" i="9"/>
  <c r="AB762" i="9"/>
  <c r="AC117" i="9"/>
  <c r="AC145" i="9"/>
  <c r="V77" i="8"/>
  <c r="X1276" i="9"/>
  <c r="X1265" i="9"/>
  <c r="AA875" i="9"/>
  <c r="AA869" i="9"/>
  <c r="AA861" i="9"/>
  <c r="AA866" i="9"/>
  <c r="AA878" i="9"/>
  <c r="AA863" i="9"/>
  <c r="AD1574" i="9"/>
  <c r="AH1574" i="9" s="1"/>
  <c r="AD1546" i="9"/>
  <c r="AH1544" i="9"/>
  <c r="AH1543" i="9" s="1"/>
  <c r="AH1577" i="9" s="1"/>
  <c r="AB1106" i="9"/>
  <c r="AB1111" i="9"/>
  <c r="AB1123" i="9"/>
  <c r="AB1108" i="9"/>
  <c r="AB1120" i="9"/>
  <c r="AB1114" i="9"/>
  <c r="Z1307" i="9"/>
  <c r="Z1319" i="9"/>
  <c r="Z1304" i="9"/>
  <c r="Z1316" i="9"/>
  <c r="Z1302" i="9"/>
  <c r="Z1310" i="9"/>
  <c r="AD566" i="9"/>
  <c r="AD594" i="9"/>
  <c r="AH594" i="9" s="1"/>
  <c r="AH564" i="9"/>
  <c r="AH563" i="9" s="1"/>
  <c r="AH597" i="9" s="1"/>
  <c r="AD148" i="9"/>
  <c r="AD115" i="9"/>
  <c r="Z1503" i="9"/>
  <c r="Z1500" i="9"/>
  <c r="Z1506" i="9"/>
  <c r="Z1515" i="9"/>
  <c r="Z1498" i="9"/>
  <c r="Z1512" i="9"/>
  <c r="U33" i="8"/>
  <c r="AC575" i="9"/>
  <c r="AC567" i="9"/>
  <c r="AC572" i="9"/>
  <c r="AC584" i="9"/>
  <c r="AC569" i="9"/>
  <c r="AC581" i="9"/>
  <c r="Z1473" i="9"/>
  <c r="U24" i="8"/>
  <c r="U125" i="8"/>
  <c r="U91" i="8" s="1"/>
  <c r="AC1133" i="9"/>
  <c r="AC1105" i="9"/>
  <c r="AC1448" i="9"/>
  <c r="AC1476" i="9"/>
  <c r="AB741" i="9"/>
  <c r="AB713" i="9"/>
  <c r="X341" i="9"/>
  <c r="X330" i="9"/>
  <c r="AB118" i="9"/>
  <c r="AB120" i="9"/>
  <c r="AB135" i="9"/>
  <c r="AB126" i="9"/>
  <c r="AB123" i="9"/>
  <c r="AB132" i="9"/>
  <c r="AB523" i="9"/>
  <c r="AB535" i="9"/>
  <c r="AB520" i="9"/>
  <c r="AB532" i="9"/>
  <c r="AB526" i="9"/>
  <c r="AB518" i="9"/>
  <c r="AD1136" i="9"/>
  <c r="AD1103" i="9"/>
  <c r="AD1479" i="9"/>
  <c r="AD1446" i="9"/>
  <c r="AD710" i="9"/>
  <c r="AC711" i="9"/>
  <c r="AC744" i="9"/>
  <c r="AB1570" i="9" l="1"/>
  <c r="AB1571" i="9" s="1"/>
  <c r="Z280" i="9"/>
  <c r="Y341" i="9"/>
  <c r="Y342" i="9" s="1"/>
  <c r="AA1118" i="9"/>
  <c r="AB579" i="9"/>
  <c r="Y1325" i="9"/>
  <c r="Y1326" i="9" s="1"/>
  <c r="AA141" i="9"/>
  <c r="Y1276" i="9"/>
  <c r="Y1277" i="9" s="1"/>
  <c r="V162" i="8"/>
  <c r="U162" i="8"/>
  <c r="Z628" i="9"/>
  <c r="Y430" i="9"/>
  <c r="V93" i="8"/>
  <c r="V103" i="8"/>
  <c r="V167" i="8" s="1"/>
  <c r="Z786" i="9"/>
  <c r="Z787" i="9" s="1"/>
  <c r="Z30" i="9"/>
  <c r="X76" i="8"/>
  <c r="X77" i="8" s="1"/>
  <c r="AB1362" i="9"/>
  <c r="AB1363" i="9" s="1"/>
  <c r="AA1216" i="9"/>
  <c r="Y1069" i="9"/>
  <c r="Y180" i="9"/>
  <c r="Z229" i="9"/>
  <c r="Z241" i="9" s="1"/>
  <c r="Z242" i="9" s="1"/>
  <c r="AA1412" i="9"/>
  <c r="AA541" i="9"/>
  <c r="AA542" i="9" s="1"/>
  <c r="AA1472" i="9"/>
  <c r="AA1473" i="9" s="1"/>
  <c r="Z823" i="9"/>
  <c r="Z971" i="9"/>
  <c r="AB1460" i="9"/>
  <c r="AB1472" i="9" s="1"/>
  <c r="Z873" i="9"/>
  <c r="Y922" i="9"/>
  <c r="Z1313" i="9"/>
  <c r="Z429" i="9"/>
  <c r="Z430" i="9" s="1"/>
  <c r="AB1117" i="9"/>
  <c r="AB1129" i="9" s="1"/>
  <c r="AB1130" i="9" s="1"/>
  <c r="Z1020" i="9"/>
  <c r="Z479" i="9"/>
  <c r="Z491" i="9" s="1"/>
  <c r="Z492" i="9" s="1"/>
  <c r="AA872" i="9"/>
  <c r="AA884" i="9" s="1"/>
  <c r="AA725" i="9"/>
  <c r="AA737" i="9" s="1"/>
  <c r="AA738" i="9" s="1"/>
  <c r="W32" i="8"/>
  <c r="W33" i="8" s="1"/>
  <c r="Y241" i="9"/>
  <c r="Y242" i="9" s="1"/>
  <c r="AH595" i="9"/>
  <c r="AC1558" i="9"/>
  <c r="AC1559" i="9" s="1"/>
  <c r="Z1166" i="9"/>
  <c r="Z1167" i="9" s="1"/>
  <c r="AA29" i="9"/>
  <c r="AB195" i="9"/>
  <c r="AB167" i="9"/>
  <c r="Z179" i="9"/>
  <c r="AB1411" i="9"/>
  <c r="AB1423" i="9" s="1"/>
  <c r="AC165" i="9"/>
  <c r="AD164" i="9"/>
  <c r="AC198" i="9"/>
  <c r="Y1521" i="9"/>
  <c r="Y1522" i="9" s="1"/>
  <c r="AB495" i="9"/>
  <c r="AB467" i="9"/>
  <c r="Z379" i="9"/>
  <c r="AA1071" i="9"/>
  <c r="AA1065" i="9"/>
  <c r="AA1059" i="9"/>
  <c r="AA1062" i="9"/>
  <c r="AA1057" i="9"/>
  <c r="AA1074" i="9"/>
  <c r="Y1178" i="9"/>
  <c r="Y1179" i="9" s="1"/>
  <c r="Y1167" i="9"/>
  <c r="Z1509" i="9"/>
  <c r="Z1521" i="9" s="1"/>
  <c r="Z1522" i="9" s="1"/>
  <c r="AC465" i="9"/>
  <c r="AD464" i="9"/>
  <c r="AC498" i="9"/>
  <c r="Y391" i="9"/>
  <c r="Y392" i="9" s="1"/>
  <c r="Y380" i="9"/>
  <c r="AA470" i="9"/>
  <c r="AA482" i="9"/>
  <c r="AA485" i="9"/>
  <c r="AA473" i="9"/>
  <c r="AA476" i="9"/>
  <c r="AA468" i="9"/>
  <c r="AB282" i="9"/>
  <c r="AB270" i="9"/>
  <c r="AB276" i="9"/>
  <c r="AB285" i="9"/>
  <c r="AB268" i="9"/>
  <c r="AB273" i="9"/>
  <c r="AB692" i="9"/>
  <c r="AB664" i="9"/>
  <c r="AD15" i="9"/>
  <c r="AD48" i="9"/>
  <c r="AA385" i="9"/>
  <c r="AA370" i="9"/>
  <c r="AA382" i="9"/>
  <c r="AA368" i="9"/>
  <c r="AA376" i="9"/>
  <c r="AA373" i="9"/>
  <c r="AB529" i="9"/>
  <c r="AB530" i="9" s="1"/>
  <c r="AC578" i="9"/>
  <c r="AC590" i="9" s="1"/>
  <c r="AC591" i="9" s="1"/>
  <c r="AD661" i="9"/>
  <c r="AC662" i="9"/>
  <c r="AC695" i="9"/>
  <c r="AA173" i="9"/>
  <c r="AA182" i="9"/>
  <c r="AA168" i="9"/>
  <c r="AA176" i="9"/>
  <c r="AA185" i="9"/>
  <c r="AA170" i="9"/>
  <c r="AA279" i="9"/>
  <c r="AC45" i="9"/>
  <c r="AC17" i="9"/>
  <c r="AB1215" i="9"/>
  <c r="AB1227" i="9" s="1"/>
  <c r="AB1228" i="9" s="1"/>
  <c r="AA1155" i="9"/>
  <c r="AA1160" i="9"/>
  <c r="AA1169" i="9"/>
  <c r="AA1163" i="9"/>
  <c r="AA1172" i="9"/>
  <c r="AA1157" i="9"/>
  <c r="AA1363" i="9"/>
  <c r="AD265" i="9"/>
  <c r="AD298" i="9"/>
  <c r="Y688" i="9"/>
  <c r="Y689" i="9" s="1"/>
  <c r="Y677" i="9"/>
  <c r="AA774" i="9"/>
  <c r="AA786" i="9" s="1"/>
  <c r="AA670" i="9"/>
  <c r="AA682" i="9"/>
  <c r="AA667" i="9"/>
  <c r="AA679" i="9"/>
  <c r="AA673" i="9"/>
  <c r="AA665" i="9"/>
  <c r="AC295" i="9"/>
  <c r="AC267" i="9"/>
  <c r="AB1056" i="9"/>
  <c r="AB1084" i="9"/>
  <c r="AA927" i="9"/>
  <c r="AA912" i="9"/>
  <c r="AA924" i="9"/>
  <c r="AA918" i="9"/>
  <c r="AA910" i="9"/>
  <c r="AA915" i="9"/>
  <c r="AD1151" i="9"/>
  <c r="AC1185" i="9"/>
  <c r="AC1152" i="9"/>
  <c r="Z1264" i="9"/>
  <c r="Z1276" i="9" s="1"/>
  <c r="Z1277" i="9" s="1"/>
  <c r="Z737" i="9"/>
  <c r="Z738" i="9" s="1"/>
  <c r="Z676" i="9"/>
  <c r="AB1182" i="9"/>
  <c r="AB1154" i="9"/>
  <c r="AC1054" i="9"/>
  <c r="AC1087" i="9"/>
  <c r="AD1053" i="9"/>
  <c r="Y480" i="9"/>
  <c r="Y491" i="9"/>
  <c r="Y492" i="9" s="1"/>
  <c r="AB395" i="9"/>
  <c r="AB367" i="9"/>
  <c r="AA627" i="9"/>
  <c r="AA628" i="9" s="1"/>
  <c r="Z329" i="9"/>
  <c r="Z341" i="9" s="1"/>
  <c r="Z342" i="9" s="1"/>
  <c r="Z1068" i="9"/>
  <c r="Z921" i="9"/>
  <c r="AC907" i="9"/>
  <c r="AC940" i="9"/>
  <c r="AD906" i="9"/>
  <c r="AD364" i="9"/>
  <c r="AC398" i="9"/>
  <c r="AC365" i="9"/>
  <c r="AB129" i="9"/>
  <c r="AB141" i="9" s="1"/>
  <c r="AB142" i="9" s="1"/>
  <c r="AA970" i="9"/>
  <c r="AA971" i="9" s="1"/>
  <c r="Y824" i="9"/>
  <c r="AA1019" i="9"/>
  <c r="AA1031" i="9" s="1"/>
  <c r="AA1032" i="9" s="1"/>
  <c r="AB909" i="9"/>
  <c r="AB937" i="9"/>
  <c r="AB23" i="9"/>
  <c r="AB18" i="9"/>
  <c r="AB26" i="9"/>
  <c r="AB32" i="9"/>
  <c r="AB20" i="9"/>
  <c r="AB35" i="9"/>
  <c r="Z230" i="9"/>
  <c r="AD314" i="9"/>
  <c r="AC315" i="9"/>
  <c r="AC348" i="9"/>
  <c r="AB445" i="9"/>
  <c r="AB417" i="9"/>
  <c r="AC643" i="9"/>
  <c r="AC615" i="9"/>
  <c r="AA323" i="9"/>
  <c r="AA320" i="9"/>
  <c r="AA332" i="9"/>
  <c r="AA326" i="9"/>
  <c r="AA318" i="9"/>
  <c r="AA335" i="9"/>
  <c r="AB722" i="9"/>
  <c r="AB714" i="9"/>
  <c r="AB719" i="9"/>
  <c r="AB731" i="9"/>
  <c r="AB716" i="9"/>
  <c r="AB728" i="9"/>
  <c r="AC1114" i="9"/>
  <c r="AC1106" i="9"/>
  <c r="AC1111" i="9"/>
  <c r="AC1123" i="9"/>
  <c r="AC1108" i="9"/>
  <c r="AC1120" i="9"/>
  <c r="AC986" i="9"/>
  <c r="AC958" i="9"/>
  <c r="AD414" i="9"/>
  <c r="AC415" i="9"/>
  <c r="AC448" i="9"/>
  <c r="AB1252" i="9"/>
  <c r="AB1280" i="9"/>
  <c r="AC523" i="9"/>
  <c r="AC535" i="9"/>
  <c r="AC520" i="9"/>
  <c r="AC532" i="9"/>
  <c r="AC526" i="9"/>
  <c r="AC518" i="9"/>
  <c r="AD1133" i="9"/>
  <c r="AH1133" i="9" s="1"/>
  <c r="AD1105" i="9"/>
  <c r="AH1103" i="9"/>
  <c r="AH1102" i="9" s="1"/>
  <c r="AH1136" i="9" s="1"/>
  <c r="X1277" i="9"/>
  <c r="AD989" i="9"/>
  <c r="AD956" i="9"/>
  <c r="V140" i="8"/>
  <c r="W15" i="8"/>
  <c r="W42" i="8"/>
  <c r="W57" i="8"/>
  <c r="W13" i="8"/>
  <c r="W20" i="8"/>
  <c r="W21" i="8" s="1"/>
  <c r="AD711" i="9"/>
  <c r="AD744" i="9"/>
  <c r="AD1427" i="9"/>
  <c r="AH1427" i="9" s="1"/>
  <c r="AD1399" i="9"/>
  <c r="AH1397" i="9"/>
  <c r="AH1396" i="9" s="1"/>
  <c r="AH1430" i="9" s="1"/>
  <c r="AC1353" i="9"/>
  <c r="AC1365" i="9"/>
  <c r="AC1359" i="9"/>
  <c r="AC1351" i="9"/>
  <c r="AC1356" i="9"/>
  <c r="AC1368" i="9"/>
  <c r="AC1332" i="9"/>
  <c r="AD1298" i="9"/>
  <c r="AC1299" i="9"/>
  <c r="AD517" i="9"/>
  <c r="AD545" i="9"/>
  <c r="AH545" i="9" s="1"/>
  <c r="AH515" i="9"/>
  <c r="AH514" i="9" s="1"/>
  <c r="AH548" i="9" s="1"/>
  <c r="W29" i="8"/>
  <c r="W30" i="8" s="1"/>
  <c r="V24" i="8"/>
  <c r="AB217" i="9"/>
  <c r="AB245" i="9"/>
  <c r="AB618" i="9"/>
  <c r="AB630" i="9"/>
  <c r="AB624" i="9"/>
  <c r="AB621" i="9"/>
  <c r="AB616" i="9"/>
  <c r="AB633" i="9"/>
  <c r="W23" i="8"/>
  <c r="W125" i="8" s="1"/>
  <c r="W91" i="8" s="1"/>
  <c r="AB1329" i="9"/>
  <c r="AB1301" i="9"/>
  <c r="AD117" i="9"/>
  <c r="AD145" i="9"/>
  <c r="AH145" i="9" s="1"/>
  <c r="AH115" i="9"/>
  <c r="AH114" i="9" s="1"/>
  <c r="AH148" i="9" s="1"/>
  <c r="AD1448" i="9"/>
  <c r="AD1476" i="9"/>
  <c r="AH1476" i="9" s="1"/>
  <c r="AH1446" i="9"/>
  <c r="AH1445" i="9" s="1"/>
  <c r="AH1479" i="9" s="1"/>
  <c r="X342" i="9"/>
  <c r="AC248" i="9"/>
  <c r="AD214" i="9"/>
  <c r="AC215" i="9"/>
  <c r="AD1005" i="9"/>
  <c r="AD1038" i="9"/>
  <c r="Y80" i="9"/>
  <c r="Y91" i="9"/>
  <c r="Y92" i="9" s="1"/>
  <c r="AB345" i="9"/>
  <c r="AB317" i="9"/>
  <c r="V26" i="8"/>
  <c r="X242" i="9"/>
  <c r="T39" i="8"/>
  <c r="W17" i="8"/>
  <c r="Y442" i="9"/>
  <c r="AA142" i="9"/>
  <c r="Z79" i="9"/>
  <c r="Z983" i="9"/>
  <c r="AD567" i="9"/>
  <c r="AD584" i="9"/>
  <c r="AH584" i="9" s="1"/>
  <c r="AD569" i="9"/>
  <c r="AH569" i="9" s="1"/>
  <c r="AD575" i="9"/>
  <c r="AH575" i="9" s="1"/>
  <c r="AD581" i="9"/>
  <c r="AH581" i="9" s="1"/>
  <c r="AD572" i="9"/>
  <c r="AH572" i="9" s="1"/>
  <c r="AH566" i="9"/>
  <c r="AC118" i="9"/>
  <c r="AC120" i="9"/>
  <c r="AC135" i="9"/>
  <c r="AC126" i="9"/>
  <c r="AC123" i="9"/>
  <c r="AC132" i="9"/>
  <c r="AD64" i="9"/>
  <c r="AC65" i="9"/>
  <c r="AC98" i="9"/>
  <c r="AB1022" i="9"/>
  <c r="AB1016" i="9"/>
  <c r="AB1008" i="9"/>
  <c r="AB1013" i="9"/>
  <c r="AB1025" i="9"/>
  <c r="AB1010" i="9"/>
  <c r="AD858" i="9"/>
  <c r="AD891" i="9"/>
  <c r="AB875" i="9"/>
  <c r="AB869" i="9"/>
  <c r="AB861" i="9"/>
  <c r="AB866" i="9"/>
  <c r="AB878" i="9"/>
  <c r="AB863" i="9"/>
  <c r="AB811" i="9"/>
  <c r="AB839" i="9"/>
  <c r="X92" i="9"/>
  <c r="AA1375" i="9"/>
  <c r="AB591" i="9"/>
  <c r="AD760" i="9"/>
  <c r="AD793" i="9"/>
  <c r="AD1378" i="9"/>
  <c r="AH1378" i="9" s="1"/>
  <c r="AD1350" i="9"/>
  <c r="AH1348" i="9"/>
  <c r="AH1347" i="9" s="1"/>
  <c r="AH1381" i="9" s="1"/>
  <c r="AD808" i="9"/>
  <c r="AC809" i="9"/>
  <c r="AC842" i="9"/>
  <c r="AC790" i="9"/>
  <c r="AC762" i="9"/>
  <c r="AC1206" i="9"/>
  <c r="AC1218" i="9"/>
  <c r="AC1212" i="9"/>
  <c r="AC1204" i="9"/>
  <c r="AC1209" i="9"/>
  <c r="AC1221" i="9"/>
  <c r="AC888" i="9"/>
  <c r="AC860" i="9"/>
  <c r="Z1032" i="9"/>
  <c r="AB777" i="9"/>
  <c r="AB771" i="9"/>
  <c r="AB763" i="9"/>
  <c r="AB765" i="9"/>
  <c r="AB768" i="9"/>
  <c r="AB780" i="9"/>
  <c r="AD1231" i="9"/>
  <c r="AH1231" i="9" s="1"/>
  <c r="AD1203" i="9"/>
  <c r="AH1201" i="9"/>
  <c r="AH1200" i="9" s="1"/>
  <c r="AH1234" i="9" s="1"/>
  <c r="AA420" i="9"/>
  <c r="AA426" i="9"/>
  <c r="AA423" i="9"/>
  <c r="AA432" i="9"/>
  <c r="AA435" i="9"/>
  <c r="AA418" i="9"/>
  <c r="AH1575" i="9"/>
  <c r="Z824" i="9"/>
  <c r="Z835" i="9"/>
  <c r="AA235" i="9"/>
  <c r="AA220" i="9"/>
  <c r="AA226" i="9"/>
  <c r="AA232" i="9"/>
  <c r="AA218" i="9"/>
  <c r="AA223" i="9"/>
  <c r="AC1405" i="9"/>
  <c r="AC1417" i="9"/>
  <c r="AC1402" i="9"/>
  <c r="AC1414" i="9"/>
  <c r="AC1408" i="9"/>
  <c r="AC1400" i="9"/>
  <c r="AA85" i="9"/>
  <c r="AA68" i="9"/>
  <c r="AA73" i="9"/>
  <c r="AA76" i="9"/>
  <c r="AA70" i="9"/>
  <c r="AA82" i="9"/>
  <c r="X14" i="8"/>
  <c r="AA1228" i="9"/>
  <c r="AC713" i="9"/>
  <c r="AC741" i="9"/>
  <c r="Z1325" i="9"/>
  <c r="Z1314" i="9"/>
  <c r="AB1497" i="9"/>
  <c r="AB1525" i="9"/>
  <c r="AB959" i="9"/>
  <c r="AB964" i="9"/>
  <c r="AB976" i="9"/>
  <c r="AB961" i="9"/>
  <c r="AB973" i="9"/>
  <c r="AB967" i="9"/>
  <c r="AA1302" i="9"/>
  <c r="AA1307" i="9"/>
  <c r="AA1319" i="9"/>
  <c r="AA1304" i="9"/>
  <c r="AA1316" i="9"/>
  <c r="AA1310" i="9"/>
  <c r="AD613" i="9"/>
  <c r="AD646" i="9"/>
  <c r="W122" i="8"/>
  <c r="W104" i="8" s="1"/>
  <c r="W168" i="8" s="1"/>
  <c r="AD1547" i="9"/>
  <c r="AD1552" i="9"/>
  <c r="AH1552" i="9" s="1"/>
  <c r="AD1564" i="9"/>
  <c r="AH1564" i="9" s="1"/>
  <c r="AD1549" i="9"/>
  <c r="AH1549" i="9" s="1"/>
  <c r="AD1561" i="9"/>
  <c r="AH1561" i="9" s="1"/>
  <c r="AD1555" i="9"/>
  <c r="AH1555" i="9" s="1"/>
  <c r="AH1546" i="9"/>
  <c r="AC1035" i="9"/>
  <c r="AC1007" i="9"/>
  <c r="AB67" i="9"/>
  <c r="AB95" i="9"/>
  <c r="Y12" i="8"/>
  <c r="Y11" i="8" s="1"/>
  <c r="Y79" i="8" s="1"/>
  <c r="AA1130" i="9"/>
  <c r="U27" i="8"/>
  <c r="U38" i="8"/>
  <c r="AD1494" i="9"/>
  <c r="AC1495" i="9"/>
  <c r="AC1528" i="9"/>
  <c r="AA1270" i="9"/>
  <c r="AA1255" i="9"/>
  <c r="AA1267" i="9"/>
  <c r="AA1261" i="9"/>
  <c r="AA1253" i="9"/>
  <c r="AA1258" i="9"/>
  <c r="AC1457" i="9"/>
  <c r="AC1449" i="9"/>
  <c r="AC1451" i="9"/>
  <c r="AC1466" i="9"/>
  <c r="AC1454" i="9"/>
  <c r="AC1463" i="9"/>
  <c r="AA1500" i="9"/>
  <c r="AA1506" i="9"/>
  <c r="AA1515" i="9"/>
  <c r="AA1512" i="9"/>
  <c r="AA1498" i="9"/>
  <c r="AA1503" i="9"/>
  <c r="AA817" i="9"/>
  <c r="AA814" i="9"/>
  <c r="AA812" i="9"/>
  <c r="AA829" i="9"/>
  <c r="AA826" i="9"/>
  <c r="AA820" i="9"/>
  <c r="AC1250" i="9"/>
  <c r="AC1283" i="9"/>
  <c r="AD1249" i="9"/>
  <c r="AB1374" i="9" l="1"/>
  <c r="AB1375" i="9" s="1"/>
  <c r="AC579" i="9"/>
  <c r="X17" i="8"/>
  <c r="V161" i="8"/>
  <c r="AB1118" i="9"/>
  <c r="V164" i="8"/>
  <c r="W162" i="8"/>
  <c r="Z441" i="9"/>
  <c r="Z442" i="9" s="1"/>
  <c r="W103" i="8"/>
  <c r="W167" i="8" s="1"/>
  <c r="W93" i="8"/>
  <c r="AA873" i="9"/>
  <c r="X23" i="8"/>
  <c r="X125" i="8" s="1"/>
  <c r="X91" i="8" s="1"/>
  <c r="AB541" i="9"/>
  <c r="AB542" i="9" s="1"/>
  <c r="X20" i="8"/>
  <c r="AA639" i="9"/>
  <c r="AA640" i="9" s="1"/>
  <c r="AA329" i="9"/>
  <c r="AA341" i="9" s="1"/>
  <c r="AA342" i="9" s="1"/>
  <c r="AC1570" i="9"/>
  <c r="AC1571" i="9" s="1"/>
  <c r="AH1550" i="9"/>
  <c r="AB1461" i="9"/>
  <c r="Z1178" i="9"/>
  <c r="Z1179" i="9" s="1"/>
  <c r="AH1562" i="9"/>
  <c r="AH1565" i="9"/>
  <c r="AH1553" i="9"/>
  <c r="AC129" i="9"/>
  <c r="AC141" i="9" s="1"/>
  <c r="AC1215" i="9"/>
  <c r="AC1227" i="9" s="1"/>
  <c r="AC1117" i="9"/>
  <c r="AC1129" i="9" s="1"/>
  <c r="AC1130" i="9" s="1"/>
  <c r="AA982" i="9"/>
  <c r="AA983" i="9" s="1"/>
  <c r="Z330" i="9"/>
  <c r="AB130" i="9"/>
  <c r="Z480" i="9"/>
  <c r="AB1019" i="9"/>
  <c r="AB1031" i="9" s="1"/>
  <c r="AC1411" i="9"/>
  <c r="AC1423" i="9" s="1"/>
  <c r="AC1424" i="9" s="1"/>
  <c r="AC1460" i="9"/>
  <c r="AC1472" i="9" s="1"/>
  <c r="AC1473" i="9" s="1"/>
  <c r="AH1428" i="9"/>
  <c r="AB627" i="9"/>
  <c r="AB639" i="9" s="1"/>
  <c r="AB640" i="9" s="1"/>
  <c r="AB1216" i="9"/>
  <c r="AA1264" i="9"/>
  <c r="AA1276" i="9" s="1"/>
  <c r="AA1277" i="9" s="1"/>
  <c r="AB725" i="9"/>
  <c r="AB726" i="9" s="1"/>
  <c r="AB1412" i="9"/>
  <c r="AA1068" i="9"/>
  <c r="AA1080" i="9" s="1"/>
  <c r="AA1081" i="9" s="1"/>
  <c r="AH1477" i="9"/>
  <c r="AA1020" i="9"/>
  <c r="Z1510" i="9"/>
  <c r="AA1166" i="9"/>
  <c r="AA1167" i="9" s="1"/>
  <c r="AA726" i="9"/>
  <c r="AD398" i="9"/>
  <c r="AD365" i="9"/>
  <c r="AC1154" i="9"/>
  <c r="AC1182" i="9"/>
  <c r="AA775" i="9"/>
  <c r="AD907" i="9"/>
  <c r="AD940" i="9"/>
  <c r="AB279" i="9"/>
  <c r="AA429" i="9"/>
  <c r="AA441" i="9" s="1"/>
  <c r="AD1152" i="9"/>
  <c r="AH1152" i="9" s="1"/>
  <c r="AH1151" i="9" s="1"/>
  <c r="AH1185" i="9" s="1"/>
  <c r="AD1185" i="9"/>
  <c r="AC909" i="9"/>
  <c r="AC937" i="9"/>
  <c r="AC692" i="9"/>
  <c r="AC664" i="9"/>
  <c r="Z391" i="9"/>
  <c r="Z392" i="9" s="1"/>
  <c r="Z380" i="9"/>
  <c r="AA823" i="9"/>
  <c r="AA824" i="9" s="1"/>
  <c r="AA229" i="9"/>
  <c r="AA230" i="9" s="1"/>
  <c r="AH1556" i="9"/>
  <c r="AB872" i="9"/>
  <c r="AB873" i="9" s="1"/>
  <c r="Z933" i="9"/>
  <c r="Z934" i="9" s="1"/>
  <c r="Z922" i="9"/>
  <c r="AD295" i="9"/>
  <c r="AH295" i="9" s="1"/>
  <c r="AD267" i="9"/>
  <c r="AH265" i="9"/>
  <c r="AH264" i="9" s="1"/>
  <c r="AH298" i="9" s="1"/>
  <c r="AD662" i="9"/>
  <c r="AD695" i="9"/>
  <c r="AB485" i="9"/>
  <c r="AB476" i="9"/>
  <c r="AB470" i="9"/>
  <c r="AB482" i="9"/>
  <c r="AB468" i="9"/>
  <c r="AB473" i="9"/>
  <c r="Z1080" i="9"/>
  <c r="Z1081" i="9" s="1"/>
  <c r="Z1069" i="9"/>
  <c r="AA479" i="9"/>
  <c r="AC1362" i="9"/>
  <c r="AC1374" i="9" s="1"/>
  <c r="AC1375" i="9" s="1"/>
  <c r="AA1178" i="9"/>
  <c r="AA1179" i="9" s="1"/>
  <c r="AB29" i="9"/>
  <c r="AA921" i="9"/>
  <c r="AB774" i="9"/>
  <c r="AB786" i="9" s="1"/>
  <c r="AB787" i="9" s="1"/>
  <c r="AB376" i="9"/>
  <c r="AB373" i="9"/>
  <c r="AB385" i="9"/>
  <c r="AB370" i="9"/>
  <c r="AB382" i="9"/>
  <c r="AB368" i="9"/>
  <c r="AD165" i="9"/>
  <c r="AD198" i="9"/>
  <c r="AC167" i="9"/>
  <c r="AC195" i="9"/>
  <c r="AB970" i="9"/>
  <c r="AB971" i="9" s="1"/>
  <c r="AB1059" i="9"/>
  <c r="AB1065" i="9"/>
  <c r="AB1062" i="9"/>
  <c r="AB1071" i="9"/>
  <c r="AB1057" i="9"/>
  <c r="AB1074" i="9"/>
  <c r="AC276" i="9"/>
  <c r="AC268" i="9"/>
  <c r="AC285" i="9"/>
  <c r="AC273" i="9"/>
  <c r="AC270" i="9"/>
  <c r="AC282" i="9"/>
  <c r="AA379" i="9"/>
  <c r="Z1265" i="9"/>
  <c r="AD1054" i="9"/>
  <c r="AD1087" i="9"/>
  <c r="AD465" i="9"/>
  <c r="AD498" i="9"/>
  <c r="AB927" i="9"/>
  <c r="AB912" i="9"/>
  <c r="AB924" i="9"/>
  <c r="AB918" i="9"/>
  <c r="AB910" i="9"/>
  <c r="AB915" i="9"/>
  <c r="AC35" i="9"/>
  <c r="AC26" i="9"/>
  <c r="AC23" i="9"/>
  <c r="AC20" i="9"/>
  <c r="AC32" i="9"/>
  <c r="AC18" i="9"/>
  <c r="AC467" i="9"/>
  <c r="AC495" i="9"/>
  <c r="Z191" i="9"/>
  <c r="Z192" i="9" s="1"/>
  <c r="Z180" i="9"/>
  <c r="AH146" i="9"/>
  <c r="AC1084" i="9"/>
  <c r="AC1056" i="9"/>
  <c r="AD45" i="9"/>
  <c r="AH45" i="9" s="1"/>
  <c r="AD17" i="9"/>
  <c r="AH15" i="9"/>
  <c r="AH14" i="9" s="1"/>
  <c r="AH48" i="9" s="1"/>
  <c r="AB182" i="9"/>
  <c r="AB168" i="9"/>
  <c r="AB173" i="9"/>
  <c r="AB176" i="9"/>
  <c r="AB185" i="9"/>
  <c r="AB170" i="9"/>
  <c r="AB1155" i="9"/>
  <c r="AB1160" i="9"/>
  <c r="AB1172" i="9"/>
  <c r="AB1157" i="9"/>
  <c r="AB1169" i="9"/>
  <c r="AB1163" i="9"/>
  <c r="AA280" i="9"/>
  <c r="AA291" i="9"/>
  <c r="AA292" i="9" s="1"/>
  <c r="AB679" i="9"/>
  <c r="AB670" i="9"/>
  <c r="AB682" i="9"/>
  <c r="AB667" i="9"/>
  <c r="AB673" i="9"/>
  <c r="AB665" i="9"/>
  <c r="AD1558" i="9"/>
  <c r="AD1559" i="9" s="1"/>
  <c r="AH546" i="9"/>
  <c r="AA1313" i="9"/>
  <c r="AA1325" i="9" s="1"/>
  <c r="AA1326" i="9" s="1"/>
  <c r="AA676" i="9"/>
  <c r="AA30" i="9"/>
  <c r="AA41" i="9"/>
  <c r="AA42" i="9" s="1"/>
  <c r="AA1509" i="9"/>
  <c r="AA1510" i="9" s="1"/>
  <c r="Z688" i="9"/>
  <c r="Z689" i="9" s="1"/>
  <c r="Z677" i="9"/>
  <c r="AC529" i="9"/>
  <c r="AC530" i="9" s="1"/>
  <c r="AC367" i="9"/>
  <c r="AC395" i="9"/>
  <c r="AA179" i="9"/>
  <c r="AB426" i="9"/>
  <c r="AB418" i="9"/>
  <c r="AB423" i="9"/>
  <c r="AB435" i="9"/>
  <c r="AB420" i="9"/>
  <c r="AB432" i="9"/>
  <c r="AD1457" i="9"/>
  <c r="AH1457" i="9" s="1"/>
  <c r="AD1449" i="9"/>
  <c r="AD1454" i="9"/>
  <c r="AH1454" i="9" s="1"/>
  <c r="AD1466" i="9"/>
  <c r="AH1466" i="9" s="1"/>
  <c r="AD1451" i="9"/>
  <c r="AH1451" i="9" s="1"/>
  <c r="AD1463" i="9"/>
  <c r="AH1463" i="9" s="1"/>
  <c r="AH1448" i="9"/>
  <c r="AD1250" i="9"/>
  <c r="AD1283" i="9"/>
  <c r="AH1379" i="9"/>
  <c r="AD1353" i="9"/>
  <c r="AH1353" i="9" s="1"/>
  <c r="AD1365" i="9"/>
  <c r="AH1365" i="9" s="1"/>
  <c r="AD1359" i="9"/>
  <c r="AH1359" i="9" s="1"/>
  <c r="AD1351" i="9"/>
  <c r="AD1356" i="9"/>
  <c r="AH1356" i="9" s="1"/>
  <c r="AD1368" i="9"/>
  <c r="AH1368" i="9" s="1"/>
  <c r="AH1350" i="9"/>
  <c r="AC130" i="9"/>
  <c r="W140" i="8"/>
  <c r="AD1405" i="9"/>
  <c r="AH1405" i="9" s="1"/>
  <c r="AD1402" i="9"/>
  <c r="AH1402" i="9" s="1"/>
  <c r="AD1414" i="9"/>
  <c r="AH1414" i="9" s="1"/>
  <c r="AD1408" i="9"/>
  <c r="AH1408" i="9" s="1"/>
  <c r="AD1400" i="9"/>
  <c r="AD1417" i="9"/>
  <c r="AH1417" i="9" s="1"/>
  <c r="AH1399" i="9"/>
  <c r="X15" i="8"/>
  <c r="X42" i="8"/>
  <c r="X57" i="8"/>
  <c r="X13" i="8"/>
  <c r="AD762" i="9"/>
  <c r="AD790" i="9"/>
  <c r="AH790" i="9" s="1"/>
  <c r="AH760" i="9"/>
  <c r="AH759" i="9" s="1"/>
  <c r="AH793" i="9" s="1"/>
  <c r="AD888" i="9"/>
  <c r="AH888" i="9" s="1"/>
  <c r="AD860" i="9"/>
  <c r="AH858" i="9"/>
  <c r="AH857" i="9" s="1"/>
  <c r="AH891" i="9" s="1"/>
  <c r="AD1035" i="9"/>
  <c r="AH1035" i="9" s="1"/>
  <c r="AD1007" i="9"/>
  <c r="AH1005" i="9"/>
  <c r="AH1004" i="9" s="1"/>
  <c r="AH1038" i="9" s="1"/>
  <c r="AD126" i="9"/>
  <c r="AH126" i="9" s="1"/>
  <c r="AD118" i="9"/>
  <c r="AD120" i="9"/>
  <c r="AH120" i="9" s="1"/>
  <c r="AD135" i="9"/>
  <c r="AH135" i="9" s="1"/>
  <c r="AD123" i="9"/>
  <c r="AH123" i="9" s="1"/>
  <c r="AD132" i="9"/>
  <c r="AH132" i="9" s="1"/>
  <c r="AH117" i="9"/>
  <c r="AC345" i="9"/>
  <c r="AC317" i="9"/>
  <c r="AC1280" i="9"/>
  <c r="AC1252" i="9"/>
  <c r="X29" i="8"/>
  <c r="X30" i="8" s="1"/>
  <c r="AC245" i="9"/>
  <c r="AC217" i="9"/>
  <c r="AD315" i="9"/>
  <c r="AD348" i="9"/>
  <c r="Z80" i="9"/>
  <c r="Z91" i="9"/>
  <c r="Z92" i="9" s="1"/>
  <c r="AD248" i="9"/>
  <c r="AD215" i="9"/>
  <c r="AB1302" i="9"/>
  <c r="AB1307" i="9"/>
  <c r="AB1319" i="9"/>
  <c r="AB1304" i="9"/>
  <c r="AB1310" i="9"/>
  <c r="AB1316" i="9"/>
  <c r="AB1270" i="9"/>
  <c r="AB1255" i="9"/>
  <c r="AB1267" i="9"/>
  <c r="AB1261" i="9"/>
  <c r="AB1253" i="9"/>
  <c r="AB1258" i="9"/>
  <c r="W18" i="8"/>
  <c r="AC445" i="9"/>
  <c r="AC417" i="9"/>
  <c r="AB1424" i="9"/>
  <c r="W24" i="8"/>
  <c r="AD415" i="9"/>
  <c r="AD448" i="9"/>
  <c r="AA885" i="9"/>
  <c r="AH1232" i="9"/>
  <c r="AH576" i="9"/>
  <c r="AD535" i="9"/>
  <c r="AH535" i="9" s="1"/>
  <c r="AD532" i="9"/>
  <c r="AH532" i="9" s="1"/>
  <c r="AD526" i="9"/>
  <c r="AH526" i="9" s="1"/>
  <c r="AD518" i="9"/>
  <c r="AD520" i="9"/>
  <c r="AH520" i="9" s="1"/>
  <c r="AD523" i="9"/>
  <c r="AH523" i="9" s="1"/>
  <c r="AH517" i="9"/>
  <c r="AH565" i="9"/>
  <c r="AH567" i="9"/>
  <c r="X32" i="8"/>
  <c r="X33" i="8" s="1"/>
  <c r="AH570" i="9"/>
  <c r="AC1329" i="9"/>
  <c r="AC1301" i="9"/>
  <c r="AD986" i="9"/>
  <c r="AH986" i="9" s="1"/>
  <c r="AD958" i="9"/>
  <c r="AH956" i="9"/>
  <c r="AH955" i="9" s="1"/>
  <c r="AH989" i="9" s="1"/>
  <c r="AA79" i="9"/>
  <c r="AD1332" i="9"/>
  <c r="AD1299" i="9"/>
  <c r="AA787" i="9"/>
  <c r="AC714" i="9"/>
  <c r="AC731" i="9"/>
  <c r="AC716" i="9"/>
  <c r="AC722" i="9"/>
  <c r="AC728" i="9"/>
  <c r="AC719" i="9"/>
  <c r="Z836" i="9"/>
  <c r="AD578" i="9"/>
  <c r="AC1010" i="9"/>
  <c r="AC1022" i="9"/>
  <c r="AC1016" i="9"/>
  <c r="AC1008" i="9"/>
  <c r="AC1013" i="9"/>
  <c r="AC1025" i="9"/>
  <c r="AH585" i="9"/>
  <c r="AD741" i="9"/>
  <c r="AH741" i="9" s="1"/>
  <c r="AD713" i="9"/>
  <c r="AH711" i="9"/>
  <c r="AH710" i="9" s="1"/>
  <c r="AH744" i="9" s="1"/>
  <c r="AC959" i="9"/>
  <c r="AC964" i="9"/>
  <c r="AC976" i="9"/>
  <c r="AC961" i="9"/>
  <c r="AC973" i="9"/>
  <c r="AC967" i="9"/>
  <c r="W26" i="8"/>
  <c r="X122" i="8"/>
  <c r="X104" i="8" s="1"/>
  <c r="X168" i="8" s="1"/>
  <c r="AD643" i="9"/>
  <c r="AH643" i="9" s="1"/>
  <c r="AD615" i="9"/>
  <c r="AH613" i="9"/>
  <c r="AH612" i="9" s="1"/>
  <c r="AH646" i="9" s="1"/>
  <c r="Y76" i="8"/>
  <c r="Y77" i="8" s="1"/>
  <c r="AB85" i="9"/>
  <c r="AB73" i="9"/>
  <c r="AB68" i="9"/>
  <c r="AB76" i="9"/>
  <c r="AB70" i="9"/>
  <c r="AB82" i="9"/>
  <c r="Y14" i="8"/>
  <c r="AH1545" i="9"/>
  <c r="AH1547" i="9"/>
  <c r="AC765" i="9"/>
  <c r="AC777" i="9"/>
  <c r="AC763" i="9"/>
  <c r="AC768" i="9"/>
  <c r="AC771" i="9"/>
  <c r="AC780" i="9"/>
  <c r="AB814" i="9"/>
  <c r="AB829" i="9"/>
  <c r="AB817" i="9"/>
  <c r="AB826" i="9"/>
  <c r="AB812" i="9"/>
  <c r="AB820" i="9"/>
  <c r="X18" i="8"/>
  <c r="AC875" i="9"/>
  <c r="AC869" i="9"/>
  <c r="AC861" i="9"/>
  <c r="AC866" i="9"/>
  <c r="AC878" i="9"/>
  <c r="AC863" i="9"/>
  <c r="AD1114" i="9"/>
  <c r="AH1114" i="9" s="1"/>
  <c r="AD1106" i="9"/>
  <c r="AD1111" i="9"/>
  <c r="AH1111" i="9" s="1"/>
  <c r="AD1123" i="9"/>
  <c r="AH1123" i="9" s="1"/>
  <c r="AD1108" i="9"/>
  <c r="AH1108" i="9" s="1"/>
  <c r="AD1120" i="9"/>
  <c r="AH1120" i="9" s="1"/>
  <c r="AH1105" i="9"/>
  <c r="AC1497" i="9"/>
  <c r="AC1525" i="9"/>
  <c r="AH1134" i="9"/>
  <c r="AB1473" i="9"/>
  <c r="AB1500" i="9"/>
  <c r="AB1506" i="9"/>
  <c r="AB1512" i="9"/>
  <c r="AB1515" i="9"/>
  <c r="AB1498" i="9"/>
  <c r="AB1503" i="9"/>
  <c r="AD1206" i="9"/>
  <c r="AH1206" i="9" s="1"/>
  <c r="AD1218" i="9"/>
  <c r="AH1218" i="9" s="1"/>
  <c r="AD1212" i="9"/>
  <c r="AH1212" i="9" s="1"/>
  <c r="AD1204" i="9"/>
  <c r="AD1209" i="9"/>
  <c r="AH1209" i="9" s="1"/>
  <c r="AD1221" i="9"/>
  <c r="AH1221" i="9" s="1"/>
  <c r="AH1203" i="9"/>
  <c r="AH582" i="9"/>
  <c r="AD1495" i="9"/>
  <c r="AD1528" i="9"/>
  <c r="Z1326" i="9"/>
  <c r="AC811" i="9"/>
  <c r="AC839" i="9"/>
  <c r="AC67" i="9"/>
  <c r="AC95" i="9"/>
  <c r="Z12" i="8"/>
  <c r="Z11" i="8" s="1"/>
  <c r="Z79" i="8" s="1"/>
  <c r="V27" i="8"/>
  <c r="V38" i="8"/>
  <c r="AB235" i="9"/>
  <c r="AB220" i="9"/>
  <c r="AB226" i="9"/>
  <c r="AB232" i="9"/>
  <c r="AB218" i="9"/>
  <c r="AB223" i="9"/>
  <c r="AC630" i="9"/>
  <c r="AC624" i="9"/>
  <c r="AC616" i="9"/>
  <c r="AC621" i="9"/>
  <c r="AC633" i="9"/>
  <c r="AC618" i="9"/>
  <c r="AH573" i="9"/>
  <c r="U39" i="8"/>
  <c r="AD809" i="9"/>
  <c r="AD842" i="9"/>
  <c r="AD98" i="9"/>
  <c r="AD65" i="9"/>
  <c r="AB323" i="9"/>
  <c r="AB320" i="9"/>
  <c r="AB332" i="9"/>
  <c r="AB326" i="9"/>
  <c r="AB318" i="9"/>
  <c r="AB335" i="9"/>
  <c r="AA330" i="9" l="1"/>
  <c r="AC1461" i="9"/>
  <c r="X26" i="8"/>
  <c r="AC1412" i="9"/>
  <c r="X21" i="8"/>
  <c r="W164" i="8"/>
  <c r="AC1216" i="9"/>
  <c r="X103" i="8"/>
  <c r="X167" i="8" s="1"/>
  <c r="X93" i="8"/>
  <c r="W161" i="8"/>
  <c r="X24" i="8"/>
  <c r="X162" i="8"/>
  <c r="AB982" i="9"/>
  <c r="AB983" i="9" s="1"/>
  <c r="AB1020" i="9"/>
  <c r="AB884" i="9"/>
  <c r="AB885" i="9" s="1"/>
  <c r="Y23" i="8"/>
  <c r="Y125" i="8" s="1"/>
  <c r="Y91" i="8" s="1"/>
  <c r="Y20" i="8"/>
  <c r="Y21" i="8" s="1"/>
  <c r="AC1118" i="9"/>
  <c r="AC725" i="9"/>
  <c r="AC737" i="9" s="1"/>
  <c r="AC738" i="9" s="1"/>
  <c r="AH133" i="9"/>
  <c r="AA1265" i="9"/>
  <c r="AB628" i="9"/>
  <c r="AB179" i="9"/>
  <c r="AB180" i="9" s="1"/>
  <c r="AB479" i="9"/>
  <c r="AB480" i="9" s="1"/>
  <c r="AA1069" i="9"/>
  <c r="AB823" i="9"/>
  <c r="AB835" i="9" s="1"/>
  <c r="AH644" i="9"/>
  <c r="AC774" i="9"/>
  <c r="AC786" i="9" s="1"/>
  <c r="AC787" i="9" s="1"/>
  <c r="AC279" i="9"/>
  <c r="AC280" i="9" s="1"/>
  <c r="AH1558" i="9"/>
  <c r="AH1559" i="9" s="1"/>
  <c r="AB1509" i="9"/>
  <c r="AB1510" i="9" s="1"/>
  <c r="AB737" i="9"/>
  <c r="AB738" i="9" s="1"/>
  <c r="AH1210" i="9"/>
  <c r="AH1213" i="9"/>
  <c r="AA1314" i="9"/>
  <c r="AB921" i="9"/>
  <c r="AB933" i="9" s="1"/>
  <c r="AB934" i="9" s="1"/>
  <c r="AH1207" i="9"/>
  <c r="AA1521" i="9"/>
  <c r="AA1522" i="9" s="1"/>
  <c r="AH889" i="9"/>
  <c r="AB775" i="9"/>
  <c r="AH521" i="9"/>
  <c r="AC627" i="9"/>
  <c r="AC628" i="9" s="1"/>
  <c r="AB79" i="9"/>
  <c r="AB80" i="9" s="1"/>
  <c r="Y29" i="8"/>
  <c r="Y30" i="8" s="1"/>
  <c r="AH536" i="9"/>
  <c r="AB429" i="9"/>
  <c r="AB430" i="9" s="1"/>
  <c r="AB1166" i="9"/>
  <c r="AB1178" i="9" s="1"/>
  <c r="AB1179" i="9" s="1"/>
  <c r="AB379" i="9"/>
  <c r="AB391" i="9" s="1"/>
  <c r="AB392" i="9" s="1"/>
  <c r="Y17" i="8"/>
  <c r="Y18" i="8" s="1"/>
  <c r="AD1570" i="9"/>
  <c r="AD1571" i="9" s="1"/>
  <c r="AB1068" i="9"/>
  <c r="AD20" i="9"/>
  <c r="AD32" i="9"/>
  <c r="AH32" i="9" s="1"/>
  <c r="AD35" i="9"/>
  <c r="AH35" i="9" s="1"/>
  <c r="AD23" i="9"/>
  <c r="AH23" i="9" s="1"/>
  <c r="AD18" i="9"/>
  <c r="AD26" i="9"/>
  <c r="AH26" i="9" s="1"/>
  <c r="AH17" i="9"/>
  <c r="AA480" i="9"/>
  <c r="AA491" i="9"/>
  <c r="AA492" i="9" s="1"/>
  <c r="AH46" i="9"/>
  <c r="AH1112" i="9"/>
  <c r="AC970" i="9"/>
  <c r="AC982" i="9" s="1"/>
  <c r="AC983" i="9" s="1"/>
  <c r="AB1264" i="9"/>
  <c r="AB1276" i="9" s="1"/>
  <c r="AC1062" i="9"/>
  <c r="AC1071" i="9"/>
  <c r="AC1074" i="9"/>
  <c r="AC1059" i="9"/>
  <c r="AC1065" i="9"/>
  <c r="AC1057" i="9"/>
  <c r="AD495" i="9"/>
  <c r="AH495" i="9" s="1"/>
  <c r="AD467" i="9"/>
  <c r="AH465" i="9"/>
  <c r="AH464" i="9" s="1"/>
  <c r="AH498" i="9" s="1"/>
  <c r="AC170" i="9"/>
  <c r="AC182" i="9"/>
  <c r="AC168" i="9"/>
  <c r="AC173" i="9"/>
  <c r="AC185" i="9"/>
  <c r="AC176" i="9"/>
  <c r="AC541" i="9"/>
  <c r="AC542" i="9" s="1"/>
  <c r="AB676" i="9"/>
  <c r="AC679" i="9"/>
  <c r="AC673" i="9"/>
  <c r="AC665" i="9"/>
  <c r="AC667" i="9"/>
  <c r="AC670" i="9"/>
  <c r="AC682" i="9"/>
  <c r="AH1115" i="9"/>
  <c r="AD1056" i="9"/>
  <c r="AD1084" i="9"/>
  <c r="AH1084" i="9" s="1"/>
  <c r="AH1054" i="9"/>
  <c r="AH1053" i="9" s="1"/>
  <c r="AH1087" i="9" s="1"/>
  <c r="AA191" i="9"/>
  <c r="AA192" i="9" s="1"/>
  <c r="AA180" i="9"/>
  <c r="AA391" i="9"/>
  <c r="AA392" i="9" s="1"/>
  <c r="AA380" i="9"/>
  <c r="AH165" i="9"/>
  <c r="AH164" i="9" s="1"/>
  <c r="AH198" i="9" s="1"/>
  <c r="AD195" i="9"/>
  <c r="AH195" i="9" s="1"/>
  <c r="AD167" i="9"/>
  <c r="AC918" i="9"/>
  <c r="AC927" i="9"/>
  <c r="AC912" i="9"/>
  <c r="AC924" i="9"/>
  <c r="AC910" i="9"/>
  <c r="AC915" i="9"/>
  <c r="AB1313" i="9"/>
  <c r="AB1325" i="9" s="1"/>
  <c r="AB1326" i="9" s="1"/>
  <c r="AC370" i="9"/>
  <c r="AC373" i="9"/>
  <c r="AC376" i="9"/>
  <c r="AC382" i="9"/>
  <c r="AC368" i="9"/>
  <c r="AC385" i="9"/>
  <c r="AC473" i="9"/>
  <c r="AC485" i="9"/>
  <c r="AC482" i="9"/>
  <c r="AC468" i="9"/>
  <c r="AC470" i="9"/>
  <c r="AC476" i="9"/>
  <c r="AD1154" i="9"/>
  <c r="AD1182" i="9"/>
  <c r="AH1182" i="9" s="1"/>
  <c r="AH1183" i="9" s="1"/>
  <c r="AA241" i="9"/>
  <c r="AA242" i="9" s="1"/>
  <c r="AB291" i="9"/>
  <c r="AB292" i="9" s="1"/>
  <c r="AB280" i="9"/>
  <c r="AA835" i="9"/>
  <c r="AA836" i="9" s="1"/>
  <c r="AC29" i="9"/>
  <c r="AD692" i="9"/>
  <c r="AH692" i="9" s="1"/>
  <c r="AD664" i="9"/>
  <c r="AH662" i="9"/>
  <c r="AH661" i="9" s="1"/>
  <c r="AH695" i="9" s="1"/>
  <c r="AB329" i="9"/>
  <c r="AB341" i="9" s="1"/>
  <c r="AD937" i="9"/>
  <c r="AH937" i="9" s="1"/>
  <c r="AD909" i="9"/>
  <c r="AH907" i="9"/>
  <c r="AH906" i="9" s="1"/>
  <c r="AH940" i="9" s="1"/>
  <c r="AH1464" i="9"/>
  <c r="AA430" i="9"/>
  <c r="AC1363" i="9"/>
  <c r="AD276" i="9"/>
  <c r="AH276" i="9" s="1"/>
  <c r="AD268" i="9"/>
  <c r="AD285" i="9"/>
  <c r="AH285" i="9" s="1"/>
  <c r="AD273" i="9"/>
  <c r="AH273" i="9" s="1"/>
  <c r="AD282" i="9"/>
  <c r="AH282" i="9" s="1"/>
  <c r="AD270" i="9"/>
  <c r="AH267" i="9"/>
  <c r="AC872" i="9"/>
  <c r="AC884" i="9" s="1"/>
  <c r="AC885" i="9" s="1"/>
  <c r="AH1452" i="9"/>
  <c r="AA933" i="9"/>
  <c r="AA934" i="9" s="1"/>
  <c r="AA922" i="9"/>
  <c r="AH296" i="9"/>
  <c r="AH1369" i="9"/>
  <c r="AA688" i="9"/>
  <c r="AA689" i="9" s="1"/>
  <c r="AA677" i="9"/>
  <c r="AB41" i="9"/>
  <c r="AB30" i="9"/>
  <c r="AC1157" i="9"/>
  <c r="AC1163" i="9"/>
  <c r="AC1169" i="9"/>
  <c r="AC1172" i="9"/>
  <c r="AC1155" i="9"/>
  <c r="AC1160" i="9"/>
  <c r="AB229" i="9"/>
  <c r="AB241" i="9" s="1"/>
  <c r="AB242" i="9" s="1"/>
  <c r="AC1019" i="9"/>
  <c r="AC1020" i="9" s="1"/>
  <c r="AH1036" i="9"/>
  <c r="AH1357" i="9"/>
  <c r="AH365" i="9"/>
  <c r="AH364" i="9" s="1"/>
  <c r="AH398" i="9" s="1"/>
  <c r="AD395" i="9"/>
  <c r="AH395" i="9" s="1"/>
  <c r="AD367" i="9"/>
  <c r="AC418" i="9"/>
  <c r="AC423" i="9"/>
  <c r="AC420" i="9"/>
  <c r="AC432" i="9"/>
  <c r="AC426" i="9"/>
  <c r="AC435" i="9"/>
  <c r="AC1500" i="9"/>
  <c r="AC1506" i="9"/>
  <c r="AC1515" i="9"/>
  <c r="AC1498" i="9"/>
  <c r="AC1503" i="9"/>
  <c r="AC1512" i="9"/>
  <c r="X140" i="8"/>
  <c r="AC1258" i="9"/>
  <c r="AC1270" i="9"/>
  <c r="AC1255" i="9"/>
  <c r="AC1267" i="9"/>
  <c r="AC1261" i="9"/>
  <c r="AC1253" i="9"/>
  <c r="AH1398" i="9"/>
  <c r="AH1400" i="9"/>
  <c r="AD1280" i="9"/>
  <c r="AH1280" i="9" s="1"/>
  <c r="AD1252" i="9"/>
  <c r="AH1250" i="9"/>
  <c r="AH1249" i="9" s="1"/>
  <c r="AH1283" i="9" s="1"/>
  <c r="W27" i="8"/>
  <c r="W38" i="8"/>
  <c r="AD728" i="9"/>
  <c r="AH728" i="9" s="1"/>
  <c r="AD722" i="9"/>
  <c r="AH722" i="9" s="1"/>
  <c r="AD714" i="9"/>
  <c r="AD719" i="9"/>
  <c r="AH719" i="9" s="1"/>
  <c r="AD731" i="9"/>
  <c r="AH731" i="9" s="1"/>
  <c r="AD716" i="9"/>
  <c r="AH716" i="9" s="1"/>
  <c r="AH713" i="9"/>
  <c r="AH516" i="9"/>
  <c r="AH518" i="9"/>
  <c r="AD417" i="9"/>
  <c r="AD445" i="9"/>
  <c r="AH445" i="9" s="1"/>
  <c r="AH415" i="9"/>
  <c r="AH414" i="9" s="1"/>
  <c r="AH448" i="9" s="1"/>
  <c r="AH1418" i="9"/>
  <c r="AC142" i="9"/>
  <c r="Y122" i="8"/>
  <c r="Y104" i="8" s="1"/>
  <c r="Y168" i="8" s="1"/>
  <c r="Z76" i="8"/>
  <c r="Z77" i="8" s="1"/>
  <c r="AH1219" i="9"/>
  <c r="AH742" i="9"/>
  <c r="AH524" i="9"/>
  <c r="AH1349" i="9"/>
  <c r="AH1351" i="9"/>
  <c r="AH1447" i="9"/>
  <c r="AH1449" i="9"/>
  <c r="AD863" i="9"/>
  <c r="AH863" i="9" s="1"/>
  <c r="AD875" i="9"/>
  <c r="AH875" i="9" s="1"/>
  <c r="AD869" i="9"/>
  <c r="AH869" i="9" s="1"/>
  <c r="AD861" i="9"/>
  <c r="AD866" i="9"/>
  <c r="AH866" i="9" s="1"/>
  <c r="AD878" i="9"/>
  <c r="AH878" i="9" s="1"/>
  <c r="AH860" i="9"/>
  <c r="AD1411" i="9"/>
  <c r="AC1310" i="9"/>
  <c r="AC1302" i="9"/>
  <c r="AC1307" i="9"/>
  <c r="AC1319" i="9"/>
  <c r="AC1304" i="9"/>
  <c r="AC1316" i="9"/>
  <c r="AC85" i="9"/>
  <c r="AC76" i="9"/>
  <c r="AC68" i="9"/>
  <c r="AC70" i="9"/>
  <c r="AC82" i="9"/>
  <c r="AC73" i="9"/>
  <c r="Z14" i="8"/>
  <c r="AH1104" i="9"/>
  <c r="AH1106" i="9"/>
  <c r="AH1121" i="9"/>
  <c r="AH1409" i="9"/>
  <c r="AC817" i="9"/>
  <c r="AC814" i="9"/>
  <c r="AC829" i="9"/>
  <c r="AC826" i="9"/>
  <c r="AC812" i="9"/>
  <c r="AC820" i="9"/>
  <c r="AH1109" i="9"/>
  <c r="AH527" i="9"/>
  <c r="AC332" i="9"/>
  <c r="AC326" i="9"/>
  <c r="AC323" i="9"/>
  <c r="AC335" i="9"/>
  <c r="AC318" i="9"/>
  <c r="AC320" i="9"/>
  <c r="AH1415" i="9"/>
  <c r="AD1460" i="9"/>
  <c r="AD1010" i="9"/>
  <c r="AH1010" i="9" s="1"/>
  <c r="AD1022" i="9"/>
  <c r="AH1022" i="9" s="1"/>
  <c r="AD1016" i="9"/>
  <c r="AH1016" i="9" s="1"/>
  <c r="AD1008" i="9"/>
  <c r="AD1013" i="9"/>
  <c r="AH1013" i="9" s="1"/>
  <c r="AD1025" i="9"/>
  <c r="AH1025" i="9" s="1"/>
  <c r="AH1007" i="9"/>
  <c r="AH533" i="9"/>
  <c r="AH791" i="9"/>
  <c r="AH1403" i="9"/>
  <c r="AH1360" i="9"/>
  <c r="AH1467" i="9"/>
  <c r="AD1215" i="9"/>
  <c r="AD95" i="9"/>
  <c r="AD67" i="9"/>
  <c r="AH65" i="9"/>
  <c r="AH64" i="9" s="1"/>
  <c r="AH98" i="9" s="1"/>
  <c r="AA12" i="8"/>
  <c r="AE12" i="8" s="1"/>
  <c r="AD1117" i="9"/>
  <c r="AD1329" i="9"/>
  <c r="AH1329" i="9" s="1"/>
  <c r="AD1301" i="9"/>
  <c r="AH1299" i="9"/>
  <c r="AH1298" i="9" s="1"/>
  <c r="AH1332" i="9" s="1"/>
  <c r="AH1124" i="9"/>
  <c r="AD529" i="9"/>
  <c r="AD780" i="9"/>
  <c r="AH780" i="9" s="1"/>
  <c r="AD765" i="9"/>
  <c r="AH765" i="9" s="1"/>
  <c r="AD777" i="9"/>
  <c r="AH777" i="9" s="1"/>
  <c r="AD763" i="9"/>
  <c r="AD768" i="9"/>
  <c r="AH768" i="9" s="1"/>
  <c r="AD771" i="9"/>
  <c r="AH771" i="9" s="1"/>
  <c r="AH762" i="9"/>
  <c r="AH1406" i="9"/>
  <c r="AH1366" i="9"/>
  <c r="AH1455" i="9"/>
  <c r="AH1354" i="9"/>
  <c r="AA442" i="9"/>
  <c r="AD1362" i="9"/>
  <c r="AH1458" i="9"/>
  <c r="AD245" i="9"/>
  <c r="AH245" i="9" s="1"/>
  <c r="AD217" i="9"/>
  <c r="AH215" i="9"/>
  <c r="AH214" i="9" s="1"/>
  <c r="AH248" i="9" s="1"/>
  <c r="AH118" i="9"/>
  <c r="AH116" i="9"/>
  <c r="AD129" i="9"/>
  <c r="AD317" i="9"/>
  <c r="AD345" i="9"/>
  <c r="AH345" i="9" s="1"/>
  <c r="AH315" i="9"/>
  <c r="AH314" i="9" s="1"/>
  <c r="AH348" i="9" s="1"/>
  <c r="AH124" i="9"/>
  <c r="AH136" i="9"/>
  <c r="X38" i="8"/>
  <c r="X27" i="8"/>
  <c r="AC223" i="9"/>
  <c r="AC235" i="9"/>
  <c r="AC220" i="9"/>
  <c r="AC226" i="9"/>
  <c r="AC232" i="9"/>
  <c r="AC218" i="9"/>
  <c r="AH121" i="9"/>
  <c r="AD967" i="9"/>
  <c r="AH967" i="9" s="1"/>
  <c r="AD959" i="9"/>
  <c r="AD964" i="9"/>
  <c r="AH964" i="9" s="1"/>
  <c r="AD976" i="9"/>
  <c r="AH976" i="9" s="1"/>
  <c r="AD961" i="9"/>
  <c r="AH961" i="9" s="1"/>
  <c r="AD973" i="9"/>
  <c r="AH973" i="9" s="1"/>
  <c r="AH958" i="9"/>
  <c r="Y13" i="8"/>
  <c r="Y15" i="8"/>
  <c r="Y42" i="8"/>
  <c r="Y57" i="8"/>
  <c r="AD811" i="9"/>
  <c r="AD839" i="9"/>
  <c r="AH839" i="9" s="1"/>
  <c r="AH809" i="9"/>
  <c r="AH808" i="9" s="1"/>
  <c r="AH842" i="9" s="1"/>
  <c r="AD1497" i="9"/>
  <c r="AD1525" i="9"/>
  <c r="AH1525" i="9" s="1"/>
  <c r="AH1495" i="9"/>
  <c r="AH1494" i="9" s="1"/>
  <c r="AH1528" i="9" s="1"/>
  <c r="AB91" i="9"/>
  <c r="AB92" i="9" s="1"/>
  <c r="Y32" i="8"/>
  <c r="Y33" i="8" s="1"/>
  <c r="AB1032" i="9"/>
  <c r="AH1202" i="9"/>
  <c r="AH1204" i="9"/>
  <c r="AH1222" i="9"/>
  <c r="AC1228" i="9"/>
  <c r="AD618" i="9"/>
  <c r="AH618" i="9" s="1"/>
  <c r="AD630" i="9"/>
  <c r="AH630" i="9" s="1"/>
  <c r="AD616" i="9"/>
  <c r="AD621" i="9"/>
  <c r="AH621" i="9" s="1"/>
  <c r="AD633" i="9"/>
  <c r="AH633" i="9" s="1"/>
  <c r="AD624" i="9"/>
  <c r="AH624" i="9" s="1"/>
  <c r="AH615" i="9"/>
  <c r="AH987" i="9"/>
  <c r="AH127" i="9"/>
  <c r="AA80" i="9"/>
  <c r="AA91" i="9"/>
  <c r="AA92" i="9" s="1"/>
  <c r="AD590" i="9"/>
  <c r="AD579" i="9"/>
  <c r="AH578" i="9"/>
  <c r="AH579" i="9" s="1"/>
  <c r="V39" i="8"/>
  <c r="AB441" i="9" l="1"/>
  <c r="AB442" i="9" s="1"/>
  <c r="AC726" i="9"/>
  <c r="Y103" i="8"/>
  <c r="Y167" i="8" s="1"/>
  <c r="Y93" i="8"/>
  <c r="Y161" i="8"/>
  <c r="Y164" i="8"/>
  <c r="AC775" i="9"/>
  <c r="X164" i="8"/>
  <c r="X161" i="8"/>
  <c r="Y162" i="8"/>
  <c r="AB1521" i="9"/>
  <c r="AB1522" i="9" s="1"/>
  <c r="AC639" i="9"/>
  <c r="AC640" i="9" s="1"/>
  <c r="AH876" i="9"/>
  <c r="Z20" i="8"/>
  <c r="Z21" i="8" s="1"/>
  <c r="AB330" i="9"/>
  <c r="AH1570" i="9"/>
  <c r="AH1571" i="9" s="1"/>
  <c r="Y24" i="8"/>
  <c r="AB191" i="9"/>
  <c r="AB192" i="9" s="1"/>
  <c r="AC873" i="9"/>
  <c r="AH396" i="9"/>
  <c r="AB380" i="9"/>
  <c r="AB491" i="9"/>
  <c r="AB492" i="9" s="1"/>
  <c r="AH277" i="9"/>
  <c r="AB230" i="9"/>
  <c r="Y26" i="8"/>
  <c r="AC676" i="9"/>
  <c r="AC688" i="9" s="1"/>
  <c r="AC689" i="9" s="1"/>
  <c r="AB824" i="9"/>
  <c r="AC291" i="9"/>
  <c r="AC292" i="9" s="1"/>
  <c r="AH1330" i="9"/>
  <c r="AC229" i="9"/>
  <c r="AC230" i="9" s="1"/>
  <c r="AH772" i="9"/>
  <c r="AB922" i="9"/>
  <c r="AC921" i="9"/>
  <c r="AC933" i="9" s="1"/>
  <c r="AC934" i="9" s="1"/>
  <c r="AH446" i="9"/>
  <c r="AH867" i="9"/>
  <c r="AH286" i="9"/>
  <c r="AC1031" i="9"/>
  <c r="AC1032" i="9" s="1"/>
  <c r="AH938" i="9"/>
  <c r="AH27" i="9"/>
  <c r="AH766" i="9"/>
  <c r="AH781" i="9"/>
  <c r="AB1167" i="9"/>
  <c r="AC1264" i="9"/>
  <c r="AC1276" i="9" s="1"/>
  <c r="AC1277" i="9" s="1"/>
  <c r="AH870" i="9"/>
  <c r="AC1509" i="9"/>
  <c r="AC1521" i="9" s="1"/>
  <c r="AC1522" i="9" s="1"/>
  <c r="AH864" i="9"/>
  <c r="AC1166" i="9"/>
  <c r="Z17" i="8"/>
  <c r="Z18" i="8" s="1"/>
  <c r="AC329" i="9"/>
  <c r="AC330" i="9" s="1"/>
  <c r="AH769" i="9"/>
  <c r="AC429" i="9"/>
  <c r="AC430" i="9" s="1"/>
  <c r="AB677" i="9"/>
  <c r="AB688" i="9"/>
  <c r="AB689" i="9" s="1"/>
  <c r="Z23" i="8"/>
  <c r="Z125" i="8" s="1"/>
  <c r="Z91" i="8" s="1"/>
  <c r="AB42" i="9"/>
  <c r="AD1163" i="9"/>
  <c r="AH1163" i="9" s="1"/>
  <c r="AD1155" i="9"/>
  <c r="AD1160" i="9"/>
  <c r="AH1160" i="9" s="1"/>
  <c r="AD1172" i="9"/>
  <c r="AH1172" i="9" s="1"/>
  <c r="AD1157" i="9"/>
  <c r="AD1169" i="9"/>
  <c r="AH1169" i="9" s="1"/>
  <c r="AH1154" i="9"/>
  <c r="AD168" i="9"/>
  <c r="AD173" i="9"/>
  <c r="AH173" i="9" s="1"/>
  <c r="AD170" i="9"/>
  <c r="AD182" i="9"/>
  <c r="AH182" i="9" s="1"/>
  <c r="AD185" i="9"/>
  <c r="AH185" i="9" s="1"/>
  <c r="AD176" i="9"/>
  <c r="AH176" i="9" s="1"/>
  <c r="AH167" i="9"/>
  <c r="Z32" i="8"/>
  <c r="Z33" i="8" s="1"/>
  <c r="AH717" i="9"/>
  <c r="AH196" i="9"/>
  <c r="AD915" i="9"/>
  <c r="AH915" i="9" s="1"/>
  <c r="AD927" i="9"/>
  <c r="AH927" i="9" s="1"/>
  <c r="AD912" i="9"/>
  <c r="AD924" i="9"/>
  <c r="AH924" i="9" s="1"/>
  <c r="AD918" i="9"/>
  <c r="AH918" i="9" s="1"/>
  <c r="AD910" i="9"/>
  <c r="AH909" i="9"/>
  <c r="AH18" i="9"/>
  <c r="AH16" i="9"/>
  <c r="AC1313" i="9"/>
  <c r="AC1325" i="9" s="1"/>
  <c r="AC1326" i="9" s="1"/>
  <c r="AH24" i="9"/>
  <c r="AB1314" i="9"/>
  <c r="AD382" i="9"/>
  <c r="AH382" i="9" s="1"/>
  <c r="AD370" i="9"/>
  <c r="AD373" i="9"/>
  <c r="AH373" i="9" s="1"/>
  <c r="AD385" i="9"/>
  <c r="AH385" i="9" s="1"/>
  <c r="AD376" i="9"/>
  <c r="AH376" i="9" s="1"/>
  <c r="AD368" i="9"/>
  <c r="AH367" i="9"/>
  <c r="AD670" i="9"/>
  <c r="AH670" i="9" s="1"/>
  <c r="AD682" i="9"/>
  <c r="AH682" i="9" s="1"/>
  <c r="AD667" i="9"/>
  <c r="AD679" i="9"/>
  <c r="AH679" i="9" s="1"/>
  <c r="AD673" i="9"/>
  <c r="AH673" i="9" s="1"/>
  <c r="AD665" i="9"/>
  <c r="AH664" i="9"/>
  <c r="AC479" i="9"/>
  <c r="AC179" i="9"/>
  <c r="AH36" i="9"/>
  <c r="AC823" i="9"/>
  <c r="AC835" i="9" s="1"/>
  <c r="AC836" i="9" s="1"/>
  <c r="AH693" i="9"/>
  <c r="AH33" i="9"/>
  <c r="AB1265" i="9"/>
  <c r="AC30" i="9"/>
  <c r="AC41" i="9"/>
  <c r="AC42" i="9" s="1"/>
  <c r="AH1085" i="9"/>
  <c r="AD473" i="9"/>
  <c r="AH473" i="9" s="1"/>
  <c r="AD468" i="9"/>
  <c r="AD485" i="9"/>
  <c r="AH485" i="9" s="1"/>
  <c r="AD470" i="9"/>
  <c r="AH470" i="9" s="1"/>
  <c r="AH467" i="9"/>
  <c r="AD476" i="9"/>
  <c r="AH476" i="9" s="1"/>
  <c r="AH477" i="9" s="1"/>
  <c r="AD482" i="9"/>
  <c r="AH482" i="9" s="1"/>
  <c r="AD29" i="9"/>
  <c r="AH20" i="9"/>
  <c r="AH21" i="9" s="1"/>
  <c r="AH266" i="9"/>
  <c r="AH268" i="9"/>
  <c r="AD1062" i="9"/>
  <c r="AH1062" i="9" s="1"/>
  <c r="AD1074" i="9"/>
  <c r="AH1074" i="9" s="1"/>
  <c r="AD1059" i="9"/>
  <c r="AH1056" i="9"/>
  <c r="AD1071" i="9"/>
  <c r="AH1071" i="9" s="1"/>
  <c r="AD1065" i="9"/>
  <c r="AH1065" i="9" s="1"/>
  <c r="AD1057" i="9"/>
  <c r="AH496" i="9"/>
  <c r="AB1080" i="9"/>
  <c r="AB1081" i="9" s="1"/>
  <c r="AB1069" i="9"/>
  <c r="AC677" i="9"/>
  <c r="AC971" i="9"/>
  <c r="AH270" i="9"/>
  <c r="AH271" i="9" s="1"/>
  <c r="AD279" i="9"/>
  <c r="AH283" i="9"/>
  <c r="AH879" i="9"/>
  <c r="AH274" i="9"/>
  <c r="AC379" i="9"/>
  <c r="AC1068" i="9"/>
  <c r="Z29" i="8"/>
  <c r="Z30" i="8" s="1"/>
  <c r="AD1258" i="9"/>
  <c r="AH1258" i="9" s="1"/>
  <c r="AD1270" i="9"/>
  <c r="AH1270" i="9" s="1"/>
  <c r="AD1255" i="9"/>
  <c r="AH1255" i="9" s="1"/>
  <c r="AD1267" i="9"/>
  <c r="AH1267" i="9" s="1"/>
  <c r="AD1261" i="9"/>
  <c r="AH1261" i="9" s="1"/>
  <c r="AD1253" i="9"/>
  <c r="AH1252" i="9"/>
  <c r="AH1281" i="9"/>
  <c r="Z13" i="8"/>
  <c r="Z15" i="8"/>
  <c r="Z42" i="8"/>
  <c r="Z57" i="8"/>
  <c r="AH959" i="9"/>
  <c r="AH957" i="9"/>
  <c r="AD970" i="9"/>
  <c r="AD435" i="9"/>
  <c r="AH435" i="9" s="1"/>
  <c r="AD432" i="9"/>
  <c r="AH432" i="9" s="1"/>
  <c r="AD426" i="9"/>
  <c r="AH426" i="9" s="1"/>
  <c r="AD418" i="9"/>
  <c r="AD420" i="9"/>
  <c r="AH420" i="9" s="1"/>
  <c r="AD423" i="9"/>
  <c r="AH423" i="9" s="1"/>
  <c r="AH417" i="9"/>
  <c r="AH1006" i="9"/>
  <c r="AH1008" i="9"/>
  <c r="AH622" i="9"/>
  <c r="AH840" i="9"/>
  <c r="AH1026" i="9"/>
  <c r="Y140" i="8"/>
  <c r="AH614" i="9"/>
  <c r="AH616" i="9"/>
  <c r="AD627" i="9"/>
  <c r="AD1512" i="9"/>
  <c r="AH1512" i="9" s="1"/>
  <c r="AD1500" i="9"/>
  <c r="AH1500" i="9" s="1"/>
  <c r="AD1506" i="9"/>
  <c r="AH1506" i="9" s="1"/>
  <c r="AD1515" i="9"/>
  <c r="AH1515" i="9" s="1"/>
  <c r="AD1498" i="9"/>
  <c r="AD1503" i="9"/>
  <c r="AH1503" i="9" s="1"/>
  <c r="AH1497" i="9"/>
  <c r="AH965" i="9"/>
  <c r="AD1374" i="9"/>
  <c r="AD1363" i="9"/>
  <c r="AH1362" i="9"/>
  <c r="AH1363" i="9" s="1"/>
  <c r="AD817" i="9"/>
  <c r="AH817" i="9" s="1"/>
  <c r="AD814" i="9"/>
  <c r="AH814" i="9" s="1"/>
  <c r="AD829" i="9"/>
  <c r="AH829" i="9" s="1"/>
  <c r="AD826" i="9"/>
  <c r="AH826" i="9" s="1"/>
  <c r="AD820" i="9"/>
  <c r="AH820" i="9" s="1"/>
  <c r="AD812" i="9"/>
  <c r="AH811" i="9"/>
  <c r="AH968" i="9"/>
  <c r="X39" i="8"/>
  <c r="AD1310" i="9"/>
  <c r="AH1310" i="9" s="1"/>
  <c r="AD1302" i="9"/>
  <c r="AD1307" i="9"/>
  <c r="AH1307" i="9" s="1"/>
  <c r="AD1319" i="9"/>
  <c r="AH1319" i="9" s="1"/>
  <c r="AD1304" i="9"/>
  <c r="AH1304" i="9" s="1"/>
  <c r="AD1316" i="9"/>
  <c r="AH1316" i="9" s="1"/>
  <c r="AH1301" i="9"/>
  <c r="AH1014" i="9"/>
  <c r="AH962" i="9"/>
  <c r="AH625" i="9"/>
  <c r="AH631" i="9"/>
  <c r="AH714" i="9"/>
  <c r="AH712" i="9"/>
  <c r="AH619" i="9"/>
  <c r="AD1129" i="9"/>
  <c r="AD1118" i="9"/>
  <c r="AH1117" i="9"/>
  <c r="AH1118" i="9" s="1"/>
  <c r="AH1017" i="9"/>
  <c r="AH1526" i="9"/>
  <c r="AH1023" i="9"/>
  <c r="AD725" i="9"/>
  <c r="Z122" i="8"/>
  <c r="Z104" i="8" s="1"/>
  <c r="Z168" i="8" s="1"/>
  <c r="AA11" i="8"/>
  <c r="AA79" i="8" s="1"/>
  <c r="AE11" i="8"/>
  <c r="AE79" i="8" s="1"/>
  <c r="AH1011" i="9"/>
  <c r="AH732" i="9"/>
  <c r="AH346" i="9"/>
  <c r="AD223" i="9"/>
  <c r="AH223" i="9" s="1"/>
  <c r="AD220" i="9"/>
  <c r="AH220" i="9" s="1"/>
  <c r="AD235" i="9"/>
  <c r="AH235" i="9" s="1"/>
  <c r="AD226" i="9"/>
  <c r="AH226" i="9" s="1"/>
  <c r="AD232" i="9"/>
  <c r="AH232" i="9" s="1"/>
  <c r="AD218" i="9"/>
  <c r="AH217" i="9"/>
  <c r="AD1019" i="9"/>
  <c r="AH720" i="9"/>
  <c r="Y27" i="8"/>
  <c r="Y38" i="8"/>
  <c r="AD323" i="9"/>
  <c r="AH323" i="9" s="1"/>
  <c r="AD320" i="9"/>
  <c r="AH320" i="9" s="1"/>
  <c r="AD332" i="9"/>
  <c r="AH332" i="9" s="1"/>
  <c r="AD326" i="9"/>
  <c r="AH326" i="9" s="1"/>
  <c r="AD335" i="9"/>
  <c r="AH335" i="9" s="1"/>
  <c r="AD318" i="9"/>
  <c r="AH317" i="9"/>
  <c r="AH246" i="9"/>
  <c r="AH763" i="9"/>
  <c r="AH761" i="9"/>
  <c r="AD73" i="9"/>
  <c r="AD85" i="9"/>
  <c r="AD70" i="9"/>
  <c r="AD68" i="9"/>
  <c r="AD76" i="9"/>
  <c r="AD82" i="9"/>
  <c r="AH67" i="9"/>
  <c r="AA14" i="8"/>
  <c r="AD1461" i="9"/>
  <c r="AD1472" i="9"/>
  <c r="AH1460" i="9"/>
  <c r="AH1461" i="9" s="1"/>
  <c r="AH95" i="9"/>
  <c r="AH96" i="9" s="1"/>
  <c r="AA76" i="8"/>
  <c r="AE76" i="8" s="1"/>
  <c r="AH723" i="9"/>
  <c r="AB836" i="9"/>
  <c r="AD774" i="9"/>
  <c r="AB1277" i="9"/>
  <c r="AD530" i="9"/>
  <c r="AD541" i="9"/>
  <c r="AH529" i="9"/>
  <c r="AH530" i="9" s="1"/>
  <c r="AH977" i="9"/>
  <c r="AH634" i="9"/>
  <c r="AD1227" i="9"/>
  <c r="AD1216" i="9"/>
  <c r="AH1215" i="9"/>
  <c r="AH1216" i="9" s="1"/>
  <c r="AD1412" i="9"/>
  <c r="AD1423" i="9"/>
  <c r="AH1411" i="9"/>
  <c r="AH1412" i="9" s="1"/>
  <c r="AH729" i="9"/>
  <c r="AH974" i="9"/>
  <c r="AD141" i="9"/>
  <c r="AD130" i="9"/>
  <c r="AH129" i="9"/>
  <c r="AH130" i="9" s="1"/>
  <c r="AH859" i="9"/>
  <c r="AH861" i="9"/>
  <c r="W39" i="8"/>
  <c r="AC79" i="9"/>
  <c r="AD591" i="9"/>
  <c r="AH590" i="9"/>
  <c r="AH591" i="9" s="1"/>
  <c r="AH778" i="9"/>
  <c r="AD872" i="9"/>
  <c r="AB342" i="9"/>
  <c r="AH928" i="9" l="1"/>
  <c r="Z161" i="8"/>
  <c r="Z103" i="8"/>
  <c r="Z167" i="8" s="1"/>
  <c r="Z93" i="8"/>
  <c r="Z164" i="8" s="1"/>
  <c r="AA122" i="8"/>
  <c r="AA104" i="8" s="1"/>
  <c r="AA168" i="8" s="1"/>
  <c r="AE168" i="8" s="1"/>
  <c r="AE14" i="8"/>
  <c r="Z162" i="8"/>
  <c r="AH925" i="9"/>
  <c r="AH916" i="9"/>
  <c r="AC241" i="9"/>
  <c r="AC242" i="9" s="1"/>
  <c r="AC922" i="9"/>
  <c r="AH327" i="9"/>
  <c r="AC1265" i="9"/>
  <c r="AC1314" i="9"/>
  <c r="AC824" i="9"/>
  <c r="AC1510" i="9"/>
  <c r="AH1164" i="9"/>
  <c r="AH1271" i="9"/>
  <c r="AC341" i="9"/>
  <c r="AC342" i="9" s="1"/>
  <c r="AH186" i="9"/>
  <c r="AH830" i="9"/>
  <c r="AC441" i="9"/>
  <c r="AC442" i="9" s="1"/>
  <c r="AH336" i="9"/>
  <c r="AH1262" i="9"/>
  <c r="AH321" i="9"/>
  <c r="AH1161" i="9"/>
  <c r="AH324" i="9"/>
  <c r="AH483" i="9"/>
  <c r="AH919" i="9"/>
  <c r="AC380" i="9"/>
  <c r="AC391" i="9"/>
  <c r="AC392" i="9" s="1"/>
  <c r="AH1153" i="9"/>
  <c r="AH1155" i="9"/>
  <c r="AH674" i="9"/>
  <c r="AH1170" i="9"/>
  <c r="AH912" i="9"/>
  <c r="AH913" i="9" s="1"/>
  <c r="AD921" i="9"/>
  <c r="Z24" i="8"/>
  <c r="AD30" i="9"/>
  <c r="AD41" i="9"/>
  <c r="AC191" i="9"/>
  <c r="AC192" i="9" s="1"/>
  <c r="AC180" i="9"/>
  <c r="AH1157" i="9"/>
  <c r="AH1158" i="9" s="1"/>
  <c r="AD1166" i="9"/>
  <c r="AD479" i="9"/>
  <c r="AH479" i="9" s="1"/>
  <c r="AH480" i="9" s="1"/>
  <c r="AC480" i="9"/>
  <c r="AC491" i="9"/>
  <c r="AH908" i="9"/>
  <c r="AH910" i="9"/>
  <c r="AH1173" i="9"/>
  <c r="AH1317" i="9"/>
  <c r="AH667" i="9"/>
  <c r="AH668" i="9" s="1"/>
  <c r="AD676" i="9"/>
  <c r="AH1305" i="9"/>
  <c r="AH671" i="9"/>
  <c r="AH1066" i="9"/>
  <c r="AH377" i="9"/>
  <c r="AH166" i="9"/>
  <c r="AH168" i="9"/>
  <c r="AH486" i="9"/>
  <c r="AH683" i="9"/>
  <c r="AH474" i="9"/>
  <c r="AH1507" i="9"/>
  <c r="AH1072" i="9"/>
  <c r="AH386" i="9"/>
  <c r="AH177" i="9"/>
  <c r="AH665" i="9"/>
  <c r="AH663" i="9"/>
  <c r="AH468" i="9"/>
  <c r="AH466" i="9"/>
  <c r="AH471" i="9"/>
  <c r="AH366" i="9"/>
  <c r="AH368" i="9"/>
  <c r="AH29" i="9"/>
  <c r="AH30" i="9" s="1"/>
  <c r="AH374" i="9"/>
  <c r="AD79" i="9"/>
  <c r="AD80" i="9" s="1"/>
  <c r="AD229" i="9"/>
  <c r="AD241" i="9" s="1"/>
  <c r="AH427" i="9"/>
  <c r="AH1059" i="9"/>
  <c r="AH1060" i="9" s="1"/>
  <c r="AD1068" i="9"/>
  <c r="AH370" i="9"/>
  <c r="AH371" i="9" s="1"/>
  <c r="AD379" i="9"/>
  <c r="AH183" i="9"/>
  <c r="AC1167" i="9"/>
  <c r="AC1178" i="9"/>
  <c r="AC1179" i="9" s="1"/>
  <c r="AH1504" i="9"/>
  <c r="Z26" i="8"/>
  <c r="Z27" i="8" s="1"/>
  <c r="AH1055" i="9"/>
  <c r="AH1057" i="9"/>
  <c r="AH433" i="9"/>
  <c r="AH1075" i="9"/>
  <c r="AH383" i="9"/>
  <c r="AH170" i="9"/>
  <c r="AH171" i="9" s="1"/>
  <c r="AD179" i="9"/>
  <c r="AH179" i="9" s="1"/>
  <c r="AH180" i="9" s="1"/>
  <c r="AH827" i="9"/>
  <c r="AH436" i="9"/>
  <c r="AH1063" i="9"/>
  <c r="AH174" i="9"/>
  <c r="AD291" i="9"/>
  <c r="AD280" i="9"/>
  <c r="AH279" i="9"/>
  <c r="AH280" i="9" s="1"/>
  <c r="AH680" i="9"/>
  <c r="AD823" i="9"/>
  <c r="AD835" i="9" s="1"/>
  <c r="AC1080" i="9"/>
  <c r="AC1081" i="9" s="1"/>
  <c r="AC1069" i="9"/>
  <c r="AH1268" i="9"/>
  <c r="AH66" i="9"/>
  <c r="AH68" i="9"/>
  <c r="AD1313" i="9"/>
  <c r="AH1320" i="9"/>
  <c r="AH1256" i="9"/>
  <c r="AD542" i="9"/>
  <c r="AH541" i="9"/>
  <c r="AH542" i="9" s="1"/>
  <c r="AH82" i="9"/>
  <c r="AH83" i="9" s="1"/>
  <c r="AA29" i="8"/>
  <c r="AE29" i="8" s="1"/>
  <c r="AD1031" i="9"/>
  <c r="AD1020" i="9"/>
  <c r="AH1019" i="9"/>
  <c r="AH1020" i="9" s="1"/>
  <c r="AH1308" i="9"/>
  <c r="AD1264" i="9"/>
  <c r="AH76" i="9"/>
  <c r="AH77" i="9" s="1"/>
  <c r="AA23" i="8"/>
  <c r="AE23" i="8" s="1"/>
  <c r="AH216" i="9"/>
  <c r="AH218" i="9"/>
  <c r="AH1311" i="9"/>
  <c r="AH1498" i="9"/>
  <c r="AH1496" i="9"/>
  <c r="AH1259" i="9"/>
  <c r="AA13" i="8"/>
  <c r="AA15" i="8"/>
  <c r="AA57" i="8"/>
  <c r="AA42" i="8"/>
  <c r="AH233" i="9"/>
  <c r="AD786" i="9"/>
  <c r="AD775" i="9"/>
  <c r="AH774" i="9"/>
  <c r="AH775" i="9" s="1"/>
  <c r="AA32" i="8"/>
  <c r="AE32" i="8" s="1"/>
  <c r="AH85" i="9"/>
  <c r="AH86" i="9" s="1"/>
  <c r="AD884" i="9"/>
  <c r="AD873" i="9"/>
  <c r="AH872" i="9"/>
  <c r="AH873" i="9" s="1"/>
  <c r="AH70" i="9"/>
  <c r="AH71" i="9" s="1"/>
  <c r="AA17" i="8"/>
  <c r="AE17" i="8" s="1"/>
  <c r="AH227" i="9"/>
  <c r="AH1516" i="9"/>
  <c r="AH418" i="9"/>
  <c r="AH416" i="9"/>
  <c r="AH236" i="9"/>
  <c r="AD429" i="9"/>
  <c r="AH221" i="9"/>
  <c r="AD1130" i="9"/>
  <c r="AH1129" i="9"/>
  <c r="AH1130" i="9" s="1"/>
  <c r="AH812" i="9"/>
  <c r="AH810" i="9"/>
  <c r="AH1501" i="9"/>
  <c r="AH424" i="9"/>
  <c r="AH73" i="9"/>
  <c r="AH74" i="9" s="1"/>
  <c r="AA20" i="8"/>
  <c r="AE20" i="8" s="1"/>
  <c r="AH224" i="9"/>
  <c r="AD1509" i="9"/>
  <c r="AH421" i="9"/>
  <c r="AD142" i="9"/>
  <c r="AH141" i="9"/>
  <c r="AH142" i="9" s="1"/>
  <c r="AH316" i="9"/>
  <c r="AH318" i="9"/>
  <c r="AH821" i="9"/>
  <c r="AH1513" i="9"/>
  <c r="AA77" i="8"/>
  <c r="AE77" i="8"/>
  <c r="AD329" i="9"/>
  <c r="AD1473" i="9"/>
  <c r="AH1472" i="9"/>
  <c r="AH1473" i="9" s="1"/>
  <c r="AD737" i="9"/>
  <c r="AD726" i="9"/>
  <c r="AH725" i="9"/>
  <c r="AH726" i="9" s="1"/>
  <c r="AD1375" i="9"/>
  <c r="AH1374" i="9"/>
  <c r="AH1375" i="9" s="1"/>
  <c r="AD1424" i="9"/>
  <c r="AH1423" i="9"/>
  <c r="AH1424" i="9" s="1"/>
  <c r="Y39" i="8"/>
  <c r="AH815" i="9"/>
  <c r="AD639" i="9"/>
  <c r="AD628" i="9"/>
  <c r="AH627" i="9"/>
  <c r="AH628" i="9" s="1"/>
  <c r="AC80" i="9"/>
  <c r="AC91" i="9"/>
  <c r="AC92" i="9" s="1"/>
  <c r="AD1228" i="9"/>
  <c r="AH1227" i="9"/>
  <c r="AH1228" i="9" s="1"/>
  <c r="AH333" i="9"/>
  <c r="AH818" i="9"/>
  <c r="AD982" i="9"/>
  <c r="AD971" i="9"/>
  <c r="AH970" i="9"/>
  <c r="AH971" i="9" s="1"/>
  <c r="Z140" i="8"/>
  <c r="AH1300" i="9"/>
  <c r="AH1302" i="9"/>
  <c r="AH1251" i="9"/>
  <c r="AH1253" i="9"/>
  <c r="AA140" i="8" l="1"/>
  <c r="AA103" i="8"/>
  <c r="AA167" i="8" s="1"/>
  <c r="AE167" i="8" s="1"/>
  <c r="AA93" i="8"/>
  <c r="AA164" i="8" s="1"/>
  <c r="AE164" i="8" s="1"/>
  <c r="AH229" i="9"/>
  <c r="AH230" i="9" s="1"/>
  <c r="AA161" i="8"/>
  <c r="AE161" i="8" s="1"/>
  <c r="AH823" i="9"/>
  <c r="AH824" i="9" s="1"/>
  <c r="AD824" i="9"/>
  <c r="AC492" i="9"/>
  <c r="AD1178" i="9"/>
  <c r="AD1167" i="9"/>
  <c r="AH1166" i="9"/>
  <c r="AH1167" i="9" s="1"/>
  <c r="AD380" i="9"/>
  <c r="AD391" i="9"/>
  <c r="AH379" i="9"/>
  <c r="AH380" i="9" s="1"/>
  <c r="AD922" i="9"/>
  <c r="AH921" i="9"/>
  <c r="AH922" i="9" s="1"/>
  <c r="AD933" i="9"/>
  <c r="AD42" i="9"/>
  <c r="AH41" i="9"/>
  <c r="AH42" i="9" s="1"/>
  <c r="AD230" i="9"/>
  <c r="AD191" i="9"/>
  <c r="AD192" i="9" s="1"/>
  <c r="AD180" i="9"/>
  <c r="AH79" i="9"/>
  <c r="AH80" i="9" s="1"/>
  <c r="AD677" i="9"/>
  <c r="AD688" i="9"/>
  <c r="AH676" i="9"/>
  <c r="AH677" i="9" s="1"/>
  <c r="AD91" i="9"/>
  <c r="AD92" i="9" s="1"/>
  <c r="Z38" i="8"/>
  <c r="Z39" i="8" s="1"/>
  <c r="AA26" i="8"/>
  <c r="AE26" i="8" s="1"/>
  <c r="AE27" i="8" s="1"/>
  <c r="AD491" i="9"/>
  <c r="AD492" i="9" s="1"/>
  <c r="AD480" i="9"/>
  <c r="AH1068" i="9"/>
  <c r="AH1069" i="9" s="1"/>
  <c r="AD1069" i="9"/>
  <c r="AD1080" i="9"/>
  <c r="AD1081" i="9" s="1"/>
  <c r="AD292" i="9"/>
  <c r="AH291" i="9"/>
  <c r="AH292" i="9" s="1"/>
  <c r="AD1032" i="9"/>
  <c r="AH1031" i="9"/>
  <c r="AH1032" i="9" s="1"/>
  <c r="AA30" i="8"/>
  <c r="AE30" i="8"/>
  <c r="AD885" i="9"/>
  <c r="AH884" i="9"/>
  <c r="AH885" i="9" s="1"/>
  <c r="AD640" i="9"/>
  <c r="AH639" i="9"/>
  <c r="AH640" i="9" s="1"/>
  <c r="AD1325" i="9"/>
  <c r="AD1314" i="9"/>
  <c r="AH1313" i="9"/>
  <c r="AH1314" i="9" s="1"/>
  <c r="AD983" i="9"/>
  <c r="AH982" i="9"/>
  <c r="AH983" i="9" s="1"/>
  <c r="AD242" i="9"/>
  <c r="AH241" i="9"/>
  <c r="AH242" i="9" s="1"/>
  <c r="AA33" i="8"/>
  <c r="AE33" i="8"/>
  <c r="AH91" i="9"/>
  <c r="AH92" i="9" s="1"/>
  <c r="AD1521" i="9"/>
  <c r="AD1510" i="9"/>
  <c r="AH1509" i="9"/>
  <c r="AH1510" i="9" s="1"/>
  <c r="AA24" i="8"/>
  <c r="AE24" i="8"/>
  <c r="AA125" i="8"/>
  <c r="AA91" i="8" s="1"/>
  <c r="AA162" i="8" s="1"/>
  <c r="AE162" i="8" s="1"/>
  <c r="AD441" i="9"/>
  <c r="AD430" i="9"/>
  <c r="AH429" i="9"/>
  <c r="AH430" i="9" s="1"/>
  <c r="AD787" i="9"/>
  <c r="AH786" i="9"/>
  <c r="AH787" i="9" s="1"/>
  <c r="AE13" i="8"/>
  <c r="AE15" i="8"/>
  <c r="AE42" i="8"/>
  <c r="AE57" i="8"/>
  <c r="AD1265" i="9"/>
  <c r="AD1276" i="9"/>
  <c r="AH1264" i="9"/>
  <c r="AH1265" i="9" s="1"/>
  <c r="AA18" i="8"/>
  <c r="AE18" i="8"/>
  <c r="AA21" i="8"/>
  <c r="AE21" i="8"/>
  <c r="AD738" i="9"/>
  <c r="AH737" i="9"/>
  <c r="AH738" i="9" s="1"/>
  <c r="AD836" i="9"/>
  <c r="AH835" i="9"/>
  <c r="AH836" i="9" s="1"/>
  <c r="AD330" i="9"/>
  <c r="AD341" i="9"/>
  <c r="AH329" i="9"/>
  <c r="AH330" i="9" s="1"/>
  <c r="AA27" i="8" l="1"/>
  <c r="AA38" i="8"/>
  <c r="AE38" i="8" s="1"/>
  <c r="AH1080" i="9"/>
  <c r="AH1081" i="9" s="1"/>
  <c r="AD934" i="9"/>
  <c r="AH933" i="9"/>
  <c r="AH934" i="9" s="1"/>
  <c r="AH391" i="9"/>
  <c r="AH392" i="9" s="1"/>
  <c r="AD392" i="9"/>
  <c r="AD1179" i="9"/>
  <c r="AH1178" i="9"/>
  <c r="AH1179" i="9" s="1"/>
  <c r="AH688" i="9"/>
  <c r="AH689" i="9" s="1"/>
  <c r="AD689" i="9"/>
  <c r="AH491" i="9"/>
  <c r="AH492" i="9" s="1"/>
  <c r="AH191" i="9"/>
  <c r="AH192" i="9" s="1"/>
  <c r="AD442" i="9"/>
  <c r="AH441" i="9"/>
  <c r="AH442" i="9" s="1"/>
  <c r="AD1277" i="9"/>
  <c r="AH1276" i="9"/>
  <c r="AH1277" i="9" s="1"/>
  <c r="AD1326" i="9"/>
  <c r="AH1325" i="9"/>
  <c r="AH1326" i="9" s="1"/>
  <c r="AD1522" i="9"/>
  <c r="AH1521" i="9"/>
  <c r="AH1522" i="9" s="1"/>
  <c r="AD342" i="9"/>
  <c r="AH341" i="9"/>
  <c r="AH342" i="9" s="1"/>
  <c r="AA39" i="8"/>
  <c r="AE39" i="8"/>
  <c r="Q44" i="8"/>
  <c r="Q50" i="8" s="1"/>
  <c r="R44" i="8"/>
  <c r="S44" i="8"/>
  <c r="S50" i="8" s="1"/>
  <c r="S53" i="8" s="1"/>
  <c r="T44" i="8"/>
  <c r="U44" i="8"/>
  <c r="U50" i="8" s="1"/>
  <c r="V44" i="8"/>
  <c r="V50" i="8" s="1"/>
  <c r="W44" i="8"/>
  <c r="W50" i="8" s="1"/>
  <c r="X44" i="8"/>
  <c r="X50" i="8" s="1"/>
  <c r="Y44" i="8"/>
  <c r="Z44" i="8"/>
  <c r="Z50" i="8" s="1"/>
  <c r="AA44" i="8"/>
  <c r="AA50" i="8" s="1"/>
  <c r="R50" i="8"/>
  <c r="R53" i="8" s="1"/>
  <c r="T50" i="8"/>
  <c r="T53" i="8" s="1"/>
  <c r="Y133" i="8" l="1"/>
  <c r="Y102" i="8" s="1"/>
  <c r="Y50" i="8"/>
  <c r="Y51" i="8" s="1"/>
  <c r="T133" i="8"/>
  <c r="T102" i="8" s="1"/>
  <c r="X133" i="8"/>
  <c r="X102" i="8" s="1"/>
  <c r="W133" i="8"/>
  <c r="W102" i="8" s="1"/>
  <c r="V133" i="8"/>
  <c r="V102" i="8" s="1"/>
  <c r="Y166" i="8"/>
  <c r="Y105" i="8"/>
  <c r="T105" i="8"/>
  <c r="Q53" i="8"/>
  <c r="AE50" i="8"/>
  <c r="AE51" i="8" s="1"/>
  <c r="X166" i="8"/>
  <c r="X105" i="8"/>
  <c r="AA133" i="8"/>
  <c r="AA102" i="8" s="1"/>
  <c r="W166" i="8"/>
  <c r="W105" i="8"/>
  <c r="AE44" i="8"/>
  <c r="AE45" i="8" s="1"/>
  <c r="V105" i="8"/>
  <c r="Z133" i="8"/>
  <c r="Z102" i="8" s="1"/>
  <c r="U133" i="8"/>
  <c r="U102" i="8" s="1"/>
  <c r="S133" i="8"/>
  <c r="S102" i="8" s="1"/>
  <c r="R133" i="8"/>
  <c r="R102" i="8" s="1"/>
  <c r="Y53" i="8"/>
  <c r="Q133" i="8"/>
  <c r="Q102" i="8" s="1"/>
  <c r="S61" i="8"/>
  <c r="S54" i="8"/>
  <c r="T61" i="8"/>
  <c r="T54" i="8"/>
  <c r="R54" i="8"/>
  <c r="R61" i="8"/>
  <c r="Z53" i="8"/>
  <c r="Z51" i="8"/>
  <c r="W53" i="8"/>
  <c r="W51" i="8"/>
  <c r="U53" i="8"/>
  <c r="U51" i="8"/>
  <c r="Q61" i="8"/>
  <c r="Q54" i="8"/>
  <c r="AA53" i="8"/>
  <c r="AA51" i="8"/>
  <c r="X53" i="8"/>
  <c r="X51" i="8"/>
  <c r="V53" i="8"/>
  <c r="V51" i="8"/>
  <c r="T51" i="8"/>
  <c r="S51" i="8"/>
  <c r="R51" i="8"/>
  <c r="Q51" i="8"/>
  <c r="S105" i="8" l="1"/>
  <c r="S166" i="8"/>
  <c r="Y54" i="8"/>
  <c r="Y61" i="8"/>
  <c r="Y62" i="8" s="1"/>
  <c r="Z166" i="8"/>
  <c r="Z105" i="8"/>
  <c r="U105" i="8"/>
  <c r="U166" i="8"/>
  <c r="AE53" i="8"/>
  <c r="AE54" i="8" s="1"/>
  <c r="R105" i="8"/>
  <c r="R166" i="8"/>
  <c r="V166" i="8"/>
  <c r="Q166" i="8"/>
  <c r="Q105" i="8"/>
  <c r="AA166" i="8"/>
  <c r="AA105" i="8"/>
  <c r="T166" i="8"/>
  <c r="V61" i="8"/>
  <c r="V54" i="8"/>
  <c r="AA54" i="8"/>
  <c r="AA61" i="8"/>
  <c r="X61" i="8"/>
  <c r="X54" i="8"/>
  <c r="U61" i="8"/>
  <c r="U54" i="8"/>
  <c r="W54" i="8"/>
  <c r="W61" i="8"/>
  <c r="Q62" i="8"/>
  <c r="Z54" i="8"/>
  <c r="Z61" i="8"/>
  <c r="R62" i="8"/>
  <c r="T62" i="8"/>
  <c r="S62" i="8"/>
  <c r="AE61" i="8" l="1"/>
  <c r="AE166" i="8"/>
  <c r="W62" i="8"/>
  <c r="AA62" i="8"/>
  <c r="Z62" i="8"/>
  <c r="AE62" i="8"/>
  <c r="U62" i="8"/>
  <c r="X62" i="8"/>
  <c r="V62" i="8"/>
  <c r="P64" i="8"/>
  <c r="Q64" i="8"/>
  <c r="R64" i="8"/>
  <c r="S64" i="8"/>
  <c r="T64" i="8"/>
  <c r="U64" i="8"/>
  <c r="V64" i="8"/>
  <c r="W64" i="8"/>
  <c r="X64" i="8"/>
  <c r="Y64" i="8"/>
  <c r="Z64" i="8"/>
  <c r="AA64" i="8"/>
  <c r="AE64" i="8"/>
  <c r="P66" i="8"/>
  <c r="Q66" i="8"/>
  <c r="R66" i="8"/>
  <c r="S66" i="8"/>
  <c r="T66" i="8"/>
  <c r="U66" i="8"/>
  <c r="V66" i="8"/>
  <c r="W66" i="8"/>
  <c r="X66" i="8"/>
  <c r="Y66" i="8"/>
  <c r="Z66" i="8"/>
  <c r="AA66" i="8"/>
  <c r="AE66" i="8"/>
  <c r="P67" i="8"/>
  <c r="Q67" i="8"/>
  <c r="R67" i="8"/>
  <c r="S67" i="8"/>
  <c r="T67" i="8"/>
  <c r="U67" i="8"/>
  <c r="V67" i="8"/>
  <c r="W67" i="8"/>
  <c r="X67" i="8"/>
  <c r="Y67" i="8"/>
  <c r="Z67" i="8"/>
  <c r="AA67" i="8"/>
  <c r="AE67" i="8"/>
  <c r="P69" i="8"/>
  <c r="Q69" i="8"/>
  <c r="R69" i="8"/>
  <c r="S69" i="8"/>
  <c r="T69" i="8"/>
  <c r="U69" i="8"/>
  <c r="V69" i="8"/>
  <c r="W69" i="8"/>
  <c r="X69" i="8"/>
  <c r="Y69" i="8"/>
  <c r="Z69" i="8"/>
  <c r="AA69" i="8"/>
  <c r="AE69" i="8"/>
  <c r="AE70" i="8"/>
  <c r="P72" i="8"/>
  <c r="Q72" i="8"/>
  <c r="R72" i="8"/>
  <c r="S72" i="8"/>
  <c r="T72" i="8"/>
  <c r="U72" i="8"/>
  <c r="V72" i="8"/>
  <c r="W72" i="8"/>
  <c r="X72" i="8"/>
  <c r="Y72" i="8"/>
  <c r="Z72" i="8"/>
  <c r="AA72" i="8"/>
  <c r="AE72" i="8"/>
  <c r="P73" i="8"/>
  <c r="Q73" i="8"/>
  <c r="R73" i="8"/>
  <c r="S73" i="8"/>
  <c r="T73" i="8"/>
  <c r="U73" i="8"/>
  <c r="V73" i="8"/>
  <c r="W73" i="8"/>
  <c r="X73" i="8"/>
  <c r="Y73" i="8"/>
  <c r="Z73" i="8"/>
  <c r="AA73" i="8"/>
  <c r="AE73" i="8"/>
  <c r="P89" i="8"/>
  <c r="Q89" i="8"/>
  <c r="R89" i="8"/>
  <c r="S89" i="8"/>
  <c r="T89" i="8"/>
  <c r="U89" i="8"/>
  <c r="V89" i="8"/>
  <c r="W89" i="8"/>
  <c r="X89" i="8"/>
  <c r="Y89" i="8"/>
  <c r="Z89" i="8"/>
  <c r="AA89" i="8"/>
  <c r="P94" i="8"/>
  <c r="Q94" i="8"/>
  <c r="R94" i="8"/>
  <c r="S94" i="8"/>
  <c r="T94" i="8"/>
  <c r="U94" i="8"/>
  <c r="V94" i="8"/>
  <c r="W94" i="8"/>
  <c r="X94" i="8"/>
  <c r="Y94" i="8"/>
  <c r="Z94" i="8"/>
  <c r="AA94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E158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E169" i="8"/>
  <c r="P176" i="8"/>
  <c r="Q176" i="8"/>
  <c r="S176" i="8"/>
  <c r="T176" i="8"/>
  <c r="V176" i="8"/>
  <c r="W176" i="8"/>
  <c r="Y176" i="8"/>
  <c r="Z176" i="8"/>
  <c r="AE176" i="8"/>
  <c r="P177" i="8"/>
  <c r="Q177" i="8"/>
  <c r="S177" i="8"/>
  <c r="T177" i="8"/>
  <c r="V177" i="8"/>
  <c r="W177" i="8"/>
  <c r="Y177" i="8"/>
  <c r="Z177" i="8"/>
  <c r="AE177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E179" i="8"/>
</calcChain>
</file>

<file path=xl/sharedStrings.xml><?xml version="1.0" encoding="utf-8"?>
<sst xmlns="http://schemas.openxmlformats.org/spreadsheetml/2006/main" count="7043" uniqueCount="285">
  <si>
    <t>Happy Pets Vets</t>
  </si>
  <si>
    <t>Total Production</t>
  </si>
  <si>
    <t>Revenue as a % of Production</t>
  </si>
  <si>
    <t>Total Revenue</t>
  </si>
  <si>
    <t>Doctor Compensation</t>
  </si>
  <si>
    <t>Administrative Staff Compensation</t>
  </si>
  <si>
    <t>Office Supplies</t>
  </si>
  <si>
    <t>Marketing</t>
  </si>
  <si>
    <t>% YoY Growth</t>
  </si>
  <si>
    <t>% of Revenue</t>
  </si>
  <si>
    <t>General and Administrative Expense</t>
  </si>
  <si>
    <t>Office Gross Profit</t>
  </si>
  <si>
    <t>Office EBITDA</t>
  </si>
  <si>
    <t>Memo:</t>
  </si>
  <si>
    <t>Annual</t>
  </si>
  <si>
    <t>Collections</t>
  </si>
  <si>
    <t>($ in 000s)</t>
  </si>
  <si>
    <t>Collections as a % of Production</t>
  </si>
  <si>
    <t>Paws &amp; Claws Veterinary Care</t>
  </si>
  <si>
    <t>BlueTail Animal Hospital</t>
  </si>
  <si>
    <t>WhiskerWell Clinic</t>
  </si>
  <si>
    <t>Companion Care Vets</t>
  </si>
  <si>
    <t>Pawprint Health Center</t>
  </si>
  <si>
    <t>Oak Ridge Veterinary Clinic</t>
  </si>
  <si>
    <t>Pet Haven Vets</t>
  </si>
  <si>
    <t>Summit Animal Hospital</t>
  </si>
  <si>
    <t>The Healing Paw</t>
  </si>
  <si>
    <t>BrightPaw Veterinary Group</t>
  </si>
  <si>
    <t>Tailwinds Veterinary Services</t>
  </si>
  <si>
    <t>Urban Ark Animal Care</t>
  </si>
  <si>
    <t>Serenity Pet Clinic</t>
  </si>
  <si>
    <t>Evergreen Animal Health</t>
  </si>
  <si>
    <t>Kindred Tails Veterinary</t>
  </si>
  <si>
    <t>Pawstone Veterinary Center</t>
  </si>
  <si>
    <t>Lakeside Animal Wellness</t>
  </si>
  <si>
    <t>Bark &amp; Bloom Vet Care</t>
  </si>
  <si>
    <t>Safe Haven Animal Hospital</t>
  </si>
  <si>
    <t>Prairie View Veterinary Clinic</t>
  </si>
  <si>
    <t>Guardian Pet Care</t>
  </si>
  <si>
    <t>Red Barn Animal Hospital</t>
  </si>
  <si>
    <t>Cedar Paws Vet Clinic</t>
  </si>
  <si>
    <t>VitalVet Animal Services</t>
  </si>
  <si>
    <t>NorthStar Pet Health</t>
  </si>
  <si>
    <t>Gentle Touch Veterinary Care</t>
  </si>
  <si>
    <t>Heart &amp; Hoof Vet Services</t>
  </si>
  <si>
    <t>WagWell Animal Clinic</t>
  </si>
  <si>
    <t>Echo Valley Veterinary Center</t>
  </si>
  <si>
    <t>Trusted Tails Vet Group</t>
  </si>
  <si>
    <t>Riverbend Animal Hospital</t>
  </si>
  <si>
    <t>ThrivePet Veterinary Clinic</t>
  </si>
  <si>
    <t>Production per Vet Workday</t>
  </si>
  <si>
    <t>Total Vet Days</t>
  </si>
  <si>
    <t>Site</t>
  </si>
  <si>
    <t>Site:</t>
  </si>
  <si>
    <t>Workdays in Month / Year</t>
  </si>
  <si>
    <t>Production per Vet Workday - YoY Change</t>
  </si>
  <si>
    <t xml:space="preserve"> </t>
  </si>
  <si>
    <t>Name</t>
  </si>
  <si>
    <t>Position</t>
  </si>
  <si>
    <t>Start Date</t>
  </si>
  <si>
    <t>Departure Date</t>
  </si>
  <si>
    <t>Bonus</t>
  </si>
  <si>
    <t>Total Cash Compensation</t>
  </si>
  <si>
    <t>Total Ancillary Expenses</t>
  </si>
  <si>
    <t>Total Cost of Employment</t>
  </si>
  <si>
    <t>Alex Harris</t>
  </si>
  <si>
    <t>CEO</t>
  </si>
  <si>
    <t>Skyler Taylor</t>
  </si>
  <si>
    <t>COO</t>
  </si>
  <si>
    <t>Skyler Martin</t>
  </si>
  <si>
    <t>CFO</t>
  </si>
  <si>
    <t>Alex Thomas</t>
  </si>
  <si>
    <t>Chief Medical Officer</t>
  </si>
  <si>
    <t>Taylor Harris</t>
  </si>
  <si>
    <t>VP of Operations</t>
  </si>
  <si>
    <t>Casey Thomas</t>
  </si>
  <si>
    <t>VP of Finance</t>
  </si>
  <si>
    <t>Drew Taylor</t>
  </si>
  <si>
    <t>VP of HR</t>
  </si>
  <si>
    <t>Riley Thomas</t>
  </si>
  <si>
    <t>Director of Marketing</t>
  </si>
  <si>
    <t>Taylor Taylor</t>
  </si>
  <si>
    <t>Director of Business Development</t>
  </si>
  <si>
    <t>Riley Brown</t>
  </si>
  <si>
    <t>Director of IT</t>
  </si>
  <si>
    <t>Emerson Jackson</t>
  </si>
  <si>
    <t>HR Manager</t>
  </si>
  <si>
    <t>Casey White</t>
  </si>
  <si>
    <t>Finance Manager</t>
  </si>
  <si>
    <t>Jordan Taylor</t>
  </si>
  <si>
    <t>Operations Manager</t>
  </si>
  <si>
    <t>Marketing Manager</t>
  </si>
  <si>
    <t>Reese Smith</t>
  </si>
  <si>
    <t>IT Manager</t>
  </si>
  <si>
    <t>Emerson White</t>
  </si>
  <si>
    <t>Veterinary Regional Manager</t>
  </si>
  <si>
    <t>Morgan Thomas</t>
  </si>
  <si>
    <t>Senior Accountant</t>
  </si>
  <si>
    <t>Casey Smith</t>
  </si>
  <si>
    <t>Accountant</t>
  </si>
  <si>
    <t>Reese Jackson</t>
  </si>
  <si>
    <t>Payroll Specialist</t>
  </si>
  <si>
    <t>Taylor Thomas</t>
  </si>
  <si>
    <t>Recruiter</t>
  </si>
  <si>
    <t>Casey Anderson</t>
  </si>
  <si>
    <t>Administrative Assistant</t>
  </si>
  <si>
    <t>Riley Jackson</t>
  </si>
  <si>
    <t>Office Manager</t>
  </si>
  <si>
    <t>Taylor Johnson</t>
  </si>
  <si>
    <t>Customer Service Manager</t>
  </si>
  <si>
    <t>IT Support Specialist</t>
  </si>
  <si>
    <t>Reese White</t>
  </si>
  <si>
    <t>Business Analyst</t>
  </si>
  <si>
    <t>Morgan Taylor</t>
  </si>
  <si>
    <t>Casey Martin</t>
  </si>
  <si>
    <t>Riley Harris</t>
  </si>
  <si>
    <t>Taylor Brown</t>
  </si>
  <si>
    <t>Jordan Thomas</t>
  </si>
  <si>
    <t>Jordan Martin</t>
  </si>
  <si>
    <t>Drew Johnson</t>
  </si>
  <si>
    <t>Drew Martin</t>
  </si>
  <si>
    <t>Drew Harris</t>
  </si>
  <si>
    <t>Emerson Taylor</t>
  </si>
  <si>
    <t>Skyler Johnson</t>
  </si>
  <si>
    <t>Casey Johnson</t>
  </si>
  <si>
    <t>Reese Anderson</t>
  </si>
  <si>
    <t>Casey Jackson</t>
  </si>
  <si>
    <t>Alex Taylor</t>
  </si>
  <si>
    <t>Emerson Smith</t>
  </si>
  <si>
    <t>Morgan Brown</t>
  </si>
  <si>
    <t>Emerson Brown</t>
  </si>
  <si>
    <t>Taylor Smith</t>
  </si>
  <si>
    <t>Skyler Thomas</t>
  </si>
  <si>
    <t>Reese Martin</t>
  </si>
  <si>
    <t>Jordan Brown</t>
  </si>
  <si>
    <t>Riley Martin</t>
  </si>
  <si>
    <t>Memo: Ancillary Expenses - % of Cash Comp.</t>
  </si>
  <si>
    <t>Dimitri Pallas</t>
  </si>
  <si>
    <t>Corporate Expense Schedule - Salary</t>
  </si>
  <si>
    <t>Corporate Roster - 2024</t>
  </si>
  <si>
    <t>2024 Salary</t>
  </si>
  <si>
    <t>-</t>
  </si>
  <si>
    <t>Date</t>
  </si>
  <si>
    <t>Start</t>
  </si>
  <si>
    <t>Departure</t>
  </si>
  <si>
    <t>Taylor Jordan</t>
  </si>
  <si>
    <t>Casey Lebron</t>
  </si>
  <si>
    <t>Taylor McCarthy</t>
  </si>
  <si>
    <t>Riley Bounty</t>
  </si>
  <si>
    <t>Morgan Sparrow</t>
  </si>
  <si>
    <t>Casey Tequila</t>
  </si>
  <si>
    <t>Emerson Mansoor</t>
  </si>
  <si>
    <t>Skyler Higby</t>
  </si>
  <si>
    <t>Corporate Expense Schedule - Ancillary Expenses</t>
  </si>
  <si>
    <t>Annualized</t>
  </si>
  <si>
    <t>Corporate Expense Schedule - Cash Employment Expenses</t>
  </si>
  <si>
    <t>Corporate Expense Schedule - Cash Bonus Payout</t>
  </si>
  <si>
    <t>Corporate Expense Schedule - Bonus Accrual - Income Statement Impact</t>
  </si>
  <si>
    <t>Corporate Expense Schedule - Corporate Headcount Expense - Income Statement Impact</t>
  </si>
  <si>
    <t>Site Level Financials</t>
  </si>
  <si>
    <t>Employed Vets</t>
  </si>
  <si>
    <t>Income Statement</t>
  </si>
  <si>
    <t>Office Rent</t>
  </si>
  <si>
    <t>Corporate Office Rent</t>
  </si>
  <si>
    <t>Total Corporate Expenses</t>
  </si>
  <si>
    <t>Adjusted EBITDA</t>
  </si>
  <si>
    <t>Operating Income (EBIT)</t>
  </si>
  <si>
    <t>SG&amp;A</t>
  </si>
  <si>
    <t>Headcount Expenses</t>
  </si>
  <si>
    <t>Net Interest Expense</t>
  </si>
  <si>
    <t>Pre Tax Income</t>
  </si>
  <si>
    <t>Income Taxes</t>
  </si>
  <si>
    <t>Net Income (Loss)</t>
  </si>
  <si>
    <t>% of Pre Tax Income</t>
  </si>
  <si>
    <t>% YoY Revenue Growth</t>
  </si>
  <si>
    <t>Cash &amp; Cash Equivalents</t>
  </si>
  <si>
    <t>Accounts receivable net</t>
  </si>
  <si>
    <t>Prepaid expenses and other current assets</t>
  </si>
  <si>
    <t>Accrued Compensation</t>
  </si>
  <si>
    <t>Total Current Assets</t>
  </si>
  <si>
    <t>Property and equipment net</t>
  </si>
  <si>
    <t>Operating lease right-of-use assets</t>
  </si>
  <si>
    <t>Intangible assets net</t>
  </si>
  <si>
    <t>Other assets</t>
  </si>
  <si>
    <t>Total Assets</t>
  </si>
  <si>
    <t>Deferred Revenue</t>
  </si>
  <si>
    <t>Accounts Payable</t>
  </si>
  <si>
    <t>Long Term Debt - Unitranche</t>
  </si>
  <si>
    <t>Long Term Debt - Revolver</t>
  </si>
  <si>
    <t>Operating lease right-of-use liabilities</t>
  </si>
  <si>
    <t>Accrued expenses and other current liabilities</t>
  </si>
  <si>
    <t>Total Current Liabilities</t>
  </si>
  <si>
    <t>Total Liabilities</t>
  </si>
  <si>
    <t>Common Stock &amp; Paid-in-capital</t>
  </si>
  <si>
    <t>Retained Earnings</t>
  </si>
  <si>
    <t>Total Shareholder's Equity</t>
  </si>
  <si>
    <t>Total Liabilities &amp; Shareholders Equity</t>
  </si>
  <si>
    <t>Inventories</t>
  </si>
  <si>
    <t>L3M Sales</t>
  </si>
  <si>
    <t>L3M Office Supplies</t>
  </si>
  <si>
    <t>Inventories - Days Outstanding</t>
  </si>
  <si>
    <t>Accounts Receivable - Days Outstanding</t>
  </si>
  <si>
    <t>Prepaid expenses and other current assets - % of L3M Sales</t>
  </si>
  <si>
    <t>Deferred Revenue - % of L3M Sales</t>
  </si>
  <si>
    <t>L3M SG&amp;A</t>
  </si>
  <si>
    <t>L3M Corporate Headcount Expenses</t>
  </si>
  <si>
    <t>Accounts Payable - % of L3M SG&amp;A</t>
  </si>
  <si>
    <t>Accrued Compensation - % of L3M Corporate Headcount Expenses</t>
  </si>
  <si>
    <t>Capital Expenditures</t>
  </si>
  <si>
    <t>L3M Capital Expenditures</t>
  </si>
  <si>
    <t>L3M Capital Expenditures / L3M Sales</t>
  </si>
  <si>
    <t>Depreciation and Amortization - PP&amp;E</t>
  </si>
  <si>
    <t>Intangible Amortization</t>
  </si>
  <si>
    <t>Memo: Net Working Capital Metrics</t>
  </si>
  <si>
    <t>Memo: Debt Schedule</t>
  </si>
  <si>
    <t>Revolver - Interest Rate (S+550)</t>
  </si>
  <si>
    <t>Unitranche - Interest Rate (S+500)</t>
  </si>
  <si>
    <t>Revolver - Max Capacity</t>
  </si>
  <si>
    <t>SOFR - 30 Day Average</t>
  </si>
  <si>
    <t>Balance Sheet and Supporting Schedules</t>
  </si>
  <si>
    <t>Net Income</t>
  </si>
  <si>
    <t>Change in Long Term Debt - Revolver</t>
  </si>
  <si>
    <t>Change in Long Term Debt - Unitranche</t>
  </si>
  <si>
    <t>Cash From Investing Activities</t>
  </si>
  <si>
    <t>Cash From Financing Activities</t>
  </si>
  <si>
    <t>Cash from Operating Activities</t>
  </si>
  <si>
    <t>Total Cash Flow</t>
  </si>
  <si>
    <t>Balance?</t>
  </si>
  <si>
    <t>($ in USD)</t>
  </si>
  <si>
    <t>2024A</t>
  </si>
  <si>
    <t>2025 Budget</t>
  </si>
  <si>
    <t>Historicals</t>
  </si>
  <si>
    <t>Budget</t>
  </si>
  <si>
    <t>Key</t>
  </si>
  <si>
    <t>Corporate Roster - 2025</t>
  </si>
  <si>
    <t>2025 Raise:</t>
  </si>
  <si>
    <t>Lenny Kravitz</t>
  </si>
  <si>
    <t>JJ McCarthy</t>
  </si>
  <si>
    <t>Brian Johnson</t>
  </si>
  <si>
    <t>Alex Boone</t>
  </si>
  <si>
    <t>Tavaris Jackson</t>
  </si>
  <si>
    <t>Mark Andreesony</t>
  </si>
  <si>
    <t>Director of Patient Experience</t>
  </si>
  <si>
    <t>Recruitment Coordinator</t>
  </si>
  <si>
    <t>Chief of Staff</t>
  </si>
  <si>
    <t>Head of M&amp;A</t>
  </si>
  <si>
    <t>VP of M&amp;A</t>
  </si>
  <si>
    <t>Strategic Advisor</t>
  </si>
  <si>
    <t>Salary</t>
  </si>
  <si>
    <t>Budget Assumptions Driver</t>
  </si>
  <si>
    <t>Sites with 1 Doctor at YE-24</t>
  </si>
  <si>
    <t>Sites with 2 Doctors at YE-24</t>
  </si>
  <si>
    <t>Sites with 3 Doctors at YE-24</t>
  </si>
  <si>
    <t>Sites with 4 Doctors at YE-24</t>
  </si>
  <si>
    <t>Sites with 5 Doctors at YE-24</t>
  </si>
  <si>
    <t>MoM Change in Production per Vet per Workday</t>
  </si>
  <si>
    <t>All Sites - 2024</t>
  </si>
  <si>
    <t>MoM Adjustment for Adding New Doctor</t>
  </si>
  <si>
    <t>% of Revenue - Doctor Compensation</t>
  </si>
  <si>
    <t>% of Revenue - Administrative Staff Compensation</t>
  </si>
  <si>
    <t>% of Revenue - Office Supplies</t>
  </si>
  <si>
    <t>% of Revenue - General and Administrative Expense</t>
  </si>
  <si>
    <t>% of Revenue - Marketing</t>
  </si>
  <si>
    <t>% YoY Change - Office Rent</t>
  </si>
  <si>
    <t>YoY Change - % of Revenue - Doctor Compensation</t>
  </si>
  <si>
    <t>YoY Change - % of Revenue - Administrative Staff Compensation</t>
  </si>
  <si>
    <t>YoY Change - % of Revenue - Office Supplies</t>
  </si>
  <si>
    <t>YoY Change - % of Revenue - General and Administrative Expense</t>
  </si>
  <si>
    <t>YoY Change - % of Revenue - Marketing</t>
  </si>
  <si>
    <t>YoY Change - Collections as a % of Production</t>
  </si>
  <si>
    <t>Baseline Assumption for 2025</t>
  </si>
  <si>
    <t>Other Site Level Assumptions</t>
  </si>
  <si>
    <t>YoY Change - % of Revenue - SG&amp;A</t>
  </si>
  <si>
    <t>YoY Change - Corporate Office Rent</t>
  </si>
  <si>
    <t xml:space="preserve">  </t>
  </si>
  <si>
    <t>Accrued expenses and other current liabilities - % of L3M Sales</t>
  </si>
  <si>
    <t>Equity Investment / (Dividend)</t>
  </si>
  <si>
    <t>Corporate Level &amp; NWC Assumptions</t>
  </si>
  <si>
    <t>Income Tax Rate</t>
  </si>
  <si>
    <t>Total</t>
  </si>
  <si>
    <t>Cash Flow Statement</t>
  </si>
  <si>
    <t>MoM Change in Employed Vets</t>
  </si>
  <si>
    <t>Financing Assumptions</t>
  </si>
  <si>
    <t>2025 Year over Year Growth Adjustment</t>
  </si>
  <si>
    <t>Memo: Net Working Capital Metrics &amp; 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</si>
</sst>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mmm"/>
    <numFmt numFmtId="165" formatCode="_(#,##0_)_%;\(#,##0\)_%;_(&quot;–&quot;_)_%;_(@_)_%"/>
    <numFmt numFmtId="166" formatCode="yyyy"/>
    <numFmt numFmtId="167" formatCode="_([$$]#,##0_)_%;\([$$]#,##0\)_%;_(&quot;–&quot;_)_%;_(@_)_%"/>
    <numFmt numFmtId="168" formatCode="_(#,##0.0%_);\(#,##0.0%\);_(&quot;–&quot;_)_%;_(@_)_%"/>
    <numFmt numFmtId="169" formatCode="_(#,##0.0_)_%;\(#,##0.0\)_%;_(&quot;–&quot;_)_%;_(@_)_%"/>
    <numFmt numFmtId="170" formatCode="_([$$]#,##0.0_)_%;\([$$]#,##0.0\)_%;_(&quot;–&quot;_)_%;_(@_)_%"/>
    <numFmt numFmtId="171" formatCode="_([$$]#,##0.00_)_%;\([$$]#,##0.00\)_%;_(&quot;–&quot;_)_%;_(@_)_%"/>
    <numFmt numFmtId="172" formatCode="_(&quot;S+&quot;#,##0_)_%;\(#,##0\)_%;_(&quot;–&quot;_)_%;_(@_)_%"/>
    <numFmt numFmtId="173" formatCode="0.0%"/>
  </numFmts>
  <fonts count="22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 val="singleAccounting"/>
      <sz val="10"/>
      <color theme="1"/>
      <name val="Arial"/>
      <family val="2"/>
    </font>
    <font>
      <i/>
      <sz val="10"/>
      <color theme="1"/>
      <name val="Arial"/>
      <family val="2"/>
    </font>
    <font>
      <b/>
      <u val="singleAccounting"/>
      <sz val="10"/>
      <color rgb="FF000000"/>
      <name val="Arial"/>
      <family val="2"/>
    </font>
    <font>
      <b/>
      <sz val="10"/>
      <color rgb="FF0000FF"/>
      <name val="Arial"/>
      <family val="2"/>
    </font>
    <font>
      <b/>
      <i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FF"/>
      <name val="Arial"/>
      <family val="2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sz val="11"/>
      <color indexed="8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u val="singleAccounting"/>
      <sz val="10"/>
      <name val="Arial"/>
      <family val="2"/>
    </font>
    <font>
      <i/>
      <sz val="10"/>
      <color rgb="FF008000"/>
      <name val="Arial"/>
      <family val="2"/>
    </font>
    <font>
      <b/>
      <i/>
      <sz val="10"/>
      <color rgb="FF008000"/>
      <name val="Arial"/>
      <family val="2"/>
    </font>
    <font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21" fillId="0" borderId="0"/>
  </cellStyleXfs>
  <cellXfs count="341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1" fillId="0" borderId="1" xfId="0" applyNumberFormat="1" applyFont="1" applyBorder="1"/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left" indent="1"/>
    </xf>
    <xf numFmtId="0" fontId="1" fillId="0" borderId="4" xfId="0" applyFont="1" applyBorder="1"/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2" xfId="0" applyBorder="1"/>
    <xf numFmtId="164" fontId="0" fillId="0" borderId="2" xfId="0" applyNumberForma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  <xf numFmtId="166" fontId="4" fillId="0" borderId="3" xfId="0" applyNumberFormat="1" applyFont="1" applyBorder="1" applyAlignment="1">
      <alignment horizontal="center"/>
    </xf>
    <xf numFmtId="0" fontId="0" fillId="0" borderId="3" xfId="0" applyBorder="1"/>
    <xf numFmtId="0" fontId="3" fillId="0" borderId="0" xfId="0" applyFont="1" applyAlignment="1">
      <alignment horizontal="left" indent="1"/>
    </xf>
    <xf numFmtId="0" fontId="1" fillId="0" borderId="6" xfId="0" applyFont="1" applyBorder="1" applyAlignment="1">
      <alignment horizontal="centerContinuous"/>
    </xf>
    <xf numFmtId="0" fontId="0" fillId="0" borderId="5" xfId="0" applyBorder="1" applyAlignment="1">
      <alignment horizontal="centerContinuous"/>
    </xf>
    <xf numFmtId="164" fontId="2" fillId="0" borderId="0" xfId="0" applyNumberFormat="1" applyFont="1" applyAlignment="1">
      <alignment horizontal="center"/>
    </xf>
    <xf numFmtId="0" fontId="1" fillId="0" borderId="9" xfId="0" applyFont="1" applyBorder="1" applyAlignment="1">
      <alignment horizontal="centerContinuous"/>
    </xf>
    <xf numFmtId="0" fontId="0" fillId="0" borderId="10" xfId="0" applyBorder="1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12" xfId="0" applyBorder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3" fillId="0" borderId="3" xfId="0" applyFont="1" applyBorder="1" applyAlignment="1">
      <alignment horizontal="left" indent="1"/>
    </xf>
    <xf numFmtId="0" fontId="1" fillId="0" borderId="7" xfId="0" applyFont="1" applyBorder="1"/>
    <xf numFmtId="0" fontId="1" fillId="0" borderId="8" xfId="0" applyFont="1" applyBorder="1"/>
    <xf numFmtId="0" fontId="1" fillId="0" borderId="12" xfId="0" applyFont="1" applyBorder="1"/>
    <xf numFmtId="168" fontId="0" fillId="0" borderId="0" xfId="0" applyNumberFormat="1"/>
    <xf numFmtId="165" fontId="0" fillId="0" borderId="2" xfId="0" applyNumberFormat="1" applyBorder="1"/>
    <xf numFmtId="165" fontId="0" fillId="0" borderId="3" xfId="0" applyNumberFormat="1" applyBorder="1"/>
    <xf numFmtId="167" fontId="1" fillId="0" borderId="0" xfId="0" applyNumberFormat="1" applyFont="1"/>
    <xf numFmtId="0" fontId="2" fillId="0" borderId="0" xfId="0" applyFont="1" applyAlignment="1">
      <alignment horizontal="center"/>
    </xf>
    <xf numFmtId="168" fontId="3" fillId="0" borderId="2" xfId="0" applyNumberFormat="1" applyFont="1" applyBorder="1"/>
    <xf numFmtId="168" fontId="3" fillId="0" borderId="0" xfId="0" applyNumberFormat="1" applyFont="1"/>
    <xf numFmtId="168" fontId="3" fillId="0" borderId="3" xfId="0" applyNumberFormat="1" applyFont="1" applyBorder="1"/>
    <xf numFmtId="0" fontId="0" fillId="0" borderId="14" xfId="0" applyBorder="1"/>
    <xf numFmtId="0" fontId="1" fillId="0" borderId="13" xfId="0" applyFont="1" applyBorder="1"/>
    <xf numFmtId="0" fontId="0" fillId="0" borderId="10" xfId="0" applyBorder="1"/>
    <xf numFmtId="0" fontId="5" fillId="0" borderId="15" xfId="0" applyFont="1" applyBorder="1" applyAlignment="1">
      <alignment horizontal="center"/>
    </xf>
    <xf numFmtId="0" fontId="1" fillId="2" borderId="2" xfId="0" applyFont="1" applyFill="1" applyBorder="1"/>
    <xf numFmtId="0" fontId="1" fillId="2" borderId="0" xfId="0" applyFont="1" applyFill="1"/>
    <xf numFmtId="0" fontId="0" fillId="2" borderId="2" xfId="0" applyFill="1" applyBorder="1"/>
    <xf numFmtId="0" fontId="0" fillId="2" borderId="0" xfId="0" applyFill="1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4" xfId="0" applyBorder="1" applyAlignment="1">
      <alignment horizontal="centerContinuous"/>
    </xf>
    <xf numFmtId="166" fontId="4" fillId="0" borderId="0" xfId="0" applyNumberFormat="1" applyFont="1" applyAlignment="1">
      <alignment horizontal="center"/>
    </xf>
    <xf numFmtId="0" fontId="0" fillId="0" borderId="2" xfId="0" applyBorder="1" applyAlignment="1">
      <alignment horizontal="centerContinuous"/>
    </xf>
    <xf numFmtId="0" fontId="3" fillId="0" borderId="0" xfId="0" applyFont="1" applyAlignment="1">
      <alignment horizontal="right"/>
    </xf>
    <xf numFmtId="165" fontId="0" fillId="0" borderId="12" xfId="0" applyNumberFormat="1" applyBorder="1"/>
    <xf numFmtId="167" fontId="0" fillId="0" borderId="0" xfId="0" applyNumberFormat="1"/>
    <xf numFmtId="167" fontId="0" fillId="0" borderId="2" xfId="0" applyNumberFormat="1" applyBorder="1"/>
    <xf numFmtId="165" fontId="0" fillId="0" borderId="7" xfId="0" applyNumberFormat="1" applyBorder="1"/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167" fontId="0" fillId="0" borderId="3" xfId="0" applyNumberFormat="1" applyBorder="1"/>
    <xf numFmtId="165" fontId="0" fillId="0" borderId="8" xfId="0" applyNumberFormat="1" applyBorder="1"/>
    <xf numFmtId="0" fontId="0" fillId="0" borderId="0" xfId="0" applyAlignment="1">
      <alignment horizontal="right"/>
    </xf>
    <xf numFmtId="17" fontId="0" fillId="0" borderId="0" xfId="0" applyNumberFormat="1" applyAlignment="1">
      <alignment horizontal="center"/>
    </xf>
    <xf numFmtId="17" fontId="0" fillId="0" borderId="12" xfId="0" applyNumberFormat="1" applyBorder="1" applyAlignment="1">
      <alignment horizontal="center"/>
    </xf>
    <xf numFmtId="14" fontId="7" fillId="0" borderId="0" xfId="0" applyNumberFormat="1" applyFont="1"/>
    <xf numFmtId="167" fontId="7" fillId="0" borderId="0" xfId="0" applyNumberFormat="1" applyFont="1"/>
    <xf numFmtId="167" fontId="8" fillId="0" borderId="2" xfId="0" applyNumberFormat="1" applyFont="1" applyBorder="1"/>
    <xf numFmtId="168" fontId="9" fillId="0" borderId="16" xfId="0" applyNumberFormat="1" applyFont="1" applyBorder="1" applyAlignment="1">
      <alignment horizontal="center"/>
    </xf>
    <xf numFmtId="165" fontId="7" fillId="0" borderId="0" xfId="0" applyNumberFormat="1" applyFont="1"/>
    <xf numFmtId="14" fontId="7" fillId="0" borderId="12" xfId="0" applyNumberFormat="1" applyFont="1" applyBorder="1"/>
    <xf numFmtId="165" fontId="7" fillId="0" borderId="12" xfId="0" applyNumberFormat="1" applyFont="1" applyBorder="1"/>
    <xf numFmtId="168" fontId="9" fillId="0" borderId="18" xfId="0" applyNumberFormat="1" applyFont="1" applyBorder="1" applyAlignment="1">
      <alignment horizontal="center"/>
    </xf>
    <xf numFmtId="165" fontId="8" fillId="0" borderId="2" xfId="0" applyNumberFormat="1" applyFont="1" applyBorder="1"/>
    <xf numFmtId="165" fontId="8" fillId="0" borderId="7" xfId="0" applyNumberFormat="1" applyFont="1" applyBorder="1"/>
    <xf numFmtId="167" fontId="9" fillId="0" borderId="0" xfId="0" applyNumberFormat="1" applyFont="1"/>
    <xf numFmtId="0" fontId="1" fillId="0" borderId="0" xfId="0" applyFont="1" applyAlignment="1">
      <alignment horizontal="center"/>
    </xf>
    <xf numFmtId="17" fontId="0" fillId="0" borderId="8" xfId="0" applyNumberFormat="1" applyBorder="1" applyAlignment="1">
      <alignment horizontal="center"/>
    </xf>
    <xf numFmtId="0" fontId="6" fillId="0" borderId="8" xfId="0" applyFont="1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0" xfId="0" applyFill="1" applyAlignment="1">
      <alignment horizontal="right"/>
    </xf>
    <xf numFmtId="168" fontId="3" fillId="0" borderId="2" xfId="0" applyNumberFormat="1" applyFont="1" applyBorder="1" applyAlignment="1">
      <alignment horizontal="right"/>
    </xf>
    <xf numFmtId="168" fontId="3" fillId="0" borderId="0" xfId="0" applyNumberFormat="1" applyFont="1" applyAlignment="1">
      <alignment horizontal="right"/>
    </xf>
    <xf numFmtId="168" fontId="3" fillId="0" borderId="3" xfId="0" applyNumberFormat="1" applyFont="1" applyBorder="1" applyAlignment="1">
      <alignment horizontal="right"/>
    </xf>
    <xf numFmtId="165" fontId="0" fillId="0" borderId="3" xfId="0" applyNumberFormat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169" fontId="9" fillId="0" borderId="2" xfId="0" applyNumberFormat="1" applyFont="1" applyBorder="1"/>
    <xf numFmtId="169" fontId="9" fillId="0" borderId="3" xfId="0" applyNumberFormat="1" applyFont="1" applyBorder="1"/>
    <xf numFmtId="165" fontId="9" fillId="0" borderId="2" xfId="0" applyNumberFormat="1" applyFont="1" applyBorder="1"/>
    <xf numFmtId="165" fontId="9" fillId="0" borderId="3" xfId="0" applyNumberFormat="1" applyFont="1" applyBorder="1"/>
    <xf numFmtId="167" fontId="8" fillId="0" borderId="6" xfId="0" applyNumberFormat="1" applyFont="1" applyBorder="1"/>
    <xf numFmtId="167" fontId="8" fillId="0" borderId="5" xfId="0" applyNumberFormat="1" applyFont="1" applyBorder="1"/>
    <xf numFmtId="168" fontId="11" fillId="0" borderId="2" xfId="0" applyNumberFormat="1" applyFont="1" applyBorder="1"/>
    <xf numFmtId="168" fontId="11" fillId="0" borderId="3" xfId="0" applyNumberFormat="1" applyFont="1" applyBorder="1"/>
    <xf numFmtId="167" fontId="8" fillId="0" borderId="4" xfId="0" applyNumberFormat="1" applyFont="1" applyBorder="1"/>
    <xf numFmtId="167" fontId="8" fillId="0" borderId="3" xfId="0" applyNumberFormat="1" applyFont="1" applyBorder="1"/>
    <xf numFmtId="171" fontId="9" fillId="0" borderId="2" xfId="0" applyNumberFormat="1" applyFont="1" applyBorder="1"/>
    <xf numFmtId="171" fontId="9" fillId="0" borderId="3" xfId="0" applyNumberFormat="1" applyFont="1" applyBorder="1"/>
    <xf numFmtId="168" fontId="9" fillId="0" borderId="2" xfId="0" applyNumberFormat="1" applyFont="1" applyBorder="1"/>
    <xf numFmtId="168" fontId="9" fillId="0" borderId="3" xfId="0" applyNumberFormat="1" applyFont="1" applyBorder="1"/>
    <xf numFmtId="168" fontId="12" fillId="0" borderId="3" xfId="0" applyNumberFormat="1" applyFont="1" applyBorder="1"/>
    <xf numFmtId="170" fontId="9" fillId="0" borderId="2" xfId="0" applyNumberFormat="1" applyFont="1" applyBorder="1"/>
    <xf numFmtId="170" fontId="9" fillId="0" borderId="0" xfId="0" applyNumberFormat="1" applyFont="1"/>
    <xf numFmtId="170" fontId="9" fillId="0" borderId="3" xfId="0" applyNumberFormat="1" applyFont="1" applyBorder="1"/>
    <xf numFmtId="167" fontId="5" fillId="0" borderId="6" xfId="0" applyNumberFormat="1" applyFont="1" applyBorder="1"/>
    <xf numFmtId="167" fontId="5" fillId="0" borderId="5" xfId="0" applyNumberFormat="1" applyFont="1" applyBorder="1"/>
    <xf numFmtId="168" fontId="9" fillId="0" borderId="0" xfId="0" applyNumberFormat="1" applyFont="1"/>
    <xf numFmtId="168" fontId="11" fillId="0" borderId="0" xfId="0" applyNumberFormat="1" applyFont="1"/>
    <xf numFmtId="165" fontId="14" fillId="0" borderId="6" xfId="0" applyNumberFormat="1" applyFont="1" applyBorder="1"/>
    <xf numFmtId="167" fontId="14" fillId="0" borderId="6" xfId="0" applyNumberFormat="1" applyFont="1" applyBorder="1"/>
    <xf numFmtId="167" fontId="14" fillId="0" borderId="4" xfId="0" applyNumberFormat="1" applyFont="1" applyBorder="1"/>
    <xf numFmtId="165" fontId="13" fillId="0" borderId="2" xfId="0" applyNumberFormat="1" applyFont="1" applyBorder="1"/>
    <xf numFmtId="0" fontId="9" fillId="0" borderId="0" xfId="0" applyFont="1" applyAlignment="1">
      <alignment horizontal="center"/>
    </xf>
    <xf numFmtId="165" fontId="10" fillId="0" borderId="0" xfId="0" applyNumberFormat="1" applyFont="1"/>
    <xf numFmtId="165" fontId="11" fillId="0" borderId="3" xfId="0" applyNumberFormat="1" applyFont="1" applyBorder="1"/>
    <xf numFmtId="165" fontId="8" fillId="0" borderId="6" xfId="0" applyNumberFormat="1" applyFont="1" applyBorder="1"/>
    <xf numFmtId="165" fontId="8" fillId="0" borderId="5" xfId="0" applyNumberFormat="1" applyFont="1" applyBorder="1"/>
    <xf numFmtId="165" fontId="7" fillId="0" borderId="2" xfId="0" applyNumberFormat="1" applyFont="1" applyBorder="1" applyAlignment="1">
      <alignment horizontal="right"/>
    </xf>
    <xf numFmtId="165" fontId="7" fillId="0" borderId="0" xfId="0" applyNumberFormat="1" applyFont="1" applyAlignment="1">
      <alignment horizontal="right"/>
    </xf>
    <xf numFmtId="165" fontId="7" fillId="0" borderId="3" xfId="0" applyNumberFormat="1" applyFont="1" applyBorder="1" applyAlignment="1">
      <alignment horizontal="right"/>
    </xf>
    <xf numFmtId="165" fontId="7" fillId="0" borderId="12" xfId="0" applyNumberFormat="1" applyFont="1" applyBorder="1" applyAlignment="1">
      <alignment horizontal="right"/>
    </xf>
    <xf numFmtId="165" fontId="8" fillId="0" borderId="6" xfId="0" applyNumberFormat="1" applyFont="1" applyBorder="1" applyAlignment="1">
      <alignment horizontal="right"/>
    </xf>
    <xf numFmtId="165" fontId="8" fillId="0" borderId="0" xfId="0" applyNumberFormat="1" applyFont="1" applyAlignment="1">
      <alignment horizontal="right"/>
    </xf>
    <xf numFmtId="165" fontId="8" fillId="0" borderId="4" xfId="0" applyNumberFormat="1" applyFont="1" applyBorder="1" applyAlignment="1">
      <alignment horizontal="right"/>
    </xf>
    <xf numFmtId="165" fontId="8" fillId="0" borderId="5" xfId="0" applyNumberFormat="1" applyFont="1" applyBorder="1" applyAlignment="1">
      <alignment horizontal="right"/>
    </xf>
    <xf numFmtId="170" fontId="7" fillId="0" borderId="2" xfId="0" applyNumberFormat="1" applyFont="1" applyBorder="1" applyAlignment="1">
      <alignment horizontal="right"/>
    </xf>
    <xf numFmtId="170" fontId="7" fillId="0" borderId="0" xfId="0" applyNumberFormat="1" applyFont="1" applyAlignment="1">
      <alignment horizontal="right"/>
    </xf>
    <xf numFmtId="170" fontId="7" fillId="0" borderId="3" xfId="0" applyNumberFormat="1" applyFont="1" applyBorder="1" applyAlignment="1">
      <alignment horizontal="right"/>
    </xf>
    <xf numFmtId="171" fontId="7" fillId="0" borderId="2" xfId="0" applyNumberFormat="1" applyFont="1" applyBorder="1"/>
    <xf numFmtId="171" fontId="7" fillId="0" borderId="3" xfId="0" applyNumberFormat="1" applyFont="1" applyBorder="1"/>
    <xf numFmtId="167" fontId="8" fillId="0" borderId="6" xfId="0" applyNumberFormat="1" applyFont="1" applyBorder="1" applyAlignment="1">
      <alignment horizontal="right"/>
    </xf>
    <xf numFmtId="167" fontId="8" fillId="0" borderId="4" xfId="0" applyNumberFormat="1" applyFont="1" applyBorder="1" applyAlignment="1">
      <alignment horizontal="right"/>
    </xf>
    <xf numFmtId="167" fontId="8" fillId="0" borderId="5" xfId="0" applyNumberFormat="1" applyFont="1" applyBorder="1" applyAlignment="1">
      <alignment horizontal="right"/>
    </xf>
    <xf numFmtId="168" fontId="7" fillId="0" borderId="2" xfId="0" applyNumberFormat="1" applyFont="1" applyBorder="1" applyAlignment="1">
      <alignment horizontal="right"/>
    </xf>
    <xf numFmtId="168" fontId="7" fillId="0" borderId="0" xfId="0" applyNumberFormat="1" applyFont="1" applyAlignment="1">
      <alignment horizontal="right"/>
    </xf>
    <xf numFmtId="168" fontId="7" fillId="0" borderId="3" xfId="0" applyNumberFormat="1" applyFont="1" applyBorder="1" applyAlignment="1">
      <alignment horizontal="right"/>
    </xf>
    <xf numFmtId="168" fontId="10" fillId="0" borderId="2" xfId="0" applyNumberFormat="1" applyFont="1" applyBorder="1" applyAlignment="1">
      <alignment horizontal="right"/>
    </xf>
    <xf numFmtId="168" fontId="10" fillId="0" borderId="0" xfId="0" applyNumberFormat="1" applyFont="1" applyAlignment="1">
      <alignment horizontal="right"/>
    </xf>
    <xf numFmtId="168" fontId="10" fillId="0" borderId="3" xfId="0" applyNumberFormat="1" applyFont="1" applyBorder="1" applyAlignment="1">
      <alignment horizontal="right"/>
    </xf>
    <xf numFmtId="168" fontId="10" fillId="0" borderId="3" xfId="0" applyNumberFormat="1" applyFont="1" applyBorder="1"/>
    <xf numFmtId="165" fontId="7" fillId="0" borderId="2" xfId="0" applyNumberFormat="1" applyFont="1" applyBorder="1"/>
    <xf numFmtId="165" fontId="7" fillId="0" borderId="3" xfId="0" applyNumberFormat="1" applyFont="1" applyBorder="1"/>
    <xf numFmtId="168" fontId="10" fillId="0" borderId="2" xfId="0" applyNumberFormat="1" applyFont="1" applyBorder="1"/>
    <xf numFmtId="168" fontId="10" fillId="0" borderId="0" xfId="0" applyNumberFormat="1" applyFont="1"/>
    <xf numFmtId="168" fontId="11" fillId="0" borderId="2" xfId="0" applyNumberFormat="1" applyFont="1" applyBorder="1" applyAlignment="1">
      <alignment horizontal="right"/>
    </xf>
    <xf numFmtId="168" fontId="11" fillId="0" borderId="0" xfId="0" applyNumberFormat="1" applyFont="1" applyAlignment="1">
      <alignment horizontal="right"/>
    </xf>
    <xf numFmtId="168" fontId="11" fillId="0" borderId="3" xfId="0" applyNumberFormat="1" applyFont="1" applyBorder="1" applyAlignment="1">
      <alignment horizontal="right"/>
    </xf>
    <xf numFmtId="168" fontId="12" fillId="0" borderId="2" xfId="0" applyNumberFormat="1" applyFont="1" applyBorder="1" applyAlignment="1">
      <alignment horizontal="right"/>
    </xf>
    <xf numFmtId="168" fontId="12" fillId="0" borderId="0" xfId="0" applyNumberFormat="1" applyFont="1" applyAlignment="1">
      <alignment horizontal="right"/>
    </xf>
    <xf numFmtId="168" fontId="12" fillId="0" borderId="3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right"/>
    </xf>
    <xf numFmtId="165" fontId="9" fillId="0" borderId="2" xfId="0" applyNumberFormat="1" applyFont="1" applyBorder="1" applyAlignment="1">
      <alignment horizontal="right"/>
    </xf>
    <xf numFmtId="165" fontId="9" fillId="0" borderId="3" xfId="0" applyNumberFormat="1" applyFont="1" applyBorder="1" applyAlignment="1">
      <alignment horizontal="right"/>
    </xf>
    <xf numFmtId="165" fontId="5" fillId="0" borderId="6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right"/>
    </xf>
    <xf numFmtId="165" fontId="5" fillId="0" borderId="4" xfId="0" applyNumberFormat="1" applyFont="1" applyBorder="1" applyAlignment="1">
      <alignment horizontal="right"/>
    </xf>
    <xf numFmtId="165" fontId="5" fillId="0" borderId="5" xfId="0" applyNumberFormat="1" applyFont="1" applyBorder="1" applyAlignment="1">
      <alignment horizontal="right"/>
    </xf>
    <xf numFmtId="168" fontId="7" fillId="0" borderId="2" xfId="0" applyNumberFormat="1" applyFont="1" applyBorder="1"/>
    <xf numFmtId="168" fontId="7" fillId="0" borderId="3" xfId="0" applyNumberFormat="1" applyFont="1" applyBorder="1"/>
    <xf numFmtId="0" fontId="9" fillId="0" borderId="0" xfId="0" applyFont="1" applyAlignment="1">
      <alignment vertical="center"/>
    </xf>
    <xf numFmtId="0" fontId="9" fillId="0" borderId="0" xfId="0" applyFont="1"/>
    <xf numFmtId="164" fontId="4" fillId="0" borderId="2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7" fontId="8" fillId="0" borderId="2" xfId="0" applyNumberFormat="1" applyFont="1" applyBorder="1" applyAlignment="1">
      <alignment horizontal="right"/>
    </xf>
    <xf numFmtId="167" fontId="8" fillId="0" borderId="0" xfId="0" applyNumberFormat="1" applyFont="1" applyAlignment="1">
      <alignment horizontal="right"/>
    </xf>
    <xf numFmtId="167" fontId="8" fillId="0" borderId="3" xfId="0" applyNumberFormat="1" applyFont="1" applyBorder="1" applyAlignment="1">
      <alignment horizontal="right"/>
    </xf>
    <xf numFmtId="0" fontId="11" fillId="0" borderId="0" xfId="0" applyFont="1" applyAlignment="1">
      <alignment horizontal="left" indent="1"/>
    </xf>
    <xf numFmtId="0" fontId="9" fillId="0" borderId="3" xfId="0" applyFont="1" applyBorder="1"/>
    <xf numFmtId="14" fontId="8" fillId="0" borderId="1" xfId="0" applyNumberFormat="1" applyFont="1" applyBorder="1"/>
    <xf numFmtId="165" fontId="9" fillId="0" borderId="12" xfId="0" applyNumberFormat="1" applyFont="1" applyBorder="1" applyAlignment="1">
      <alignment horizontal="right"/>
    </xf>
    <xf numFmtId="168" fontId="12" fillId="0" borderId="2" xfId="0" applyNumberFormat="1" applyFont="1" applyBorder="1"/>
    <xf numFmtId="168" fontId="12" fillId="0" borderId="0" xfId="0" applyNumberFormat="1" applyFont="1"/>
    <xf numFmtId="165" fontId="13" fillId="0" borderId="2" xfId="0" applyNumberFormat="1" applyFont="1" applyBorder="1" applyAlignment="1">
      <alignment horizontal="right"/>
    </xf>
    <xf numFmtId="165" fontId="13" fillId="0" borderId="0" xfId="0" applyNumberFormat="1" applyFont="1" applyAlignment="1">
      <alignment horizontal="right"/>
    </xf>
    <xf numFmtId="0" fontId="1" fillId="3" borderId="19" xfId="0" applyFont="1" applyFill="1" applyBorder="1"/>
    <xf numFmtId="167" fontId="8" fillId="3" borderId="10" xfId="0" applyNumberFormat="1" applyFont="1" applyFill="1" applyBorder="1"/>
    <xf numFmtId="167" fontId="8" fillId="3" borderId="9" xfId="0" applyNumberFormat="1" applyFont="1" applyFill="1" applyBorder="1"/>
    <xf numFmtId="167" fontId="8" fillId="3" borderId="11" xfId="0" applyNumberFormat="1" applyFont="1" applyFill="1" applyBorder="1"/>
    <xf numFmtId="167" fontId="8" fillId="2" borderId="6" xfId="0" applyNumberFormat="1" applyFont="1" applyFill="1" applyBorder="1"/>
    <xf numFmtId="167" fontId="8" fillId="2" borderId="5" xfId="0" applyNumberFormat="1" applyFont="1" applyFill="1" applyBorder="1"/>
    <xf numFmtId="0" fontId="1" fillId="2" borderId="4" xfId="0" applyFont="1" applyFill="1" applyBorder="1"/>
    <xf numFmtId="167" fontId="8" fillId="2" borderId="4" xfId="0" applyNumberFormat="1" applyFont="1" applyFill="1" applyBorder="1"/>
    <xf numFmtId="167" fontId="7" fillId="0" borderId="2" xfId="0" applyNumberFormat="1" applyFont="1" applyBorder="1"/>
    <xf numFmtId="0" fontId="3" fillId="0" borderId="12" xfId="0" applyFont="1" applyBorder="1"/>
    <xf numFmtId="0" fontId="3" fillId="0" borderId="0" xfId="0" applyFont="1" applyAlignment="1">
      <alignment horizontal="left" indent="2"/>
    </xf>
    <xf numFmtId="167" fontId="10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167" fontId="3" fillId="0" borderId="3" xfId="0" applyNumberFormat="1" applyFont="1" applyBorder="1" applyAlignment="1">
      <alignment horizontal="right"/>
    </xf>
    <xf numFmtId="169" fontId="9" fillId="0" borderId="0" xfId="0" applyNumberFormat="1" applyFont="1"/>
    <xf numFmtId="167" fontId="11" fillId="0" borderId="0" xfId="0" applyNumberFormat="1" applyFont="1" applyAlignment="1">
      <alignment horizontal="right"/>
    </xf>
    <xf numFmtId="167" fontId="11" fillId="0" borderId="3" xfId="0" applyNumberFormat="1" applyFont="1" applyBorder="1" applyAlignment="1">
      <alignment horizontal="right"/>
    </xf>
    <xf numFmtId="167" fontId="7" fillId="0" borderId="3" xfId="0" applyNumberFormat="1" applyFont="1" applyBorder="1"/>
    <xf numFmtId="165" fontId="9" fillId="0" borderId="0" xfId="0" applyNumberFormat="1" applyFont="1"/>
    <xf numFmtId="165" fontId="11" fillId="0" borderId="0" xfId="0" applyNumberFormat="1" applyFont="1"/>
    <xf numFmtId="167" fontId="10" fillId="0" borderId="3" xfId="0" applyNumberFormat="1" applyFont="1" applyBorder="1" applyAlignment="1">
      <alignment horizontal="right"/>
    </xf>
    <xf numFmtId="168" fontId="7" fillId="0" borderId="0" xfId="0" applyNumberFormat="1" applyFont="1"/>
    <xf numFmtId="172" fontId="7" fillId="0" borderId="19" xfId="0" applyNumberFormat="1" applyFont="1" applyBorder="1"/>
    <xf numFmtId="168" fontId="9" fillId="0" borderId="0" xfId="0" applyNumberFormat="1" applyFont="1" applyAlignment="1">
      <alignment horizontal="right"/>
    </xf>
    <xf numFmtId="168" fontId="9" fillId="0" borderId="3" xfId="0" applyNumberFormat="1" applyFont="1" applyBorder="1" applyAlignment="1">
      <alignment horizontal="right"/>
    </xf>
    <xf numFmtId="167" fontId="9" fillId="0" borderId="2" xfId="0" applyNumberFormat="1" applyFont="1" applyBorder="1"/>
    <xf numFmtId="167" fontId="9" fillId="0" borderId="3" xfId="0" applyNumberFormat="1" applyFont="1" applyBorder="1"/>
    <xf numFmtId="0" fontId="1" fillId="3" borderId="19" xfId="0" applyFont="1" applyFill="1" applyBorder="1" applyAlignment="1">
      <alignment horizontal="left" indent="1"/>
    </xf>
    <xf numFmtId="0" fontId="16" fillId="0" borderId="9" xfId="0" applyFont="1" applyBorder="1" applyAlignment="1">
      <alignment horizontal="centerContinuous"/>
    </xf>
    <xf numFmtId="0" fontId="17" fillId="0" borderId="10" xfId="0" applyFont="1" applyBorder="1" applyAlignment="1">
      <alignment horizontal="centerContinuous"/>
    </xf>
    <xf numFmtId="0" fontId="17" fillId="0" borderId="11" xfId="0" applyFont="1" applyBorder="1" applyAlignment="1">
      <alignment horizontal="centerContinuous"/>
    </xf>
    <xf numFmtId="164" fontId="18" fillId="0" borderId="2" xfId="0" applyNumberFormat="1" applyFont="1" applyBorder="1" applyAlignment="1">
      <alignment horizontal="center"/>
    </xf>
    <xf numFmtId="164" fontId="18" fillId="0" borderId="0" xfId="0" applyNumberFormat="1" applyFont="1" applyAlignment="1">
      <alignment horizontal="center"/>
    </xf>
    <xf numFmtId="164" fontId="18" fillId="0" borderId="3" xfId="0" applyNumberFormat="1" applyFont="1" applyBorder="1" applyAlignment="1">
      <alignment horizontal="center"/>
    </xf>
    <xf numFmtId="167" fontId="8" fillId="0" borderId="10" xfId="0" applyNumberFormat="1" applyFont="1" applyBorder="1"/>
    <xf numFmtId="167" fontId="8" fillId="0" borderId="9" xfId="0" applyNumberFormat="1" applyFont="1" applyBorder="1"/>
    <xf numFmtId="0" fontId="1" fillId="0" borderId="19" xfId="0" applyFont="1" applyBorder="1"/>
    <xf numFmtId="167" fontId="8" fillId="0" borderId="11" xfId="0" applyNumberFormat="1" applyFont="1" applyBorder="1"/>
    <xf numFmtId="165" fontId="5" fillId="0" borderId="6" xfId="0" applyNumberFormat="1" applyFont="1" applyBorder="1"/>
    <xf numFmtId="165" fontId="5" fillId="0" borderId="0" xfId="0" applyNumberFormat="1" applyFont="1"/>
    <xf numFmtId="165" fontId="5" fillId="0" borderId="4" xfId="0" applyNumberFormat="1" applyFont="1" applyBorder="1"/>
    <xf numFmtId="165" fontId="5" fillId="0" borderId="5" xfId="0" applyNumberFormat="1" applyFont="1" applyBorder="1"/>
    <xf numFmtId="167" fontId="5" fillId="0" borderId="4" xfId="0" applyNumberFormat="1" applyFont="1" applyBorder="1"/>
    <xf numFmtId="165" fontId="7" fillId="0" borderId="2" xfId="0" applyNumberFormat="1" applyFont="1" applyBorder="1" applyAlignment="1">
      <alignment horizontal="right" vertical="center"/>
    </xf>
    <xf numFmtId="0" fontId="0" fillId="0" borderId="16" xfId="0" applyBorder="1"/>
    <xf numFmtId="168" fontId="12" fillId="0" borderId="16" xfId="0" applyNumberFormat="1" applyFont="1" applyBorder="1"/>
    <xf numFmtId="0" fontId="1" fillId="0" borderId="18" xfId="0" applyFont="1" applyBorder="1"/>
    <xf numFmtId="0" fontId="1" fillId="0" borderId="17" xfId="0" applyFont="1" applyBorder="1" applyAlignment="1">
      <alignment horizontal="centerContinuous"/>
    </xf>
    <xf numFmtId="0" fontId="0" fillId="0" borderId="1" xfId="0" applyBorder="1" applyAlignment="1">
      <alignment horizontal="center"/>
    </xf>
    <xf numFmtId="169" fontId="13" fillId="0" borderId="2" xfId="0" applyNumberFormat="1" applyFont="1" applyBorder="1"/>
    <xf numFmtId="171" fontId="13" fillId="0" borderId="2" xfId="0" applyNumberFormat="1" applyFont="1" applyBorder="1"/>
    <xf numFmtId="168" fontId="13" fillId="0" borderId="2" xfId="0" applyNumberFormat="1" applyFont="1" applyBorder="1"/>
    <xf numFmtId="168" fontId="19" fillId="0" borderId="2" xfId="0" applyNumberFormat="1" applyFont="1" applyBorder="1"/>
    <xf numFmtId="168" fontId="19" fillId="0" borderId="0" xfId="0" applyNumberFormat="1" applyFont="1"/>
    <xf numFmtId="167" fontId="14" fillId="0" borderId="2" xfId="0" applyNumberFormat="1" applyFont="1" applyBorder="1"/>
    <xf numFmtId="165" fontId="13" fillId="0" borderId="12" xfId="0" applyNumberFormat="1" applyFont="1" applyBorder="1" applyAlignment="1">
      <alignment horizontal="right"/>
    </xf>
    <xf numFmtId="165" fontId="14" fillId="0" borderId="6" xfId="0" applyNumberFormat="1" applyFont="1" applyBorder="1" applyAlignment="1">
      <alignment horizontal="right"/>
    </xf>
    <xf numFmtId="165" fontId="14" fillId="0" borderId="0" xfId="0" applyNumberFormat="1" applyFont="1" applyAlignment="1">
      <alignment horizontal="right"/>
    </xf>
    <xf numFmtId="165" fontId="14" fillId="0" borderId="4" xfId="0" applyNumberFormat="1" applyFont="1" applyBorder="1" applyAlignment="1">
      <alignment horizontal="right"/>
    </xf>
    <xf numFmtId="170" fontId="13" fillId="0" borderId="2" xfId="0" applyNumberFormat="1" applyFont="1" applyBorder="1" applyAlignment="1">
      <alignment horizontal="right"/>
    </xf>
    <xf numFmtId="170" fontId="13" fillId="0" borderId="0" xfId="0" applyNumberFormat="1" applyFont="1" applyAlignment="1">
      <alignment horizontal="right"/>
    </xf>
    <xf numFmtId="167" fontId="14" fillId="0" borderId="6" xfId="0" applyNumberFormat="1" applyFont="1" applyBorder="1" applyAlignment="1">
      <alignment horizontal="right"/>
    </xf>
    <xf numFmtId="167" fontId="14" fillId="0" borderId="4" xfId="0" applyNumberFormat="1" applyFont="1" applyBorder="1" applyAlignment="1">
      <alignment horizontal="right"/>
    </xf>
    <xf numFmtId="168" fontId="13" fillId="0" borderId="2" xfId="0" applyNumberFormat="1" applyFont="1" applyBorder="1" applyAlignment="1">
      <alignment horizontal="right"/>
    </xf>
    <xf numFmtId="168" fontId="13" fillId="0" borderId="0" xfId="0" applyNumberFormat="1" applyFont="1" applyAlignment="1">
      <alignment horizontal="right"/>
    </xf>
    <xf numFmtId="168" fontId="19" fillId="0" borderId="2" xfId="0" applyNumberFormat="1" applyFont="1" applyBorder="1" applyAlignment="1">
      <alignment horizontal="right"/>
    </xf>
    <xf numFmtId="168" fontId="19" fillId="0" borderId="0" xfId="0" applyNumberFormat="1" applyFont="1" applyAlignment="1">
      <alignment horizontal="right"/>
    </xf>
    <xf numFmtId="167" fontId="14" fillId="0" borderId="2" xfId="0" applyNumberFormat="1" applyFont="1" applyBorder="1" applyAlignment="1">
      <alignment horizontal="right"/>
    </xf>
    <xf numFmtId="167" fontId="14" fillId="0" borderId="0" xfId="0" applyNumberFormat="1" applyFont="1" applyAlignment="1">
      <alignment horizontal="right"/>
    </xf>
    <xf numFmtId="168" fontId="14" fillId="0" borderId="2" xfId="0" applyNumberFormat="1" applyFont="1" applyBorder="1" applyAlignment="1">
      <alignment horizontal="right"/>
    </xf>
    <xf numFmtId="168" fontId="14" fillId="0" borderId="0" xfId="0" applyNumberFormat="1" applyFont="1" applyAlignment="1">
      <alignment horizontal="right"/>
    </xf>
    <xf numFmtId="168" fontId="14" fillId="0" borderId="3" xfId="0" applyNumberFormat="1" applyFont="1" applyBorder="1" applyAlignment="1">
      <alignment horizontal="right"/>
    </xf>
    <xf numFmtId="0" fontId="0" fillId="0" borderId="4" xfId="0" applyBorder="1"/>
    <xf numFmtId="14" fontId="7" fillId="0" borderId="0" xfId="0" applyNumberFormat="1" applyFont="1" applyAlignment="1">
      <alignment horizontal="right"/>
    </xf>
    <xf numFmtId="14" fontId="13" fillId="0" borderId="0" xfId="0" applyNumberFormat="1" applyFont="1"/>
    <xf numFmtId="0" fontId="13" fillId="0" borderId="0" xfId="0" applyFont="1" applyAlignment="1">
      <alignment horizontal="right"/>
    </xf>
    <xf numFmtId="167" fontId="13" fillId="0" borderId="0" xfId="0" applyNumberFormat="1" applyFont="1"/>
    <xf numFmtId="165" fontId="13" fillId="0" borderId="0" xfId="0" applyNumberFormat="1" applyFont="1"/>
    <xf numFmtId="0" fontId="1" fillId="0" borderId="13" xfId="0" applyFont="1" applyBorder="1" applyAlignment="1">
      <alignment horizontal="center"/>
    </xf>
    <xf numFmtId="166" fontId="4" fillId="0" borderId="16" xfId="0" applyNumberFormat="1" applyFont="1" applyBorder="1" applyAlignment="1">
      <alignment horizontal="center"/>
    </xf>
    <xf numFmtId="167" fontId="0" fillId="0" borderId="16" xfId="0" applyNumberFormat="1" applyBorder="1"/>
    <xf numFmtId="165" fontId="0" fillId="0" borderId="16" xfId="0" applyNumberFormat="1" applyBorder="1"/>
    <xf numFmtId="167" fontId="1" fillId="0" borderId="19" xfId="0" applyNumberFormat="1" applyFont="1" applyBorder="1"/>
    <xf numFmtId="167" fontId="1" fillId="0" borderId="4" xfId="0" applyNumberFormat="1" applyFont="1" applyBorder="1"/>
    <xf numFmtId="165" fontId="0" fillId="0" borderId="6" xfId="0" applyNumberFormat="1" applyBorder="1"/>
    <xf numFmtId="165" fontId="0" fillId="0" borderId="4" xfId="0" applyNumberFormat="1" applyBorder="1"/>
    <xf numFmtId="0" fontId="1" fillId="3" borderId="9" xfId="0" applyFont="1" applyFill="1" applyBorder="1" applyAlignment="1">
      <alignment horizontal="centerContinuous"/>
    </xf>
    <xf numFmtId="0" fontId="0" fillId="3" borderId="10" xfId="0" applyFill="1" applyBorder="1" applyAlignment="1">
      <alignment horizontal="centerContinuous"/>
    </xf>
    <xf numFmtId="0" fontId="0" fillId="3" borderId="11" xfId="0" applyFill="1" applyBorder="1" applyAlignment="1">
      <alignment horizontal="centerContinuous"/>
    </xf>
    <xf numFmtId="0" fontId="1" fillId="3" borderId="19" xfId="0" applyFont="1" applyFill="1" applyBorder="1" applyAlignment="1">
      <alignment horizontal="centerContinuous"/>
    </xf>
    <xf numFmtId="168" fontId="3" fillId="0" borderId="12" xfId="0" applyNumberFormat="1" applyFont="1" applyBorder="1"/>
    <xf numFmtId="168" fontId="3" fillId="0" borderId="8" xfId="0" applyNumberFormat="1" applyFont="1" applyBorder="1"/>
    <xf numFmtId="168" fontId="7" fillId="4" borderId="13" xfId="0" applyNumberFormat="1" applyFont="1" applyFill="1" applyBorder="1"/>
    <xf numFmtId="0" fontId="0" fillId="0" borderId="16" xfId="0" applyBorder="1" applyAlignment="1">
      <alignment horizontal="left" indent="1"/>
    </xf>
    <xf numFmtId="0" fontId="0" fillId="0" borderId="2" xfId="0" applyBorder="1" applyAlignment="1">
      <alignment horizontal="left" indent="1"/>
    </xf>
    <xf numFmtId="0" fontId="0" fillId="0" borderId="7" xfId="0" applyBorder="1" applyAlignment="1">
      <alignment horizontal="left" indent="1"/>
    </xf>
    <xf numFmtId="168" fontId="7" fillId="0" borderId="16" xfId="0" applyNumberFormat="1" applyFont="1" applyBorder="1"/>
    <xf numFmtId="168" fontId="7" fillId="0" borderId="18" xfId="0" applyNumberFormat="1" applyFont="1" applyBorder="1"/>
    <xf numFmtId="165" fontId="7" fillId="4" borderId="20" xfId="0" applyNumberFormat="1" applyFont="1" applyFill="1" applyBorder="1" applyAlignment="1">
      <alignment horizontal="center"/>
    </xf>
    <xf numFmtId="165" fontId="7" fillId="0" borderId="2" xfId="0" applyNumberFormat="1" applyFont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165" fontId="7" fillId="0" borderId="3" xfId="0" applyNumberFormat="1" applyFont="1" applyBorder="1" applyAlignment="1">
      <alignment horizontal="center"/>
    </xf>
    <xf numFmtId="165" fontId="7" fillId="0" borderId="7" xfId="0" applyNumberFormat="1" applyFont="1" applyBorder="1" applyAlignment="1">
      <alignment horizontal="center"/>
    </xf>
    <xf numFmtId="165" fontId="7" fillId="0" borderId="12" xfId="0" applyNumberFormat="1" applyFont="1" applyBorder="1" applyAlignment="1">
      <alignment horizontal="center"/>
    </xf>
    <xf numFmtId="165" fontId="7" fillId="0" borderId="8" xfId="0" applyNumberFormat="1" applyFont="1" applyBorder="1" applyAlignment="1">
      <alignment horizontal="center"/>
    </xf>
    <xf numFmtId="168" fontId="1" fillId="0" borderId="12" xfId="0" applyNumberFormat="1" applyFont="1" applyBorder="1"/>
    <xf numFmtId="0" fontId="1" fillId="0" borderId="7" xfId="0" applyFont="1" applyBorder="1" applyAlignment="1">
      <alignment horizontal="left" indent="1"/>
    </xf>
    <xf numFmtId="168" fontId="7" fillId="4" borderId="21" xfId="0" applyNumberFormat="1" applyFont="1" applyFill="1" applyBorder="1"/>
    <xf numFmtId="168" fontId="1" fillId="0" borderId="8" xfId="0" applyNumberFormat="1" applyFont="1" applyBorder="1"/>
    <xf numFmtId="168" fontId="1" fillId="0" borderId="10" xfId="0" applyNumberFormat="1" applyFont="1" applyBorder="1"/>
    <xf numFmtId="165" fontId="13" fillId="0" borderId="3" xfId="0" applyNumberFormat="1" applyFont="1" applyBorder="1" applyAlignment="1">
      <alignment horizontal="right"/>
    </xf>
    <xf numFmtId="170" fontId="13" fillId="0" borderId="3" xfId="0" applyNumberFormat="1" applyFont="1" applyBorder="1" applyAlignment="1">
      <alignment horizontal="right"/>
    </xf>
    <xf numFmtId="168" fontId="9" fillId="0" borderId="2" xfId="0" applyNumberFormat="1" applyFont="1" applyBorder="1" applyAlignment="1">
      <alignment horizontal="right"/>
    </xf>
    <xf numFmtId="168" fontId="7" fillId="0" borderId="7" xfId="0" applyNumberFormat="1" applyFont="1" applyBorder="1"/>
    <xf numFmtId="168" fontId="7" fillId="0" borderId="12" xfId="0" applyNumberFormat="1" applyFont="1" applyBorder="1"/>
    <xf numFmtId="168" fontId="7" fillId="0" borderId="8" xfId="0" applyNumberFormat="1" applyFont="1" applyBorder="1"/>
    <xf numFmtId="168" fontId="19" fillId="0" borderId="3" xfId="0" applyNumberFormat="1" applyFont="1" applyBorder="1" applyAlignment="1">
      <alignment horizontal="right"/>
    </xf>
    <xf numFmtId="0" fontId="1" fillId="3" borderId="11" xfId="0" applyFont="1" applyFill="1" applyBorder="1" applyAlignment="1">
      <alignment horizontal="centerContinuous"/>
    </xf>
    <xf numFmtId="0" fontId="1" fillId="2" borderId="9" xfId="0" applyFont="1" applyFill="1" applyBorder="1" applyAlignment="1">
      <alignment horizontal="centerContinuous"/>
    </xf>
    <xf numFmtId="0" fontId="0" fillId="2" borderId="11" xfId="0" applyFill="1" applyBorder="1" applyAlignment="1">
      <alignment horizontal="centerContinuous"/>
    </xf>
    <xf numFmtId="0" fontId="16" fillId="2" borderId="9" xfId="0" applyFont="1" applyFill="1" applyBorder="1" applyAlignment="1">
      <alignment horizontal="centerContinuous"/>
    </xf>
    <xf numFmtId="0" fontId="17" fillId="2" borderId="10" xfId="0" applyFont="1" applyFill="1" applyBorder="1" applyAlignment="1">
      <alignment horizontal="centerContinuous"/>
    </xf>
    <xf numFmtId="0" fontId="17" fillId="2" borderId="11" xfId="0" applyFont="1" applyFill="1" applyBorder="1" applyAlignment="1">
      <alignment horizontal="centerContinuous"/>
    </xf>
    <xf numFmtId="167" fontId="13" fillId="0" borderId="2" xfId="0" applyNumberFormat="1" applyFont="1" applyBorder="1"/>
    <xf numFmtId="167" fontId="14" fillId="2" borderId="6" xfId="0" applyNumberFormat="1" applyFont="1" applyFill="1" applyBorder="1"/>
    <xf numFmtId="167" fontId="14" fillId="3" borderId="9" xfId="0" applyNumberFormat="1" applyFont="1" applyFill="1" applyBorder="1"/>
    <xf numFmtId="0" fontId="13" fillId="0" borderId="2" xfId="0" applyFont="1" applyBorder="1"/>
    <xf numFmtId="165" fontId="14" fillId="0" borderId="0" xfId="0" applyNumberFormat="1" applyFont="1"/>
    <xf numFmtId="165" fontId="14" fillId="0" borderId="4" xfId="0" applyNumberFormat="1" applyFont="1" applyBorder="1"/>
    <xf numFmtId="170" fontId="13" fillId="0" borderId="2" xfId="0" applyNumberFormat="1" applyFont="1" applyBorder="1"/>
    <xf numFmtId="170" fontId="13" fillId="0" borderId="0" xfId="0" applyNumberFormat="1" applyFont="1"/>
    <xf numFmtId="168" fontId="13" fillId="0" borderId="0" xfId="0" applyNumberFormat="1" applyFont="1"/>
    <xf numFmtId="0" fontId="13" fillId="0" borderId="0" xfId="0" applyFont="1"/>
    <xf numFmtId="165" fontId="13" fillId="0" borderId="2" xfId="0" applyNumberFormat="1" applyFont="1" applyBorder="1" applyAlignment="1">
      <alignment horizontal="right" vertical="center"/>
    </xf>
    <xf numFmtId="168" fontId="20" fillId="0" borderId="2" xfId="0" applyNumberFormat="1" applyFont="1" applyBorder="1"/>
    <xf numFmtId="168" fontId="20" fillId="0" borderId="0" xfId="0" applyNumberFormat="1" applyFont="1"/>
    <xf numFmtId="167" fontId="14" fillId="2" borderId="4" xfId="0" applyNumberFormat="1" applyFont="1" applyFill="1" applyBorder="1"/>
    <xf numFmtId="167" fontId="14" fillId="3" borderId="10" xfId="0" applyNumberFormat="1" applyFont="1" applyFill="1" applyBorder="1"/>
    <xf numFmtId="169" fontId="13" fillId="0" borderId="0" xfId="0" applyNumberFormat="1" applyFont="1"/>
    <xf numFmtId="169" fontId="13" fillId="0" borderId="3" xfId="0" applyNumberFormat="1" applyFont="1" applyBorder="1"/>
    <xf numFmtId="167" fontId="19" fillId="0" borderId="0" xfId="0" applyNumberFormat="1" applyFont="1" applyAlignment="1">
      <alignment horizontal="right"/>
    </xf>
    <xf numFmtId="167" fontId="19" fillId="0" borderId="3" xfId="0" applyNumberFormat="1" applyFont="1" applyBorder="1" applyAlignment="1">
      <alignment horizontal="right"/>
    </xf>
    <xf numFmtId="168" fontId="13" fillId="0" borderId="3" xfId="0" applyNumberFormat="1" applyFont="1" applyBorder="1"/>
    <xf numFmtId="168" fontId="19" fillId="0" borderId="3" xfId="0" applyNumberFormat="1" applyFont="1" applyBorder="1"/>
    <xf numFmtId="167" fontId="13" fillId="0" borderId="3" xfId="0" applyNumberFormat="1" applyFont="1" applyBorder="1"/>
    <xf numFmtId="165" fontId="19" fillId="0" borderId="0" xfId="0" applyNumberFormat="1" applyFont="1"/>
    <xf numFmtId="165" fontId="19" fillId="0" borderId="3" xfId="0" applyNumberFormat="1" applyFont="1" applyBorder="1"/>
    <xf numFmtId="168" fontId="13" fillId="0" borderId="3" xfId="0" applyNumberFormat="1" applyFont="1" applyBorder="1" applyAlignment="1">
      <alignment horizontal="right"/>
    </xf>
    <xf numFmtId="165" fontId="13" fillId="0" borderId="3" xfId="0" applyNumberFormat="1" applyFont="1" applyBorder="1"/>
    <xf numFmtId="167" fontId="7" fillId="0" borderId="7" xfId="0" applyNumberFormat="1" applyFont="1" applyBorder="1"/>
    <xf numFmtId="167" fontId="7" fillId="0" borderId="12" xfId="0" applyNumberFormat="1" applyFont="1" applyBorder="1"/>
    <xf numFmtId="167" fontId="7" fillId="0" borderId="8" xfId="0" applyNumberFormat="1" applyFont="1" applyBorder="1"/>
    <xf numFmtId="165" fontId="14" fillId="0" borderId="5" xfId="0" applyNumberFormat="1" applyFont="1" applyBorder="1"/>
    <xf numFmtId="167" fontId="14" fillId="0" borderId="5" xfId="0" applyNumberFormat="1" applyFont="1" applyBorder="1"/>
    <xf numFmtId="168" fontId="1" fillId="0" borderId="4" xfId="0" applyNumberFormat="1" applyFont="1" applyBorder="1" applyAlignment="1">
      <alignment horizontal="center"/>
    </xf>
    <xf numFmtId="17" fontId="0" fillId="0" borderId="3" xfId="0" applyNumberFormat="1" applyBorder="1" applyAlignment="1">
      <alignment horizontal="center"/>
    </xf>
    <xf numFmtId="167" fontId="1" fillId="0" borderId="11" xfId="0" applyNumberFormat="1" applyFont="1" applyBorder="1"/>
    <xf numFmtId="0" fontId="0" fillId="0" borderId="5" xfId="0" applyBorder="1"/>
    <xf numFmtId="173" fontId="7" fillId="0" borderId="0" xfId="0" applyNumberFormat="1" applyFont="1"/>
    <xf numFmtId="0" fontId="0" fillId="0" borderId="8" xfId="0" applyBorder="1"/>
    <xf numFmtId="168" fontId="5" fillId="0" borderId="13" xfId="0" applyNumberFormat="1" applyFont="1" applyBorder="1" applyAlignment="1">
      <alignment horizontal="center"/>
    </xf>
  </cellXfs>
  <cellStyles count="3">
    <cellStyle name="Normal" xfId="0" builtinId="0"/>
    <cellStyle name="Normal 2" xfId="1" xr:uid="{708913D9-FBEA-44B5-A603-2E3F3054F04E}"/>
    <cellStyle name="Normal 2 2" xfId="2" xr:uid="{30B00E8C-6459-423C-8A3C-0C9315EA4910}"/>
  </cellStyles>
  <dxfs count="0"/>
  <tableStyles count="0" defaultTableStyle="TableStyleMedium2" defaultPivotStyle="PivotStyleLight16"/>
  <colors>
    <mruColors>
      <color rgb="FFFFFFFF"/>
      <color rgb="FFFFFFCC"/>
      <color rgb="FF598CCF"/>
      <color rgb="FF264D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7969-E5A9-4408-B6F4-28F939DF945F}">
  <sheetPr>
    <tabColor rgb="FF264D82"/>
    <pageSetUpPr fitToPage="1"/>
  </sheetPr>
  <dimension ref="A2:Q59"/>
  <sheetViews>
    <sheetView showGridLines="0" tabSelected="1" view="pageBreakPreview" zoomScaleNormal="100" zoomScaleSheetLayoutView="100" workbookViewId="0"/>
  </sheetViews>
  <sheetFormatPr defaultRowHeight="12.75" x14ac:dyDescent="0.2"/>
  <cols>
    <col min="1" max="1" width="3.7109375" customWidth="1"/>
    <col min="2" max="2" width="1.7109375" customWidth="1"/>
    <col min="3" max="3" width="3.7109375" customWidth="1"/>
    <col min="4" max="4" width="75.85546875" bestFit="1" customWidth="1"/>
    <col min="5" max="16" width="12.42578125" bestFit="1" customWidth="1"/>
    <col min="17" max="17" width="3.7109375" customWidth="1"/>
  </cols>
  <sheetData>
    <row r="2" spans="1:17" ht="13.5" thickBot="1" x14ac:dyDescent="0.25">
      <c r="C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">
        <f ca="1">TODAY()</f>
        <v>45999</v>
      </c>
      <c r="Q2" s="1"/>
    </row>
    <row r="3" spans="1:17" x14ac:dyDescent="0.2">
      <c r="D3" t="s">
        <v>249</v>
      </c>
      <c r="P3" s="53" t="s">
        <v>16</v>
      </c>
    </row>
    <row r="4" spans="1:17" ht="6" customHeight="1" x14ac:dyDescent="0.2"/>
    <row r="5" spans="1:17" x14ac:dyDescent="0.2">
      <c r="D5" s="20" t="s">
        <v>281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2"/>
    </row>
    <row r="6" spans="1:17" ht="15" x14ac:dyDescent="0.35">
      <c r="D6" s="11"/>
      <c r="E6" s="4">
        <v>45658</v>
      </c>
      <c r="F6" s="19">
        <f t="shared" ref="F6:P6" si="0">EOMONTH(E6,1)</f>
        <v>45716</v>
      </c>
      <c r="G6" s="19">
        <f t="shared" si="0"/>
        <v>45747</v>
      </c>
      <c r="H6" s="19">
        <f t="shared" si="0"/>
        <v>45777</v>
      </c>
      <c r="I6" s="19">
        <f t="shared" si="0"/>
        <v>45808</v>
      </c>
      <c r="J6" s="19">
        <f t="shared" si="0"/>
        <v>45838</v>
      </c>
      <c r="K6" s="19">
        <f t="shared" si="0"/>
        <v>45869</v>
      </c>
      <c r="L6" s="19">
        <f t="shared" si="0"/>
        <v>45900</v>
      </c>
      <c r="M6" s="19">
        <f t="shared" si="0"/>
        <v>45930</v>
      </c>
      <c r="N6" s="19">
        <f t="shared" si="0"/>
        <v>45961</v>
      </c>
      <c r="O6" s="19">
        <f t="shared" si="0"/>
        <v>45991</v>
      </c>
      <c r="P6" s="5">
        <f t="shared" si="0"/>
        <v>46022</v>
      </c>
    </row>
    <row r="7" spans="1:17" ht="14.1" customHeight="1" x14ac:dyDescent="0.2">
      <c r="A7" s="9">
        <v>1</v>
      </c>
      <c r="B7" s="9"/>
      <c r="D7" s="274" t="s">
        <v>250</v>
      </c>
      <c r="E7" s="279">
        <v>0</v>
      </c>
      <c r="F7" s="278">
        <v>1</v>
      </c>
      <c r="G7" s="280">
        <v>0</v>
      </c>
      <c r="H7" s="280">
        <v>0</v>
      </c>
      <c r="I7" s="280">
        <v>0</v>
      </c>
      <c r="J7" s="280">
        <v>0</v>
      </c>
      <c r="K7" s="278">
        <v>1</v>
      </c>
      <c r="L7" s="280">
        <v>0</v>
      </c>
      <c r="M7" s="280">
        <v>0</v>
      </c>
      <c r="N7" s="280">
        <v>0</v>
      </c>
      <c r="O7" s="280">
        <v>0</v>
      </c>
      <c r="P7" s="281">
        <v>0</v>
      </c>
    </row>
    <row r="8" spans="1:17" ht="14.1" customHeight="1" x14ac:dyDescent="0.2">
      <c r="A8" s="9">
        <f>A7+1</f>
        <v>2</v>
      </c>
      <c r="B8" s="9"/>
      <c r="D8" s="274" t="s">
        <v>251</v>
      </c>
      <c r="E8" s="279">
        <v>0</v>
      </c>
      <c r="F8" s="280">
        <v>0</v>
      </c>
      <c r="G8" s="280">
        <v>0</v>
      </c>
      <c r="H8" s="278">
        <v>1</v>
      </c>
      <c r="I8" s="280">
        <v>0</v>
      </c>
      <c r="J8" s="280">
        <v>0</v>
      </c>
      <c r="K8" s="280">
        <v>0</v>
      </c>
      <c r="L8" s="280">
        <v>0</v>
      </c>
      <c r="M8" s="280">
        <v>0</v>
      </c>
      <c r="N8" s="280">
        <v>0</v>
      </c>
      <c r="O8" s="280">
        <v>0</v>
      </c>
      <c r="P8" s="281">
        <v>0</v>
      </c>
    </row>
    <row r="9" spans="1:17" ht="14.1" customHeight="1" x14ac:dyDescent="0.2">
      <c r="A9" s="9">
        <f t="shared" ref="A9:A11" si="1">A8+1</f>
        <v>3</v>
      </c>
      <c r="B9" s="9"/>
      <c r="D9" s="274" t="s">
        <v>252</v>
      </c>
      <c r="E9" s="279">
        <v>0</v>
      </c>
      <c r="F9" s="280">
        <v>0</v>
      </c>
      <c r="G9" s="280">
        <v>0</v>
      </c>
      <c r="H9" s="280">
        <v>0</v>
      </c>
      <c r="I9" s="280">
        <v>0</v>
      </c>
      <c r="J9" s="280">
        <v>0</v>
      </c>
      <c r="K9" s="278">
        <v>1</v>
      </c>
      <c r="L9" s="280">
        <v>0</v>
      </c>
      <c r="M9" s="280">
        <v>0</v>
      </c>
      <c r="N9" s="280">
        <v>0</v>
      </c>
      <c r="O9" s="280">
        <v>0</v>
      </c>
      <c r="P9" s="281">
        <v>0</v>
      </c>
    </row>
    <row r="10" spans="1:17" ht="14.1" customHeight="1" x14ac:dyDescent="0.2">
      <c r="A10" s="9">
        <f t="shared" si="1"/>
        <v>4</v>
      </c>
      <c r="B10" s="9"/>
      <c r="D10" s="274" t="s">
        <v>253</v>
      </c>
      <c r="E10" s="279">
        <v>0</v>
      </c>
      <c r="F10" s="280">
        <v>0</v>
      </c>
      <c r="G10" s="280">
        <v>0</v>
      </c>
      <c r="H10" s="280">
        <v>0</v>
      </c>
      <c r="I10" s="280">
        <v>0</v>
      </c>
      <c r="J10" s="280">
        <v>0</v>
      </c>
      <c r="K10" s="280">
        <v>0</v>
      </c>
      <c r="L10" s="280">
        <v>0</v>
      </c>
      <c r="M10" s="280">
        <v>0</v>
      </c>
      <c r="N10" s="280">
        <v>0</v>
      </c>
      <c r="O10" s="280">
        <v>0</v>
      </c>
      <c r="P10" s="281">
        <v>0</v>
      </c>
    </row>
    <row r="11" spans="1:17" ht="14.1" customHeight="1" x14ac:dyDescent="0.2">
      <c r="A11" s="9">
        <f t="shared" si="1"/>
        <v>5</v>
      </c>
      <c r="B11" s="9"/>
      <c r="D11" s="275" t="s">
        <v>254</v>
      </c>
      <c r="E11" s="282">
        <v>0</v>
      </c>
      <c r="F11" s="283">
        <v>0</v>
      </c>
      <c r="G11" s="283">
        <v>0</v>
      </c>
      <c r="H11" s="283">
        <v>0</v>
      </c>
      <c r="I11" s="283">
        <v>0</v>
      </c>
      <c r="J11" s="283">
        <v>0</v>
      </c>
      <c r="K11" s="283">
        <v>0</v>
      </c>
      <c r="L11" s="283">
        <v>0</v>
      </c>
      <c r="M11" s="283">
        <v>0</v>
      </c>
      <c r="N11" s="283">
        <v>0</v>
      </c>
      <c r="O11" s="283">
        <v>0</v>
      </c>
      <c r="P11" s="284">
        <v>0</v>
      </c>
    </row>
    <row r="13" spans="1:17" x14ac:dyDescent="0.2">
      <c r="D13" s="20" t="s">
        <v>255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</row>
    <row r="14" spans="1:17" ht="15" x14ac:dyDescent="0.35">
      <c r="D14" s="224"/>
      <c r="E14" s="4">
        <v>45658</v>
      </c>
      <c r="F14" s="19">
        <f t="shared" ref="F14" si="2">EOMONTH(E14,1)</f>
        <v>45716</v>
      </c>
      <c r="G14" s="19">
        <f t="shared" ref="G14" si="3">EOMONTH(F14,1)</f>
        <v>45747</v>
      </c>
      <c r="H14" s="19">
        <f t="shared" ref="H14" si="4">EOMONTH(G14,1)</f>
        <v>45777</v>
      </c>
      <c r="I14" s="19">
        <f t="shared" ref="I14" si="5">EOMONTH(H14,1)</f>
        <v>45808</v>
      </c>
      <c r="J14" s="19">
        <f t="shared" ref="J14" si="6">EOMONTH(I14,1)</f>
        <v>45838</v>
      </c>
      <c r="K14" s="19">
        <f t="shared" ref="K14" si="7">EOMONTH(J14,1)</f>
        <v>45869</v>
      </c>
      <c r="L14" s="19">
        <f t="shared" ref="L14" si="8">EOMONTH(K14,1)</f>
        <v>45900</v>
      </c>
      <c r="M14" s="19">
        <f t="shared" ref="M14" si="9">EOMONTH(L14,1)</f>
        <v>45930</v>
      </c>
      <c r="N14" s="19">
        <f t="shared" ref="N14" si="10">EOMONTH(M14,1)</f>
        <v>45961</v>
      </c>
      <c r="O14" s="19">
        <f t="shared" ref="O14" si="11">EOMONTH(N14,1)</f>
        <v>45991</v>
      </c>
      <c r="P14" s="5">
        <f t="shared" ref="P14" si="12">EOMONTH(O14,1)</f>
        <v>46022</v>
      </c>
    </row>
    <row r="15" spans="1:17" ht="14.1" customHeight="1" x14ac:dyDescent="0.2">
      <c r="A15" s="9">
        <v>1</v>
      </c>
      <c r="B15" s="9"/>
      <c r="D15" s="273" t="s">
        <v>250</v>
      </c>
      <c r="E15" s="37">
        <f>E$23+IF(E7&gt;0,$E26,0)</f>
        <v>0.41480874891771186</v>
      </c>
      <c r="F15" s="37">
        <f t="shared" ref="F15:P15" si="13">F$23+IF(F7&gt;0,$E26,0)</f>
        <v>-0.11745396922867549</v>
      </c>
      <c r="G15" s="37">
        <f t="shared" si="13"/>
        <v>7.3789234193508163E-2</v>
      </c>
      <c r="H15" s="37">
        <f t="shared" si="13"/>
        <v>7.1161542239391334E-2</v>
      </c>
      <c r="I15" s="37">
        <f t="shared" si="13"/>
        <v>8.9469045834193711E-2</v>
      </c>
      <c r="J15" s="37">
        <f t="shared" si="13"/>
        <v>-4.0287147351080042E-2</v>
      </c>
      <c r="K15" s="37">
        <f t="shared" si="13"/>
        <v>-0.28016607823619166</v>
      </c>
      <c r="L15" s="37">
        <f t="shared" si="13"/>
        <v>-0.14250916895594043</v>
      </c>
      <c r="M15" s="37">
        <f t="shared" si="13"/>
        <v>4.1548500896274945E-3</v>
      </c>
      <c r="N15" s="37">
        <f t="shared" si="13"/>
        <v>4.9311484891546922E-3</v>
      </c>
      <c r="O15" s="37">
        <f t="shared" si="13"/>
        <v>-0.13767022491787803</v>
      </c>
      <c r="P15" s="38">
        <f t="shared" si="13"/>
        <v>-0.18378744731825211</v>
      </c>
    </row>
    <row r="16" spans="1:17" ht="14.1" customHeight="1" x14ac:dyDescent="0.2">
      <c r="A16" s="9">
        <f>A15+1</f>
        <v>2</v>
      </c>
      <c r="B16" s="9"/>
      <c r="D16" s="273" t="s">
        <v>251</v>
      </c>
      <c r="E16" s="37">
        <f t="shared" ref="E16:P16" si="14">E$23+IF(E8&gt;0,$E27,0)</f>
        <v>0.41480874891771186</v>
      </c>
      <c r="F16" s="37">
        <f t="shared" si="14"/>
        <v>8.2546030771324524E-2</v>
      </c>
      <c r="G16" s="37">
        <f t="shared" si="14"/>
        <v>7.3789234193508163E-2</v>
      </c>
      <c r="H16" s="37">
        <f t="shared" si="14"/>
        <v>-7.8838457760608688E-2</v>
      </c>
      <c r="I16" s="37">
        <f t="shared" si="14"/>
        <v>8.9469045834193711E-2</v>
      </c>
      <c r="J16" s="37">
        <f t="shared" si="14"/>
        <v>-4.0287147351080042E-2</v>
      </c>
      <c r="K16" s="37">
        <f t="shared" si="14"/>
        <v>-8.0166078236191679E-2</v>
      </c>
      <c r="L16" s="37">
        <f t="shared" si="14"/>
        <v>-0.14250916895594043</v>
      </c>
      <c r="M16" s="37">
        <f t="shared" si="14"/>
        <v>4.1548500896274945E-3</v>
      </c>
      <c r="N16" s="37">
        <f t="shared" si="14"/>
        <v>4.9311484891546922E-3</v>
      </c>
      <c r="O16" s="37">
        <f t="shared" si="14"/>
        <v>-0.13767022491787803</v>
      </c>
      <c r="P16" s="38">
        <f t="shared" si="14"/>
        <v>-0.18378744731825211</v>
      </c>
    </row>
    <row r="17" spans="1:16" ht="14.1" customHeight="1" x14ac:dyDescent="0.2">
      <c r="A17" s="9">
        <f t="shared" ref="A17:A19" si="15">A16+1</f>
        <v>3</v>
      </c>
      <c r="B17" s="9"/>
      <c r="D17" s="273" t="s">
        <v>252</v>
      </c>
      <c r="E17" s="37">
        <f t="shared" ref="E17:P17" si="16">E$23+IF(E9&gt;0,$E28,0)</f>
        <v>0.41480874891771186</v>
      </c>
      <c r="F17" s="37">
        <f t="shared" si="16"/>
        <v>8.2546030771324524E-2</v>
      </c>
      <c r="G17" s="37">
        <f t="shared" si="16"/>
        <v>7.3789234193508163E-2</v>
      </c>
      <c r="H17" s="37">
        <f t="shared" si="16"/>
        <v>7.1161542239391334E-2</v>
      </c>
      <c r="I17" s="37">
        <f t="shared" si="16"/>
        <v>8.9469045834193711E-2</v>
      </c>
      <c r="J17" s="37">
        <f t="shared" si="16"/>
        <v>-4.0287147351080042E-2</v>
      </c>
      <c r="K17" s="37">
        <f t="shared" si="16"/>
        <v>-0.18016607823619168</v>
      </c>
      <c r="L17" s="37">
        <f t="shared" si="16"/>
        <v>-0.14250916895594043</v>
      </c>
      <c r="M17" s="37">
        <f t="shared" si="16"/>
        <v>4.1548500896274945E-3</v>
      </c>
      <c r="N17" s="37">
        <f t="shared" si="16"/>
        <v>4.9311484891546922E-3</v>
      </c>
      <c r="O17" s="37">
        <f t="shared" si="16"/>
        <v>-0.13767022491787803</v>
      </c>
      <c r="P17" s="38">
        <f t="shared" si="16"/>
        <v>-0.18378744731825211</v>
      </c>
    </row>
    <row r="18" spans="1:16" ht="14.1" customHeight="1" x14ac:dyDescent="0.2">
      <c r="A18" s="9">
        <f t="shared" si="15"/>
        <v>4</v>
      </c>
      <c r="B18" s="9"/>
      <c r="D18" s="273" t="s">
        <v>253</v>
      </c>
      <c r="E18" s="37">
        <f t="shared" ref="E18:P18" si="17">E$23+IF(E10&gt;0,$E29,0)</f>
        <v>0.41480874891771186</v>
      </c>
      <c r="F18" s="37">
        <f t="shared" si="17"/>
        <v>8.2546030771324524E-2</v>
      </c>
      <c r="G18" s="37">
        <f t="shared" si="17"/>
        <v>7.3789234193508163E-2</v>
      </c>
      <c r="H18" s="37">
        <f t="shared" si="17"/>
        <v>7.1161542239391334E-2</v>
      </c>
      <c r="I18" s="37">
        <f t="shared" si="17"/>
        <v>8.9469045834193711E-2</v>
      </c>
      <c r="J18" s="37">
        <f t="shared" si="17"/>
        <v>-4.0287147351080042E-2</v>
      </c>
      <c r="K18" s="37">
        <f t="shared" si="17"/>
        <v>-8.0166078236191679E-2</v>
      </c>
      <c r="L18" s="37">
        <f t="shared" si="17"/>
        <v>-0.14250916895594043</v>
      </c>
      <c r="M18" s="37">
        <f t="shared" si="17"/>
        <v>4.1548500896274945E-3</v>
      </c>
      <c r="N18" s="37">
        <f t="shared" si="17"/>
        <v>4.9311484891546922E-3</v>
      </c>
      <c r="O18" s="37">
        <f t="shared" si="17"/>
        <v>-0.13767022491787803</v>
      </c>
      <c r="P18" s="38">
        <f t="shared" si="17"/>
        <v>-0.18378744731825211</v>
      </c>
    </row>
    <row r="19" spans="1:16" ht="14.1" customHeight="1" x14ac:dyDescent="0.2">
      <c r="A19" s="9">
        <f t="shared" si="15"/>
        <v>5</v>
      </c>
      <c r="B19" s="9"/>
      <c r="D19" s="273" t="s">
        <v>254</v>
      </c>
      <c r="E19" s="270">
        <f t="shared" ref="E19" si="18">E$23</f>
        <v>0.41480874891771186</v>
      </c>
      <c r="F19" s="270">
        <f t="shared" ref="F19:P19" si="19">F$23</f>
        <v>8.2546030771324524E-2</v>
      </c>
      <c r="G19" s="270">
        <f t="shared" si="19"/>
        <v>7.3789234193508163E-2</v>
      </c>
      <c r="H19" s="270">
        <f t="shared" si="19"/>
        <v>7.1161542239391334E-2</v>
      </c>
      <c r="I19" s="270">
        <f t="shared" si="19"/>
        <v>8.9469045834193711E-2</v>
      </c>
      <c r="J19" s="270">
        <f t="shared" si="19"/>
        <v>-4.0287147351080042E-2</v>
      </c>
      <c r="K19" s="270">
        <f t="shared" si="19"/>
        <v>-8.0166078236191679E-2</v>
      </c>
      <c r="L19" s="270">
        <f t="shared" si="19"/>
        <v>-0.14250916895594043</v>
      </c>
      <c r="M19" s="270">
        <f t="shared" si="19"/>
        <v>4.1548500896274945E-3</v>
      </c>
      <c r="N19" s="270">
        <f t="shared" si="19"/>
        <v>4.9311484891546922E-3</v>
      </c>
      <c r="O19" s="270">
        <f t="shared" si="19"/>
        <v>-0.13767022491787803</v>
      </c>
      <c r="P19" s="271">
        <f t="shared" si="19"/>
        <v>-0.18378744731825211</v>
      </c>
    </row>
    <row r="20" spans="1:16" x14ac:dyDescent="0.2">
      <c r="D20" s="274"/>
      <c r="E20" s="338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8"/>
    </row>
    <row r="21" spans="1:16" ht="14.1" customHeight="1" x14ac:dyDescent="0.2">
      <c r="D21" s="274" t="s">
        <v>256</v>
      </c>
      <c r="E21" s="311">
        <f>'Cons. Financials - ''23 ''24'!P11/'Cons. Financials - ''23 ''24'!O11-1</f>
        <v>0.4114754155843785</v>
      </c>
      <c r="F21" s="311">
        <f>'Cons. Financials - ''23 ''24'!Q11/'Cons. Financials - ''23 ''24'!P11-1</f>
        <v>7.9212697437991197E-2</v>
      </c>
      <c r="G21" s="311">
        <f>'Cons. Financials - ''23 ''24'!R11/'Cons. Financials - ''23 ''24'!Q11-1</f>
        <v>7.0455900860174836E-2</v>
      </c>
      <c r="H21" s="311">
        <f>'Cons. Financials - ''23 ''24'!S11/'Cons. Financials - ''23 ''24'!R11-1</f>
        <v>6.7828208906058007E-2</v>
      </c>
      <c r="I21" s="311">
        <f>'Cons. Financials - ''23 ''24'!T11/'Cons. Financials - ''23 ''24'!S11-1</f>
        <v>8.6135712500860384E-2</v>
      </c>
      <c r="J21" s="311">
        <f>'Cons. Financials - ''23 ''24'!U11/'Cons. Financials - ''23 ''24'!T11-1</f>
        <v>-4.3620480684413376E-2</v>
      </c>
      <c r="K21" s="311">
        <f>'Cons. Financials - ''23 ''24'!V11/'Cons. Financials - ''23 ''24'!U11-1</f>
        <v>-8.3499411569525006E-2</v>
      </c>
      <c r="L21" s="311">
        <f>'Cons. Financials - ''23 ''24'!W11/'Cons. Financials - ''23 ''24'!V11-1</f>
        <v>-0.14584250228927376</v>
      </c>
      <c r="M21" s="311">
        <f>'Cons. Financials - ''23 ''24'!X11/'Cons. Financials - ''23 ''24'!W11-1</f>
        <v>8.2151675629416054E-4</v>
      </c>
      <c r="N21" s="311">
        <f>'Cons. Financials - ''23 ''24'!Y11/'Cons. Financials - ''23 ''24'!X11-1</f>
        <v>1.5978151558213582E-3</v>
      </c>
      <c r="O21" s="311">
        <f>'Cons. Financials - ''23 ''24'!Z11/'Cons. Financials - ''23 ''24'!Y11-1</f>
        <v>-0.14100355825121136</v>
      </c>
      <c r="P21" s="322">
        <f>'Cons. Financials - ''23 ''24'!AA11/'Cons. Financials - ''23 ''24'!Z11-1</f>
        <v>-0.18712078065158544</v>
      </c>
    </row>
    <row r="22" spans="1:16" ht="14.1" customHeight="1" x14ac:dyDescent="0.2">
      <c r="D22" s="275" t="s">
        <v>283</v>
      </c>
      <c r="E22" s="272">
        <f>4%/12</f>
        <v>3.3333333333333335E-3</v>
      </c>
      <c r="F22" s="272">
        <f>4%/12</f>
        <v>3.3333333333333335E-3</v>
      </c>
      <c r="G22" s="272">
        <f t="shared" ref="G22:P22" si="20">4%/12</f>
        <v>3.3333333333333335E-3</v>
      </c>
      <c r="H22" s="272">
        <f t="shared" si="20"/>
        <v>3.3333333333333335E-3</v>
      </c>
      <c r="I22" s="272">
        <f t="shared" si="20"/>
        <v>3.3333333333333335E-3</v>
      </c>
      <c r="J22" s="272">
        <f t="shared" si="20"/>
        <v>3.3333333333333335E-3</v>
      </c>
      <c r="K22" s="272">
        <f t="shared" si="20"/>
        <v>3.3333333333333335E-3</v>
      </c>
      <c r="L22" s="272">
        <f t="shared" si="20"/>
        <v>3.3333333333333335E-3</v>
      </c>
      <c r="M22" s="272">
        <f t="shared" si="20"/>
        <v>3.3333333333333335E-3</v>
      </c>
      <c r="N22" s="272">
        <f t="shared" si="20"/>
        <v>3.3333333333333335E-3</v>
      </c>
      <c r="O22" s="272">
        <f t="shared" si="20"/>
        <v>3.3333333333333335E-3</v>
      </c>
      <c r="P22" s="287">
        <f t="shared" si="20"/>
        <v>3.3333333333333335E-3</v>
      </c>
    </row>
    <row r="23" spans="1:16" ht="14.1" customHeight="1" x14ac:dyDescent="0.2">
      <c r="D23" s="286" t="s">
        <v>270</v>
      </c>
      <c r="E23" s="289">
        <f>SUM(E21:E22)</f>
        <v>0.41480874891771186</v>
      </c>
      <c r="F23" s="285">
        <f>SUM(F21:F22)</f>
        <v>8.2546030771324524E-2</v>
      </c>
      <c r="G23" s="285">
        <f t="shared" ref="G23:P23" si="21">SUM(G21:G22)</f>
        <v>7.3789234193508163E-2</v>
      </c>
      <c r="H23" s="285">
        <f t="shared" si="21"/>
        <v>7.1161542239391334E-2</v>
      </c>
      <c r="I23" s="285">
        <f t="shared" si="21"/>
        <v>8.9469045834193711E-2</v>
      </c>
      <c r="J23" s="285">
        <f t="shared" si="21"/>
        <v>-4.0287147351080042E-2</v>
      </c>
      <c r="K23" s="285">
        <f t="shared" si="21"/>
        <v>-8.0166078236191679E-2</v>
      </c>
      <c r="L23" s="285">
        <f t="shared" si="21"/>
        <v>-0.14250916895594043</v>
      </c>
      <c r="M23" s="285">
        <f t="shared" si="21"/>
        <v>4.1548500896274945E-3</v>
      </c>
      <c r="N23" s="285">
        <f t="shared" si="21"/>
        <v>4.9311484891546922E-3</v>
      </c>
      <c r="O23" s="285">
        <f t="shared" si="21"/>
        <v>-0.13767022491787803</v>
      </c>
      <c r="P23" s="288">
        <f t="shared" si="21"/>
        <v>-0.18378744731825211</v>
      </c>
    </row>
    <row r="24" spans="1:16" ht="3" customHeight="1" x14ac:dyDescent="0.2">
      <c r="D24" s="11"/>
      <c r="P24" s="15"/>
    </row>
    <row r="25" spans="1:16" x14ac:dyDescent="0.2">
      <c r="D25" s="20" t="s">
        <v>257</v>
      </c>
      <c r="E25" s="22"/>
      <c r="P25" s="15"/>
    </row>
    <row r="26" spans="1:16" ht="14.1" customHeight="1" x14ac:dyDescent="0.2">
      <c r="D26" s="274" t="s">
        <v>250</v>
      </c>
      <c r="E26" s="276">
        <v>-0.2</v>
      </c>
      <c r="P26" s="15"/>
    </row>
    <row r="27" spans="1:16" ht="14.1" customHeight="1" x14ac:dyDescent="0.2">
      <c r="D27" s="274" t="s">
        <v>251</v>
      </c>
      <c r="E27" s="276">
        <v>-0.15000000000000002</v>
      </c>
      <c r="P27" s="15"/>
    </row>
    <row r="28" spans="1:16" ht="14.1" customHeight="1" x14ac:dyDescent="0.2">
      <c r="D28" s="274" t="s">
        <v>252</v>
      </c>
      <c r="E28" s="276">
        <v>-0.10000000000000002</v>
      </c>
      <c r="P28" s="15"/>
    </row>
    <row r="29" spans="1:16" ht="14.1" customHeight="1" x14ac:dyDescent="0.2">
      <c r="D29" s="275" t="s">
        <v>253</v>
      </c>
      <c r="E29" s="277">
        <v>-5.0000000000000017E-2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339"/>
    </row>
    <row r="31" spans="1:16" x14ac:dyDescent="0.2">
      <c r="D31" s="20" t="s">
        <v>271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2"/>
    </row>
    <row r="32" spans="1:16" ht="15" x14ac:dyDescent="0.35">
      <c r="D32" s="11"/>
      <c r="E32" s="4">
        <v>45658</v>
      </c>
      <c r="F32" s="19">
        <f t="shared" ref="F32" si="22">EOMONTH(E32,1)</f>
        <v>45716</v>
      </c>
      <c r="G32" s="19">
        <f t="shared" ref="G32" si="23">EOMONTH(F32,1)</f>
        <v>45747</v>
      </c>
      <c r="H32" s="19">
        <f t="shared" ref="H32" si="24">EOMONTH(G32,1)</f>
        <v>45777</v>
      </c>
      <c r="I32" s="19">
        <f t="shared" ref="I32" si="25">EOMONTH(H32,1)</f>
        <v>45808</v>
      </c>
      <c r="J32" s="19">
        <f t="shared" ref="J32" si="26">EOMONTH(I32,1)</f>
        <v>45838</v>
      </c>
      <c r="K32" s="19">
        <f t="shared" ref="K32" si="27">EOMONTH(J32,1)</f>
        <v>45869</v>
      </c>
      <c r="L32" s="19">
        <f t="shared" ref="L32" si="28">EOMONTH(K32,1)</f>
        <v>45900</v>
      </c>
      <c r="M32" s="19">
        <f t="shared" ref="M32" si="29">EOMONTH(L32,1)</f>
        <v>45930</v>
      </c>
      <c r="N32" s="19">
        <f t="shared" ref="N32" si="30">EOMONTH(M32,1)</f>
        <v>45961</v>
      </c>
      <c r="O32" s="19">
        <f t="shared" ref="O32" si="31">EOMONTH(N32,1)</f>
        <v>45991</v>
      </c>
      <c r="P32" s="5">
        <f t="shared" ref="P32" si="32">EOMONTH(O32,1)</f>
        <v>46022</v>
      </c>
    </row>
    <row r="33" spans="1:16" ht="14.1" customHeight="1" x14ac:dyDescent="0.2">
      <c r="A33" t="s">
        <v>258</v>
      </c>
      <c r="B33" t="s">
        <v>56</v>
      </c>
      <c r="D33" s="274" t="s">
        <v>264</v>
      </c>
      <c r="E33" s="161">
        <v>0</v>
      </c>
      <c r="F33" s="201">
        <v>0</v>
      </c>
      <c r="G33" s="201">
        <v>0</v>
      </c>
      <c r="H33" s="201">
        <v>0</v>
      </c>
      <c r="I33" s="201">
        <v>0</v>
      </c>
      <c r="J33" s="201">
        <v>0</v>
      </c>
      <c r="K33" s="201">
        <v>0</v>
      </c>
      <c r="L33" s="201">
        <v>0</v>
      </c>
      <c r="M33" s="201">
        <v>0</v>
      </c>
      <c r="N33" s="201">
        <v>0</v>
      </c>
      <c r="O33" s="201">
        <v>0</v>
      </c>
      <c r="P33" s="162">
        <v>0</v>
      </c>
    </row>
    <row r="34" spans="1:16" ht="14.1" customHeight="1" x14ac:dyDescent="0.2">
      <c r="A34" t="s">
        <v>259</v>
      </c>
      <c r="B34" t="s">
        <v>56</v>
      </c>
      <c r="D34" s="274" t="s">
        <v>265</v>
      </c>
      <c r="E34" s="161">
        <v>0</v>
      </c>
      <c r="F34" s="201">
        <v>0</v>
      </c>
      <c r="G34" s="201">
        <v>0</v>
      </c>
      <c r="H34" s="201">
        <v>0</v>
      </c>
      <c r="I34" s="201">
        <v>0</v>
      </c>
      <c r="J34" s="201">
        <v>0</v>
      </c>
      <c r="K34" s="201">
        <v>0</v>
      </c>
      <c r="L34" s="201">
        <v>0</v>
      </c>
      <c r="M34" s="201">
        <v>0</v>
      </c>
      <c r="N34" s="201">
        <v>0</v>
      </c>
      <c r="O34" s="201">
        <v>0</v>
      </c>
      <c r="P34" s="162">
        <v>0</v>
      </c>
    </row>
    <row r="35" spans="1:16" ht="14.1" customHeight="1" x14ac:dyDescent="0.2">
      <c r="A35" t="s">
        <v>260</v>
      </c>
      <c r="B35" t="s">
        <v>56</v>
      </c>
      <c r="D35" s="274" t="s">
        <v>266</v>
      </c>
      <c r="E35" s="161">
        <v>0</v>
      </c>
      <c r="F35" s="201">
        <v>0</v>
      </c>
      <c r="G35" s="201">
        <v>0</v>
      </c>
      <c r="H35" s="201">
        <v>0</v>
      </c>
      <c r="I35" s="201">
        <v>0</v>
      </c>
      <c r="J35" s="201">
        <v>0</v>
      </c>
      <c r="K35" s="201">
        <v>0</v>
      </c>
      <c r="L35" s="201">
        <v>0</v>
      </c>
      <c r="M35" s="201">
        <v>0</v>
      </c>
      <c r="N35" s="201">
        <v>0</v>
      </c>
      <c r="O35" s="201">
        <v>0</v>
      </c>
      <c r="P35" s="162">
        <v>0</v>
      </c>
    </row>
    <row r="36" spans="1:16" ht="14.1" customHeight="1" x14ac:dyDescent="0.2">
      <c r="A36" t="s">
        <v>261</v>
      </c>
      <c r="B36" t="s">
        <v>56</v>
      </c>
      <c r="D36" s="274" t="s">
        <v>267</v>
      </c>
      <c r="E36" s="161">
        <v>0</v>
      </c>
      <c r="F36" s="201">
        <v>0</v>
      </c>
      <c r="G36" s="201">
        <v>0</v>
      </c>
      <c r="H36" s="201">
        <v>0</v>
      </c>
      <c r="I36" s="201">
        <v>0</v>
      </c>
      <c r="J36" s="201">
        <v>0</v>
      </c>
      <c r="K36" s="201">
        <v>0</v>
      </c>
      <c r="L36" s="201">
        <v>0</v>
      </c>
      <c r="M36" s="201">
        <v>0</v>
      </c>
      <c r="N36" s="201">
        <v>0</v>
      </c>
      <c r="O36" s="201">
        <v>0</v>
      </c>
      <c r="P36" s="162">
        <v>0</v>
      </c>
    </row>
    <row r="37" spans="1:16" ht="14.1" customHeight="1" x14ac:dyDescent="0.2">
      <c r="A37" t="s">
        <v>262</v>
      </c>
      <c r="B37" t="s">
        <v>56</v>
      </c>
      <c r="D37" s="274" t="s">
        <v>268</v>
      </c>
      <c r="E37" s="161">
        <v>0</v>
      </c>
      <c r="F37" s="201">
        <v>0</v>
      </c>
      <c r="G37" s="201">
        <v>0</v>
      </c>
      <c r="H37" s="201">
        <v>0</v>
      </c>
      <c r="I37" s="201">
        <v>0</v>
      </c>
      <c r="J37" s="201">
        <v>0</v>
      </c>
      <c r="K37" s="201">
        <v>0</v>
      </c>
      <c r="L37" s="201">
        <v>0</v>
      </c>
      <c r="M37" s="201">
        <v>0</v>
      </c>
      <c r="N37" s="201">
        <v>0</v>
      </c>
      <c r="O37" s="201">
        <v>0</v>
      </c>
      <c r="P37" s="162">
        <v>0</v>
      </c>
    </row>
    <row r="38" spans="1:16" ht="14.1" customHeight="1" x14ac:dyDescent="0.2">
      <c r="A38" t="s">
        <v>8</v>
      </c>
      <c r="B38" t="s">
        <v>56</v>
      </c>
      <c r="D38" s="274" t="s">
        <v>263</v>
      </c>
      <c r="E38" s="146">
        <v>0.03</v>
      </c>
      <c r="F38" s="147">
        <v>0.03</v>
      </c>
      <c r="G38" s="147">
        <v>0.03</v>
      </c>
      <c r="H38" s="147">
        <v>0.03</v>
      </c>
      <c r="I38" s="147">
        <v>0.03</v>
      </c>
      <c r="J38" s="147">
        <v>0.03</v>
      </c>
      <c r="K38" s="147">
        <v>0.03</v>
      </c>
      <c r="L38" s="147">
        <v>0.03</v>
      </c>
      <c r="M38" s="147">
        <v>0.03</v>
      </c>
      <c r="N38" s="147">
        <v>0.03</v>
      </c>
      <c r="O38" s="147">
        <v>0.03</v>
      </c>
      <c r="P38" s="143">
        <v>0.03</v>
      </c>
    </row>
    <row r="39" spans="1:16" ht="14.1" customHeight="1" x14ac:dyDescent="0.2">
      <c r="A39" t="s">
        <v>17</v>
      </c>
      <c r="B39" t="s">
        <v>56</v>
      </c>
      <c r="D39" s="275" t="s">
        <v>269</v>
      </c>
      <c r="E39" s="293">
        <v>0</v>
      </c>
      <c r="F39" s="294">
        <v>0</v>
      </c>
      <c r="G39" s="294">
        <v>0</v>
      </c>
      <c r="H39" s="294">
        <v>0</v>
      </c>
      <c r="I39" s="294">
        <v>0</v>
      </c>
      <c r="J39" s="294">
        <v>0</v>
      </c>
      <c r="K39" s="294">
        <v>0</v>
      </c>
      <c r="L39" s="294">
        <v>0</v>
      </c>
      <c r="M39" s="294">
        <v>0</v>
      </c>
      <c r="N39" s="294">
        <v>0</v>
      </c>
      <c r="O39" s="294">
        <v>0</v>
      </c>
      <c r="P39" s="295">
        <v>0</v>
      </c>
    </row>
    <row r="41" spans="1:16" x14ac:dyDescent="0.2">
      <c r="D41" s="20" t="s">
        <v>277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2"/>
    </row>
    <row r="42" spans="1:16" ht="15" x14ac:dyDescent="0.35">
      <c r="D42" s="11"/>
      <c r="E42" s="4">
        <v>45658</v>
      </c>
      <c r="F42" s="19">
        <f t="shared" ref="F42" si="33">EOMONTH(E42,1)</f>
        <v>45716</v>
      </c>
      <c r="G42" s="19">
        <f t="shared" ref="G42" si="34">EOMONTH(F42,1)</f>
        <v>45747</v>
      </c>
      <c r="H42" s="19">
        <f t="shared" ref="H42" si="35">EOMONTH(G42,1)</f>
        <v>45777</v>
      </c>
      <c r="I42" s="19">
        <f t="shared" ref="I42" si="36">EOMONTH(H42,1)</f>
        <v>45808</v>
      </c>
      <c r="J42" s="19">
        <f t="shared" ref="J42" si="37">EOMONTH(I42,1)</f>
        <v>45838</v>
      </c>
      <c r="K42" s="19">
        <f t="shared" ref="K42" si="38">EOMONTH(J42,1)</f>
        <v>45869</v>
      </c>
      <c r="L42" s="19">
        <f t="shared" ref="L42" si="39">EOMONTH(K42,1)</f>
        <v>45900</v>
      </c>
      <c r="M42" s="19">
        <f t="shared" ref="M42" si="40">EOMONTH(L42,1)</f>
        <v>45930</v>
      </c>
      <c r="N42" s="19">
        <f t="shared" ref="N42" si="41">EOMONTH(M42,1)</f>
        <v>45961</v>
      </c>
      <c r="O42" s="19">
        <f t="shared" ref="O42" si="42">EOMONTH(N42,1)</f>
        <v>45991</v>
      </c>
      <c r="P42" s="5">
        <f t="shared" ref="P42" si="43">EOMONTH(O42,1)</f>
        <v>46022</v>
      </c>
    </row>
    <row r="43" spans="1:16" ht="14.1" customHeight="1" x14ac:dyDescent="0.2">
      <c r="B43" t="s">
        <v>56</v>
      </c>
      <c r="D43" s="274" t="s">
        <v>272</v>
      </c>
      <c r="E43" s="161">
        <v>0</v>
      </c>
      <c r="F43" s="201">
        <v>0</v>
      </c>
      <c r="G43" s="201">
        <v>0</v>
      </c>
      <c r="H43" s="201">
        <v>0</v>
      </c>
      <c r="I43" s="201">
        <v>0</v>
      </c>
      <c r="J43" s="201">
        <v>0</v>
      </c>
      <c r="K43" s="201">
        <v>0</v>
      </c>
      <c r="L43" s="201">
        <v>0</v>
      </c>
      <c r="M43" s="201">
        <v>0</v>
      </c>
      <c r="N43" s="201">
        <v>0</v>
      </c>
      <c r="O43" s="201">
        <v>0</v>
      </c>
      <c r="P43" s="162">
        <v>0</v>
      </c>
    </row>
    <row r="44" spans="1:16" ht="14.1" customHeight="1" x14ac:dyDescent="0.2">
      <c r="B44" t="s">
        <v>56</v>
      </c>
      <c r="D44" s="274" t="s">
        <v>273</v>
      </c>
      <c r="E44" s="161">
        <v>0.03</v>
      </c>
      <c r="F44" s="201">
        <v>0.03</v>
      </c>
      <c r="G44" s="201">
        <v>0.03</v>
      </c>
      <c r="H44" s="201">
        <v>0.03</v>
      </c>
      <c r="I44" s="201">
        <v>0.03</v>
      </c>
      <c r="J44" s="201">
        <v>0.03</v>
      </c>
      <c r="K44" s="201">
        <v>0.03</v>
      </c>
      <c r="L44" s="201">
        <v>0.03</v>
      </c>
      <c r="M44" s="201">
        <v>0.03</v>
      </c>
      <c r="N44" s="201">
        <v>0.03</v>
      </c>
      <c r="O44" s="201">
        <v>0.03</v>
      </c>
      <c r="P44" s="162">
        <v>0.03</v>
      </c>
    </row>
    <row r="45" spans="1:16" ht="14.1" customHeight="1" x14ac:dyDescent="0.2">
      <c r="D45" s="274" t="s">
        <v>278</v>
      </c>
      <c r="E45" s="161">
        <v>0.25663561638060528</v>
      </c>
      <c r="F45" s="201">
        <v>0.25663561638060528</v>
      </c>
      <c r="G45" s="201">
        <v>0.25663561638060528</v>
      </c>
      <c r="H45" s="201">
        <v>0.25663561638060528</v>
      </c>
      <c r="I45" s="201">
        <v>0.25663561638060528</v>
      </c>
      <c r="J45" s="201">
        <v>0.25663561638060528</v>
      </c>
      <c r="K45" s="201">
        <v>0.25663561638060528</v>
      </c>
      <c r="L45" s="201">
        <v>0.25663561638060528</v>
      </c>
      <c r="M45" s="201">
        <v>0.25663561638060528</v>
      </c>
      <c r="N45" s="201">
        <v>0.25663561638060528</v>
      </c>
      <c r="O45" s="201">
        <v>0.25663561638060528</v>
      </c>
      <c r="P45" s="162">
        <v>0.25663561638060528</v>
      </c>
    </row>
    <row r="46" spans="1:16" ht="14.1" customHeight="1" x14ac:dyDescent="0.2">
      <c r="A46" t="s">
        <v>201</v>
      </c>
      <c r="B46" t="s">
        <v>56</v>
      </c>
      <c r="D46" s="274" t="str">
        <f>"YoY Change - "&amp;A46</f>
        <v>YoY Change - Accounts Receivable - Days Outstanding</v>
      </c>
      <c r="E46" s="161">
        <v>0</v>
      </c>
      <c r="F46" s="201">
        <v>0</v>
      </c>
      <c r="G46" s="201">
        <v>0</v>
      </c>
      <c r="H46" s="201">
        <v>0</v>
      </c>
      <c r="I46" s="201">
        <v>0</v>
      </c>
      <c r="J46" s="201">
        <v>0</v>
      </c>
      <c r="K46" s="201">
        <v>0</v>
      </c>
      <c r="L46" s="201">
        <v>0</v>
      </c>
      <c r="M46" s="201">
        <v>0</v>
      </c>
      <c r="N46" s="201">
        <v>0</v>
      </c>
      <c r="O46" s="201">
        <v>0</v>
      </c>
      <c r="P46" s="162">
        <v>0</v>
      </c>
    </row>
    <row r="47" spans="1:16" ht="14.1" customHeight="1" x14ac:dyDescent="0.2">
      <c r="A47" t="s">
        <v>200</v>
      </c>
      <c r="B47" t="s">
        <v>56</v>
      </c>
      <c r="D47" s="274" t="str">
        <f t="shared" ref="D47:D52" si="44">"YoY Change - "&amp;A47</f>
        <v>YoY Change - Inventories - Days Outstanding</v>
      </c>
      <c r="E47" s="161">
        <v>0</v>
      </c>
      <c r="F47" s="201">
        <v>0</v>
      </c>
      <c r="G47" s="201">
        <v>0</v>
      </c>
      <c r="H47" s="201">
        <v>0</v>
      </c>
      <c r="I47" s="201">
        <v>0</v>
      </c>
      <c r="J47" s="201">
        <v>0</v>
      </c>
      <c r="K47" s="201">
        <v>0</v>
      </c>
      <c r="L47" s="201">
        <v>0</v>
      </c>
      <c r="M47" s="201">
        <v>0</v>
      </c>
      <c r="N47" s="201">
        <v>0</v>
      </c>
      <c r="O47" s="201">
        <v>0</v>
      </c>
      <c r="P47" s="162">
        <v>0</v>
      </c>
    </row>
    <row r="48" spans="1:16" ht="14.1" customHeight="1" x14ac:dyDescent="0.2">
      <c r="A48" t="s">
        <v>207</v>
      </c>
      <c r="B48" t="s">
        <v>56</v>
      </c>
      <c r="D48" s="274" t="str">
        <f t="shared" si="44"/>
        <v>YoY Change - Accrued Compensation - % of L3M Corporate Headcount Expenses</v>
      </c>
      <c r="E48" s="161">
        <v>0</v>
      </c>
      <c r="F48" s="201">
        <v>0</v>
      </c>
      <c r="G48" s="201">
        <v>0</v>
      </c>
      <c r="H48" s="201">
        <v>0</v>
      </c>
      <c r="I48" s="201">
        <v>0</v>
      </c>
      <c r="J48" s="201">
        <v>0</v>
      </c>
      <c r="K48" s="201">
        <v>0</v>
      </c>
      <c r="L48" s="201">
        <v>0</v>
      </c>
      <c r="M48" s="201">
        <v>0</v>
      </c>
      <c r="N48" s="201">
        <v>0</v>
      </c>
      <c r="O48" s="201">
        <v>0</v>
      </c>
      <c r="P48" s="162">
        <v>0</v>
      </c>
    </row>
    <row r="49" spans="1:16" ht="14.1" customHeight="1" x14ac:dyDescent="0.2">
      <c r="A49" t="s">
        <v>202</v>
      </c>
      <c r="B49" t="s">
        <v>274</v>
      </c>
      <c r="D49" s="274" t="str">
        <f t="shared" si="44"/>
        <v>YoY Change - Prepaid expenses and other current assets - % of L3M Sales</v>
      </c>
      <c r="E49" s="161">
        <v>0</v>
      </c>
      <c r="F49" s="201">
        <v>0</v>
      </c>
      <c r="G49" s="201">
        <v>0</v>
      </c>
      <c r="H49" s="201">
        <v>0</v>
      </c>
      <c r="I49" s="201">
        <v>0</v>
      </c>
      <c r="J49" s="201">
        <v>0</v>
      </c>
      <c r="K49" s="201">
        <v>0</v>
      </c>
      <c r="L49" s="201">
        <v>0</v>
      </c>
      <c r="M49" s="201">
        <v>0</v>
      </c>
      <c r="N49" s="201">
        <v>0</v>
      </c>
      <c r="O49" s="201">
        <v>0</v>
      </c>
      <c r="P49" s="162">
        <v>0</v>
      </c>
    </row>
    <row r="50" spans="1:16" ht="14.1" customHeight="1" x14ac:dyDescent="0.2">
      <c r="A50" t="s">
        <v>206</v>
      </c>
      <c r="B50" t="s">
        <v>56</v>
      </c>
      <c r="D50" s="274" t="str">
        <f t="shared" si="44"/>
        <v>YoY Change - Accounts Payable - % of L3M SG&amp;A</v>
      </c>
      <c r="E50" s="161">
        <v>0</v>
      </c>
      <c r="F50" s="201">
        <v>0</v>
      </c>
      <c r="G50" s="201">
        <v>0</v>
      </c>
      <c r="H50" s="201">
        <v>0</v>
      </c>
      <c r="I50" s="201">
        <v>0</v>
      </c>
      <c r="J50" s="201">
        <v>0</v>
      </c>
      <c r="K50" s="201">
        <v>0</v>
      </c>
      <c r="L50" s="201">
        <v>0</v>
      </c>
      <c r="M50" s="201">
        <v>0</v>
      </c>
      <c r="N50" s="201">
        <v>0</v>
      </c>
      <c r="O50" s="201">
        <v>0</v>
      </c>
      <c r="P50" s="162">
        <v>0</v>
      </c>
    </row>
    <row r="51" spans="1:16" ht="14.1" customHeight="1" x14ac:dyDescent="0.2">
      <c r="A51" t="s">
        <v>203</v>
      </c>
      <c r="B51" t="s">
        <v>274</v>
      </c>
      <c r="D51" s="274" t="str">
        <f t="shared" si="44"/>
        <v>YoY Change - Deferred Revenue - % of L3M Sales</v>
      </c>
      <c r="E51" s="161">
        <v>0</v>
      </c>
      <c r="F51" s="201">
        <v>0</v>
      </c>
      <c r="G51" s="201">
        <v>0</v>
      </c>
      <c r="H51" s="201">
        <v>0</v>
      </c>
      <c r="I51" s="201">
        <v>0</v>
      </c>
      <c r="J51" s="201">
        <v>0</v>
      </c>
      <c r="K51" s="201">
        <v>0</v>
      </c>
      <c r="L51" s="201">
        <v>0</v>
      </c>
      <c r="M51" s="201">
        <v>0</v>
      </c>
      <c r="N51" s="201">
        <v>0</v>
      </c>
      <c r="O51" s="201">
        <v>0</v>
      </c>
      <c r="P51" s="162">
        <v>0</v>
      </c>
    </row>
    <row r="52" spans="1:16" ht="14.1" customHeight="1" x14ac:dyDescent="0.2">
      <c r="A52" s="7" t="s">
        <v>275</v>
      </c>
      <c r="B52" t="s">
        <v>56</v>
      </c>
      <c r="D52" s="274" t="str">
        <f t="shared" si="44"/>
        <v>YoY Change - Accrued expenses and other current liabilities - % of L3M Sales</v>
      </c>
      <c r="E52" s="161">
        <v>0</v>
      </c>
      <c r="F52" s="201">
        <v>0</v>
      </c>
      <c r="G52" s="201">
        <v>0</v>
      </c>
      <c r="H52" s="201">
        <v>0</v>
      </c>
      <c r="I52" s="201">
        <v>0</v>
      </c>
      <c r="J52" s="201">
        <v>0</v>
      </c>
      <c r="K52" s="201">
        <v>0</v>
      </c>
      <c r="L52" s="201">
        <v>0</v>
      </c>
      <c r="M52" s="201">
        <v>0</v>
      </c>
      <c r="N52" s="201">
        <v>0</v>
      </c>
      <c r="O52" s="201">
        <v>0</v>
      </c>
      <c r="P52" s="162">
        <v>0</v>
      </c>
    </row>
    <row r="53" spans="1:16" ht="14.1" customHeight="1" x14ac:dyDescent="0.2">
      <c r="B53" t="s">
        <v>56</v>
      </c>
      <c r="D53" s="275" t="s">
        <v>208</v>
      </c>
      <c r="E53" s="329">
        <v>500</v>
      </c>
      <c r="F53" s="330">
        <v>500</v>
      </c>
      <c r="G53" s="330">
        <v>500</v>
      </c>
      <c r="H53" s="330">
        <v>500</v>
      </c>
      <c r="I53" s="330">
        <v>500</v>
      </c>
      <c r="J53" s="330">
        <v>500</v>
      </c>
      <c r="K53" s="330">
        <v>1000</v>
      </c>
      <c r="L53" s="330">
        <v>1000</v>
      </c>
      <c r="M53" s="330">
        <v>1000</v>
      </c>
      <c r="N53" s="330">
        <v>1000</v>
      </c>
      <c r="O53" s="330">
        <v>1000</v>
      </c>
      <c r="P53" s="331">
        <v>1000</v>
      </c>
    </row>
    <row r="55" spans="1:16" x14ac:dyDescent="0.2">
      <c r="D55" s="20" t="s">
        <v>282</v>
      </c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2"/>
    </row>
    <row r="56" spans="1:16" ht="15" x14ac:dyDescent="0.35">
      <c r="D56" s="11"/>
      <c r="E56" s="4">
        <v>45658</v>
      </c>
      <c r="F56" s="19">
        <f t="shared" ref="F56" si="45">EOMONTH(E56,1)</f>
        <v>45716</v>
      </c>
      <c r="G56" s="19">
        <f t="shared" ref="G56" si="46">EOMONTH(F56,1)</f>
        <v>45747</v>
      </c>
      <c r="H56" s="19">
        <f t="shared" ref="H56" si="47">EOMONTH(G56,1)</f>
        <v>45777</v>
      </c>
      <c r="I56" s="19">
        <f t="shared" ref="I56" si="48">EOMONTH(H56,1)</f>
        <v>45808</v>
      </c>
      <c r="J56" s="19">
        <f t="shared" ref="J56" si="49">EOMONTH(I56,1)</f>
        <v>45838</v>
      </c>
      <c r="K56" s="19">
        <f t="shared" ref="K56" si="50">EOMONTH(J56,1)</f>
        <v>45869</v>
      </c>
      <c r="L56" s="19">
        <f t="shared" ref="L56" si="51">EOMONTH(K56,1)</f>
        <v>45900</v>
      </c>
      <c r="M56" s="19">
        <f t="shared" ref="M56" si="52">EOMONTH(L56,1)</f>
        <v>45930</v>
      </c>
      <c r="N56" s="19">
        <f t="shared" ref="N56" si="53">EOMONTH(M56,1)</f>
        <v>45961</v>
      </c>
      <c r="O56" s="19">
        <f t="shared" ref="O56" si="54">EOMONTH(N56,1)</f>
        <v>45991</v>
      </c>
      <c r="P56" s="5">
        <f t="shared" ref="P56" si="55">EOMONTH(O56,1)</f>
        <v>46022</v>
      </c>
    </row>
    <row r="57" spans="1:16" ht="14.1" customHeight="1" x14ac:dyDescent="0.2">
      <c r="B57" t="s">
        <v>56</v>
      </c>
      <c r="D57" s="274" t="s">
        <v>218</v>
      </c>
      <c r="E57" s="161">
        <v>4.4999999999999998E-2</v>
      </c>
      <c r="F57" s="201">
        <v>4.4999999999999998E-2</v>
      </c>
      <c r="G57" s="201">
        <v>4.4999999999999998E-2</v>
      </c>
      <c r="H57" s="201">
        <v>4.4999999999999998E-2</v>
      </c>
      <c r="I57" s="201">
        <v>4.4999999999999998E-2</v>
      </c>
      <c r="J57" s="201">
        <v>4.4999999999999998E-2</v>
      </c>
      <c r="K57" s="201">
        <v>4.4999999999999998E-2</v>
      </c>
      <c r="L57" s="201">
        <v>4.4999999999999998E-2</v>
      </c>
      <c r="M57" s="201">
        <v>4.4999999999999998E-2</v>
      </c>
      <c r="N57" s="201">
        <v>4.4999999999999998E-2</v>
      </c>
      <c r="O57" s="201">
        <v>4.4999999999999998E-2</v>
      </c>
      <c r="P57" s="162">
        <v>4.4999999999999998E-2</v>
      </c>
    </row>
    <row r="58" spans="1:16" ht="14.1" customHeight="1" x14ac:dyDescent="0.2">
      <c r="B58" t="s">
        <v>56</v>
      </c>
      <c r="D58" s="275" t="s">
        <v>217</v>
      </c>
      <c r="E58" s="329">
        <v>25000</v>
      </c>
      <c r="F58" s="330">
        <v>25000</v>
      </c>
      <c r="G58" s="330">
        <v>25000</v>
      </c>
      <c r="H58" s="330">
        <v>25000</v>
      </c>
      <c r="I58" s="330">
        <v>25000</v>
      </c>
      <c r="J58" s="330">
        <v>25000</v>
      </c>
      <c r="K58" s="330">
        <v>25000</v>
      </c>
      <c r="L58" s="330">
        <v>25000</v>
      </c>
      <c r="M58" s="330">
        <v>25000</v>
      </c>
      <c r="N58" s="330">
        <v>25000</v>
      </c>
      <c r="O58" s="330">
        <v>25000</v>
      </c>
      <c r="P58" s="331">
        <v>25000</v>
      </c>
    </row>
    <row r="59" spans="1:16" ht="6" customHeight="1" x14ac:dyDescent="0.2">
      <c r="D59" s="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</row>
  </sheetData>
  <pageMargins left="0.7" right="0.7" top="0.75" bottom="0.75" header="0.3" footer="0.3"/>
  <pageSetup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79BB-E8FE-4029-B61E-7463155A2A20}">
  <sheetPr>
    <tabColor rgb="FF598CCF"/>
    <pageSetUpPr fitToPage="1"/>
  </sheetPr>
  <dimension ref="B2:AI181"/>
  <sheetViews>
    <sheetView showGridLines="0" view="pageBreakPreview" zoomScale="85" zoomScaleNormal="100" zoomScaleSheetLayoutView="85" workbookViewId="0">
      <pane xSplit="3" ySplit="7" topLeftCell="D8" activePane="bottomRight" state="frozen"/>
      <selection pane="topRight"/>
      <selection pane="bottomLeft"/>
      <selection pane="bottomRight" activeCell="D8" sqref="D8"/>
    </sheetView>
  </sheetViews>
  <sheetFormatPr defaultRowHeight="12.75" x14ac:dyDescent="0.2"/>
  <cols>
    <col min="1" max="2" width="3.7109375" customWidth="1"/>
    <col min="3" max="3" width="60.140625" bestFit="1" customWidth="1"/>
    <col min="4" max="27" width="11.7109375" customWidth="1"/>
    <col min="28" max="28" width="2.28515625" customWidth="1"/>
    <col min="29" max="31" width="13.7109375" customWidth="1"/>
    <col min="32" max="32" width="2.28515625" customWidth="1"/>
    <col min="33" max="33" width="3.7109375" customWidth="1"/>
    <col min="34" max="34" width="12.28515625" bestFit="1" customWidth="1"/>
    <col min="35" max="35" width="11.7109375" bestFit="1" customWidth="1"/>
  </cols>
  <sheetData>
    <row r="2" spans="2:35" ht="13.5" thickBot="1" x14ac:dyDescent="0.25"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3"/>
      <c r="AE2" s="3">
        <f ca="1">TODAY()</f>
        <v>45999</v>
      </c>
      <c r="AF2" s="1"/>
    </row>
    <row r="3" spans="2:35" x14ac:dyDescent="0.2">
      <c r="C3" t="s">
        <v>161</v>
      </c>
      <c r="AE3" s="53" t="s">
        <v>16</v>
      </c>
    </row>
    <row r="5" spans="2:35" x14ac:dyDescent="0.2">
      <c r="D5" s="300" t="s">
        <v>229</v>
      </c>
      <c r="E5" s="301"/>
      <c r="F5" s="301"/>
      <c r="G5" s="301"/>
      <c r="H5" s="301"/>
      <c r="I5" s="301"/>
      <c r="J5" s="301"/>
      <c r="K5" s="301"/>
      <c r="L5" s="301"/>
      <c r="M5" s="301"/>
      <c r="N5" s="301"/>
      <c r="O5" s="302"/>
      <c r="P5" s="266" t="s">
        <v>230</v>
      </c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8"/>
      <c r="AC5" s="298" t="s">
        <v>231</v>
      </c>
      <c r="AD5" s="299"/>
      <c r="AE5" s="297" t="s">
        <v>232</v>
      </c>
    </row>
    <row r="6" spans="2:35" ht="15" x14ac:dyDescent="0.35">
      <c r="D6" s="211">
        <v>44957</v>
      </c>
      <c r="E6" s="212">
        <f>EOMONTH(D6,1)</f>
        <v>44985</v>
      </c>
      <c r="F6" s="212">
        <f t="shared" ref="F6:AA6" si="0">EOMONTH(E6,1)</f>
        <v>45016</v>
      </c>
      <c r="G6" s="212">
        <f t="shared" si="0"/>
        <v>45046</v>
      </c>
      <c r="H6" s="212">
        <f t="shared" si="0"/>
        <v>45077</v>
      </c>
      <c r="I6" s="212">
        <f t="shared" si="0"/>
        <v>45107</v>
      </c>
      <c r="J6" s="212">
        <f t="shared" si="0"/>
        <v>45138</v>
      </c>
      <c r="K6" s="212">
        <f t="shared" si="0"/>
        <v>45169</v>
      </c>
      <c r="L6" s="212">
        <f t="shared" si="0"/>
        <v>45199</v>
      </c>
      <c r="M6" s="212">
        <f t="shared" si="0"/>
        <v>45230</v>
      </c>
      <c r="N6" s="212">
        <f t="shared" si="0"/>
        <v>45260</v>
      </c>
      <c r="O6" s="213">
        <f t="shared" si="0"/>
        <v>45291</v>
      </c>
      <c r="P6" s="4">
        <f t="shared" si="0"/>
        <v>45322</v>
      </c>
      <c r="Q6" s="19">
        <f t="shared" si="0"/>
        <v>45351</v>
      </c>
      <c r="R6" s="19">
        <f t="shared" si="0"/>
        <v>45382</v>
      </c>
      <c r="S6" s="19">
        <f t="shared" si="0"/>
        <v>45412</v>
      </c>
      <c r="T6" s="19">
        <f t="shared" si="0"/>
        <v>45443</v>
      </c>
      <c r="U6" s="19">
        <f t="shared" si="0"/>
        <v>45473</v>
      </c>
      <c r="V6" s="19">
        <f t="shared" si="0"/>
        <v>45504</v>
      </c>
      <c r="W6" s="19">
        <f t="shared" si="0"/>
        <v>45535</v>
      </c>
      <c r="X6" s="19">
        <f t="shared" si="0"/>
        <v>45565</v>
      </c>
      <c r="Y6" s="19">
        <f t="shared" si="0"/>
        <v>45596</v>
      </c>
      <c r="Z6" s="19">
        <f t="shared" si="0"/>
        <v>45626</v>
      </c>
      <c r="AA6" s="5">
        <f t="shared" si="0"/>
        <v>45657</v>
      </c>
      <c r="AB6" s="12"/>
      <c r="AC6" s="13">
        <v>45291</v>
      </c>
      <c r="AD6" s="14">
        <v>45657</v>
      </c>
      <c r="AE6" s="14">
        <v>46022</v>
      </c>
    </row>
    <row r="7" spans="2:35" ht="0.95" customHeight="1" x14ac:dyDescent="0.2">
      <c r="D7" s="11"/>
      <c r="P7" s="11"/>
      <c r="AA7" s="15"/>
      <c r="AB7" s="15"/>
      <c r="AC7" s="11"/>
      <c r="AD7" s="15"/>
    </row>
    <row r="8" spans="2:35" x14ac:dyDescent="0.2">
      <c r="C8" s="7" t="s">
        <v>160</v>
      </c>
      <c r="D8" s="178">
        <f>_xlfn.XLOOKUP($C8,'Cons. Financials - ''23 ''24'!$C$8:$C$79,'Cons. Financials - ''23 ''24'!P$8:P$79)</f>
        <v>116</v>
      </c>
      <c r="E8" s="179">
        <f>_xlfn.XLOOKUP($C8,'Cons. Financials - ''23 ''24'!$C$8:$C$79,'Cons. Financials - ''23 ''24'!Q$8:Q$79)</f>
        <v>106</v>
      </c>
      <c r="F8" s="179">
        <f>_xlfn.XLOOKUP($C8,'Cons. Financials - ''23 ''24'!$C$8:$C$79,'Cons. Financials - ''23 ''24'!R$8:R$79)</f>
        <v>98</v>
      </c>
      <c r="G8" s="179">
        <f>_xlfn.XLOOKUP($C8,'Cons. Financials - ''23 ''24'!$C$8:$C$79,'Cons. Financials - ''23 ''24'!S$8:S$79)</f>
        <v>86</v>
      </c>
      <c r="H8" s="179">
        <f>_xlfn.XLOOKUP($C8,'Cons. Financials - ''23 ''24'!$C$8:$C$79,'Cons. Financials - ''23 ''24'!T$8:T$79)</f>
        <v>72</v>
      </c>
      <c r="I8" s="179">
        <f>_xlfn.XLOOKUP($C8,'Cons. Financials - ''23 ''24'!$C$8:$C$79,'Cons. Financials - ''23 ''24'!U$8:U$79)</f>
        <v>79</v>
      </c>
      <c r="J8" s="179">
        <f>_xlfn.XLOOKUP($C8,'Cons. Financials - ''23 ''24'!$C$8:$C$79,'Cons. Financials - ''23 ''24'!V$8:V$79)</f>
        <v>92</v>
      </c>
      <c r="K8" s="179">
        <f>_xlfn.XLOOKUP($C8,'Cons. Financials - ''23 ''24'!$C$8:$C$79,'Cons. Financials - ''23 ''24'!W$8:W$79)</f>
        <v>113</v>
      </c>
      <c r="L8" s="179">
        <f>_xlfn.XLOOKUP($C8,'Cons. Financials - ''23 ''24'!$C$8:$C$79,'Cons. Financials - ''23 ''24'!X$8:X$79)</f>
        <v>113</v>
      </c>
      <c r="M8" s="179">
        <f>_xlfn.XLOOKUP($C8,'Cons. Financials - ''23 ''24'!$C$8:$C$79,'Cons. Financials - ''23 ''24'!Y$8:Y$79)</f>
        <v>111</v>
      </c>
      <c r="N8" s="179">
        <f>_xlfn.XLOOKUP($C8,'Cons. Financials - ''23 ''24'!$C$8:$C$79,'Cons. Financials - ''23 ''24'!Z$8:Z$79)</f>
        <v>126</v>
      </c>
      <c r="O8" s="179">
        <f>_xlfn.XLOOKUP($C8,'Cons. Financials - ''23 ''24'!$C$8:$C$79,'Cons. Financials - ''23 ''24'!AA$8:AA$79)</f>
        <v>125</v>
      </c>
      <c r="P8" s="178">
        <f>SUMIFS('Site Level Budget - ''25'!S:S,'Site Level Budget - ''25'!$F:$F,'Consolidated Budget - ''25'!$C8)</f>
        <v>125</v>
      </c>
      <c r="Q8" s="179">
        <f>SUMIFS('Site Level Budget - ''25'!T:T,'Site Level Budget - ''25'!$F:$F,'Consolidated Budget - ''25'!$C8)</f>
        <v>127</v>
      </c>
      <c r="R8" s="179">
        <f>SUMIFS('Site Level Budget - ''25'!U:U,'Site Level Budget - ''25'!$F:$F,'Consolidated Budget - ''25'!$C8)</f>
        <v>127</v>
      </c>
      <c r="S8" s="179">
        <f>SUMIFS('Site Level Budget - ''25'!V:V,'Site Level Budget - ''25'!$F:$F,'Consolidated Budget - ''25'!$C8)</f>
        <v>129</v>
      </c>
      <c r="T8" s="179">
        <f>SUMIFS('Site Level Budget - ''25'!W:W,'Site Level Budget - ''25'!$F:$F,'Consolidated Budget - ''25'!$C8)</f>
        <v>129</v>
      </c>
      <c r="U8" s="179">
        <f>SUMIFS('Site Level Budget - ''25'!X:X,'Site Level Budget - ''25'!$F:$F,'Consolidated Budget - ''25'!$C8)</f>
        <v>129</v>
      </c>
      <c r="V8" s="179">
        <f>SUMIFS('Site Level Budget - ''25'!Y:Y,'Site Level Budget - ''25'!$F:$F,'Consolidated Budget - ''25'!$C8)</f>
        <v>137</v>
      </c>
      <c r="W8" s="179">
        <f>SUMIFS('Site Level Budget - ''25'!Z:Z,'Site Level Budget - ''25'!$F:$F,'Consolidated Budget - ''25'!$C8)</f>
        <v>137</v>
      </c>
      <c r="X8" s="179">
        <f>SUMIFS('Site Level Budget - ''25'!AA:AA,'Site Level Budget - ''25'!$F:$F,'Consolidated Budget - ''25'!$C8)</f>
        <v>137</v>
      </c>
      <c r="Y8" s="179">
        <f>SUMIFS('Site Level Budget - ''25'!AB:AB,'Site Level Budget - ''25'!$F:$F,'Consolidated Budget - ''25'!$C8)</f>
        <v>137</v>
      </c>
      <c r="Z8" s="179">
        <f>SUMIFS('Site Level Budget - ''25'!AC:AC,'Site Level Budget - ''25'!$F:$F,'Consolidated Budget - ''25'!$C8)</f>
        <v>137</v>
      </c>
      <c r="AA8" s="290">
        <f>SUMIFS('Site Level Budget - ''25'!AD:AD,'Site Level Budget - ''25'!$F:$F,'Consolidated Budget - ''25'!$C8)</f>
        <v>137</v>
      </c>
      <c r="AB8" s="87"/>
      <c r="AC8" s="178">
        <f>'Cons. Financials - ''23 ''24'!AC8</f>
        <v>91.75</v>
      </c>
      <c r="AD8" s="156">
        <f>AVERAGE(D8:O8)</f>
        <v>103.08333333333333</v>
      </c>
      <c r="AE8" s="156">
        <f>AVERAGE(P8:AA8)</f>
        <v>132.33333333333334</v>
      </c>
    </row>
    <row r="9" spans="2:35" x14ac:dyDescent="0.2">
      <c r="C9" s="7" t="s">
        <v>54</v>
      </c>
      <c r="D9" s="178">
        <f>_xlfn.XLOOKUP($C9,'Cons. Financials - ''23 ''24'!$C$8:$C$79,'Cons. Financials - ''23 ''24'!P$8:P$79)</f>
        <v>22.801724137931036</v>
      </c>
      <c r="E9" s="235">
        <f>_xlfn.XLOOKUP($C9,'Cons. Financials - ''23 ''24'!$C$8:$C$79,'Cons. Financials - ''23 ''24'!Q$8:Q$79)</f>
        <v>21.79245283018868</v>
      </c>
      <c r="F9" s="235">
        <f>_xlfn.XLOOKUP($C9,'Cons. Financials - ''23 ''24'!$C$8:$C$79,'Cons. Financials - ''23 ''24'!R$8:R$79)</f>
        <v>21.775510204081634</v>
      </c>
      <c r="G9" s="179">
        <f>_xlfn.XLOOKUP($C9,'Cons. Financials - ''23 ''24'!$C$8:$C$79,'Cons. Financials - ''23 ''24'!S$8:S$79)</f>
        <v>21.744186046511629</v>
      </c>
      <c r="H9" s="179">
        <f>_xlfn.XLOOKUP($C9,'Cons. Financials - ''23 ''24'!$C$8:$C$79,'Cons. Financials - ''23 ''24'!T$8:T$79)</f>
        <v>24</v>
      </c>
      <c r="I9" s="179">
        <f>_xlfn.XLOOKUP($C9,'Cons. Financials - ''23 ''24'!$C$8:$C$79,'Cons. Financials - ''23 ''24'!U$8:U$79)</f>
        <v>21</v>
      </c>
      <c r="J9" s="179">
        <f>_xlfn.XLOOKUP($C9,'Cons. Financials - ''23 ''24'!$C$8:$C$79,'Cons. Financials - ''23 ''24'!V$8:V$79)</f>
        <v>23</v>
      </c>
      <c r="K9" s="179">
        <f>_xlfn.XLOOKUP($C9,'Cons. Financials - ''23 ''24'!$C$8:$C$79,'Cons. Financials - ''23 ''24'!W$8:W$79)</f>
        <v>22.79646017699115</v>
      </c>
      <c r="L9" s="179">
        <f>_xlfn.XLOOKUP($C9,'Cons. Financials - ''23 ''24'!$C$8:$C$79,'Cons. Financials - ''23 ''24'!X$8:X$79)</f>
        <v>20.814159292035399</v>
      </c>
      <c r="M9" s="179">
        <f>_xlfn.XLOOKUP($C9,'Cons. Financials - ''23 ''24'!$C$8:$C$79,'Cons. Financials - ''23 ''24'!Y$8:Y$79)</f>
        <v>24</v>
      </c>
      <c r="N9" s="179">
        <f>_xlfn.XLOOKUP($C9,'Cons. Financials - ''23 ''24'!$C$8:$C$79,'Cons. Financials - ''23 ''24'!Z$8:Z$79)</f>
        <v>22</v>
      </c>
      <c r="O9" s="179">
        <f>_xlfn.XLOOKUP($C9,'Cons. Financials - ''23 ''24'!$C$8:$C$79,'Cons. Financials - ''23 ''24'!AA$8:AA$79)</f>
        <v>22</v>
      </c>
      <c r="P9" s="155">
        <f t="shared" ref="P9:AA9" si="1">P10/P8</f>
        <v>23</v>
      </c>
      <c r="Q9" s="154">
        <f t="shared" si="1"/>
        <v>22</v>
      </c>
      <c r="R9" s="154">
        <f t="shared" si="1"/>
        <v>22</v>
      </c>
      <c r="S9" s="154">
        <f t="shared" si="1"/>
        <v>22</v>
      </c>
      <c r="T9" s="154">
        <f t="shared" si="1"/>
        <v>24</v>
      </c>
      <c r="U9" s="154">
        <f t="shared" si="1"/>
        <v>21</v>
      </c>
      <c r="V9" s="154">
        <f t="shared" si="1"/>
        <v>23</v>
      </c>
      <c r="W9" s="154">
        <f t="shared" si="1"/>
        <v>23</v>
      </c>
      <c r="X9" s="154">
        <f t="shared" si="1"/>
        <v>21</v>
      </c>
      <c r="Y9" s="154">
        <f t="shared" si="1"/>
        <v>24</v>
      </c>
      <c r="Z9" s="154">
        <f t="shared" si="1"/>
        <v>22</v>
      </c>
      <c r="AA9" s="156">
        <f t="shared" si="1"/>
        <v>22</v>
      </c>
      <c r="AB9" s="33"/>
      <c r="AC9" s="115">
        <f>'Cons. Financials - ''23 ''24'!AC9</f>
        <v>270.1678375951218</v>
      </c>
      <c r="AD9" s="93">
        <f>SUM(D9:O9)</f>
        <v>267.72449268773954</v>
      </c>
      <c r="AE9" s="93">
        <f>SUM(P9:AA9)</f>
        <v>269</v>
      </c>
    </row>
    <row r="10" spans="2:35" x14ac:dyDescent="0.2">
      <c r="C10" s="8" t="s">
        <v>51</v>
      </c>
      <c r="D10" s="112">
        <f>_xlfn.XLOOKUP($C10,'Cons. Financials - ''23 ''24'!$C$8:$C$79,'Cons. Financials - ''23 ''24'!P$8:P$79)</f>
        <v>2645</v>
      </c>
      <c r="E10" s="307">
        <f>_xlfn.XLOOKUP($C10,'Cons. Financials - ''23 ''24'!$C$8:$C$79,'Cons. Financials - ''23 ''24'!Q$8:Q$79)</f>
        <v>2310</v>
      </c>
      <c r="F10" s="307">
        <f>_xlfn.XLOOKUP($C10,'Cons. Financials - ''23 ''24'!$C$8:$C$79,'Cons. Financials - ''23 ''24'!R$8:R$79)</f>
        <v>2134</v>
      </c>
      <c r="G10" s="308">
        <f>_xlfn.XLOOKUP($C10,'Cons. Financials - ''23 ''24'!$C$8:$C$79,'Cons. Financials - ''23 ''24'!S$8:S$79)</f>
        <v>1870</v>
      </c>
      <c r="H10" s="308">
        <f>_xlfn.XLOOKUP($C10,'Cons. Financials - ''23 ''24'!$C$8:$C$79,'Cons. Financials - ''23 ''24'!T$8:T$79)</f>
        <v>1728</v>
      </c>
      <c r="I10" s="308">
        <f>_xlfn.XLOOKUP($C10,'Cons. Financials - ''23 ''24'!$C$8:$C$79,'Cons. Financials - ''23 ''24'!U$8:U$79)</f>
        <v>1659</v>
      </c>
      <c r="J10" s="308">
        <f>_xlfn.XLOOKUP($C10,'Cons. Financials - ''23 ''24'!$C$8:$C$79,'Cons. Financials - ''23 ''24'!V$8:V$79)</f>
        <v>2116</v>
      </c>
      <c r="K10" s="308">
        <f>_xlfn.XLOOKUP($C10,'Cons. Financials - ''23 ''24'!$C$8:$C$79,'Cons. Financials - ''23 ''24'!W$8:W$79)</f>
        <v>2576</v>
      </c>
      <c r="L10" s="308">
        <f>_xlfn.XLOOKUP($C10,'Cons. Financials - ''23 ''24'!$C$8:$C$79,'Cons. Financials - ''23 ''24'!X$8:X$79)</f>
        <v>2352</v>
      </c>
      <c r="M10" s="308">
        <f>_xlfn.XLOOKUP($C10,'Cons. Financials - ''23 ''24'!$C$8:$C$79,'Cons. Financials - ''23 ''24'!Y$8:Y$79)</f>
        <v>2664</v>
      </c>
      <c r="N10" s="308">
        <f>_xlfn.XLOOKUP($C10,'Cons. Financials - ''23 ''24'!$C$8:$C$79,'Cons. Financials - ''23 ''24'!Z$8:Z$79)</f>
        <v>2772</v>
      </c>
      <c r="O10" s="308">
        <f>_xlfn.XLOOKUP($C10,'Cons. Financials - ''23 ''24'!$C$8:$C$79,'Cons. Financials - ''23 ''24'!AA$8:AA$79)</f>
        <v>2750</v>
      </c>
      <c r="P10" s="112">
        <f>SUMIFS('Site Level Budget - ''25'!S:S,'Site Level Budget - ''25'!$F:$F,'Consolidated Budget - ''25'!$C10)</f>
        <v>2875</v>
      </c>
      <c r="Q10" s="308">
        <f>SUMIFS('Site Level Budget - ''25'!T:T,'Site Level Budget - ''25'!$F:$F,'Consolidated Budget - ''25'!$C10)</f>
        <v>2794</v>
      </c>
      <c r="R10" s="308">
        <f>SUMIFS('Site Level Budget - ''25'!U:U,'Site Level Budget - ''25'!$F:$F,'Consolidated Budget - ''25'!$C10)</f>
        <v>2794</v>
      </c>
      <c r="S10" s="308">
        <f>SUMIFS('Site Level Budget - ''25'!V:V,'Site Level Budget - ''25'!$F:$F,'Consolidated Budget - ''25'!$C10)</f>
        <v>2838</v>
      </c>
      <c r="T10" s="308">
        <f>SUMIFS('Site Level Budget - ''25'!W:W,'Site Level Budget - ''25'!$F:$F,'Consolidated Budget - ''25'!$C10)</f>
        <v>3096</v>
      </c>
      <c r="U10" s="308">
        <f>SUMIFS('Site Level Budget - ''25'!X:X,'Site Level Budget - ''25'!$F:$F,'Consolidated Budget - ''25'!$C10)</f>
        <v>2709</v>
      </c>
      <c r="V10" s="308">
        <f>SUMIFS('Site Level Budget - ''25'!Y:Y,'Site Level Budget - ''25'!$F:$F,'Consolidated Budget - ''25'!$C10)</f>
        <v>3151</v>
      </c>
      <c r="W10" s="308">
        <f>SUMIFS('Site Level Budget - ''25'!Z:Z,'Site Level Budget - ''25'!$F:$F,'Consolidated Budget - ''25'!$C10)</f>
        <v>3151</v>
      </c>
      <c r="X10" s="308">
        <f>SUMIFS('Site Level Budget - ''25'!AA:AA,'Site Level Budget - ''25'!$F:$F,'Consolidated Budget - ''25'!$C10)</f>
        <v>2877</v>
      </c>
      <c r="Y10" s="308">
        <f>SUMIFS('Site Level Budget - ''25'!AB:AB,'Site Level Budget - ''25'!$F:$F,'Consolidated Budget - ''25'!$C10)</f>
        <v>3288</v>
      </c>
      <c r="Z10" s="308">
        <f>SUMIFS('Site Level Budget - ''25'!AC:AC,'Site Level Budget - ''25'!$F:$F,'Consolidated Budget - ''25'!$C10)</f>
        <v>3014</v>
      </c>
      <c r="AA10" s="332">
        <f>SUMIFS('Site Level Budget - ''25'!AD:AD,'Site Level Budget - ''25'!$F:$F,'Consolidated Budget - ''25'!$C10)</f>
        <v>3014</v>
      </c>
      <c r="AB10" s="15"/>
      <c r="AC10" s="112">
        <f>'Cons. Financials - ''23 ''24'!AC10</f>
        <v>24725</v>
      </c>
      <c r="AD10" s="120">
        <f>SUM(D10:O10)</f>
        <v>27576</v>
      </c>
      <c r="AE10" s="120">
        <f>SUM(P10:AA10)</f>
        <v>35601</v>
      </c>
      <c r="AH10" s="10"/>
      <c r="AI10" s="10"/>
    </row>
    <row r="11" spans="2:35" x14ac:dyDescent="0.2">
      <c r="C11" s="7" t="s">
        <v>50</v>
      </c>
      <c r="D11" s="309">
        <f>_xlfn.XLOOKUP($C11,'Cons. Financials - ''23 ''24'!$C$8:$C$79,'Cons. Financials - ''23 ''24'!P$8:P$79)</f>
        <v>5.2302826755453848</v>
      </c>
      <c r="E11" s="310">
        <f>_xlfn.XLOOKUP($C11,'Cons. Financials - ''23 ''24'!$C$8:$C$79,'Cons. Financials - ''23 ''24'!Q$8:Q$79)</f>
        <v>5.6445874746385289</v>
      </c>
      <c r="F11" s="310">
        <f>_xlfn.XLOOKUP($C11,'Cons. Financials - ''23 ''24'!$C$8:$C$79,'Cons. Financials - ''23 ''24'!R$8:R$79)</f>
        <v>6.0422819701482462</v>
      </c>
      <c r="G11" s="310">
        <f>_xlfn.XLOOKUP($C11,'Cons. Financials - ''23 ''24'!$C$8:$C$79,'Cons. Financials - ''23 ''24'!S$8:S$79)</f>
        <v>6.4521191338887691</v>
      </c>
      <c r="H11" s="310">
        <f>_xlfn.XLOOKUP($C11,'Cons. Financials - ''23 ''24'!$C$8:$C$79,'Cons. Financials - ''23 ''24'!T$8:T$79)</f>
        <v>7.0078770126267118</v>
      </c>
      <c r="I11" s="310">
        <f>_xlfn.XLOOKUP($C11,'Cons. Financials - ''23 ''24'!$C$8:$C$79,'Cons. Financials - ''23 ''24'!U$8:U$79)</f>
        <v>6.7021900487586841</v>
      </c>
      <c r="J11" s="310">
        <f>_xlfn.XLOOKUP($C11,'Cons. Financials - ''23 ''24'!$C$8:$C$79,'Cons. Financials - ''23 ''24'!V$8:V$79)</f>
        <v>6.142561123460208</v>
      </c>
      <c r="K11" s="310">
        <f>_xlfn.XLOOKUP($C11,'Cons. Financials - ''23 ''24'!$C$8:$C$79,'Cons. Financials - ''23 ''24'!W$8:W$79)</f>
        <v>5.2467146387499586</v>
      </c>
      <c r="L11" s="310">
        <f>_xlfn.XLOOKUP($C11,'Cons. Financials - ''23 ''24'!$C$8:$C$79,'Cons. Financials - ''23 ''24'!X$8:X$79)</f>
        <v>5.2510249027411859</v>
      </c>
      <c r="M11" s="310">
        <f>_xlfn.XLOOKUP($C11,'Cons. Financials - ''23 ''24'!$C$8:$C$79,'Cons. Financials - ''23 ''24'!Y$8:Y$79)</f>
        <v>5.2594150699143816</v>
      </c>
      <c r="N11" s="310">
        <f>_xlfn.XLOOKUP($C11,'Cons. Financials - ''23 ''24'!$C$8:$C$79,'Cons. Financials - ''23 ''24'!Z$8:Z$79)</f>
        <v>4.5178188307364104</v>
      </c>
      <c r="O11" s="310">
        <f>_xlfn.XLOOKUP($C11,'Cons. Financials - ''23 ''24'!$C$8:$C$79,'Cons. Financials - ''23 ''24'!AA$8:AA$79)</f>
        <v>3.6724410442865802</v>
      </c>
      <c r="P11" s="105">
        <f t="shared" ref="P11:AA11" si="2">P12/P10</f>
        <v>5.1958017193411505</v>
      </c>
      <c r="Q11" s="106">
        <f t="shared" si="2"/>
        <v>5.6081572641612514</v>
      </c>
      <c r="R11" s="106">
        <f t="shared" si="2"/>
        <v>6.0219788939204708</v>
      </c>
      <c r="S11" s="106">
        <f t="shared" si="2"/>
        <v>6.4128139403428071</v>
      </c>
      <c r="T11" s="106">
        <f t="shared" si="2"/>
        <v>6.9865622846974924</v>
      </c>
      <c r="U11" s="106">
        <f t="shared" si="2"/>
        <v>6.7050936204563856</v>
      </c>
      <c r="V11" s="106">
        <f t="shared" si="2"/>
        <v>5.9939801776571011</v>
      </c>
      <c r="W11" s="106">
        <f t="shared" si="2"/>
        <v>5.1397830438008061</v>
      </c>
      <c r="X11" s="106">
        <f t="shared" si="2"/>
        <v>5.1611380718410071</v>
      </c>
      <c r="Y11" s="106">
        <f t="shared" si="2"/>
        <v>5.1865884100462862</v>
      </c>
      <c r="Z11" s="106">
        <f t="shared" si="2"/>
        <v>4.4725496170787542</v>
      </c>
      <c r="AA11" s="107">
        <f t="shared" si="2"/>
        <v>3.6505511399516242</v>
      </c>
      <c r="AB11" s="15"/>
      <c r="AC11" s="230">
        <f>'Cons. Financials - ''23 ''24'!AC11</f>
        <v>5.2426568997718288</v>
      </c>
      <c r="AD11" s="101">
        <f t="shared" ref="AD11:AE11" si="3">AD12/AD10</f>
        <v>5.4597703528924004</v>
      </c>
      <c r="AE11" s="101">
        <f t="shared" si="3"/>
        <v>5.5305806662773795</v>
      </c>
    </row>
    <row r="12" spans="2:35" x14ac:dyDescent="0.2">
      <c r="C12" s="8" t="s">
        <v>1</v>
      </c>
      <c r="D12" s="113">
        <f>_xlfn.XLOOKUP($C12,'Cons. Financials - ''23 ''24'!$C$8:$C$79,'Cons. Financials - ''23 ''24'!P$8:P$79)</f>
        <v>13834.097676817542</v>
      </c>
      <c r="E12" s="114">
        <f>_xlfn.XLOOKUP($C12,'Cons. Financials - ''23 ''24'!$C$8:$C$79,'Cons. Financials - ''23 ''24'!Q$8:Q$79)</f>
        <v>13038.997066415002</v>
      </c>
      <c r="F12" s="114">
        <f>_xlfn.XLOOKUP($C12,'Cons. Financials - ''23 ''24'!$C$8:$C$79,'Cons. Financials - ''23 ''24'!R$8:R$79)</f>
        <v>12894.229724296358</v>
      </c>
      <c r="G12" s="114">
        <f>_xlfn.XLOOKUP($C12,'Cons. Financials - ''23 ''24'!$C$8:$C$79,'Cons. Financials - ''23 ''24'!S$8:S$79)</f>
        <v>12065.462780371998</v>
      </c>
      <c r="H12" s="114">
        <f>_xlfn.XLOOKUP($C12,'Cons. Financials - ''23 ''24'!$C$8:$C$79,'Cons. Financials - ''23 ''24'!T$8:T$79)</f>
        <v>12109.611477818959</v>
      </c>
      <c r="I12" s="114">
        <f>_xlfn.XLOOKUP($C12,'Cons. Financials - ''23 ''24'!$C$8:$C$79,'Cons. Financials - ''23 ''24'!U$8:U$79)</f>
        <v>11118.933290890656</v>
      </c>
      <c r="J12" s="114">
        <f>_xlfn.XLOOKUP($C12,'Cons. Financials - ''23 ''24'!$C$8:$C$79,'Cons. Financials - ''23 ''24'!V$8:V$79)</f>
        <v>12997.659337241801</v>
      </c>
      <c r="K12" s="114">
        <f>_xlfn.XLOOKUP($C12,'Cons. Financials - ''23 ''24'!$C$8:$C$79,'Cons. Financials - ''23 ''24'!W$8:W$79)</f>
        <v>13515.536909419892</v>
      </c>
      <c r="L12" s="114">
        <f>_xlfn.XLOOKUP($C12,'Cons. Financials - ''23 ''24'!$C$8:$C$79,'Cons. Financials - ''23 ''24'!X$8:X$79)</f>
        <v>12350.41057124727</v>
      </c>
      <c r="M12" s="114">
        <f>_xlfn.XLOOKUP($C12,'Cons. Financials - ''23 ''24'!$C$8:$C$79,'Cons. Financials - ''23 ''24'!Y$8:Y$79)</f>
        <v>14011.081746251914</v>
      </c>
      <c r="N12" s="114">
        <f>_xlfn.XLOOKUP($C12,'Cons. Financials - ''23 ''24'!$C$8:$C$79,'Cons. Financials - ''23 ''24'!Z$8:Z$79)</f>
        <v>12523.393798801329</v>
      </c>
      <c r="O12" s="114">
        <f>_xlfn.XLOOKUP($C12,'Cons. Financials - ''23 ''24'!$C$8:$C$79,'Cons. Financials - ''23 ''24'!AA$8:AA$79)</f>
        <v>10099.212871788095</v>
      </c>
      <c r="P12" s="113">
        <f>SUMIFS('Site Level Budget - ''25'!S:S,'Site Level Budget - ''25'!$F:$F,'Consolidated Budget - ''25'!$C12)</f>
        <v>14937.929943105808</v>
      </c>
      <c r="Q12" s="114">
        <f>SUMIFS('Site Level Budget - ''25'!T:T,'Site Level Budget - ''25'!$F:$F,'Consolidated Budget - ''25'!$C12)</f>
        <v>15669.191396066535</v>
      </c>
      <c r="R12" s="114">
        <f>SUMIFS('Site Level Budget - ''25'!U:U,'Site Level Budget - ''25'!$F:$F,'Consolidated Budget - ''25'!$C12)</f>
        <v>16825.409029613795</v>
      </c>
      <c r="S12" s="114">
        <f>SUMIFS('Site Level Budget - ''25'!V:V,'Site Level Budget - ''25'!$F:$F,'Consolidated Budget - ''25'!$C12)</f>
        <v>18199.565962692886</v>
      </c>
      <c r="T12" s="114">
        <f>SUMIFS('Site Level Budget - ''25'!W:W,'Site Level Budget - ''25'!$F:$F,'Consolidated Budget - ''25'!$C12)</f>
        <v>21630.396833423438</v>
      </c>
      <c r="U12" s="114">
        <f>SUMIFS('Site Level Budget - ''25'!X:X,'Site Level Budget - ''25'!$F:$F,'Consolidated Budget - ''25'!$C12)</f>
        <v>18164.098617816348</v>
      </c>
      <c r="V12" s="114">
        <f>SUMIFS('Site Level Budget - ''25'!Y:Y,'Site Level Budget - ''25'!$F:$F,'Consolidated Budget - ''25'!$C12)</f>
        <v>18887.031539797525</v>
      </c>
      <c r="W12" s="114">
        <f>SUMIFS('Site Level Budget - ''25'!Z:Z,'Site Level Budget - ''25'!$F:$F,'Consolidated Budget - ''25'!$C12)</f>
        <v>16195.45637101634</v>
      </c>
      <c r="X12" s="114">
        <f>SUMIFS('Site Level Budget - ''25'!AA:AA,'Site Level Budget - ''25'!$F:$F,'Consolidated Budget - ''25'!$C12)</f>
        <v>14848.594232686577</v>
      </c>
      <c r="Y12" s="114">
        <f>SUMIFS('Site Level Budget - ''25'!AB:AB,'Site Level Budget - ''25'!$F:$F,'Consolidated Budget - ''25'!$C12)</f>
        <v>17053.502692232189</v>
      </c>
      <c r="Z12" s="114">
        <f>SUMIFS('Site Level Budget - ''25'!AC:AC,'Site Level Budget - ''25'!$F:$F,'Consolidated Budget - ''25'!$C12)</f>
        <v>13480.264545875365</v>
      </c>
      <c r="AA12" s="333">
        <f>SUMIFS('Site Level Budget - ''25'!AD:AD,'Site Level Budget - ''25'!$F:$F,'Consolidated Budget - ''25'!$C12)</f>
        <v>11002.761135814195</v>
      </c>
      <c r="AB12" s="15"/>
      <c r="AC12" s="113">
        <f>'Cons. Financials - ''23 ''24'!AC12</f>
        <v>129624.69184685848</v>
      </c>
      <c r="AD12" s="95">
        <f>SUM(D12:O12)</f>
        <v>150558.62725136083</v>
      </c>
      <c r="AE12" s="95">
        <f>SUM(P12:AA12)</f>
        <v>196894.20230014098</v>
      </c>
      <c r="AH12" s="55"/>
      <c r="AI12" s="55"/>
    </row>
    <row r="13" spans="2:35" x14ac:dyDescent="0.2">
      <c r="C13" s="7" t="s">
        <v>2</v>
      </c>
      <c r="D13" s="231">
        <f>_xlfn.XLOOKUP($C13,'Cons. Financials - ''23 ''24'!$C$8:$C$79,'Cons. Financials - ''23 ''24'!P$8:P$79)</f>
        <v>0.97968328397853466</v>
      </c>
      <c r="E13" s="311">
        <f>_xlfn.XLOOKUP($C13,'Cons. Financials - ''23 ''24'!$C$8:$C$79,'Cons. Financials - ''23 ''24'!Q$8:Q$79)</f>
        <v>0.97955179367512624</v>
      </c>
      <c r="F13" s="311">
        <f>_xlfn.XLOOKUP($C13,'Cons. Financials - ''23 ''24'!$C$8:$C$79,'Cons. Financials - ''23 ''24'!R$8:R$79)</f>
        <v>0.97940904008531726</v>
      </c>
      <c r="G13" s="311">
        <f>_xlfn.XLOOKUP($C13,'Cons. Financials - ''23 ''24'!$C$8:$C$79,'Cons. Financials - ''23 ''24'!S$8:S$79)</f>
        <v>0.97938359347010695</v>
      </c>
      <c r="H13" s="311">
        <f>_xlfn.XLOOKUP($C13,'Cons. Financials - ''23 ''24'!$C$8:$C$79,'Cons. Financials - ''23 ''24'!T$8:T$79)</f>
        <v>0.97919882823607951</v>
      </c>
      <c r="I13" s="311">
        <f>_xlfn.XLOOKUP($C13,'Cons. Financials - ''23 ''24'!$C$8:$C$79,'Cons. Financials - ''23 ''24'!U$8:U$79)</f>
        <v>0.97919967646677242</v>
      </c>
      <c r="J13" s="311">
        <f>_xlfn.XLOOKUP($C13,'Cons. Financials - ''23 ''24'!$C$8:$C$79,'Cons. Financials - ''23 ''24'!V$8:V$79)</f>
        <v>0.97923242460588467</v>
      </c>
      <c r="K13" s="311">
        <f>_xlfn.XLOOKUP($C13,'Cons. Financials - ''23 ''24'!$C$8:$C$79,'Cons. Financials - ''23 ''24'!W$8:W$79)</f>
        <v>0.97955680136417211</v>
      </c>
      <c r="L13" s="311">
        <f>_xlfn.XLOOKUP($C13,'Cons. Financials - ''23 ''24'!$C$8:$C$79,'Cons. Financials - ''23 ''24'!X$8:X$79)</f>
        <v>0.97948237107906599</v>
      </c>
      <c r="M13" s="311">
        <f>_xlfn.XLOOKUP($C13,'Cons. Financials - ''23 ''24'!$C$8:$C$79,'Cons. Financials - ''23 ''24'!Y$8:Y$79)</f>
        <v>0.97954484300074374</v>
      </c>
      <c r="N13" s="311">
        <f>_xlfn.XLOOKUP($C13,'Cons. Financials - ''23 ''24'!$C$8:$C$79,'Cons. Financials - ''23 ''24'!Z$8:Z$79)</f>
        <v>0.9795890170066065</v>
      </c>
      <c r="O13" s="311">
        <f>_xlfn.XLOOKUP($C13,'Cons. Financials - ''23 ''24'!$C$8:$C$79,'Cons. Financials - ''23 ''24'!AA$8:AA$79)</f>
        <v>0.97974789647298477</v>
      </c>
      <c r="P13" s="102">
        <f t="shared" ref="P13:AA13" si="4">P14/P12</f>
        <v>0.98001835384810676</v>
      </c>
      <c r="Q13" s="110">
        <f t="shared" si="4"/>
        <v>0.98003254152015662</v>
      </c>
      <c r="R13" s="110">
        <f t="shared" si="4"/>
        <v>0.98003254152015684</v>
      </c>
      <c r="S13" s="110">
        <f t="shared" si="4"/>
        <v>0.98006934353477215</v>
      </c>
      <c r="T13" s="110">
        <f t="shared" si="4"/>
        <v>0.98006934353477193</v>
      </c>
      <c r="U13" s="110">
        <f t="shared" si="4"/>
        <v>0.98006934353477237</v>
      </c>
      <c r="V13" s="110">
        <f t="shared" si="4"/>
        <v>0.98001182182651758</v>
      </c>
      <c r="W13" s="110">
        <f t="shared" si="4"/>
        <v>0.98001182182651769</v>
      </c>
      <c r="X13" s="110">
        <f t="shared" si="4"/>
        <v>0.98001182182651791</v>
      </c>
      <c r="Y13" s="110">
        <f t="shared" si="4"/>
        <v>0.9800118218265178</v>
      </c>
      <c r="Z13" s="110">
        <f t="shared" si="4"/>
        <v>0.98001182182651769</v>
      </c>
      <c r="AA13" s="103">
        <f t="shared" si="4"/>
        <v>0.98001182182651791</v>
      </c>
      <c r="AB13" s="15"/>
      <c r="AC13" s="231">
        <f>'Cons. Financials - ''23 ''24'!AC13</f>
        <v>0.98043865953034859</v>
      </c>
      <c r="AD13" s="103">
        <f t="shared" ref="AD13:AE13" si="5">AD14/AD12</f>
        <v>0.97946656435309476</v>
      </c>
      <c r="AE13" s="103">
        <f t="shared" si="5"/>
        <v>0.98003267957895435</v>
      </c>
    </row>
    <row r="14" spans="2:35" x14ac:dyDescent="0.2">
      <c r="C14" s="8" t="s">
        <v>3</v>
      </c>
      <c r="D14" s="113">
        <f>_xlfn.XLOOKUP($C14,'Cons. Financials - ''23 ''24'!$C$8:$C$79,'Cons. Financials - ''23 ''24'!P$8:P$79)</f>
        <v>13553.034242904427</v>
      </c>
      <c r="E14" s="114">
        <f>_xlfn.XLOOKUP($C14,'Cons. Financials - ''23 ''24'!$C$8:$C$79,'Cons. Financials - ''23 ''24'!Q$8:Q$79)</f>
        <v>12772.372964131524</v>
      </c>
      <c r="F14" s="114">
        <f>_xlfn.XLOOKUP($C14,'Cons. Financials - ''23 ''24'!$C$8:$C$79,'Cons. Financials - ''23 ''24'!R$8:R$79)</f>
        <v>12628.72515691266</v>
      </c>
      <c r="G14" s="114">
        <f>_xlfn.XLOOKUP($C14,'Cons. Financials - ''23 ''24'!$C$8:$C$79,'Cons. Financials - ''23 ''24'!S$8:S$79)</f>
        <v>11816.716294720554</v>
      </c>
      <c r="H14" s="114">
        <f>_xlfn.XLOOKUP($C14,'Cons. Financials - ''23 ''24'!$C$8:$C$79,'Cons. Financials - ''23 ''24'!T$8:T$79)</f>
        <v>11857.717369474503</v>
      </c>
      <c r="I14" s="114">
        <f>_xlfn.XLOOKUP($C14,'Cons. Financials - ''23 ''24'!$C$8:$C$79,'Cons. Financials - ''23 ''24'!U$8:U$79)</f>
        <v>10887.655881095756</v>
      </c>
      <c r="J14" s="114">
        <f>_xlfn.XLOOKUP($C14,'Cons. Financials - ''23 ''24'!$C$8:$C$79,'Cons. Financials - ''23 ''24'!V$8:V$79)</f>
        <v>12727.729467008605</v>
      </c>
      <c r="K14" s="114">
        <f>_xlfn.XLOOKUP($C14,'Cons. Financials - ''23 ''24'!$C$8:$C$79,'Cons. Financials - ''23 ''24'!W$8:W$79)</f>
        <v>13239.236103710758</v>
      </c>
      <c r="L14" s="114">
        <f>_xlfn.XLOOKUP($C14,'Cons. Financials - ''23 ''24'!$C$8:$C$79,'Cons. Financials - ''23 ''24'!X$8:X$79)</f>
        <v>12097.009430125237</v>
      </c>
      <c r="M14" s="114">
        <f>_xlfn.XLOOKUP($C14,'Cons. Financials - ''23 ''24'!$C$8:$C$79,'Cons. Financials - ''23 ''24'!Y$8:Y$79)</f>
        <v>13724.482869402917</v>
      </c>
      <c r="N14" s="114">
        <f>_xlfn.XLOOKUP($C14,'Cons. Financials - ''23 ''24'!$C$8:$C$79,'Cons. Financials - ''23 ''24'!Z$8:Z$79)</f>
        <v>12267.779020954426</v>
      </c>
      <c r="O14" s="114">
        <f>_xlfn.XLOOKUP($C14,'Cons. Financials - ''23 ''24'!$C$8:$C$79,'Cons. Financials - ''23 ''24'!AA$8:AA$79)</f>
        <v>9894.6825671672777</v>
      </c>
      <c r="P14" s="113">
        <f>SUMIFS('Site Level Budget - ''25'!S:S,'Site Level Budget - ''25'!$F:$F,'Consolidated Budget - ''25'!$C14)</f>
        <v>14639.445512740896</v>
      </c>
      <c r="Q14" s="114">
        <f>SUMIFS('Site Level Budget - ''25'!T:T,'Site Level Budget - ''25'!$F:$F,'Consolidated Budget - ''25'!$C14)</f>
        <v>15356.317467452858</v>
      </c>
      <c r="R14" s="114">
        <f>SUMIFS('Site Level Budget - ''25'!U:U,'Site Level Budget - ''25'!$F:$F,'Consolidated Budget - ''25'!$C14)</f>
        <v>16489.448373408602</v>
      </c>
      <c r="S14" s="114">
        <f>SUMIFS('Site Level Budget - ''25'!V:V,'Site Level Budget - ''25'!$F:$F,'Consolidated Budget - ''25'!$C14)</f>
        <v>17836.8366656742</v>
      </c>
      <c r="T14" s="114">
        <f>SUMIFS('Site Level Budget - ''25'!W:W,'Site Level Budget - ''25'!$F:$F,'Consolidated Budget - ''25'!$C14)</f>
        <v>21199.288824929918</v>
      </c>
      <c r="U14" s="114">
        <f>SUMIFS('Site Level Budget - ''25'!X:X,'Site Level Budget - ''25'!$F:$F,'Consolidated Budget - ''25'!$C14)</f>
        <v>17802.076208264134</v>
      </c>
      <c r="V14" s="114">
        <f>SUMIFS('Site Level Budget - ''25'!Y:Y,'Site Level Budget - ''25'!$F:$F,'Consolidated Budget - ''25'!$C14)</f>
        <v>18509.51418821187</v>
      </c>
      <c r="W14" s="114">
        <f>SUMIFS('Site Level Budget - ''25'!Z:Z,'Site Level Budget - ''25'!$F:$F,'Consolidated Budget - ''25'!$C14)</f>
        <v>15871.738703471607</v>
      </c>
      <c r="X14" s="114">
        <f>SUMIFS('Site Level Budget - ''25'!AA:AA,'Site Level Budget - ''25'!$F:$F,'Consolidated Budget - ''25'!$C14)</f>
        <v>14551.797885537899</v>
      </c>
      <c r="Y14" s="114">
        <f>SUMIFS('Site Level Budget - ''25'!AB:AB,'Site Level Budget - ''25'!$F:$F,'Consolidated Budget - ''25'!$C14)</f>
        <v>16712.634241937893</v>
      </c>
      <c r="Z14" s="114">
        <f>SUMIFS('Site Level Budget - ''25'!AC:AC,'Site Level Budget - ''25'!$F:$F,'Consolidated Budget - ''25'!$C14)</f>
        <v>13210.818616306731</v>
      </c>
      <c r="AA14" s="333">
        <f>SUMIFS('Site Level Budget - ''25'!AD:AD,'Site Level Budget - ''25'!$F:$F,'Consolidated Budget - ''25'!$C14)</f>
        <v>10782.835985831276</v>
      </c>
      <c r="AB14" s="15"/>
      <c r="AC14" s="113">
        <f>'Cons. Financials - ''23 ''24'!AC14</f>
        <v>127089.05911636843</v>
      </c>
      <c r="AD14" s="95">
        <f>SUM(D14:O14)</f>
        <v>147467.14136760862</v>
      </c>
      <c r="AE14" s="95">
        <f>SUM(P14:AA14)</f>
        <v>192962.75267376789</v>
      </c>
    </row>
    <row r="15" spans="2:35" x14ac:dyDescent="0.2">
      <c r="C15" s="16" t="s">
        <v>174</v>
      </c>
      <c r="D15" s="232">
        <f>_xlfn.XLOOKUP($C15,'Cons. Financials - ''23 ''24'!$C$8:$C$79,'Cons. Financials - ''23 ''24'!P$8:P$79)</f>
        <v>0.48161848009745034</v>
      </c>
      <c r="E15" s="233">
        <f>_xlfn.XLOOKUP($C15,'Cons. Financials - ''23 ''24'!$C$8:$C$79,'Cons. Financials - ''23 ''24'!Q$8:Q$79)</f>
        <v>0.44537408071899764</v>
      </c>
      <c r="F15" s="233">
        <f>_xlfn.XLOOKUP($C15,'Cons. Financials - ''23 ''24'!$C$8:$C$79,'Cons. Financials - ''23 ''24'!R$8:R$79)</f>
        <v>0.30956681258258856</v>
      </c>
      <c r="G15" s="233">
        <f>_xlfn.XLOOKUP($C15,'Cons. Financials - ''23 ''24'!$C$8:$C$79,'Cons. Financials - ''23 ''24'!S$8:S$79)</f>
        <v>0.3299737025962024</v>
      </c>
      <c r="H15" s="233">
        <f>_xlfn.XLOOKUP($C15,'Cons. Financials - ''23 ''24'!$C$8:$C$79,'Cons. Financials - ''23 ''24'!T$8:T$79)</f>
        <v>0.20921941088795015</v>
      </c>
      <c r="I15" s="233">
        <f>_xlfn.XLOOKUP($C15,'Cons. Financials - ''23 ''24'!$C$8:$C$79,'Cons. Financials - ''23 ''24'!U$8:U$79)</f>
        <v>0.14250037982188601</v>
      </c>
      <c r="J15" s="233">
        <f>_xlfn.XLOOKUP($C15,'Cons. Financials - ''23 ''24'!$C$8:$C$79,'Cons. Financials - ''23 ''24'!V$8:V$79)</f>
        <v>0.25017714202673647</v>
      </c>
      <c r="K15" s="233">
        <f>_xlfn.XLOOKUP($C15,'Cons. Financials - ''23 ''24'!$C$8:$C$79,'Cons. Financials - ''23 ''24'!W$8:W$79)</f>
        <v>2.4194349801950565E-2</v>
      </c>
      <c r="L15" s="233">
        <f>_xlfn.XLOOKUP($C15,'Cons. Financials - ''23 ''24'!$C$8:$C$79,'Cons. Financials - ''23 ''24'!X$8:X$79)</f>
        <v>2.746925720417881E-2</v>
      </c>
      <c r="M15" s="233">
        <f>_xlfn.XLOOKUP($C15,'Cons. Financials - ''23 ''24'!$C$8:$C$79,'Cons. Financials - ''23 ''24'!Y$8:Y$79)</f>
        <v>0.15460421896968324</v>
      </c>
      <c r="N15" s="233">
        <f>_xlfn.XLOOKUP($C15,'Cons. Financials - ''23 ''24'!$C$8:$C$79,'Cons. Financials - ''23 ''24'!Z$8:Z$79)</f>
        <v>-5.9250732022742336E-2</v>
      </c>
      <c r="O15" s="233">
        <f>_xlfn.XLOOKUP($C15,'Cons. Financials - ''23 ''24'!$C$8:$C$79,'Cons. Financials - ''23 ''24'!AA$8:AA$79)</f>
        <v>-0.13453178661295195</v>
      </c>
      <c r="P15" s="96">
        <f>P14/D14-1</f>
        <v>8.0160003314774464E-2</v>
      </c>
      <c r="Q15" s="111">
        <f t="shared" ref="Q15:AA15" si="6">Q14/E14-1</f>
        <v>0.20230731678269875</v>
      </c>
      <c r="R15" s="111">
        <f t="shared" si="6"/>
        <v>0.30570965545027118</v>
      </c>
      <c r="S15" s="111">
        <f t="shared" si="6"/>
        <v>0.50945797637904722</v>
      </c>
      <c r="T15" s="111">
        <f t="shared" si="6"/>
        <v>0.78780520435607282</v>
      </c>
      <c r="U15" s="111">
        <f t="shared" si="6"/>
        <v>0.6350696975254233</v>
      </c>
      <c r="V15" s="111">
        <f t="shared" si="6"/>
        <v>0.45426678310457169</v>
      </c>
      <c r="W15" s="111">
        <f t="shared" si="6"/>
        <v>0.19884097384009913</v>
      </c>
      <c r="X15" s="111">
        <f t="shared" si="6"/>
        <v>0.20292523285131048</v>
      </c>
      <c r="Y15" s="111">
        <f t="shared" si="6"/>
        <v>0.21772415040836979</v>
      </c>
      <c r="Z15" s="111">
        <f t="shared" si="6"/>
        <v>7.6871257115205038E-2</v>
      </c>
      <c r="AA15" s="97">
        <f t="shared" si="6"/>
        <v>8.9760678287051476E-2</v>
      </c>
      <c r="AB15" s="15"/>
      <c r="AC15" s="231">
        <f>'Cons. Financials - ''23 ''24'!AC15</f>
        <v>0</v>
      </c>
      <c r="AD15" s="97">
        <f>AD14/AC14-1</f>
        <v>0.16034489823849518</v>
      </c>
      <c r="AE15" s="97">
        <f>AE14/AD14-1</f>
        <v>0.30851355009823522</v>
      </c>
    </row>
    <row r="16" spans="2:35" ht="3" customHeight="1" x14ac:dyDescent="0.2">
      <c r="D16" s="306">
        <f>_xlfn.XLOOKUP($C16,'Cons. Financials - ''23 ''24'!$C$8:$C$79,'Cons. Financials - ''23 ''24'!P$8:P$79)</f>
        <v>0</v>
      </c>
      <c r="E16" s="312">
        <f>_xlfn.XLOOKUP($C16,'Cons. Financials - ''23 ''24'!$C$8:$C$79,'Cons. Financials - ''23 ''24'!Q$8:Q$79)</f>
        <v>0</v>
      </c>
      <c r="F16" s="312">
        <f>_xlfn.XLOOKUP($C16,'Cons. Financials - ''23 ''24'!$C$8:$C$79,'Cons. Financials - ''23 ''24'!R$8:R$79)</f>
        <v>0</v>
      </c>
      <c r="G16" s="312">
        <f>_xlfn.XLOOKUP($C16,'Cons. Financials - ''23 ''24'!$C$8:$C$79,'Cons. Financials - ''23 ''24'!S$8:S$79)</f>
        <v>0</v>
      </c>
      <c r="H16" s="312">
        <f>_xlfn.XLOOKUP($C16,'Cons. Financials - ''23 ''24'!$C$8:$C$79,'Cons. Financials - ''23 ''24'!T$8:T$79)</f>
        <v>0</v>
      </c>
      <c r="I16" s="312">
        <f>_xlfn.XLOOKUP($C16,'Cons. Financials - ''23 ''24'!$C$8:$C$79,'Cons. Financials - ''23 ''24'!U$8:U$79)</f>
        <v>0</v>
      </c>
      <c r="J16" s="312">
        <f>_xlfn.XLOOKUP($C16,'Cons. Financials - ''23 ''24'!$C$8:$C$79,'Cons. Financials - ''23 ''24'!V$8:V$79)</f>
        <v>0</v>
      </c>
      <c r="K16" s="312">
        <f>_xlfn.XLOOKUP($C16,'Cons. Financials - ''23 ''24'!$C$8:$C$79,'Cons. Financials - ''23 ''24'!W$8:W$79)</f>
        <v>0</v>
      </c>
      <c r="L16" s="312">
        <f>_xlfn.XLOOKUP($C16,'Cons. Financials - ''23 ''24'!$C$8:$C$79,'Cons. Financials - ''23 ''24'!X$8:X$79)</f>
        <v>0</v>
      </c>
      <c r="M16" s="312">
        <f>_xlfn.XLOOKUP($C16,'Cons. Financials - ''23 ''24'!$C$8:$C$79,'Cons. Financials - ''23 ''24'!Y$8:Y$79)</f>
        <v>0</v>
      </c>
      <c r="N16" s="312">
        <f>_xlfn.XLOOKUP($C16,'Cons. Financials - ''23 ''24'!$C$8:$C$79,'Cons. Financials - ''23 ''24'!Z$8:Z$79)</f>
        <v>0</v>
      </c>
      <c r="O16" s="312">
        <f>_xlfn.XLOOKUP($C16,'Cons. Financials - ''23 ''24'!$C$8:$C$79,'Cons. Financials - ''23 ''24'!AA$8:AA$79)</f>
        <v>0</v>
      </c>
      <c r="P16" s="11"/>
      <c r="AA16" s="15"/>
      <c r="AB16" s="15"/>
      <c r="AC16" s="306">
        <f>'Cons. Financials - ''23 ''24'!AC16</f>
        <v>0</v>
      </c>
      <c r="AD16" s="15"/>
      <c r="AE16" s="15"/>
    </row>
    <row r="17" spans="3:31" x14ac:dyDescent="0.2">
      <c r="C17" t="s">
        <v>4</v>
      </c>
      <c r="D17" s="115">
        <f>_xlfn.XLOOKUP($C17,'Cons. Financials - ''23 ''24'!$C$8:$C$79,'Cons. Financials - ''23 ''24'!P$8:P$79)</f>
        <v>-4032.1322450199887</v>
      </c>
      <c r="E17" s="257">
        <f>_xlfn.XLOOKUP($C17,'Cons. Financials - ''23 ''24'!$C$8:$C$79,'Cons. Financials - ''23 ''24'!Q$8:Q$79)</f>
        <v>-4085.7997987161057</v>
      </c>
      <c r="F17" s="257">
        <f>_xlfn.XLOOKUP($C17,'Cons. Financials - ''23 ''24'!$C$8:$C$79,'Cons. Financials - ''23 ''24'!R$8:R$79)</f>
        <v>-4099.6397216183923</v>
      </c>
      <c r="G17" s="257">
        <f>_xlfn.XLOOKUP($C17,'Cons. Financials - ''23 ''24'!$C$8:$C$79,'Cons. Financials - ''23 ''24'!S$8:S$79)</f>
        <v>-4139.5894548058795</v>
      </c>
      <c r="H17" s="257">
        <f>_xlfn.XLOOKUP($C17,'Cons. Financials - ''23 ''24'!$C$8:$C$79,'Cons. Financials - ''23 ''24'!T$8:T$79)</f>
        <v>-4349.1699537255599</v>
      </c>
      <c r="I17" s="257">
        <f>_xlfn.XLOOKUP($C17,'Cons. Financials - ''23 ''24'!$C$8:$C$79,'Cons. Financials - ''23 ''24'!U$8:U$79)</f>
        <v>-3780.9726019615923</v>
      </c>
      <c r="J17" s="257">
        <f>_xlfn.XLOOKUP($C17,'Cons. Financials - ''23 ''24'!$C$8:$C$79,'Cons. Financials - ''23 ''24'!V$8:V$79)</f>
        <v>-4111.7717192499713</v>
      </c>
      <c r="K17" s="257">
        <f>_xlfn.XLOOKUP($C17,'Cons. Financials - ''23 ''24'!$C$8:$C$79,'Cons. Financials - ''23 ''24'!W$8:W$79)</f>
        <v>-3704.569813594238</v>
      </c>
      <c r="L17" s="257">
        <f>_xlfn.XLOOKUP($C17,'Cons. Financials - ''23 ''24'!$C$8:$C$79,'Cons. Financials - ''23 ''24'!X$8:X$79)</f>
        <v>-3593.2267897744805</v>
      </c>
      <c r="M17" s="257">
        <f>_xlfn.XLOOKUP($C17,'Cons. Financials - ''23 ''24'!$C$8:$C$79,'Cons. Financials - ''23 ''24'!Y$8:Y$79)</f>
        <v>-4188.4454268147501</v>
      </c>
      <c r="N17" s="257">
        <f>_xlfn.XLOOKUP($C17,'Cons. Financials - ''23 ''24'!$C$8:$C$79,'Cons. Financials - ''23 ''24'!Z$8:Z$79)</f>
        <v>-3326.829283732819</v>
      </c>
      <c r="O17" s="257">
        <f>_xlfn.XLOOKUP($C17,'Cons. Financials - ''23 ''24'!$C$8:$C$79,'Cons. Financials - ''23 ''24'!AA$8:AA$79)</f>
        <v>-2724.9778615656019</v>
      </c>
      <c r="P17" s="115">
        <f>SUMIFS('Site Level Budget - ''25'!S:S,'Site Level Budget - ''25'!$F:$F,'Consolidated Budget - ''25'!$C17)</f>
        <v>-4392.0461056137592</v>
      </c>
      <c r="Q17" s="257">
        <f>SUMIFS('Site Level Budget - ''25'!T:T,'Site Level Budget - ''25'!$F:$F,'Consolidated Budget - ''25'!$C17)</f>
        <v>-4946.5037663328085</v>
      </c>
      <c r="R17" s="257">
        <f>SUMIFS('Site Level Budget - ''25'!U:U,'Site Level Budget - ''25'!$F:$F,'Consolidated Budget - ''25'!$C17)</f>
        <v>-5448.4465587974491</v>
      </c>
      <c r="S17" s="257">
        <f>SUMIFS('Site Level Budget - ''25'!V:V,'Site Level Budget - ''25'!$F:$F,'Consolidated Budget - ''25'!$C17)</f>
        <v>-6518.3659387049256</v>
      </c>
      <c r="T17" s="257">
        <f>SUMIFS('Site Level Budget - ''25'!W:W,'Site Level Budget - ''25'!$F:$F,'Consolidated Budget - ''25'!$C17)</f>
        <v>-7933.2705536804588</v>
      </c>
      <c r="U17" s="257">
        <f>SUMIFS('Site Level Budget - ''25'!X:X,'Site Level Budget - ''25'!$F:$F,'Consolidated Budget - ''25'!$C17)</f>
        <v>-6322.0702706433049</v>
      </c>
      <c r="V17" s="257">
        <f>SUMIFS('Site Level Budget - ''25'!Y:Y,'Site Level Budget - ''25'!$F:$F,'Consolidated Budget - ''25'!$C17)</f>
        <v>-6127.6419692450827</v>
      </c>
      <c r="W17" s="257">
        <f>SUMIFS('Site Level Budget - ''25'!Z:Z,'Site Level Budget - ''25'!$F:$F,'Consolidated Budget - ''25'!$C17)</f>
        <v>-4485.0987952155647</v>
      </c>
      <c r="X17" s="257">
        <f>SUMIFS('Site Level Budget - ''25'!AA:AA,'Site Level Budget - ''25'!$F:$F,'Consolidated Budget - ''25'!$C17)</f>
        <v>-4425.6794562077421</v>
      </c>
      <c r="Y17" s="257">
        <f>SUMIFS('Site Level Budget - ''25'!AB:AB,'Site Level Budget - ''25'!$F:$F,'Consolidated Budget - ''25'!$C17)</f>
        <v>-5194.4767799937608</v>
      </c>
      <c r="Z17" s="257">
        <f>SUMIFS('Site Level Budget - ''25'!AC:AC,'Site Level Budget - ''25'!$F:$F,'Consolidated Budget - ''25'!$C17)</f>
        <v>-3610.5648413607396</v>
      </c>
      <c r="AA17" s="328">
        <f>SUMIFS('Site Level Budget - ''25'!AD:AD,'Site Level Budget - ''25'!$F:$F,'Consolidated Budget - ''25'!$C17)</f>
        <v>-3013.6254950116759</v>
      </c>
      <c r="AB17" s="15"/>
      <c r="AC17" s="115">
        <f>'Cons. Financials - ''23 ''24'!AC17</f>
        <v>-38614.057295647799</v>
      </c>
      <c r="AD17" s="93">
        <f>SUM(D17:O17)</f>
        <v>-46137.124670579382</v>
      </c>
      <c r="AE17" s="93">
        <f>SUM(P17:AA17)</f>
        <v>-62417.790530807273</v>
      </c>
    </row>
    <row r="18" spans="3:31" x14ac:dyDescent="0.2">
      <c r="C18" s="16" t="s">
        <v>9</v>
      </c>
      <c r="D18" s="96">
        <f>-(D17/D$14)</f>
        <v>0.29750771471200083</v>
      </c>
      <c r="E18" s="111">
        <f t="shared" ref="E18:AA18" si="7">-(E17/E$14)</f>
        <v>0.31989355542546399</v>
      </c>
      <c r="F18" s="111">
        <f t="shared" si="7"/>
        <v>0.32462815293548042</v>
      </c>
      <c r="G18" s="111">
        <f t="shared" si="7"/>
        <v>0.35031639514400087</v>
      </c>
      <c r="H18" s="111">
        <f t="shared" si="7"/>
        <v>0.36677969445634556</v>
      </c>
      <c r="I18" s="111">
        <f t="shared" si="7"/>
        <v>0.34727150116183386</v>
      </c>
      <c r="J18" s="111">
        <f t="shared" si="7"/>
        <v>0.32305618452278118</v>
      </c>
      <c r="K18" s="111">
        <f t="shared" si="7"/>
        <v>0.27981748981392535</v>
      </c>
      <c r="L18" s="111">
        <f t="shared" si="7"/>
        <v>0.29703430509248441</v>
      </c>
      <c r="M18" s="111">
        <f t="shared" si="7"/>
        <v>0.30518056430034135</v>
      </c>
      <c r="N18" s="111">
        <f t="shared" si="7"/>
        <v>0.27118431771963836</v>
      </c>
      <c r="O18" s="111">
        <f t="shared" si="7"/>
        <v>0.27539820939861931</v>
      </c>
      <c r="P18" s="96">
        <f t="shared" si="7"/>
        <v>0.30001451228404147</v>
      </c>
      <c r="Q18" s="111">
        <f t="shared" si="7"/>
        <v>0.32211523217182364</v>
      </c>
      <c r="R18" s="111">
        <f t="shared" si="7"/>
        <v>0.33042018358745001</v>
      </c>
      <c r="S18" s="111">
        <f t="shared" si="7"/>
        <v>0.36544405607800878</v>
      </c>
      <c r="T18" s="111">
        <f t="shared" si="7"/>
        <v>0.37422342887045812</v>
      </c>
      <c r="U18" s="111">
        <f t="shared" si="7"/>
        <v>0.35513106430296337</v>
      </c>
      <c r="V18" s="111">
        <f t="shared" si="7"/>
        <v>0.33105363581868541</v>
      </c>
      <c r="W18" s="111">
        <f t="shared" si="7"/>
        <v>0.28258396127921037</v>
      </c>
      <c r="X18" s="111">
        <f t="shared" si="7"/>
        <v>0.30413282887925086</v>
      </c>
      <c r="Y18" s="111">
        <f t="shared" si="7"/>
        <v>0.31081137209112053</v>
      </c>
      <c r="Z18" s="111">
        <f t="shared" si="7"/>
        <v>0.27330364197901036</v>
      </c>
      <c r="AA18" s="97">
        <f t="shared" si="7"/>
        <v>0.27948356990420714</v>
      </c>
      <c r="AB18" s="15"/>
      <c r="AC18" s="232">
        <f>'Cons. Financials - ''23 ''24'!AC18</f>
        <v>0.30383463033030278</v>
      </c>
      <c r="AD18" s="97">
        <f t="shared" ref="AD18" si="8">-(AD17/AD$14)</f>
        <v>0.31286376234532115</v>
      </c>
      <c r="AE18" s="97">
        <f t="shared" ref="AE18" si="9">-(AE17/AE$14)</f>
        <v>0.32347066812595587</v>
      </c>
    </row>
    <row r="19" spans="3:31" ht="3" customHeight="1" x14ac:dyDescent="0.2">
      <c r="C19" s="16"/>
      <c r="D19" s="36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6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8"/>
      <c r="AB19" s="15"/>
      <c r="AC19" s="232">
        <f>'Cons. Financials - ''23 ''24'!AC19</f>
        <v>0</v>
      </c>
      <c r="AD19" s="38"/>
      <c r="AE19" s="38"/>
    </row>
    <row r="20" spans="3:31" x14ac:dyDescent="0.2">
      <c r="C20" t="s">
        <v>5</v>
      </c>
      <c r="D20" s="115">
        <f>_xlfn.XLOOKUP($C20,'Cons. Financials - ''23 ''24'!$C$8:$C$79,'Cons. Financials - ''23 ''24'!P$8:P$79)</f>
        <v>-2181.4939807841765</v>
      </c>
      <c r="E20" s="257">
        <f>_xlfn.XLOOKUP($C20,'Cons. Financials - ''23 ''24'!$C$8:$C$79,'Cons. Financials - ''23 ''24'!Q$8:Q$79)</f>
        <v>-2236.7332915389165</v>
      </c>
      <c r="F20" s="257">
        <f>_xlfn.XLOOKUP($C20,'Cons. Financials - ''23 ''24'!$C$8:$C$79,'Cons. Financials - ''23 ''24'!R$8:R$79)</f>
        <v>-2394.2282410818325</v>
      </c>
      <c r="G20" s="257">
        <f>_xlfn.XLOOKUP($C20,'Cons. Financials - ''23 ''24'!$C$8:$C$79,'Cons. Financials - ''23 ''24'!S$8:S$79)</f>
        <v>-2591.1156069013</v>
      </c>
      <c r="H20" s="257">
        <f>_xlfn.XLOOKUP($C20,'Cons. Financials - ''23 ''24'!$C$8:$C$79,'Cons. Financials - ''23 ''24'!T$8:T$79)</f>
        <v>-2967.9251192656379</v>
      </c>
      <c r="I20" s="257">
        <f>_xlfn.XLOOKUP($C20,'Cons. Financials - ''23 ''24'!$C$8:$C$79,'Cons. Financials - ''23 ''24'!U$8:U$79)</f>
        <v>-2556.2503848473466</v>
      </c>
      <c r="J20" s="257">
        <f>_xlfn.XLOOKUP($C20,'Cons. Financials - ''23 ''24'!$C$8:$C$79,'Cons. Financials - ''23 ''24'!V$8:V$79)</f>
        <v>-2600.6546298993453</v>
      </c>
      <c r="K20" s="257">
        <f>_xlfn.XLOOKUP($C20,'Cons. Financials - ''23 ''24'!$C$8:$C$79,'Cons. Financials - ''23 ''24'!W$8:W$79)</f>
        <v>-2253.4917291208185</v>
      </c>
      <c r="L20" s="257">
        <f>_xlfn.XLOOKUP($C20,'Cons. Financials - ''23 ''24'!$C$8:$C$79,'Cons. Financials - ''23 ''24'!X$8:X$79)</f>
        <v>-2079.3760006675639</v>
      </c>
      <c r="M20" s="257">
        <f>_xlfn.XLOOKUP($C20,'Cons. Financials - ''23 ''24'!$C$8:$C$79,'Cons. Financials - ''23 ''24'!Y$8:Y$79)</f>
        <v>-2403.4432187743923</v>
      </c>
      <c r="N20" s="257">
        <f>_xlfn.XLOOKUP($C20,'Cons. Financials - ''23 ''24'!$C$8:$C$79,'Cons. Financials - ''23 ''24'!Z$8:Z$79)</f>
        <v>-1888.1215592212502</v>
      </c>
      <c r="O20" s="257">
        <f>_xlfn.XLOOKUP($C20,'Cons. Financials - ''23 ''24'!$C$8:$C$79,'Cons. Financials - ''23 ''24'!AA$8:AA$79)</f>
        <v>-1537.8259795807344</v>
      </c>
      <c r="P20" s="115">
        <f>SUMIFS('Site Level Budget - ''25'!S:S,'Site Level Budget - ''25'!$F:$F,'Consolidated Budget - ''25'!$C20)</f>
        <v>-2424.9388850762562</v>
      </c>
      <c r="Q20" s="257">
        <f>SUMIFS('Site Level Budget - ''25'!T:T,'Site Level Budget - ''25'!$F:$F,'Consolidated Budget - ''25'!$C20)</f>
        <v>-2783.5486377770626</v>
      </c>
      <c r="R20" s="257">
        <f>SUMIFS('Site Level Budget - ''25'!U:U,'Site Level Budget - ''25'!$F:$F,'Consolidated Budget - ''25'!$C20)</f>
        <v>-3222.5747280450619</v>
      </c>
      <c r="S20" s="257">
        <f>SUMIFS('Site Level Budget - ''25'!V:V,'Site Level Budget - ''25'!$F:$F,'Consolidated Budget - ''25'!$C20)</f>
        <v>-4147.0552702979212</v>
      </c>
      <c r="T20" s="257">
        <f>SUMIFS('Site Level Budget - ''25'!W:W,'Site Level Budget - ''25'!$F:$F,'Consolidated Budget - ''25'!$C20)</f>
        <v>-5732.5853114790252</v>
      </c>
      <c r="U20" s="257">
        <f>SUMIFS('Site Level Budget - ''25'!X:X,'Site Level Budget - ''25'!$F:$F,'Consolidated Budget - ''25'!$C20)</f>
        <v>-4424.2605038840793</v>
      </c>
      <c r="V20" s="257">
        <f>SUMIFS('Site Level Budget - ''25'!Y:Y,'Site Level Budget - ''25'!$F:$F,'Consolidated Budget - ''25'!$C20)</f>
        <v>-4034.7727039643373</v>
      </c>
      <c r="W20" s="257">
        <f>SUMIFS('Site Level Budget - ''25'!Z:Z,'Site Level Budget - ''25'!$F:$F,'Consolidated Budget - ''25'!$C20)</f>
        <v>-2765.738416909136</v>
      </c>
      <c r="X20" s="257">
        <f>SUMIFS('Site Level Budget - ''25'!AA:AA,'Site Level Budget - ''25'!$F:$F,'Consolidated Budget - ''25'!$C20)</f>
        <v>-2573.0033456650599</v>
      </c>
      <c r="Y20" s="257">
        <f>SUMIFS('Site Level Budget - ''25'!AB:AB,'Site Level Budget - ''25'!$F:$F,'Consolidated Budget - ''25'!$C20)</f>
        <v>-2990.7534585094927</v>
      </c>
      <c r="Z20" s="257">
        <f>SUMIFS('Site Level Budget - ''25'!AC:AC,'Site Level Budget - ''25'!$F:$F,'Consolidated Budget - ''25'!$C20)</f>
        <v>-2056.3073489547764</v>
      </c>
      <c r="AA20" s="328">
        <f>SUMIFS('Site Level Budget - ''25'!AD:AD,'Site Level Budget - ''25'!$F:$F,'Consolidated Budget - ''25'!$C20)</f>
        <v>-1701.0434660745989</v>
      </c>
      <c r="AB20" s="15"/>
      <c r="AC20" s="115">
        <f>'Cons. Financials - ''23 ''24'!AC20</f>
        <v>-22557.405805025297</v>
      </c>
      <c r="AD20" s="93">
        <f>SUM(D20:O20)</f>
        <v>-27690.659741683314</v>
      </c>
      <c r="AE20" s="93">
        <f>SUM(P20:AA20)</f>
        <v>-38856.582076636798</v>
      </c>
    </row>
    <row r="21" spans="3:31" x14ac:dyDescent="0.2">
      <c r="C21" s="16" t="s">
        <v>9</v>
      </c>
      <c r="D21" s="96">
        <f>-(D20/D$14)</f>
        <v>0.16095982210967102</v>
      </c>
      <c r="E21" s="111">
        <f t="shared" ref="E21:AA21" si="10">-(E20/E$14)</f>
        <v>0.17512276675761845</v>
      </c>
      <c r="F21" s="111">
        <f t="shared" si="10"/>
        <v>0.18958590129513506</v>
      </c>
      <c r="G21" s="111">
        <f t="shared" si="10"/>
        <v>0.21927543509349995</v>
      </c>
      <c r="H21" s="111">
        <f t="shared" si="10"/>
        <v>0.25029481027318218</v>
      </c>
      <c r="I21" s="111">
        <f t="shared" si="10"/>
        <v>0.23478427429780968</v>
      </c>
      <c r="J21" s="111">
        <f t="shared" si="10"/>
        <v>0.20432981677057727</v>
      </c>
      <c r="K21" s="111">
        <f t="shared" si="10"/>
        <v>0.17021312343611719</v>
      </c>
      <c r="L21" s="111">
        <f t="shared" si="10"/>
        <v>0.17189174007662458</v>
      </c>
      <c r="M21" s="111">
        <f t="shared" si="10"/>
        <v>0.17512085822428908</v>
      </c>
      <c r="N21" s="111">
        <f t="shared" si="10"/>
        <v>0.15390899656703758</v>
      </c>
      <c r="O21" s="111">
        <f t="shared" si="10"/>
        <v>0.15541943555456519</v>
      </c>
      <c r="P21" s="96">
        <f t="shared" si="10"/>
        <v>0.16564417572822693</v>
      </c>
      <c r="Q21" s="111">
        <f t="shared" si="10"/>
        <v>0.18126407217594256</v>
      </c>
      <c r="R21" s="111">
        <f t="shared" si="10"/>
        <v>0.19543253692111898</v>
      </c>
      <c r="S21" s="111">
        <f t="shared" si="10"/>
        <v>0.23249948115960786</v>
      </c>
      <c r="T21" s="111">
        <f t="shared" si="10"/>
        <v>0.27041403883028498</v>
      </c>
      <c r="U21" s="111">
        <f t="shared" si="10"/>
        <v>0.24852497271246574</v>
      </c>
      <c r="V21" s="111">
        <f t="shared" si="10"/>
        <v>0.21798371707313408</v>
      </c>
      <c r="W21" s="111">
        <f t="shared" si="10"/>
        <v>0.17425554115909112</v>
      </c>
      <c r="X21" s="111">
        <f t="shared" si="10"/>
        <v>0.17681686935895416</v>
      </c>
      <c r="Y21" s="111">
        <f t="shared" si="10"/>
        <v>0.17895164910655662</v>
      </c>
      <c r="Z21" s="111">
        <f t="shared" si="10"/>
        <v>0.15565328755756136</v>
      </c>
      <c r="AA21" s="97">
        <f t="shared" si="10"/>
        <v>0.15775473802159118</v>
      </c>
      <c r="AB21" s="15"/>
      <c r="AC21" s="232">
        <f>'Cons. Financials - ''23 ''24'!AC21</f>
        <v>0.17749290113455579</v>
      </c>
      <c r="AD21" s="97">
        <f t="shared" ref="AD21" si="11">-(AD20/AD$14)</f>
        <v>0.18777511712019671</v>
      </c>
      <c r="AE21" s="97">
        <f t="shared" ref="AE21" si="12">-(AE20/AE$14)</f>
        <v>0.20136830314775622</v>
      </c>
    </row>
    <row r="22" spans="3:31" ht="3" customHeight="1" x14ac:dyDescent="0.2">
      <c r="C22" s="16"/>
      <c r="D22" s="36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6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8"/>
      <c r="AB22" s="15"/>
      <c r="AC22" s="232">
        <f>'Cons. Financials - ''23 ''24'!AC22</f>
        <v>0</v>
      </c>
      <c r="AD22" s="38"/>
      <c r="AE22" s="38"/>
    </row>
    <row r="23" spans="3:31" x14ac:dyDescent="0.2">
      <c r="C23" t="s">
        <v>6</v>
      </c>
      <c r="D23" s="115">
        <f>_xlfn.XLOOKUP($C23,'Cons. Financials - ''23 ''24'!$C$8:$C$79,'Cons. Financials - ''23 ''24'!P$8:P$79)</f>
        <v>-772.78999208780067</v>
      </c>
      <c r="E23" s="257">
        <f>_xlfn.XLOOKUP($C23,'Cons. Financials - ''23 ''24'!$C$8:$C$79,'Cons. Financials - ''23 ''24'!Q$8:Q$79)</f>
        <v>-790.62899793994518</v>
      </c>
      <c r="F23" s="257">
        <f>_xlfn.XLOOKUP($C23,'Cons. Financials - ''23 ''24'!$C$8:$C$79,'Cons. Financials - ''23 ''24'!R$8:R$79)</f>
        <v>-853.76671886544614</v>
      </c>
      <c r="G23" s="257">
        <f>_xlfn.XLOOKUP($C23,'Cons. Financials - ''23 ''24'!$C$8:$C$79,'Cons. Financials - ''23 ''24'!S$8:S$79)</f>
        <v>-921.87788109416158</v>
      </c>
      <c r="H23" s="257">
        <f>_xlfn.XLOOKUP($C23,'Cons. Financials - ''23 ''24'!$C$8:$C$79,'Cons. Financials - ''23 ''24'!T$8:T$79)</f>
        <v>-1103.837556514989</v>
      </c>
      <c r="I23" s="257">
        <f>_xlfn.XLOOKUP($C23,'Cons. Financials - ''23 ''24'!$C$8:$C$79,'Cons. Financials - ''23 ''24'!U$8:U$79)</f>
        <v>-915.14326557652305</v>
      </c>
      <c r="J23" s="257">
        <f>_xlfn.XLOOKUP($C23,'Cons. Financials - ''23 ''24'!$C$8:$C$79,'Cons. Financials - ''23 ''24'!V$8:V$79)</f>
        <v>-925.59907290172544</v>
      </c>
      <c r="K23" s="257">
        <f>_xlfn.XLOOKUP($C23,'Cons. Financials - ''23 ''24'!$C$8:$C$79,'Cons. Financials - ''23 ''24'!W$8:W$79)</f>
        <v>-791.10679649203087</v>
      </c>
      <c r="L23" s="257">
        <f>_xlfn.XLOOKUP($C23,'Cons. Financials - ''23 ''24'!$C$8:$C$79,'Cons. Financials - ''23 ''24'!X$8:X$79)</f>
        <v>-719.89761738338848</v>
      </c>
      <c r="M23" s="257">
        <f>_xlfn.XLOOKUP($C23,'Cons. Financials - ''23 ''24'!$C$8:$C$79,'Cons. Financials - ''23 ''24'!Y$8:Y$79)</f>
        <v>-826.22135311965542</v>
      </c>
      <c r="N23" s="257">
        <f>_xlfn.XLOOKUP($C23,'Cons. Financials - ''23 ''24'!$C$8:$C$79,'Cons. Financials - ''23 ''24'!Z$8:Z$79)</f>
        <v>-646.35693216965001</v>
      </c>
      <c r="O23" s="257">
        <f>_xlfn.XLOOKUP($C23,'Cons. Financials - ''23 ''24'!$C$8:$C$79,'Cons. Financials - ''23 ''24'!AA$8:AA$79)</f>
        <v>-524.25461126363552</v>
      </c>
      <c r="P23" s="115">
        <f>SUMIFS('Site Level Budget - ''25'!S:S,'Site Level Budget - ''25'!$F:$F,'Consolidated Budget - ''25'!$C23)</f>
        <v>-832.89152860660943</v>
      </c>
      <c r="Q23" s="257">
        <f>SUMIFS('Site Level Budget - ''25'!T:T,'Site Level Budget - ''25'!$F:$F,'Consolidated Budget - ''25'!$C23)</f>
        <v>-952.34169094816286</v>
      </c>
      <c r="R23" s="257">
        <f>SUMIFS('Site Level Budget - ''25'!U:U,'Site Level Budget - ''25'!$F:$F,'Consolidated Budget - ''25'!$C23)</f>
        <v>-1122.9914989940908</v>
      </c>
      <c r="S23" s="257">
        <f>SUMIFS('Site Level Budget - ''25'!V:V,'Site Level Budget - ''25'!$F:$F,'Consolidated Budget - ''25'!$C23)</f>
        <v>-1451.2514450984393</v>
      </c>
      <c r="T23" s="257">
        <f>SUMIFS('Site Level Budget - ''25'!W:W,'Site Level Budget - ''25'!$F:$F,'Consolidated Budget - ''25'!$C23)</f>
        <v>-2074.2657418595809</v>
      </c>
      <c r="U23" s="257">
        <f>SUMIFS('Site Level Budget - ''25'!X:X,'Site Level Budget - ''25'!$F:$F,'Consolidated Budget - ''25'!$C23)</f>
        <v>-1546.4510100871623</v>
      </c>
      <c r="V23" s="257">
        <f>SUMIFS('Site Level Budget - ''25'!Y:Y,'Site Level Budget - ''25'!$F:$F,'Consolidated Budget - ''25'!$C23)</f>
        <v>-1407.6900038167698</v>
      </c>
      <c r="W23" s="257">
        <f>SUMIFS('Site Level Budget - ''25'!Z:Z,'Site Level Budget - ''25'!$F:$F,'Consolidated Budget - ''25'!$C23)</f>
        <v>-954.56583471928695</v>
      </c>
      <c r="X23" s="257">
        <f>SUMIFS('Site Level Budget - ''25'!AA:AA,'Site Level Budget - ''25'!$F:$F,'Consolidated Budget - ''25'!$C23)</f>
        <v>-876.25141859166195</v>
      </c>
      <c r="Y23" s="257">
        <f>SUMIFS('Site Level Budget - ''25'!AB:AB,'Site Level Budget - ''25'!$F:$F,'Consolidated Budget - ''25'!$C23)</f>
        <v>-1013.4336623906861</v>
      </c>
      <c r="Z23" s="257">
        <f>SUMIFS('Site Level Budget - ''25'!AC:AC,'Site Level Budget - ''25'!$F:$F,'Consolidated Budget - ''25'!$C23)</f>
        <v>-694.01025900034142</v>
      </c>
      <c r="AA23" s="328">
        <f>SUMIFS('Site Level Budget - ''25'!AD:AD,'Site Level Budget - ''25'!$F:$F,'Consolidated Budget - ''25'!$C23)</f>
        <v>-577.93110402724187</v>
      </c>
      <c r="AB23" s="15"/>
      <c r="AC23" s="115">
        <f>'Cons. Financials - ''23 ''24'!AC23</f>
        <v>-9020.3981523717739</v>
      </c>
      <c r="AD23" s="93">
        <f>SUM(D23:O23)</f>
        <v>-9791.4807954089538</v>
      </c>
      <c r="AE23" s="93">
        <f>SUM(P23:AA23)</f>
        <v>-13504.075198140034</v>
      </c>
    </row>
    <row r="24" spans="3:31" x14ac:dyDescent="0.2">
      <c r="C24" s="16" t="s">
        <v>9</v>
      </c>
      <c r="D24" s="96">
        <f>-(D23/D$14)</f>
        <v>5.7019703354795857E-2</v>
      </c>
      <c r="E24" s="111">
        <f t="shared" ref="E24:AA24" si="13">-(E23/E$14)</f>
        <v>6.1901496312412541E-2</v>
      </c>
      <c r="F24" s="111">
        <f t="shared" si="13"/>
        <v>6.7605138939785606E-2</v>
      </c>
      <c r="G24" s="111">
        <f t="shared" si="13"/>
        <v>7.8014725758122502E-2</v>
      </c>
      <c r="H24" s="111">
        <f t="shared" si="13"/>
        <v>9.309022319562231E-2</v>
      </c>
      <c r="I24" s="111">
        <f t="shared" si="13"/>
        <v>8.4053287096030188E-2</v>
      </c>
      <c r="J24" s="111">
        <f t="shared" si="13"/>
        <v>7.2723031653128684E-2</v>
      </c>
      <c r="K24" s="111">
        <f t="shared" si="13"/>
        <v>5.9754716230968612E-2</v>
      </c>
      <c r="L24" s="111">
        <f t="shared" si="13"/>
        <v>5.9510379118216127E-2</v>
      </c>
      <c r="M24" s="111">
        <f t="shared" si="13"/>
        <v>6.0200545330681747E-2</v>
      </c>
      <c r="N24" s="111">
        <f t="shared" si="13"/>
        <v>5.2687363463722048E-2</v>
      </c>
      <c r="O24" s="111">
        <f t="shared" si="13"/>
        <v>5.2983469424600547E-2</v>
      </c>
      <c r="P24" s="96">
        <f t="shared" si="13"/>
        <v>5.6893652692086821E-2</v>
      </c>
      <c r="Q24" s="111">
        <f t="shared" si="13"/>
        <v>6.2016280463504062E-2</v>
      </c>
      <c r="R24" s="111">
        <f t="shared" si="13"/>
        <v>6.8103642618212862E-2</v>
      </c>
      <c r="S24" s="111">
        <f t="shared" si="13"/>
        <v>8.1362602141851509E-2</v>
      </c>
      <c r="T24" s="111">
        <f t="shared" si="13"/>
        <v>9.7846006014139869E-2</v>
      </c>
      <c r="U24" s="111">
        <f t="shared" si="13"/>
        <v>8.6869137734016902E-2</v>
      </c>
      <c r="V24" s="111">
        <f t="shared" si="13"/>
        <v>7.6052239378237352E-2</v>
      </c>
      <c r="W24" s="111">
        <f t="shared" si="13"/>
        <v>6.0142486752916106E-2</v>
      </c>
      <c r="X24" s="111">
        <f t="shared" si="13"/>
        <v>6.0216024541030234E-2</v>
      </c>
      <c r="Y24" s="111">
        <f t="shared" si="13"/>
        <v>6.0638774697026734E-2</v>
      </c>
      <c r="Z24" s="111">
        <f t="shared" si="13"/>
        <v>5.253347874625211E-2</v>
      </c>
      <c r="AA24" s="97">
        <f t="shared" si="13"/>
        <v>5.3597319368174336E-2</v>
      </c>
      <c r="AB24" s="15"/>
      <c r="AC24" s="232">
        <f>'Cons. Financials - ''23 ''24'!AC24</f>
        <v>7.0976984290302234E-2</v>
      </c>
      <c r="AD24" s="97">
        <f t="shared" ref="AD24" si="14">-(AD23/AD$14)</f>
        <v>6.6397712090997832E-2</v>
      </c>
      <c r="AE24" s="97">
        <f t="shared" ref="AE24" si="15">-(AE23/AE$14)</f>
        <v>6.9982807619720644E-2</v>
      </c>
    </row>
    <row r="25" spans="3:31" ht="3" customHeight="1" x14ac:dyDescent="0.2">
      <c r="C25" s="16"/>
      <c r="D25" s="11"/>
      <c r="P25" s="11"/>
      <c r="AA25" s="15"/>
      <c r="AB25" s="15"/>
      <c r="AC25" s="306">
        <f>'Cons. Financials - ''23 ''24'!AC25</f>
        <v>0</v>
      </c>
      <c r="AD25" s="15"/>
      <c r="AE25" s="15"/>
    </row>
    <row r="26" spans="3:31" x14ac:dyDescent="0.2">
      <c r="C26" s="8" t="s">
        <v>11</v>
      </c>
      <c r="D26" s="94">
        <f>D14+D17+D20+D23</f>
        <v>6566.6180250124598</v>
      </c>
      <c r="E26" s="98">
        <f t="shared" ref="E26:AA26" si="16">E14+E17+E20+E23</f>
        <v>5659.2108759365574</v>
      </c>
      <c r="F26" s="98">
        <f t="shared" si="16"/>
        <v>5281.0904753469895</v>
      </c>
      <c r="G26" s="98">
        <f t="shared" si="16"/>
        <v>4164.1333519192131</v>
      </c>
      <c r="H26" s="98">
        <f t="shared" si="16"/>
        <v>3436.784739968316</v>
      </c>
      <c r="I26" s="98">
        <f t="shared" si="16"/>
        <v>3635.2896287102949</v>
      </c>
      <c r="J26" s="98">
        <f t="shared" si="16"/>
        <v>5089.7040449575625</v>
      </c>
      <c r="K26" s="98">
        <f t="shared" si="16"/>
        <v>6490.0677645036703</v>
      </c>
      <c r="L26" s="98">
        <f t="shared" si="16"/>
        <v>5704.5090222998042</v>
      </c>
      <c r="M26" s="98">
        <f t="shared" si="16"/>
        <v>6306.3728706941192</v>
      </c>
      <c r="N26" s="98">
        <f t="shared" si="16"/>
        <v>6406.4712458307058</v>
      </c>
      <c r="O26" s="98">
        <f t="shared" si="16"/>
        <v>5107.6241147573064</v>
      </c>
      <c r="P26" s="94">
        <f t="shared" si="16"/>
        <v>6989.5689934442717</v>
      </c>
      <c r="Q26" s="98">
        <f t="shared" si="16"/>
        <v>6673.9233723948228</v>
      </c>
      <c r="R26" s="98">
        <f t="shared" si="16"/>
        <v>6695.4355875720021</v>
      </c>
      <c r="S26" s="98">
        <f t="shared" si="16"/>
        <v>5720.1640115729133</v>
      </c>
      <c r="T26" s="98">
        <f t="shared" si="16"/>
        <v>5459.1672179108527</v>
      </c>
      <c r="U26" s="98">
        <f t="shared" si="16"/>
        <v>5509.2944236495887</v>
      </c>
      <c r="V26" s="98">
        <f t="shared" si="16"/>
        <v>6939.4095111856786</v>
      </c>
      <c r="W26" s="98">
        <f t="shared" si="16"/>
        <v>7666.3356566276188</v>
      </c>
      <c r="X26" s="98">
        <f t="shared" si="16"/>
        <v>6676.8636650734343</v>
      </c>
      <c r="Y26" s="98">
        <f t="shared" si="16"/>
        <v>7513.9703410439524</v>
      </c>
      <c r="Z26" s="98">
        <f t="shared" si="16"/>
        <v>6849.9361669908731</v>
      </c>
      <c r="AA26" s="95">
        <f t="shared" si="16"/>
        <v>5490.2359207177597</v>
      </c>
      <c r="AB26" s="15"/>
      <c r="AC26" s="114">
        <f>'Cons. Financials - ''23 ''24'!AC26</f>
        <v>56897.197863323549</v>
      </c>
      <c r="AD26" s="95">
        <f>SUM(D26:O26)</f>
        <v>63847.876159936997</v>
      </c>
      <c r="AE26" s="95">
        <f>SUM(P26:AA26)</f>
        <v>78184.304868183768</v>
      </c>
    </row>
    <row r="27" spans="3:31" x14ac:dyDescent="0.2">
      <c r="C27" s="16" t="s">
        <v>9</v>
      </c>
      <c r="D27" s="96">
        <f>(D26/D$14)</f>
        <v>0.4845127598235322</v>
      </c>
      <c r="E27" s="111">
        <f t="shared" ref="E27:AA27" si="17">(E26/E$14)</f>
        <v>0.44308218150450507</v>
      </c>
      <c r="F27" s="111">
        <f t="shared" si="17"/>
        <v>0.41818080682959891</v>
      </c>
      <c r="G27" s="111">
        <f t="shared" si="17"/>
        <v>0.35239344400437667</v>
      </c>
      <c r="H27" s="111">
        <f t="shared" si="17"/>
        <v>0.28983527207484988</v>
      </c>
      <c r="I27" s="111">
        <f t="shared" si="17"/>
        <v>0.33389093744432635</v>
      </c>
      <c r="J27" s="111">
        <f t="shared" si="17"/>
        <v>0.39989096705351285</v>
      </c>
      <c r="K27" s="111">
        <f t="shared" si="17"/>
        <v>0.49021467051898876</v>
      </c>
      <c r="L27" s="111">
        <f t="shared" si="17"/>
        <v>0.47156357571267488</v>
      </c>
      <c r="M27" s="111">
        <f t="shared" si="17"/>
        <v>0.45949803214468787</v>
      </c>
      <c r="N27" s="111">
        <f t="shared" si="17"/>
        <v>0.52221932224960199</v>
      </c>
      <c r="O27" s="111">
        <f t="shared" si="17"/>
        <v>0.51619888562221505</v>
      </c>
      <c r="P27" s="96">
        <f t="shared" si="17"/>
        <v>0.47744765929564481</v>
      </c>
      <c r="Q27" s="111">
        <f t="shared" si="17"/>
        <v>0.43460441518872961</v>
      </c>
      <c r="R27" s="111">
        <f t="shared" si="17"/>
        <v>0.40604363687321826</v>
      </c>
      <c r="S27" s="111">
        <f t="shared" si="17"/>
        <v>0.32069386062053179</v>
      </c>
      <c r="T27" s="111">
        <f t="shared" si="17"/>
        <v>0.25751652628511701</v>
      </c>
      <c r="U27" s="111">
        <f t="shared" si="17"/>
        <v>0.30947482525055403</v>
      </c>
      <c r="V27" s="111">
        <f t="shared" si="17"/>
        <v>0.37491040772994311</v>
      </c>
      <c r="W27" s="111">
        <f t="shared" si="17"/>
        <v>0.48301801080878243</v>
      </c>
      <c r="X27" s="111">
        <f t="shared" si="17"/>
        <v>0.45883427722076475</v>
      </c>
      <c r="Y27" s="111">
        <f t="shared" si="17"/>
        <v>0.44959820410529605</v>
      </c>
      <c r="Z27" s="111">
        <f t="shared" si="17"/>
        <v>0.51850959171717614</v>
      </c>
      <c r="AA27" s="97">
        <f t="shared" si="17"/>
        <v>0.50916437270602732</v>
      </c>
      <c r="AB27" s="15"/>
      <c r="AC27" s="232">
        <f>'Cons. Financials - ''23 ''24'!AC27</f>
        <v>0.44769548424483913</v>
      </c>
      <c r="AD27" s="97">
        <f t="shared" ref="AD27" si="18">(AD26/AD$14)</f>
        <v>0.43296340844348447</v>
      </c>
      <c r="AE27" s="97">
        <f t="shared" ref="AE27" si="19">(AE26/AE$14)</f>
        <v>0.4051782211065672</v>
      </c>
    </row>
    <row r="28" spans="3:31" ht="3" customHeight="1" x14ac:dyDescent="0.2">
      <c r="C28" s="16"/>
      <c r="D28" s="11"/>
      <c r="P28" s="11"/>
      <c r="AA28" s="15"/>
      <c r="AB28" s="15"/>
      <c r="AC28" s="306">
        <f>'Cons. Financials - ''23 ''24'!AC28</f>
        <v>0</v>
      </c>
      <c r="AD28" s="15"/>
      <c r="AE28" s="15"/>
    </row>
    <row r="29" spans="3:31" x14ac:dyDescent="0.2">
      <c r="C29" t="s">
        <v>10</v>
      </c>
      <c r="D29" s="115">
        <f>_xlfn.XLOOKUP($C29,'Cons. Financials - ''23 ''24'!$C$8:$C$79,'Cons. Financials - ''23 ''24'!P$8:P$79)</f>
        <v>-520.22679818661686</v>
      </c>
      <c r="E29" s="257">
        <f>_xlfn.XLOOKUP($C29,'Cons. Financials - ''23 ''24'!$C$8:$C$79,'Cons. Financials - ''23 ''24'!Q$8:Q$79)</f>
        <v>-531.73365037815165</v>
      </c>
      <c r="F29" s="257">
        <f>_xlfn.XLOOKUP($C29,'Cons. Financials - ''23 ''24'!$C$8:$C$79,'Cons. Financials - ''23 ''24'!R$8:R$79)</f>
        <v>-581.61048262666816</v>
      </c>
      <c r="G29" s="257">
        <f>_xlfn.XLOOKUP($C29,'Cons. Financials - ''23 ''24'!$C$8:$C$79,'Cons. Financials - ''23 ''24'!S$8:S$79)</f>
        <v>-625.21944670451126</v>
      </c>
      <c r="H29" s="257">
        <f>_xlfn.XLOOKUP($C29,'Cons. Financials - ''23 ''24'!$C$8:$C$79,'Cons. Financials - ''23 ''24'!T$8:T$79)</f>
        <v>-755.27144434195134</v>
      </c>
      <c r="I29" s="257">
        <f>_xlfn.XLOOKUP($C29,'Cons. Financials - ''23 ''24'!$C$8:$C$79,'Cons. Financials - ''23 ''24'!U$8:U$79)</f>
        <v>-632.69582872920989</v>
      </c>
      <c r="J29" s="257">
        <f>_xlfn.XLOOKUP($C29,'Cons. Financials - ''23 ''24'!$C$8:$C$79,'Cons. Financials - ''23 ''24'!V$8:V$79)</f>
        <v>-642.35044276988265</v>
      </c>
      <c r="K29" s="257">
        <f>_xlfn.XLOOKUP($C29,'Cons. Financials - ''23 ''24'!$C$8:$C$79,'Cons. Financials - ''23 ''24'!W$8:W$79)</f>
        <v>-540.61413522634859</v>
      </c>
      <c r="L29" s="257">
        <f>_xlfn.XLOOKUP($C29,'Cons. Financials - ''23 ''24'!$C$8:$C$79,'Cons. Financials - ''23 ''24'!X$8:X$79)</f>
        <v>-491.19407490668851</v>
      </c>
      <c r="M29" s="257">
        <f>_xlfn.XLOOKUP($C29,'Cons. Financials - ''23 ''24'!$C$8:$C$79,'Cons. Financials - ''23 ''24'!Y$8:Y$79)</f>
        <v>-554.48214027443521</v>
      </c>
      <c r="N29" s="257">
        <f>_xlfn.XLOOKUP($C29,'Cons. Financials - ''23 ''24'!$C$8:$C$79,'Cons. Financials - ''23 ''24'!Z$8:Z$79)</f>
        <v>-437.99999856581354</v>
      </c>
      <c r="O29" s="257">
        <f>_xlfn.XLOOKUP($C29,'Cons. Financials - ''23 ''24'!$C$8:$C$79,'Cons. Financials - ''23 ''24'!AA$8:AA$79)</f>
        <v>-352.57552468396824</v>
      </c>
      <c r="P29" s="115">
        <f>SUMIFS('Site Level Budget - ''25'!S:S,'Site Level Budget - ''25'!$F:$F,'Consolidated Budget - ''25'!$C29)</f>
        <v>-557.18908903265265</v>
      </c>
      <c r="Q29" s="257">
        <f>SUMIFS('Site Level Budget - ''25'!T:T,'Site Level Budget - ''25'!$F:$F,'Consolidated Budget - ''25'!$C29)</f>
        <v>-645.80605799843909</v>
      </c>
      <c r="R29" s="257">
        <f>SUMIFS('Site Level Budget - ''25'!U:U,'Site Level Budget - ''25'!$F:$F,'Consolidated Budget - ''25'!$C29)</f>
        <v>-771.09250270002167</v>
      </c>
      <c r="S29" s="257">
        <f>SUMIFS('Site Level Budget - ''25'!V:V,'Site Level Budget - ''25'!$F:$F,'Consolidated Budget - ''25'!$C29)</f>
        <v>-1012.1300784008043</v>
      </c>
      <c r="T29" s="257">
        <f>SUMIFS('Site Level Budget - ''25'!W:W,'Site Level Budget - ''25'!$F:$F,'Consolidated Budget - ''25'!$C29)</f>
        <v>-1543.077853991095</v>
      </c>
      <c r="U29" s="257">
        <f>SUMIFS('Site Level Budget - ''25'!X:X,'Site Level Budget - ''25'!$F:$F,'Consolidated Budget - ''25'!$C29)</f>
        <v>-1172.5584553576455</v>
      </c>
      <c r="V29" s="257">
        <f>SUMIFS('Site Level Budget - ''25'!Y:Y,'Site Level Budget - ''25'!$F:$F,'Consolidated Budget - ''25'!$C29)</f>
        <v>-1063.4296950714108</v>
      </c>
      <c r="W29" s="257">
        <f>SUMIFS('Site Level Budget - ''25'!Z:Z,'Site Level Budget - ''25'!$F:$F,'Consolidated Budget - ''25'!$C29)</f>
        <v>-689.95019175387097</v>
      </c>
      <c r="X29" s="257">
        <f>SUMIFS('Site Level Budget - ''25'!AA:AA,'Site Level Budget - ''25'!$F:$F,'Consolidated Budget - ''25'!$C29)</f>
        <v>-625.91029465905092</v>
      </c>
      <c r="Y29" s="257">
        <f>SUMIFS('Site Level Budget - ''25'!AB:AB,'Site Level Budget - ''25'!$F:$F,'Consolidated Budget - ''25'!$C29)</f>
        <v>-712.87714544977621</v>
      </c>
      <c r="Z29" s="257">
        <f>SUMIFS('Site Level Budget - ''25'!AC:AC,'Site Level Budget - ''25'!$F:$F,'Consolidated Budget - ''25'!$C29)</f>
        <v>-482.23418409204658</v>
      </c>
      <c r="AA29" s="328">
        <f>SUMIFS('Site Level Budget - ''25'!AD:AD,'Site Level Budget - ''25'!$F:$F,'Consolidated Budget - ''25'!$C29)</f>
        <v>-399.82470085191983</v>
      </c>
      <c r="AB29" s="15"/>
      <c r="AC29" s="115">
        <f>'Cons. Financials - ''23 ''24'!AC29</f>
        <v>-6556.3032936264708</v>
      </c>
      <c r="AD29" s="93">
        <f>SUM(D29:O29)</f>
        <v>-6665.9739673942458</v>
      </c>
      <c r="AE29" s="93">
        <f>SUM(P29:AA29)</f>
        <v>-9676.0802493587325</v>
      </c>
    </row>
    <row r="30" spans="3:31" x14ac:dyDescent="0.2">
      <c r="C30" s="16" t="s">
        <v>9</v>
      </c>
      <c r="D30" s="96">
        <f>(D29/D$14)</f>
        <v>-3.838452621478302E-2</v>
      </c>
      <c r="E30" s="111">
        <f t="shared" ref="E30:AA30" si="20">(E29/E$14)</f>
        <v>-4.1631547393065627E-2</v>
      </c>
      <c r="F30" s="111">
        <f t="shared" si="20"/>
        <v>-4.6054568089820891E-2</v>
      </c>
      <c r="G30" s="111">
        <f t="shared" si="20"/>
        <v>-5.2909745068843314E-2</v>
      </c>
      <c r="H30" s="111">
        <f t="shared" si="20"/>
        <v>-6.3694505511343841E-2</v>
      </c>
      <c r="I30" s="111">
        <f t="shared" si="20"/>
        <v>-5.8111299221695653E-2</v>
      </c>
      <c r="J30" s="111">
        <f t="shared" si="20"/>
        <v>-5.046858078142779E-2</v>
      </c>
      <c r="K30" s="111">
        <f t="shared" si="20"/>
        <v>-4.0834239301376501E-2</v>
      </c>
      <c r="L30" s="111">
        <f t="shared" si="20"/>
        <v>-4.0604587253066503E-2</v>
      </c>
      <c r="M30" s="111">
        <f t="shared" si="20"/>
        <v>-4.0400949569516127E-2</v>
      </c>
      <c r="N30" s="111">
        <f t="shared" si="20"/>
        <v>-3.5703284010713897E-2</v>
      </c>
      <c r="O30" s="111">
        <f t="shared" si="20"/>
        <v>-3.5632828268174162E-2</v>
      </c>
      <c r="P30" s="96">
        <f t="shared" si="20"/>
        <v>-3.8060805550847121E-2</v>
      </c>
      <c r="Q30" s="111">
        <f t="shared" si="20"/>
        <v>-4.2054747784890545E-2</v>
      </c>
      <c r="R30" s="111">
        <f t="shared" si="20"/>
        <v>-4.6762783401748567E-2</v>
      </c>
      <c r="S30" s="111">
        <f t="shared" si="20"/>
        <v>-5.6743810428481471E-2</v>
      </c>
      <c r="T30" s="111">
        <f t="shared" si="20"/>
        <v>-7.2789133009804927E-2</v>
      </c>
      <c r="U30" s="111">
        <f t="shared" si="20"/>
        <v>-6.586638781005312E-2</v>
      </c>
      <c r="V30" s="111">
        <f t="shared" si="20"/>
        <v>-5.7453139194148919E-2</v>
      </c>
      <c r="W30" s="111">
        <f t="shared" si="20"/>
        <v>-4.3470359778727895E-2</v>
      </c>
      <c r="X30" s="111">
        <f t="shared" si="20"/>
        <v>-4.3012574774770829E-2</v>
      </c>
      <c r="Y30" s="111">
        <f t="shared" si="20"/>
        <v>-4.2654983955845577E-2</v>
      </c>
      <c r="Z30" s="111">
        <f t="shared" si="20"/>
        <v>-3.6502975182537319E-2</v>
      </c>
      <c r="AA30" s="97">
        <f t="shared" si="20"/>
        <v>-3.7079734995254715E-2</v>
      </c>
      <c r="AB30" s="15"/>
      <c r="AC30" s="232">
        <f>'Cons. Financials - ''23 ''24'!AC30</f>
        <v>-5.158825896746333E-2</v>
      </c>
      <c r="AD30" s="97">
        <f t="shared" ref="AD30" si="21">(AD29/AD$14)</f>
        <v>-4.5203113761981668E-2</v>
      </c>
      <c r="AE30" s="97">
        <f t="shared" ref="AE30" si="22">(AE29/AE$14)</f>
        <v>-5.0144808338827854E-2</v>
      </c>
    </row>
    <row r="31" spans="3:31" ht="3" customHeight="1" x14ac:dyDescent="0.2">
      <c r="C31" s="16"/>
      <c r="D31" s="36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6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8"/>
      <c r="AB31" s="15"/>
      <c r="AC31" s="232">
        <f>'Cons. Financials - ''23 ''24'!AC31</f>
        <v>0</v>
      </c>
      <c r="AD31" s="38"/>
      <c r="AE31" s="38"/>
    </row>
    <row r="32" spans="3:31" x14ac:dyDescent="0.2">
      <c r="C32" t="s">
        <v>7</v>
      </c>
      <c r="D32" s="115">
        <f>_xlfn.XLOOKUP($C32,'Cons. Financials - ''23 ''24'!$C$8:$C$79,'Cons. Financials - ''23 ''24'!P$8:P$79)</f>
        <v>-297.75131239945517</v>
      </c>
      <c r="E32" s="257">
        <f>_xlfn.XLOOKUP($C32,'Cons. Financials - ''23 ''24'!$C$8:$C$79,'Cons. Financials - ''23 ''24'!Q$8:Q$79)</f>
        <v>-301.20966989077607</v>
      </c>
      <c r="F32" s="257">
        <f>_xlfn.XLOOKUP($C32,'Cons. Financials - ''23 ''24'!$C$8:$C$79,'Cons. Financials - ''23 ''24'!R$8:R$79)</f>
        <v>-326.8836747108233</v>
      </c>
      <c r="G32" s="257">
        <f>_xlfn.XLOOKUP($C32,'Cons. Financials - ''23 ''24'!$C$8:$C$79,'Cons. Financials - ''23 ''24'!S$8:S$79)</f>
        <v>-350.03651217778247</v>
      </c>
      <c r="H32" s="257">
        <f>_xlfn.XLOOKUP($C32,'Cons. Financials - ''23 ''24'!$C$8:$C$79,'Cons. Financials - ''23 ''24'!T$8:T$79)</f>
        <v>-435.78904376797419</v>
      </c>
      <c r="I32" s="257">
        <f>_xlfn.XLOOKUP($C32,'Cons. Financials - ''23 ''24'!$C$8:$C$79,'Cons. Financials - ''23 ''24'!U$8:U$79)</f>
        <v>-364.36409280956821</v>
      </c>
      <c r="J32" s="257">
        <f>_xlfn.XLOOKUP($C32,'Cons. Financials - ''23 ''24'!$C$8:$C$79,'Cons. Financials - ''23 ''24'!V$8:V$79)</f>
        <v>-365.15345738378312</v>
      </c>
      <c r="K32" s="257">
        <f>_xlfn.XLOOKUP($C32,'Cons. Financials - ''23 ''24'!$C$8:$C$79,'Cons. Financials - ''23 ''24'!W$8:W$79)</f>
        <v>-315.68592519043432</v>
      </c>
      <c r="L32" s="257">
        <f>_xlfn.XLOOKUP($C32,'Cons. Financials - ''23 ''24'!$C$8:$C$79,'Cons. Financials - ''23 ''24'!X$8:X$79)</f>
        <v>-283.98514626139132</v>
      </c>
      <c r="M32" s="257">
        <f>_xlfn.XLOOKUP($C32,'Cons. Financials - ''23 ''24'!$C$8:$C$79,'Cons. Financials - ''23 ''24'!Y$8:Y$79)</f>
        <v>-336.39715702876458</v>
      </c>
      <c r="N32" s="257">
        <f>_xlfn.XLOOKUP($C32,'Cons. Financials - ''23 ''24'!$C$8:$C$79,'Cons. Financials - ''23 ''24'!Z$8:Z$79)</f>
        <v>-268.46337573053182</v>
      </c>
      <c r="O32" s="257">
        <f>_xlfn.XLOOKUP($C32,'Cons. Financials - ''23 ''24'!$C$8:$C$79,'Cons. Financials - ''23 ''24'!AA$8:AA$79)</f>
        <v>-215.973702451712</v>
      </c>
      <c r="P32" s="115">
        <f>SUMIFS('Site Level Budget - ''25'!S:S,'Site Level Budget - ''25'!$F:$F,'Consolidated Budget - ''25'!$C32)</f>
        <v>-310.04095507067359</v>
      </c>
      <c r="Q32" s="257">
        <f>SUMIFS('Site Level Budget - ''25'!T:T,'Site Level Budget - ''25'!$F:$F,'Consolidated Budget - ''25'!$C32)</f>
        <v>-356.51835526650035</v>
      </c>
      <c r="R32" s="257">
        <f>SUMIFS('Site Level Budget - ''25'!U:U,'Site Level Budget - ''25'!$F:$F,'Consolidated Budget - ''25'!$C32)</f>
        <v>-425.23512742521257</v>
      </c>
      <c r="S32" s="257">
        <f>SUMIFS('Site Level Budget - ''25'!V:V,'Site Level Budget - ''25'!$F:$F,'Consolidated Budget - ''25'!$C32)</f>
        <v>-566.30634603280294</v>
      </c>
      <c r="T32" s="257">
        <f>SUMIFS('Site Level Budget - ''25'!W:W,'Site Level Budget - ''25'!$F:$F,'Consolidated Budget - ''25'!$C32)</f>
        <v>-858.87610870445201</v>
      </c>
      <c r="U32" s="257">
        <f>SUMIFS('Site Level Budget - ''25'!X:X,'Site Level Budget - ''25'!$F:$F,'Consolidated Budget - ''25'!$C32)</f>
        <v>-638.06316086731056</v>
      </c>
      <c r="V32" s="257">
        <f>SUMIFS('Site Level Budget - ''25'!Y:Y,'Site Level Budget - ''25'!$F:$F,'Consolidated Budget - ''25'!$C32)</f>
        <v>-584.95211319684165</v>
      </c>
      <c r="W32" s="257">
        <f>SUMIFS('Site Level Budget - ''25'!Z:Z,'Site Level Budget - ''25'!$F:$F,'Consolidated Budget - ''25'!$C32)</f>
        <v>-393.83010640948231</v>
      </c>
      <c r="X32" s="257">
        <f>SUMIFS('Site Level Budget - ''25'!AA:AA,'Site Level Budget - ''25'!$F:$F,'Consolidated Budget - ''25'!$C32)</f>
        <v>-358.84186777755167</v>
      </c>
      <c r="Y32" s="257">
        <f>SUMIFS('Site Level Budget - ''25'!AB:AB,'Site Level Budget - ''25'!$F:$F,'Consolidated Budget - ''25'!$C32)</f>
        <v>-429.33301111118078</v>
      </c>
      <c r="Z32" s="257">
        <f>SUMIFS('Site Level Budget - ''25'!AC:AC,'Site Level Budget - ''25'!$F:$F,'Consolidated Budget - ''25'!$C32)</f>
        <v>-292.86783917488935</v>
      </c>
      <c r="AA32" s="328">
        <f>SUMIFS('Site Level Budget - ''25'!AD:AD,'Site Level Budget - ''25'!$F:$F,'Consolidated Budget - ''25'!$C32)</f>
        <v>-247.50680274983992</v>
      </c>
      <c r="AB32" s="15"/>
      <c r="AC32" s="115">
        <f>'Cons. Financials - ''23 ''24'!AC32</f>
        <v>-3833.0299767177225</v>
      </c>
      <c r="AD32" s="93">
        <f>SUM(D32:O32)</f>
        <v>-3861.6930698029964</v>
      </c>
      <c r="AE32" s="93">
        <f>SUM(P32:AA32)</f>
        <v>-5462.3717937867377</v>
      </c>
    </row>
    <row r="33" spans="3:31" x14ac:dyDescent="0.2">
      <c r="C33" s="16" t="s">
        <v>9</v>
      </c>
      <c r="D33" s="96">
        <f>(D32/D$14)</f>
        <v>-2.1969347015804986E-2</v>
      </c>
      <c r="E33" s="111">
        <f t="shared" ref="E33:AA33" si="23">(E32/E$14)</f>
        <v>-2.3582905912367183E-2</v>
      </c>
      <c r="F33" s="111">
        <f t="shared" si="23"/>
        <v>-2.5884138790675561E-2</v>
      </c>
      <c r="G33" s="111">
        <f t="shared" si="23"/>
        <v>-2.9622147426368439E-2</v>
      </c>
      <c r="H33" s="111">
        <f t="shared" si="23"/>
        <v>-3.6751512132497978E-2</v>
      </c>
      <c r="I33" s="111">
        <f t="shared" si="23"/>
        <v>-3.3465798036675078E-2</v>
      </c>
      <c r="J33" s="111">
        <f t="shared" si="23"/>
        <v>-2.8689599219585318E-2</v>
      </c>
      <c r="K33" s="111">
        <f t="shared" si="23"/>
        <v>-2.3844723571471944E-2</v>
      </c>
      <c r="L33" s="111">
        <f t="shared" si="23"/>
        <v>-2.3475648911555101E-2</v>
      </c>
      <c r="M33" s="111">
        <f t="shared" si="23"/>
        <v>-2.4510734592319072E-2</v>
      </c>
      <c r="N33" s="111">
        <f t="shared" si="23"/>
        <v>-2.1883616852893518E-2</v>
      </c>
      <c r="O33" s="111">
        <f t="shared" si="23"/>
        <v>-2.1827249230648389E-2</v>
      </c>
      <c r="P33" s="96">
        <f t="shared" si="23"/>
        <v>-2.1178462995804108E-2</v>
      </c>
      <c r="Q33" s="111">
        <f t="shared" si="23"/>
        <v>-2.3216396510564966E-2</v>
      </c>
      <c r="R33" s="111">
        <f t="shared" si="23"/>
        <v>-2.5788317340618865E-2</v>
      </c>
      <c r="S33" s="111">
        <f t="shared" si="23"/>
        <v>-3.1749258943578357E-2</v>
      </c>
      <c r="T33" s="111">
        <f t="shared" si="23"/>
        <v>-4.0514383090739903E-2</v>
      </c>
      <c r="U33" s="111">
        <f t="shared" si="23"/>
        <v>-3.5842064341411309E-2</v>
      </c>
      <c r="V33" s="111">
        <f t="shared" si="23"/>
        <v>-3.1602780453815441E-2</v>
      </c>
      <c r="W33" s="111">
        <f t="shared" si="23"/>
        <v>-2.4813293223088426E-2</v>
      </c>
      <c r="X33" s="111">
        <f t="shared" si="23"/>
        <v>-2.4659624233386423E-2</v>
      </c>
      <c r="Y33" s="111">
        <f t="shared" si="23"/>
        <v>-2.5689128649380291E-2</v>
      </c>
      <c r="Z33" s="111">
        <f t="shared" si="23"/>
        <v>-2.2168788148630613E-2</v>
      </c>
      <c r="AA33" s="97">
        <f t="shared" si="23"/>
        <v>-2.2953776082198195E-2</v>
      </c>
      <c r="AB33" s="15"/>
      <c r="AC33" s="232">
        <f>'Cons. Financials - ''23 ''24'!AC33</f>
        <v>-3.0160188480174589E-2</v>
      </c>
      <c r="AD33" s="97">
        <f t="shared" ref="AD33" si="24">(AD32/AD$14)</f>
        <v>-2.6186803609195227E-2</v>
      </c>
      <c r="AE33" s="97">
        <f t="shared" ref="AE33" si="25">(AE32/AE$14)</f>
        <v>-2.8307907708083363E-2</v>
      </c>
    </row>
    <row r="34" spans="3:31" ht="3" customHeight="1" x14ac:dyDescent="0.2">
      <c r="C34" s="16"/>
      <c r="D34" s="36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6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8"/>
      <c r="AB34" s="15"/>
      <c r="AC34" s="232">
        <f>'Cons. Financials - ''23 ''24'!AC34</f>
        <v>0</v>
      </c>
      <c r="AD34" s="38"/>
      <c r="AE34" s="38"/>
    </row>
    <row r="35" spans="3:31" x14ac:dyDescent="0.2">
      <c r="C35" t="s">
        <v>162</v>
      </c>
      <c r="D35" s="115">
        <f>_xlfn.XLOOKUP($C35,'Cons. Financials - ''23 ''24'!$C$8:$C$79,'Cons. Financials - ''23 ''24'!P$8:P$79)</f>
        <v>-799.2369069448572</v>
      </c>
      <c r="E35" s="257">
        <f>_xlfn.XLOOKUP($C35,'Cons. Financials - ''23 ''24'!$C$8:$C$79,'Cons. Financials - ''23 ''24'!Q$8:Q$79)</f>
        <v>-800.70614858855777</v>
      </c>
      <c r="F35" s="257">
        <f>_xlfn.XLOOKUP($C35,'Cons. Financials - ''23 ''24'!$C$8:$C$79,'Cons. Financials - ''23 ''24'!R$8:R$79)</f>
        <v>-803.94851274111488</v>
      </c>
      <c r="G35" s="257">
        <f>_xlfn.XLOOKUP($C35,'Cons. Financials - ''23 ''24'!$C$8:$C$79,'Cons. Financials - ''23 ''24'!S$8:S$79)</f>
        <v>-806.67020857268028</v>
      </c>
      <c r="H35" s="257">
        <f>_xlfn.XLOOKUP($C35,'Cons. Financials - ''23 ''24'!$C$8:$C$79,'Cons. Financials - ''23 ''24'!T$8:T$79)</f>
        <v>-806.67020857268028</v>
      </c>
      <c r="I35" s="257">
        <f>_xlfn.XLOOKUP($C35,'Cons. Financials - ''23 ''24'!$C$8:$C$79,'Cons. Financials - ''23 ''24'!U$8:U$79)</f>
        <v>-811.58748017502558</v>
      </c>
      <c r="J35" s="257">
        <f>_xlfn.XLOOKUP($C35,'Cons. Financials - ''23 ''24'!$C$8:$C$79,'Cons. Financials - ''23 ''24'!V$8:V$79)</f>
        <v>-815.64516781906946</v>
      </c>
      <c r="K35" s="257">
        <f>_xlfn.XLOOKUP($C35,'Cons. Financials - ''23 ''24'!$C$8:$C$79,'Cons. Financials - ''23 ''24'!W$8:W$79)</f>
        <v>-818.54817116519018</v>
      </c>
      <c r="L35" s="257">
        <f>_xlfn.XLOOKUP($C35,'Cons. Financials - ''23 ''24'!$C$8:$C$79,'Cons. Financials - ''23 ''24'!X$8:X$79)</f>
        <v>-819.02187695591067</v>
      </c>
      <c r="M35" s="257">
        <f>_xlfn.XLOOKUP($C35,'Cons. Financials - ''23 ''24'!$C$8:$C$79,'Cons. Financials - ''23 ''24'!Y$8:Y$79)</f>
        <v>-822.28077295810465</v>
      </c>
      <c r="N35" s="257">
        <f>_xlfn.XLOOKUP($C35,'Cons. Financials - ''23 ''24'!$C$8:$C$79,'Cons. Financials - ''23 ''24'!Z$8:Z$79)</f>
        <v>-822.28077295810465</v>
      </c>
      <c r="O35" s="257">
        <f>_xlfn.XLOOKUP($C35,'Cons. Financials - ''23 ''24'!$C$8:$C$79,'Cons. Financials - ''23 ''24'!AA$8:AA$79)</f>
        <v>-823.21401415320281</v>
      </c>
      <c r="P35" s="115">
        <f>SUMIFS('Site Level Budget - ''25'!S:S,'Site Level Budget - ''25'!$F:$F,'Consolidated Budget - ''25'!$C35)</f>
        <v>-823.21401415320292</v>
      </c>
      <c r="Q35" s="257">
        <f>SUMIFS('Site Level Budget - ''25'!T:T,'Site Level Budget - ''25'!$F:$F,'Consolidated Budget - ''25'!$C35)</f>
        <v>-824.72733304621443</v>
      </c>
      <c r="R35" s="257">
        <f>SUMIFS('Site Level Budget - ''25'!U:U,'Site Level Budget - ''25'!$F:$F,'Consolidated Budget - ''25'!$C35)</f>
        <v>-828.06696812334826</v>
      </c>
      <c r="S35" s="257">
        <f>SUMIFS('Site Level Budget - ''25'!V:V,'Site Level Budget - ''25'!$F:$F,'Consolidated Budget - ''25'!$C35)</f>
        <v>-830.87031482986072</v>
      </c>
      <c r="T35" s="257">
        <f>SUMIFS('Site Level Budget - ''25'!W:W,'Site Level Budget - ''25'!$F:$F,'Consolidated Budget - ''25'!$C35)</f>
        <v>-830.87031482986072</v>
      </c>
      <c r="U35" s="257">
        <f>SUMIFS('Site Level Budget - ''25'!X:X,'Site Level Budget - ''25'!$F:$F,'Consolidated Budget - ''25'!$C35)</f>
        <v>-835.93510458027606</v>
      </c>
      <c r="V35" s="257">
        <f>SUMIFS('Site Level Budget - ''25'!Y:Y,'Site Level Budget - ''25'!$F:$F,'Consolidated Budget - ''25'!$C35)</f>
        <v>-840.11452285364135</v>
      </c>
      <c r="W35" s="257">
        <f>SUMIFS('Site Level Budget - ''25'!Z:Z,'Site Level Budget - ''25'!$F:$F,'Consolidated Budget - ''25'!$C35)</f>
        <v>-843.10461630014572</v>
      </c>
      <c r="X35" s="257">
        <f>SUMIFS('Site Level Budget - ''25'!AA:AA,'Site Level Budget - ''25'!$F:$F,'Consolidated Budget - ''25'!$C35)</f>
        <v>-843.59253326458781</v>
      </c>
      <c r="Y35" s="257">
        <f>SUMIFS('Site Level Budget - ''25'!AB:AB,'Site Level Budget - ''25'!$F:$F,'Consolidated Budget - ''25'!$C35)</f>
        <v>-846.94919614684761</v>
      </c>
      <c r="Z35" s="257">
        <f>SUMIFS('Site Level Budget - ''25'!AC:AC,'Site Level Budget - ''25'!$F:$F,'Consolidated Budget - ''25'!$C35)</f>
        <v>-846.94919614684761</v>
      </c>
      <c r="AA35" s="328">
        <f>SUMIFS('Site Level Budget - ''25'!AD:AD,'Site Level Budget - ''25'!$F:$F,'Consolidated Budget - ''25'!$C35)</f>
        <v>-847.91043457779881</v>
      </c>
      <c r="AB35" s="15"/>
      <c r="AC35" s="115">
        <f>'Cons. Financials - ''23 ''24'!AC35</f>
        <v>-9465.8118223541369</v>
      </c>
      <c r="AD35" s="93">
        <f>SUM(D35:O35)</f>
        <v>-9749.8102416044985</v>
      </c>
      <c r="AE35" s="93">
        <f>SUM(P35:AA35)</f>
        <v>-10042.304548852633</v>
      </c>
    </row>
    <row r="36" spans="3:31" x14ac:dyDescent="0.2">
      <c r="C36" s="16" t="s">
        <v>8</v>
      </c>
      <c r="D36" s="232">
        <f>_xlfn.XLOOKUP($C36,'Cons. Financials - ''23 ''24'!$C$8:$C$79,'Cons. Financials - ''23 ''24'!P$8:P$79)</f>
        <v>3.0002533338516102E-2</v>
      </c>
      <c r="E36" s="233">
        <f>_xlfn.XLOOKUP($C36,'Cons. Financials - ''23 ''24'!$C$8:$C$79,'Cons. Financials - ''23 ''24'!Q$8:Q$79)</f>
        <v>3.000255594674428E-2</v>
      </c>
      <c r="F36" s="233">
        <f>_xlfn.XLOOKUP($C36,'Cons. Financials - ''23 ''24'!$C$8:$C$79,'Cons. Financials - ''23 ''24'!R$8:R$79)</f>
        <v>3.0002537065982438E-2</v>
      </c>
      <c r="G36" s="233">
        <f>_xlfn.XLOOKUP($C36,'Cons. Financials - ''23 ''24'!$C$8:$C$79,'Cons. Financials - ''23 ''24'!S$8:S$79)</f>
        <v>3.0002543962349248E-2</v>
      </c>
      <c r="H36" s="233">
        <f>_xlfn.XLOOKUP($C36,'Cons. Financials - ''23 ''24'!$C$8:$C$79,'Cons. Financials - ''23 ''24'!T$8:T$79)</f>
        <v>3.0002543962349248E-2</v>
      </c>
      <c r="I36" s="233">
        <f>_xlfn.XLOOKUP($C36,'Cons. Financials - ''23 ''24'!$C$8:$C$79,'Cons. Financials - ''23 ''24'!U$8:U$79)</f>
        <v>3.0002573483506767E-2</v>
      </c>
      <c r="J36" s="233">
        <f>_xlfn.XLOOKUP($C36,'Cons. Financials - ''23 ''24'!$C$8:$C$79,'Cons. Financials - ''23 ''24'!V$8:V$79)</f>
        <v>3.0002553025526124E-2</v>
      </c>
      <c r="K36" s="233">
        <f>_xlfn.XLOOKUP($C36,'Cons. Financials - ''23 ''24'!$C$8:$C$79,'Cons. Financials - ''23 ''24'!W$8:W$79)</f>
        <v>3.0002543579846996E-2</v>
      </c>
      <c r="L36" s="233">
        <f>_xlfn.XLOOKUP($C36,'Cons. Financials - ''23 ''24'!$C$8:$C$79,'Cons. Financials - ''23 ''24'!X$8:X$79)</f>
        <v>3.0002530313026909E-2</v>
      </c>
      <c r="M36" s="233">
        <f>_xlfn.XLOOKUP($C36,'Cons. Financials - ''23 ''24'!$C$8:$C$79,'Cons. Financials - ''23 ''24'!Y$8:Y$79)</f>
        <v>3.0002529827268143E-2</v>
      </c>
      <c r="N36" s="233">
        <f>_xlfn.XLOOKUP($C36,'Cons. Financials - ''23 ''24'!$C$8:$C$79,'Cons. Financials - ''23 ''24'!Z$8:Z$79)</f>
        <v>3.0002529827268143E-2</v>
      </c>
      <c r="O36" s="233">
        <f>_xlfn.XLOOKUP($C36,'Cons. Financials - ''23 ''24'!$C$8:$C$79,'Cons. Financials - ''23 ''24'!AA$8:AA$79)</f>
        <v>3.000253333851588E-2</v>
      </c>
      <c r="P36" s="96">
        <f>P35/D35-1</f>
        <v>3.0000000000000027E-2</v>
      </c>
      <c r="Q36" s="111">
        <f t="shared" ref="Q36:AA36" si="26">Q35/E35-1</f>
        <v>2.9999999999999805E-2</v>
      </c>
      <c r="R36" s="111">
        <f t="shared" si="26"/>
        <v>2.9999999999999805E-2</v>
      </c>
      <c r="S36" s="111">
        <f t="shared" si="26"/>
        <v>3.0000000000000027E-2</v>
      </c>
      <c r="T36" s="111">
        <f t="shared" si="26"/>
        <v>3.0000000000000027E-2</v>
      </c>
      <c r="U36" s="111">
        <f t="shared" si="26"/>
        <v>2.9999999999999583E-2</v>
      </c>
      <c r="V36" s="111">
        <f t="shared" si="26"/>
        <v>2.9999999999999805E-2</v>
      </c>
      <c r="W36" s="111">
        <f t="shared" si="26"/>
        <v>2.9999999999999805E-2</v>
      </c>
      <c r="X36" s="111">
        <f t="shared" si="26"/>
        <v>2.9999999999999805E-2</v>
      </c>
      <c r="Y36" s="111">
        <f t="shared" si="26"/>
        <v>2.9999999999999805E-2</v>
      </c>
      <c r="Z36" s="111">
        <f t="shared" si="26"/>
        <v>2.9999999999999805E-2</v>
      </c>
      <c r="AA36" s="97">
        <f t="shared" si="26"/>
        <v>2.9999999999999805E-2</v>
      </c>
      <c r="AB36" s="15"/>
      <c r="AC36" s="231">
        <f>'Cons. Financials - ''23 ''24'!AC36</f>
        <v>0</v>
      </c>
      <c r="AD36" s="97">
        <f>AD35/AC35-1</f>
        <v>3.0002542262638432E-2</v>
      </c>
      <c r="AE36" s="97">
        <f>AE35/AD35-1</f>
        <v>3.0000000000000027E-2</v>
      </c>
    </row>
    <row r="37" spans="3:31" ht="3" customHeight="1" x14ac:dyDescent="0.2">
      <c r="C37" s="16"/>
      <c r="D37" s="11"/>
      <c r="P37" s="11"/>
      <c r="AA37" s="15"/>
      <c r="AB37" s="15"/>
      <c r="AC37" s="306">
        <f>'Cons. Financials - ''23 ''24'!AC37</f>
        <v>0</v>
      </c>
      <c r="AD37" s="15"/>
      <c r="AE37" s="15"/>
    </row>
    <row r="38" spans="3:31" x14ac:dyDescent="0.2">
      <c r="C38" s="8" t="s">
        <v>12</v>
      </c>
      <c r="D38" s="94">
        <f>D26+D29+D32+D35</f>
        <v>4949.4030074815309</v>
      </c>
      <c r="E38" s="98">
        <f t="shared" ref="E38:AA38" si="27">E26+E29+E32+E35</f>
        <v>4025.5614070790716</v>
      </c>
      <c r="F38" s="98">
        <f t="shared" si="27"/>
        <v>3568.6478052683829</v>
      </c>
      <c r="G38" s="98">
        <f t="shared" si="27"/>
        <v>2382.2071844642396</v>
      </c>
      <c r="H38" s="98">
        <f t="shared" si="27"/>
        <v>1439.0540432857101</v>
      </c>
      <c r="I38" s="98">
        <f t="shared" si="27"/>
        <v>1826.642226996491</v>
      </c>
      <c r="J38" s="98">
        <f t="shared" si="27"/>
        <v>3266.5549769848276</v>
      </c>
      <c r="K38" s="98">
        <f t="shared" si="27"/>
        <v>4815.2195329216975</v>
      </c>
      <c r="L38" s="98">
        <f t="shared" si="27"/>
        <v>4110.3079241758132</v>
      </c>
      <c r="M38" s="98">
        <f t="shared" si="27"/>
        <v>4593.2128004328142</v>
      </c>
      <c r="N38" s="98">
        <f t="shared" si="27"/>
        <v>4877.7270985762561</v>
      </c>
      <c r="O38" s="98">
        <f t="shared" si="27"/>
        <v>3715.860873468424</v>
      </c>
      <c r="P38" s="94">
        <f t="shared" si="27"/>
        <v>5299.1249351877423</v>
      </c>
      <c r="Q38" s="98">
        <f t="shared" si="27"/>
        <v>4846.8716260836682</v>
      </c>
      <c r="R38" s="98">
        <f t="shared" si="27"/>
        <v>4671.0409893234191</v>
      </c>
      <c r="S38" s="98">
        <f t="shared" si="27"/>
        <v>3310.8572723094449</v>
      </c>
      <c r="T38" s="98">
        <f t="shared" si="27"/>
        <v>2226.3429403854443</v>
      </c>
      <c r="U38" s="98">
        <f t="shared" si="27"/>
        <v>2862.7377028443566</v>
      </c>
      <c r="V38" s="98">
        <f t="shared" si="27"/>
        <v>4450.9131800637851</v>
      </c>
      <c r="W38" s="98">
        <f t="shared" si="27"/>
        <v>5739.4507421641201</v>
      </c>
      <c r="X38" s="98">
        <f t="shared" si="27"/>
        <v>4848.5189693722441</v>
      </c>
      <c r="Y38" s="98">
        <f t="shared" si="27"/>
        <v>5524.8109883361476</v>
      </c>
      <c r="Z38" s="98">
        <f t="shared" si="27"/>
        <v>5227.8849475770903</v>
      </c>
      <c r="AA38" s="95">
        <f t="shared" si="27"/>
        <v>3994.9939825382007</v>
      </c>
      <c r="AB38" s="15"/>
      <c r="AC38" s="113">
        <f>'Cons. Financials - ''23 ''24'!AC38</f>
        <v>37042.052770625218</v>
      </c>
      <c r="AD38" s="95">
        <f>SUM(D38:O38)</f>
        <v>43570.398881135268</v>
      </c>
      <c r="AE38" s="95">
        <f>SUM(P38:AA38)</f>
        <v>53003.548276185662</v>
      </c>
    </row>
    <row r="39" spans="3:31" x14ac:dyDescent="0.2">
      <c r="C39" s="16" t="s">
        <v>9</v>
      </c>
      <c r="D39" s="96">
        <f>(D38/D$14)</f>
        <v>0.36518781837157593</v>
      </c>
      <c r="E39" s="111">
        <f t="shared" ref="E39:AA39" si="28">(E38/E$14)</f>
        <v>0.3151772515869995</v>
      </c>
      <c r="F39" s="111">
        <f t="shared" si="28"/>
        <v>0.28258179356409469</v>
      </c>
      <c r="G39" s="111">
        <f t="shared" si="28"/>
        <v>0.20159637627320856</v>
      </c>
      <c r="H39" s="111">
        <f t="shared" si="28"/>
        <v>0.1213601234070807</v>
      </c>
      <c r="I39" s="111">
        <f t="shared" si="28"/>
        <v>0.16777185529605973</v>
      </c>
      <c r="J39" s="111">
        <f t="shared" si="28"/>
        <v>0.25664868077625513</v>
      </c>
      <c r="K39" s="111">
        <f t="shared" si="28"/>
        <v>0.36370826044654225</v>
      </c>
      <c r="L39" s="111">
        <f t="shared" si="28"/>
        <v>0.33977884764972527</v>
      </c>
      <c r="M39" s="111">
        <f t="shared" si="28"/>
        <v>0.33467292313598418</v>
      </c>
      <c r="N39" s="111">
        <f t="shared" si="28"/>
        <v>0.39760474086178738</v>
      </c>
      <c r="O39" s="111">
        <f t="shared" si="28"/>
        <v>0.37554119076022341</v>
      </c>
      <c r="P39" s="96">
        <f t="shared" si="28"/>
        <v>0.36197579550235331</v>
      </c>
      <c r="Q39" s="111">
        <f t="shared" si="28"/>
        <v>0.31562720921577919</v>
      </c>
      <c r="R39" s="111">
        <f t="shared" si="28"/>
        <v>0.28327454524531487</v>
      </c>
      <c r="S39" s="111">
        <f t="shared" si="28"/>
        <v>0.18561908338158237</v>
      </c>
      <c r="T39" s="111">
        <f t="shared" si="28"/>
        <v>0.10501969942346895</v>
      </c>
      <c r="U39" s="111">
        <f t="shared" si="28"/>
        <v>0.16080920390147571</v>
      </c>
      <c r="V39" s="111">
        <f t="shared" si="28"/>
        <v>0.24046623454322927</v>
      </c>
      <c r="W39" s="111">
        <f t="shared" si="28"/>
        <v>0.36161449286641401</v>
      </c>
      <c r="X39" s="111">
        <f t="shared" si="28"/>
        <v>0.33319037327963968</v>
      </c>
      <c r="Y39" s="111">
        <f t="shared" si="28"/>
        <v>0.33057691016012597</v>
      </c>
      <c r="Z39" s="111">
        <f t="shared" si="28"/>
        <v>0.39572755477272753</v>
      </c>
      <c r="AA39" s="97">
        <f t="shared" si="28"/>
        <v>0.37049566438622006</v>
      </c>
      <c r="AB39" s="15"/>
      <c r="AC39" s="232">
        <f>'Cons. Financials - ''23 ''24'!AC39</f>
        <v>0.29146531596168207</v>
      </c>
      <c r="AD39" s="97">
        <f t="shared" ref="AD39" si="29">(AD38/AD$14)</f>
        <v>0.29545835415987504</v>
      </c>
      <c r="AE39" s="97">
        <f t="shared" ref="AE39" si="30">(AE38/AE$14)</f>
        <v>0.27468279521175787</v>
      </c>
    </row>
    <row r="40" spans="3:31" ht="3" customHeight="1" x14ac:dyDescent="0.2">
      <c r="C40" s="7"/>
      <c r="D40" s="36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6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8"/>
      <c r="AB40" s="15"/>
      <c r="AC40" s="232">
        <f>'Cons. Financials - ''23 ''24'!AC40</f>
        <v>0</v>
      </c>
      <c r="AD40" s="38"/>
      <c r="AE40" s="38"/>
    </row>
    <row r="41" spans="3:31" x14ac:dyDescent="0.2">
      <c r="C41" t="s">
        <v>168</v>
      </c>
      <c r="D41" s="313">
        <f>_xlfn.XLOOKUP($C41,'Cons. Financials - ''23 ''24'!$C$8:$C$79,'Cons. Financials - ''23 ''24'!P$8:P$79)</f>
        <v>-756.41666666666652</v>
      </c>
      <c r="E41" s="257">
        <f>_xlfn.XLOOKUP($C41,'Cons. Financials - ''23 ''24'!$C$8:$C$79,'Cons. Financials - ''23 ''24'!Q$8:Q$79)</f>
        <v>-765.97916666666652</v>
      </c>
      <c r="F41" s="257">
        <f>_xlfn.XLOOKUP($C41,'Cons. Financials - ''23 ''24'!$C$8:$C$79,'Cons. Financials - ''23 ''24'!R$8:R$79)</f>
        <v>-775.54166666666652</v>
      </c>
      <c r="G41" s="257">
        <f>_xlfn.XLOOKUP($C41,'Cons. Financials - ''23 ''24'!$C$8:$C$79,'Cons. Financials - ''23 ''24'!S$8:S$79)</f>
        <v>-758.54166666666652</v>
      </c>
      <c r="H41" s="257">
        <f>_xlfn.XLOOKUP($C41,'Cons. Financials - ''23 ''24'!$C$8:$C$79,'Cons. Financials - ''23 ''24'!T$8:T$79)</f>
        <v>-743.54166666666652</v>
      </c>
      <c r="I41" s="257">
        <f>_xlfn.XLOOKUP($C41,'Cons. Financials - ''23 ''24'!$C$8:$C$79,'Cons. Financials - ''23 ''24'!U$8:U$79)</f>
        <v>-747.54166666666652</v>
      </c>
      <c r="J41" s="257">
        <f>_xlfn.XLOOKUP($C41,'Cons. Financials - ''23 ''24'!$C$8:$C$79,'Cons. Financials - ''23 ''24'!V$8:V$79)</f>
        <v>-705.87499999999989</v>
      </c>
      <c r="K41" s="257">
        <f>_xlfn.XLOOKUP($C41,'Cons. Financials - ''23 ''24'!$C$8:$C$79,'Cons. Financials - ''23 ''24'!W$8:W$79)</f>
        <v>-712.37499999999989</v>
      </c>
      <c r="L41" s="257">
        <f>_xlfn.XLOOKUP($C41,'Cons. Financials - ''23 ''24'!$C$8:$C$79,'Cons. Financials - ''23 ''24'!X$8:X$79)</f>
        <v>-688.54166666666663</v>
      </c>
      <c r="M41" s="257">
        <f>_xlfn.XLOOKUP($C41,'Cons. Financials - ''23 ''24'!$C$8:$C$79,'Cons. Financials - ''23 ''24'!Y$8:Y$79)</f>
        <v>-697.20833333333326</v>
      </c>
      <c r="N41" s="257">
        <f>_xlfn.XLOOKUP($C41,'Cons. Financials - ''23 ''24'!$C$8:$C$79,'Cons. Financials - ''23 ''24'!Z$8:Z$79)</f>
        <v>-671.77083333333326</v>
      </c>
      <c r="O41" s="257">
        <f>_xlfn.XLOOKUP($C41,'Cons. Financials - ''23 ''24'!$C$8:$C$79,'Cons. Financials - ''23 ''24'!AA$8:AA$79)</f>
        <v>-678.64583333333326</v>
      </c>
      <c r="P41" s="115">
        <f>-'Corporate Monthly - ''25'!I353/1000</f>
        <v>-817.7083333333336</v>
      </c>
      <c r="Q41" s="257">
        <f>-'Corporate Monthly - ''25'!J353/1000</f>
        <v>-876.50000000000034</v>
      </c>
      <c r="R41" s="257">
        <f>-'Corporate Monthly - ''25'!K353/1000</f>
        <v>-876.50000000000034</v>
      </c>
      <c r="S41" s="257">
        <f>-'Corporate Monthly - ''25'!L353/1000</f>
        <v>-876.50000000000034</v>
      </c>
      <c r="T41" s="257">
        <f>-'Corporate Monthly - ''25'!M353/1000</f>
        <v>-876.50000000000034</v>
      </c>
      <c r="U41" s="257">
        <f>-'Corporate Monthly - ''25'!N353/1000</f>
        <v>-876.50000000000034</v>
      </c>
      <c r="V41" s="257">
        <f>-'Corporate Monthly - ''25'!O353/1000</f>
        <v>-876.50000000000034</v>
      </c>
      <c r="W41" s="257">
        <f>-'Corporate Monthly - ''25'!P353/1000</f>
        <v>-876.50000000000034</v>
      </c>
      <c r="X41" s="257">
        <f>-'Corporate Monthly - ''25'!Q353/1000</f>
        <v>-876.50000000000034</v>
      </c>
      <c r="Y41" s="257">
        <f>-'Corporate Monthly - ''25'!R353/1000</f>
        <v>-876.50000000000034</v>
      </c>
      <c r="Z41" s="257">
        <f>-'Corporate Monthly - ''25'!S353/1000</f>
        <v>-876.50000000000034</v>
      </c>
      <c r="AA41" s="328">
        <f>-'Corporate Monthly - ''25'!T353/1000</f>
        <v>-876.50000000000034</v>
      </c>
      <c r="AB41" s="15"/>
      <c r="AC41" s="115">
        <f>'Cons. Financials - ''23 ''24'!AC41</f>
        <v>-8381.8749999999982</v>
      </c>
      <c r="AD41" s="93">
        <f>SUM(D41:O41)</f>
        <v>-8701.9791666666661</v>
      </c>
      <c r="AE41" s="93">
        <f>SUM(P41:AA41)</f>
        <v>-10459.208333333336</v>
      </c>
    </row>
    <row r="42" spans="3:31" x14ac:dyDescent="0.2">
      <c r="C42" s="16" t="s">
        <v>9</v>
      </c>
      <c r="D42" s="96">
        <f>(D41/D$14)</f>
        <v>-5.581161038257406E-2</v>
      </c>
      <c r="E42" s="111">
        <f t="shared" ref="E42:AA42" si="31">(E41/E$14)</f>
        <v>-5.9971562748578913E-2</v>
      </c>
      <c r="F42" s="111">
        <f t="shared" si="31"/>
        <v>-6.1410922878637017E-2</v>
      </c>
      <c r="G42" s="111">
        <f t="shared" si="31"/>
        <v>-6.4192255085752215E-2</v>
      </c>
      <c r="H42" s="111">
        <f t="shared" si="31"/>
        <v>-6.2705295083249055E-2</v>
      </c>
      <c r="I42" s="111">
        <f t="shared" si="31"/>
        <v>-6.8659560407729608E-2</v>
      </c>
      <c r="J42" s="111">
        <f t="shared" si="31"/>
        <v>-5.5459616880582673E-2</v>
      </c>
      <c r="K42" s="111">
        <f t="shared" si="31"/>
        <v>-5.3807862811686841E-2</v>
      </c>
      <c r="L42" s="111">
        <f t="shared" si="31"/>
        <v>-5.6918337597719665E-2</v>
      </c>
      <c r="M42" s="111">
        <f t="shared" si="31"/>
        <v>-5.0800335427404364E-2</v>
      </c>
      <c r="N42" s="111">
        <f t="shared" si="31"/>
        <v>-5.4758961030019426E-2</v>
      </c>
      <c r="O42" s="111">
        <f t="shared" si="31"/>
        <v>-6.8586923201076566E-2</v>
      </c>
      <c r="P42" s="96">
        <f t="shared" si="31"/>
        <v>-5.5856509908225119E-2</v>
      </c>
      <c r="Q42" s="111">
        <f t="shared" si="31"/>
        <v>-5.7077486308661524E-2</v>
      </c>
      <c r="R42" s="111">
        <f t="shared" si="31"/>
        <v>-5.3155204476910911E-2</v>
      </c>
      <c r="S42" s="111">
        <f t="shared" si="31"/>
        <v>-4.9139879252623649E-2</v>
      </c>
      <c r="T42" s="111">
        <f t="shared" si="31"/>
        <v>-4.1345726606132879E-2</v>
      </c>
      <c r="U42" s="111">
        <f t="shared" si="31"/>
        <v>-4.9235830121494975E-2</v>
      </c>
      <c r="V42" s="111">
        <f t="shared" si="31"/>
        <v>-4.7354025129315157E-2</v>
      </c>
      <c r="W42" s="111">
        <f t="shared" si="31"/>
        <v>-5.5223943411334291E-2</v>
      </c>
      <c r="X42" s="111">
        <f t="shared" si="31"/>
        <v>-6.0233107063086523E-2</v>
      </c>
      <c r="Y42" s="111">
        <f t="shared" si="31"/>
        <v>-5.2445352857693299E-2</v>
      </c>
      <c r="Z42" s="111">
        <f t="shared" si="31"/>
        <v>-6.6347137558765312E-2</v>
      </c>
      <c r="AA42" s="97">
        <f t="shared" si="31"/>
        <v>-8.1286592984603279E-2</v>
      </c>
      <c r="AB42" s="15"/>
      <c r="AC42" s="232">
        <f>'Cons. Financials - ''23 ''24'!AC42</f>
        <v>-6.5952766180487482E-2</v>
      </c>
      <c r="AD42" s="97">
        <f t="shared" ref="AD42" si="32">(AD41/AD$14)</f>
        <v>-5.9009614521340882E-2</v>
      </c>
      <c r="AE42" s="97">
        <f t="shared" ref="AE42" si="33">(AE41/AE$14)</f>
        <v>-5.4203250049071269E-2</v>
      </c>
    </row>
    <row r="43" spans="3:31" ht="3" customHeight="1" x14ac:dyDescent="0.2">
      <c r="C43" s="7"/>
      <c r="D43" s="36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6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8"/>
      <c r="AB43" s="15"/>
      <c r="AC43" s="232">
        <f>'Cons. Financials - ''23 ''24'!AC43</f>
        <v>0</v>
      </c>
      <c r="AD43" s="38"/>
      <c r="AE43" s="38"/>
    </row>
    <row r="44" spans="3:31" x14ac:dyDescent="0.2">
      <c r="C44" t="s">
        <v>167</v>
      </c>
      <c r="D44" s="115">
        <f>_xlfn.XLOOKUP($C44,'Cons. Financials - ''23 ''24'!$C$8:$C$79,'Cons. Financials - ''23 ''24'!P$8:P$79)</f>
        <v>-221.769818352568</v>
      </c>
      <c r="E44" s="257">
        <f>_xlfn.XLOOKUP($C44,'Cons. Financials - ''23 ''24'!$C$8:$C$79,'Cons. Financials - ''23 ''24'!Q$8:Q$79)</f>
        <v>-225.61785216980286</v>
      </c>
      <c r="F44" s="257">
        <f>_xlfn.XLOOKUP($C44,'Cons. Financials - ''23 ''24'!$C$8:$C$79,'Cons. Financials - ''23 ''24'!R$8:R$79)</f>
        <v>-243.38008643608197</v>
      </c>
      <c r="G44" s="257">
        <f>_xlfn.XLOOKUP($C44,'Cons. Financials - ''23 ''24'!$C$8:$C$79,'Cons. Financials - ''23 ''24'!S$8:S$79)</f>
        <v>-257.63443778463056</v>
      </c>
      <c r="H44" s="257">
        <f>_xlfn.XLOOKUP($C44,'Cons. Financials - ''23 ''24'!$C$8:$C$79,'Cons. Financials - ''23 ''24'!T$8:T$79)</f>
        <v>-310.74377864752216</v>
      </c>
      <c r="I44" s="257">
        <f>_xlfn.XLOOKUP($C44,'Cons. Financials - ''23 ''24'!$C$8:$C$79,'Cons. Financials - ''23 ''24'!U$8:U$79)</f>
        <v>-257.19286833444545</v>
      </c>
      <c r="J44" s="257">
        <f>_xlfn.XLOOKUP($C44,'Cons. Financials - ''23 ''24'!$C$8:$C$79,'Cons. Financials - ''23 ''24'!V$8:V$79)</f>
        <v>-262.23582796104051</v>
      </c>
      <c r="K44" s="257">
        <f>_xlfn.XLOOKUP($C44,'Cons. Financials - ''23 ''24'!$C$8:$C$79,'Cons. Financials - ''23 ''24'!W$8:W$79)</f>
        <v>-225.53315759705711</v>
      </c>
      <c r="L44" s="257">
        <f>_xlfn.XLOOKUP($C44,'Cons. Financials - ''23 ''24'!$C$8:$C$79,'Cons. Financials - ''23 ''24'!X$8:X$79)</f>
        <v>-213.77450998424922</v>
      </c>
      <c r="M44" s="257">
        <f>_xlfn.XLOOKUP($C44,'Cons. Financials - ''23 ''24'!$C$8:$C$79,'Cons. Financials - ''23 ''24'!Y$8:Y$79)</f>
        <v>-242.14888967902607</v>
      </c>
      <c r="N44" s="257">
        <f>_xlfn.XLOOKUP($C44,'Cons. Financials - ''23 ''24'!$C$8:$C$79,'Cons. Financials - ''23 ''24'!Z$8:Z$79)</f>
        <v>-195.86114520687838</v>
      </c>
      <c r="O44" s="257">
        <f>_xlfn.XLOOKUP($C44,'Cons. Financials - ''23 ''24'!$C$8:$C$79,'Cons. Financials - ''23 ''24'!AA$8:AA$79)</f>
        <v>-161.22548229543924</v>
      </c>
      <c r="P44" s="92">
        <f>P45*P14</f>
        <v>-239.54688772682675</v>
      </c>
      <c r="Q44" s="198">
        <f t="shared" ref="Q44:AA44" si="34">Q45*Q14</f>
        <v>-271.26199446055131</v>
      </c>
      <c r="R44" s="198">
        <f t="shared" si="34"/>
        <v>-317.78372880391385</v>
      </c>
      <c r="S44" s="198">
        <f t="shared" si="34"/>
        <v>-388.88835710394198</v>
      </c>
      <c r="T44" s="198">
        <f t="shared" si="34"/>
        <v>-555.54934468731153</v>
      </c>
      <c r="U44" s="198">
        <f t="shared" si="34"/>
        <v>-420.5282654332978</v>
      </c>
      <c r="V44" s="198">
        <f t="shared" si="34"/>
        <v>-381.36085394366626</v>
      </c>
      <c r="W44" s="198">
        <f t="shared" si="34"/>
        <v>-270.37839028688853</v>
      </c>
      <c r="X44" s="198">
        <f t="shared" si="34"/>
        <v>-257.15475220047773</v>
      </c>
      <c r="Y44" s="198">
        <f t="shared" si="34"/>
        <v>-294.87055095672207</v>
      </c>
      <c r="Z44" s="198">
        <f t="shared" si="34"/>
        <v>-210.91723765895483</v>
      </c>
      <c r="AA44" s="93">
        <f t="shared" si="34"/>
        <v>-175.69719094343486</v>
      </c>
      <c r="AB44" s="15"/>
      <c r="AC44" s="115">
        <f>'Cons. Financials - ''23 ''24'!AC44</f>
        <v>-2836.9303533613975</v>
      </c>
      <c r="AD44" s="93">
        <f>SUM(D44:O44)</f>
        <v>-2817.1178544487416</v>
      </c>
      <c r="AE44" s="93">
        <f>SUM(P44:AA44)</f>
        <v>-3783.9375542059879</v>
      </c>
    </row>
    <row r="45" spans="3:31" x14ac:dyDescent="0.2">
      <c r="C45" s="16" t="s">
        <v>9</v>
      </c>
      <c r="D45" s="102">
        <f>(D44/D$14)</f>
        <v>-1.6363112080873966E-2</v>
      </c>
      <c r="E45" s="110">
        <f t="shared" ref="E45:O45" si="35">(E44/E$14)</f>
        <v>-1.7664521135062554E-2</v>
      </c>
      <c r="F45" s="110">
        <f t="shared" si="35"/>
        <v>-1.9271944191679678E-2</v>
      </c>
      <c r="G45" s="110">
        <f t="shared" si="35"/>
        <v>-2.1802540685497872E-2</v>
      </c>
      <c r="H45" s="110">
        <f t="shared" si="35"/>
        <v>-2.6206036875821855E-2</v>
      </c>
      <c r="I45" s="110">
        <f t="shared" si="35"/>
        <v>-2.3622428109709971E-2</v>
      </c>
      <c r="J45" s="110">
        <f t="shared" si="35"/>
        <v>-2.0603504233868173E-2</v>
      </c>
      <c r="K45" s="110">
        <f t="shared" si="35"/>
        <v>-1.7035209269652921E-2</v>
      </c>
      <c r="L45" s="110">
        <f t="shared" si="35"/>
        <v>-1.7671682511206908E-2</v>
      </c>
      <c r="M45" s="110">
        <f t="shared" si="35"/>
        <v>-1.7643571126375032E-2</v>
      </c>
      <c r="N45" s="110">
        <f t="shared" si="35"/>
        <v>-1.5965493417539608E-2</v>
      </c>
      <c r="O45" s="110">
        <f t="shared" si="35"/>
        <v>-1.6294154077304175E-2</v>
      </c>
      <c r="P45" s="231">
        <f>D45+'Budget Assumption Driver'!E43</f>
        <v>-1.6363112080873966E-2</v>
      </c>
      <c r="Q45" s="311">
        <f>E45+'Budget Assumption Driver'!F43</f>
        <v>-1.7664521135062554E-2</v>
      </c>
      <c r="R45" s="311">
        <f>F45+'Budget Assumption Driver'!G43</f>
        <v>-1.9271944191679678E-2</v>
      </c>
      <c r="S45" s="311">
        <f>G45+'Budget Assumption Driver'!H43</f>
        <v>-2.1802540685497872E-2</v>
      </c>
      <c r="T45" s="311">
        <f>H45+'Budget Assumption Driver'!I43</f>
        <v>-2.6206036875821855E-2</v>
      </c>
      <c r="U45" s="311">
        <f>I45+'Budget Assumption Driver'!J43</f>
        <v>-2.3622428109709971E-2</v>
      </c>
      <c r="V45" s="311">
        <f>J45+'Budget Assumption Driver'!K43</f>
        <v>-2.0603504233868173E-2</v>
      </c>
      <c r="W45" s="311">
        <f>K45+'Budget Assumption Driver'!L43</f>
        <v>-1.7035209269652921E-2</v>
      </c>
      <c r="X45" s="311">
        <f>L45+'Budget Assumption Driver'!M43</f>
        <v>-1.7671682511206908E-2</v>
      </c>
      <c r="Y45" s="311">
        <f>M45+'Budget Assumption Driver'!N43</f>
        <v>-1.7643571126375032E-2</v>
      </c>
      <c r="Z45" s="311">
        <f>N45+'Budget Assumption Driver'!O43</f>
        <v>-1.5965493417539608E-2</v>
      </c>
      <c r="AA45" s="322">
        <f>O45+'Budget Assumption Driver'!P43</f>
        <v>-1.6294154077304175E-2</v>
      </c>
      <c r="AB45" s="15"/>
      <c r="AC45" s="232">
        <f>'Cons. Financials - ''23 ''24'!AC45</f>
        <v>-2.2322380644613768E-2</v>
      </c>
      <c r="AD45" s="97">
        <f t="shared" ref="AD45" si="36">(AD44/AD$14)</f>
        <v>-1.9103359760844499E-2</v>
      </c>
      <c r="AE45" s="97">
        <f t="shared" ref="AE45" si="37">(AE44/AE$14)</f>
        <v>-1.9609678561143325E-2</v>
      </c>
    </row>
    <row r="46" spans="3:31" ht="3" customHeight="1" x14ac:dyDescent="0.2">
      <c r="C46" s="7"/>
      <c r="D46" s="36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6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8"/>
      <c r="AB46" s="15"/>
      <c r="AC46" s="232">
        <f>'Cons. Financials - ''23 ''24'!AC46</f>
        <v>0</v>
      </c>
      <c r="AD46" s="38"/>
      <c r="AE46" s="38"/>
    </row>
    <row r="47" spans="3:31" x14ac:dyDescent="0.2">
      <c r="C47" t="s">
        <v>163</v>
      </c>
      <c r="D47" s="115">
        <f>_xlfn.XLOOKUP($C47,'Cons. Financials - ''23 ''24'!$C$8:$C$79,'Cons. Financials - ''23 ''24'!P$8:P$79)</f>
        <v>-32.873983728766689</v>
      </c>
      <c r="E47" s="257">
        <f>_xlfn.XLOOKUP($C47,'Cons. Financials - ''23 ''24'!$C$8:$C$79,'Cons. Financials - ''23 ''24'!Q$8:Q$79)</f>
        <v>-32.873983728766689</v>
      </c>
      <c r="F47" s="257">
        <f>_xlfn.XLOOKUP($C47,'Cons. Financials - ''23 ''24'!$C$8:$C$79,'Cons. Financials - ''23 ''24'!R$8:R$79)</f>
        <v>-32.873983728766689</v>
      </c>
      <c r="G47" s="257">
        <f>_xlfn.XLOOKUP($C47,'Cons. Financials - ''23 ''24'!$C$8:$C$79,'Cons. Financials - ''23 ''24'!S$8:S$79)</f>
        <v>-32.873983728766689</v>
      </c>
      <c r="H47" s="257">
        <f>_xlfn.XLOOKUP($C47,'Cons. Financials - ''23 ''24'!$C$8:$C$79,'Cons. Financials - ''23 ''24'!T$8:T$79)</f>
        <v>-32.873983728766689</v>
      </c>
      <c r="I47" s="257">
        <f>_xlfn.XLOOKUP($C47,'Cons. Financials - ''23 ''24'!$C$8:$C$79,'Cons. Financials - ''23 ''24'!U$8:U$79)</f>
        <v>-32.873983728766689</v>
      </c>
      <c r="J47" s="257">
        <f>_xlfn.XLOOKUP($C47,'Cons. Financials - ''23 ''24'!$C$8:$C$79,'Cons. Financials - ''23 ''24'!V$8:V$79)</f>
        <v>-33.860203240629687</v>
      </c>
      <c r="K47" s="257">
        <f>_xlfn.XLOOKUP($C47,'Cons. Financials - ''23 ''24'!$C$8:$C$79,'Cons. Financials - ''23 ''24'!W$8:W$79)</f>
        <v>-33.860203240629687</v>
      </c>
      <c r="L47" s="257">
        <f>_xlfn.XLOOKUP($C47,'Cons. Financials - ''23 ''24'!$C$8:$C$79,'Cons. Financials - ''23 ''24'!X$8:X$79)</f>
        <v>-33.860203240629687</v>
      </c>
      <c r="M47" s="257">
        <f>_xlfn.XLOOKUP($C47,'Cons. Financials - ''23 ''24'!$C$8:$C$79,'Cons. Financials - ''23 ''24'!Y$8:Y$79)</f>
        <v>-33.860203240629694</v>
      </c>
      <c r="N47" s="257">
        <f>_xlfn.XLOOKUP($C47,'Cons. Financials - ''23 ''24'!$C$8:$C$79,'Cons. Financials - ''23 ''24'!Z$8:Z$79)</f>
        <v>-33.860203240629694</v>
      </c>
      <c r="O47" s="257">
        <f>_xlfn.XLOOKUP($C47,'Cons. Financials - ''23 ''24'!$C$8:$C$79,'Cons. Financials - ''23 ''24'!AA$8:AA$79)</f>
        <v>-33.860203240629694</v>
      </c>
      <c r="P47" s="92">
        <f>(1+P48)*D47</f>
        <v>-33.860203240629687</v>
      </c>
      <c r="Q47" s="198">
        <f t="shared" ref="Q47:AA47" si="38">(1+Q48)*E47</f>
        <v>-33.860203240629687</v>
      </c>
      <c r="R47" s="198">
        <f t="shared" si="38"/>
        <v>-33.860203240629687</v>
      </c>
      <c r="S47" s="198">
        <f t="shared" si="38"/>
        <v>-33.860203240629687</v>
      </c>
      <c r="T47" s="198">
        <f t="shared" si="38"/>
        <v>-33.860203240629687</v>
      </c>
      <c r="U47" s="198">
        <f t="shared" si="38"/>
        <v>-33.860203240629687</v>
      </c>
      <c r="V47" s="198">
        <f t="shared" si="38"/>
        <v>-34.876009337848579</v>
      </c>
      <c r="W47" s="198">
        <f t="shared" si="38"/>
        <v>-34.876009337848579</v>
      </c>
      <c r="X47" s="198">
        <f t="shared" si="38"/>
        <v>-34.876009337848579</v>
      </c>
      <c r="Y47" s="198">
        <f t="shared" si="38"/>
        <v>-34.876009337848586</v>
      </c>
      <c r="Z47" s="198">
        <f t="shared" si="38"/>
        <v>-34.876009337848586</v>
      </c>
      <c r="AA47" s="93">
        <f t="shared" si="38"/>
        <v>-34.876009337848586</v>
      </c>
      <c r="AB47" s="33"/>
      <c r="AC47" s="115">
        <f>'Cons. Financials - ''23 ''24'!AC47</f>
        <v>-388.745</v>
      </c>
      <c r="AD47" s="93">
        <f>SUM(D47:O47)</f>
        <v>-400.40512181637826</v>
      </c>
      <c r="AE47" s="93">
        <f>SUM(P47:AA47)</f>
        <v>-412.41727547086964</v>
      </c>
    </row>
    <row r="48" spans="3:31" x14ac:dyDescent="0.2">
      <c r="C48" s="16" t="s">
        <v>8</v>
      </c>
      <c r="D48" s="36">
        <f>_xlfn.XLOOKUP($C48,'Cons. Financials - ''23 ''24'!$C$8:$C$79,'Cons. Financials - ''23 ''24'!P$8:P$79)</f>
        <v>3.0002533338516102E-2</v>
      </c>
      <c r="E48" s="37">
        <f>_xlfn.XLOOKUP($C48,'Cons. Financials - ''23 ''24'!$C$8:$C$79,'Cons. Financials - ''23 ''24'!Q$8:Q$79)</f>
        <v>3.000255594674428E-2</v>
      </c>
      <c r="F48" s="37">
        <f>_xlfn.XLOOKUP($C48,'Cons. Financials - ''23 ''24'!$C$8:$C$79,'Cons. Financials - ''23 ''24'!R$8:R$79)</f>
        <v>3.0002537065982438E-2</v>
      </c>
      <c r="G48" s="37">
        <f>_xlfn.XLOOKUP($C48,'Cons. Financials - ''23 ''24'!$C$8:$C$79,'Cons. Financials - ''23 ''24'!S$8:S$79)</f>
        <v>3.0002543962349248E-2</v>
      </c>
      <c r="H48" s="37">
        <f>_xlfn.XLOOKUP($C48,'Cons. Financials - ''23 ''24'!$C$8:$C$79,'Cons. Financials - ''23 ''24'!T$8:T$79)</f>
        <v>3.0002543962349248E-2</v>
      </c>
      <c r="I48" s="37">
        <f>_xlfn.XLOOKUP($C48,'Cons. Financials - ''23 ''24'!$C$8:$C$79,'Cons. Financials - ''23 ''24'!U$8:U$79)</f>
        <v>3.0002573483506767E-2</v>
      </c>
      <c r="J48" s="37">
        <f>_xlfn.XLOOKUP($C48,'Cons. Financials - ''23 ''24'!$C$8:$C$79,'Cons. Financials - ''23 ''24'!V$8:V$79)</f>
        <v>3.0002553025526124E-2</v>
      </c>
      <c r="K48" s="37">
        <f>_xlfn.XLOOKUP($C48,'Cons. Financials - ''23 ''24'!$C$8:$C$79,'Cons. Financials - ''23 ''24'!W$8:W$79)</f>
        <v>3.0002543579846996E-2</v>
      </c>
      <c r="L48" s="37">
        <f>_xlfn.XLOOKUP($C48,'Cons. Financials - ''23 ''24'!$C$8:$C$79,'Cons. Financials - ''23 ''24'!X$8:X$79)</f>
        <v>3.0002530313026909E-2</v>
      </c>
      <c r="M48" s="37">
        <f>_xlfn.XLOOKUP($C48,'Cons. Financials - ''23 ''24'!$C$8:$C$79,'Cons. Financials - ''23 ''24'!Y$8:Y$79)</f>
        <v>3.0002529827268143E-2</v>
      </c>
      <c r="N48" s="37">
        <f>_xlfn.XLOOKUP($C48,'Cons. Financials - ''23 ''24'!$C$8:$C$79,'Cons. Financials - ''23 ''24'!Z$8:Z$79)</f>
        <v>3.0002529827268143E-2</v>
      </c>
      <c r="O48" s="37">
        <f>_xlfn.XLOOKUP($C48,'Cons. Financials - ''23 ''24'!$C$8:$C$79,'Cons. Financials - ''23 ''24'!AA$8:AA$79)</f>
        <v>3.000253333851588E-2</v>
      </c>
      <c r="P48" s="232">
        <f>'Budget Assumption Driver'!E44</f>
        <v>0.03</v>
      </c>
      <c r="Q48" s="233">
        <f>'Budget Assumption Driver'!F44</f>
        <v>0.03</v>
      </c>
      <c r="R48" s="233">
        <f>'Budget Assumption Driver'!G44</f>
        <v>0.03</v>
      </c>
      <c r="S48" s="233">
        <f>'Budget Assumption Driver'!H44</f>
        <v>0.03</v>
      </c>
      <c r="T48" s="233">
        <f>'Budget Assumption Driver'!I44</f>
        <v>0.03</v>
      </c>
      <c r="U48" s="233">
        <f>'Budget Assumption Driver'!J44</f>
        <v>0.03</v>
      </c>
      <c r="V48" s="233">
        <f>'Budget Assumption Driver'!K44</f>
        <v>0.03</v>
      </c>
      <c r="W48" s="233">
        <f>'Budget Assumption Driver'!L44</f>
        <v>0.03</v>
      </c>
      <c r="X48" s="233">
        <f>'Budget Assumption Driver'!M44</f>
        <v>0.03</v>
      </c>
      <c r="Y48" s="233">
        <f>'Budget Assumption Driver'!N44</f>
        <v>0.03</v>
      </c>
      <c r="Z48" s="233">
        <f>'Budget Assumption Driver'!O44</f>
        <v>0.03</v>
      </c>
      <c r="AA48" s="323">
        <f>'Budget Assumption Driver'!P44</f>
        <v>0.03</v>
      </c>
      <c r="AB48" s="15"/>
      <c r="AC48" s="231">
        <f>'Cons. Financials - ''23 ''24'!AC48</f>
        <v>0</v>
      </c>
      <c r="AD48" s="97">
        <f>AD47/AC47-1</f>
        <v>2.9994268264230461E-2</v>
      </c>
      <c r="AE48" s="97">
        <f>AE47/AD47-1</f>
        <v>3.0000000000000027E-2</v>
      </c>
    </row>
    <row r="49" spans="3:31" ht="3" customHeight="1" x14ac:dyDescent="0.2">
      <c r="C49" s="16"/>
      <c r="D49" s="11"/>
      <c r="P49" s="11"/>
      <c r="AA49" s="15"/>
      <c r="AB49" s="15"/>
      <c r="AC49" s="306">
        <f>'Cons. Financials - ''23 ''24'!AC49</f>
        <v>0</v>
      </c>
      <c r="AD49" s="15"/>
      <c r="AE49" s="15"/>
    </row>
    <row r="50" spans="3:31" ht="12.75" customHeight="1" x14ac:dyDescent="0.2">
      <c r="C50" s="8" t="s">
        <v>164</v>
      </c>
      <c r="D50" s="94">
        <f>D41+D44+D47</f>
        <v>-1011.0604687480012</v>
      </c>
      <c r="E50" s="98">
        <f t="shared" ref="E50:AA50" si="39">E41+E44+E47</f>
        <v>-1024.4710025652362</v>
      </c>
      <c r="F50" s="98">
        <f t="shared" si="39"/>
        <v>-1051.7957368315151</v>
      </c>
      <c r="G50" s="98">
        <f t="shared" si="39"/>
        <v>-1049.0500881800638</v>
      </c>
      <c r="H50" s="98">
        <f t="shared" si="39"/>
        <v>-1087.1594290429553</v>
      </c>
      <c r="I50" s="98">
        <f t="shared" si="39"/>
        <v>-1037.6085187298786</v>
      </c>
      <c r="J50" s="98">
        <f t="shared" si="39"/>
        <v>-1001.97103120167</v>
      </c>
      <c r="K50" s="98">
        <f t="shared" si="39"/>
        <v>-971.76836083768671</v>
      </c>
      <c r="L50" s="98">
        <f t="shared" si="39"/>
        <v>-936.17637989154559</v>
      </c>
      <c r="M50" s="98">
        <f t="shared" si="39"/>
        <v>-973.21742625298907</v>
      </c>
      <c r="N50" s="98">
        <f t="shared" si="39"/>
        <v>-901.49218178084141</v>
      </c>
      <c r="O50" s="98">
        <f t="shared" si="39"/>
        <v>-873.73151886940218</v>
      </c>
      <c r="P50" s="94">
        <f t="shared" si="39"/>
        <v>-1091.11542430079</v>
      </c>
      <c r="Q50" s="98">
        <f t="shared" si="39"/>
        <v>-1181.6221977011814</v>
      </c>
      <c r="R50" s="98">
        <f t="shared" si="39"/>
        <v>-1228.1439320445438</v>
      </c>
      <c r="S50" s="98">
        <f t="shared" si="39"/>
        <v>-1299.2485603445721</v>
      </c>
      <c r="T50" s="98">
        <f t="shared" si="39"/>
        <v>-1465.9095479279417</v>
      </c>
      <c r="U50" s="98">
        <f t="shared" si="39"/>
        <v>-1330.8884686739279</v>
      </c>
      <c r="V50" s="98">
        <f t="shared" si="39"/>
        <v>-1292.7368632815151</v>
      </c>
      <c r="W50" s="98">
        <f t="shared" si="39"/>
        <v>-1181.7543996247373</v>
      </c>
      <c r="X50" s="98">
        <f t="shared" si="39"/>
        <v>-1168.5307615383265</v>
      </c>
      <c r="Y50" s="98">
        <f t="shared" si="39"/>
        <v>-1206.2465602945708</v>
      </c>
      <c r="Z50" s="98">
        <f t="shared" si="39"/>
        <v>-1122.2932469968036</v>
      </c>
      <c r="AA50" s="95">
        <f t="shared" si="39"/>
        <v>-1087.0732002812838</v>
      </c>
      <c r="AB50" s="15"/>
      <c r="AC50" s="113">
        <f>'Cons. Financials - ''23 ''24'!AC50</f>
        <v>-11607.550353361396</v>
      </c>
      <c r="AD50" s="95">
        <f>SUM(D50:O50)</f>
        <v>-11919.502142931786</v>
      </c>
      <c r="AE50" s="95">
        <f>SUM(P50:AA50)</f>
        <v>-14655.563163010194</v>
      </c>
    </row>
    <row r="51" spans="3:31" x14ac:dyDescent="0.2">
      <c r="C51" s="16" t="s">
        <v>9</v>
      </c>
      <c r="D51" s="96">
        <f>(D50/D$14)</f>
        <v>-7.4600303565036233E-2</v>
      </c>
      <c r="E51" s="111">
        <f t="shared" ref="E51:AA51" si="40">(E50/E$14)</f>
        <v>-8.0209919131099899E-2</v>
      </c>
      <c r="F51" s="111">
        <f t="shared" si="40"/>
        <v>-8.3285978890417722E-2</v>
      </c>
      <c r="G51" s="111">
        <f t="shared" si="40"/>
        <v>-8.8776785531252539E-2</v>
      </c>
      <c r="H51" s="111">
        <f t="shared" si="40"/>
        <v>-9.1683702281658841E-2</v>
      </c>
      <c r="I51" s="111">
        <f t="shared" si="40"/>
        <v>-9.5301369740338593E-2</v>
      </c>
      <c r="J51" s="111">
        <f t="shared" si="40"/>
        <v>-7.872347018365429E-2</v>
      </c>
      <c r="K51" s="111">
        <f t="shared" si="40"/>
        <v>-7.3400636806024988E-2</v>
      </c>
      <c r="L51" s="111">
        <f t="shared" si="40"/>
        <v>-7.7389075812421979E-2</v>
      </c>
      <c r="M51" s="111">
        <f t="shared" si="40"/>
        <v>-7.0911045284093019E-2</v>
      </c>
      <c r="N51" s="111">
        <f t="shared" si="40"/>
        <v>-7.3484546814954435E-2</v>
      </c>
      <c r="O51" s="111">
        <f t="shared" si="40"/>
        <v>-8.8303137866052886E-2</v>
      </c>
      <c r="P51" s="96">
        <f t="shared" si="40"/>
        <v>-7.4532565003994064E-2</v>
      </c>
      <c r="Q51" s="111">
        <f t="shared" si="40"/>
        <v>-7.6946976396234684E-2</v>
      </c>
      <c r="R51" s="111">
        <f t="shared" si="40"/>
        <v>-7.448059536212788E-2</v>
      </c>
      <c r="S51" s="111">
        <f t="shared" si="40"/>
        <v>-7.2840749999403709E-2</v>
      </c>
      <c r="T51" s="111">
        <f t="shared" si="40"/>
        <v>-6.9148996460865378E-2</v>
      </c>
      <c r="U51" s="111">
        <f t="shared" si="40"/>
        <v>-7.4760294984924217E-2</v>
      </c>
      <c r="V51" s="111">
        <f t="shared" si="40"/>
        <v>-6.984175003927541E-2</v>
      </c>
      <c r="W51" s="111">
        <f t="shared" si="40"/>
        <v>-7.4456518072985506E-2</v>
      </c>
      <c r="X51" s="111">
        <f t="shared" si="40"/>
        <v>-8.0301470012832873E-2</v>
      </c>
      <c r="Y51" s="111">
        <f t="shared" si="40"/>
        <v>-7.217572902227902E-2</v>
      </c>
      <c r="Z51" s="111">
        <f t="shared" si="40"/>
        <v>-8.4952589206811494E-2</v>
      </c>
      <c r="AA51" s="97">
        <f t="shared" si="40"/>
        <v>-0.10081514749085545</v>
      </c>
      <c r="AB51" s="15"/>
      <c r="AC51" s="232">
        <f>'Cons. Financials - ''23 ''24'!AC51</f>
        <v>-9.1333986057234112E-2</v>
      </c>
      <c r="AD51" s="97">
        <f t="shared" ref="AD51" si="41">(AD50/AD$14)</f>
        <v>-8.0828190147245391E-2</v>
      </c>
      <c r="AE51" s="97">
        <f t="shared" ref="AE51" si="42">(AE50/AE$14)</f>
        <v>-7.5950218163541611E-2</v>
      </c>
    </row>
    <row r="52" spans="3:31" ht="3" customHeight="1" x14ac:dyDescent="0.2">
      <c r="C52" s="16"/>
      <c r="D52" s="11"/>
      <c r="P52" s="11"/>
      <c r="AA52" s="15"/>
      <c r="AB52" s="15"/>
      <c r="AC52" s="306">
        <f>'Cons. Financials - ''23 ''24'!AC52</f>
        <v>0</v>
      </c>
      <c r="AD52" s="15"/>
      <c r="AE52" s="15"/>
    </row>
    <row r="53" spans="3:31" ht="12.75" customHeight="1" x14ac:dyDescent="0.2">
      <c r="C53" s="186" t="s">
        <v>165</v>
      </c>
      <c r="D53" s="184">
        <f>D38+D50</f>
        <v>3938.3425387335296</v>
      </c>
      <c r="E53" s="187">
        <f t="shared" ref="E53:AA53" si="43">E38+E50</f>
        <v>3001.0904045138354</v>
      </c>
      <c r="F53" s="187">
        <f t="shared" si="43"/>
        <v>2516.8520684368677</v>
      </c>
      <c r="G53" s="187">
        <f t="shared" si="43"/>
        <v>1333.1570962841759</v>
      </c>
      <c r="H53" s="187">
        <f t="shared" si="43"/>
        <v>351.89461424275487</v>
      </c>
      <c r="I53" s="187">
        <f t="shared" si="43"/>
        <v>789.03370826661239</v>
      </c>
      <c r="J53" s="187">
        <f t="shared" si="43"/>
        <v>2264.5839457831576</v>
      </c>
      <c r="K53" s="187">
        <f t="shared" si="43"/>
        <v>3843.451172084011</v>
      </c>
      <c r="L53" s="187">
        <f t="shared" si="43"/>
        <v>3174.1315442842679</v>
      </c>
      <c r="M53" s="187">
        <f t="shared" si="43"/>
        <v>3619.9953741798254</v>
      </c>
      <c r="N53" s="187">
        <f t="shared" si="43"/>
        <v>3976.2349167954148</v>
      </c>
      <c r="O53" s="187">
        <f t="shared" si="43"/>
        <v>2842.129354599022</v>
      </c>
      <c r="P53" s="184">
        <f t="shared" si="43"/>
        <v>4208.0095108869518</v>
      </c>
      <c r="Q53" s="187">
        <f t="shared" si="43"/>
        <v>3665.2494283824867</v>
      </c>
      <c r="R53" s="187">
        <f t="shared" si="43"/>
        <v>3442.8970572788753</v>
      </c>
      <c r="S53" s="187">
        <f t="shared" si="43"/>
        <v>2011.6087119648728</v>
      </c>
      <c r="T53" s="187">
        <f t="shared" si="43"/>
        <v>760.43339245750258</v>
      </c>
      <c r="U53" s="187">
        <f t="shared" si="43"/>
        <v>1531.8492341704286</v>
      </c>
      <c r="V53" s="187">
        <f t="shared" si="43"/>
        <v>3158.1763167822701</v>
      </c>
      <c r="W53" s="187">
        <f t="shared" si="43"/>
        <v>4557.6963425393824</v>
      </c>
      <c r="X53" s="187">
        <f t="shared" si="43"/>
        <v>3679.9882078339178</v>
      </c>
      <c r="Y53" s="187">
        <f t="shared" si="43"/>
        <v>4318.5644280415763</v>
      </c>
      <c r="Z53" s="187">
        <f t="shared" si="43"/>
        <v>4105.5917005802867</v>
      </c>
      <c r="AA53" s="185">
        <f t="shared" si="43"/>
        <v>2907.9207822569169</v>
      </c>
      <c r="AC53" s="304">
        <f>'Cons. Financials - ''23 ''24'!AC53</f>
        <v>25434.502417263819</v>
      </c>
      <c r="AD53" s="185">
        <f>SUM(D53:O53)</f>
        <v>31650.896738203472</v>
      </c>
      <c r="AE53" s="185">
        <f>SUM(P53:AA53)</f>
        <v>38347.985113175462</v>
      </c>
    </row>
    <row r="54" spans="3:31" x14ac:dyDescent="0.2">
      <c r="C54" s="16" t="s">
        <v>9</v>
      </c>
      <c r="D54" s="96">
        <f>(D53/D$14)</f>
        <v>0.29058751480653972</v>
      </c>
      <c r="E54" s="111">
        <f t="shared" ref="E54:AA54" si="44">(E53/E$14)</f>
        <v>0.2349673324558996</v>
      </c>
      <c r="F54" s="111">
        <f t="shared" si="44"/>
        <v>0.19929581467367699</v>
      </c>
      <c r="G54" s="111">
        <f t="shared" si="44"/>
        <v>0.11281959074195602</v>
      </c>
      <c r="H54" s="111">
        <f t="shared" si="44"/>
        <v>2.9676421125421858E-2</v>
      </c>
      <c r="I54" s="111">
        <f t="shared" si="44"/>
        <v>7.2470485555721151E-2</v>
      </c>
      <c r="J54" s="111">
        <f t="shared" si="44"/>
        <v>0.17792521059260086</v>
      </c>
      <c r="K54" s="111">
        <f t="shared" si="44"/>
        <v>0.29030762364051726</v>
      </c>
      <c r="L54" s="111">
        <f t="shared" si="44"/>
        <v>0.26238977183730333</v>
      </c>
      <c r="M54" s="111">
        <f t="shared" si="44"/>
        <v>0.2637618778518912</v>
      </c>
      <c r="N54" s="111">
        <f t="shared" si="44"/>
        <v>0.32412019404683295</v>
      </c>
      <c r="O54" s="111">
        <f t="shared" si="44"/>
        <v>0.28723805289417059</v>
      </c>
      <c r="P54" s="96">
        <f t="shared" si="44"/>
        <v>0.28744323049835918</v>
      </c>
      <c r="Q54" s="111">
        <f t="shared" si="44"/>
        <v>0.23868023281954454</v>
      </c>
      <c r="R54" s="111">
        <f t="shared" si="44"/>
        <v>0.208793949883187</v>
      </c>
      <c r="S54" s="111">
        <f t="shared" si="44"/>
        <v>0.11277833338217864</v>
      </c>
      <c r="T54" s="111">
        <f t="shared" si="44"/>
        <v>3.5870702962603578E-2</v>
      </c>
      <c r="U54" s="111">
        <f t="shared" si="44"/>
        <v>8.6048908916551481E-2</v>
      </c>
      <c r="V54" s="111">
        <f t="shared" si="44"/>
        <v>0.17062448450395384</v>
      </c>
      <c r="W54" s="111">
        <f t="shared" si="44"/>
        <v>0.28715797479342847</v>
      </c>
      <c r="X54" s="111">
        <f t="shared" si="44"/>
        <v>0.25288890326680685</v>
      </c>
      <c r="Y54" s="111">
        <f t="shared" si="44"/>
        <v>0.25840118113784694</v>
      </c>
      <c r="Z54" s="111">
        <f t="shared" si="44"/>
        <v>0.31077496556591599</v>
      </c>
      <c r="AA54" s="97">
        <f t="shared" si="44"/>
        <v>0.2696805168953646</v>
      </c>
      <c r="AB54" s="15"/>
      <c r="AC54" s="232">
        <f>'Cons. Financials - ''23 ''24'!AC54</f>
        <v>0.20013132990444796</v>
      </c>
      <c r="AD54" s="97">
        <f t="shared" ref="AD54" si="45">(AD53/AD$14)</f>
        <v>0.21463016401262958</v>
      </c>
      <c r="AE54" s="97">
        <f t="shared" ref="AE54" si="46">(AE53/AE$14)</f>
        <v>0.1987325770482162</v>
      </c>
    </row>
    <row r="55" spans="3:31" ht="3" customHeight="1" x14ac:dyDescent="0.2">
      <c r="C55" s="7"/>
      <c r="D55" s="36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6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8"/>
      <c r="AB55" s="15"/>
      <c r="AC55" s="232">
        <f>'Cons. Financials - ''23 ''24'!AC55</f>
        <v>0</v>
      </c>
      <c r="AD55" s="38"/>
      <c r="AE55" s="38"/>
    </row>
    <row r="56" spans="3:31" x14ac:dyDescent="0.2">
      <c r="C56" t="s">
        <v>211</v>
      </c>
      <c r="D56" s="115">
        <f>_xlfn.XLOOKUP($C56,'Cons. Financials - ''23 ''24'!$C$8:$C$79,'Cons. Financials - ''23 ''24'!P$8:P$79)</f>
        <v>-270.50629078272163</v>
      </c>
      <c r="E56" s="257">
        <f>_xlfn.XLOOKUP($C56,'Cons. Financials - ''23 ''24'!$C$8:$C$79,'Cons. Financials - ''23 ''24'!Q$8:Q$79)</f>
        <v>-272.72644995042026</v>
      </c>
      <c r="F56" s="257">
        <f>_xlfn.XLOOKUP($C56,'Cons. Financials - ''23 ''24'!$C$8:$C$79,'Cons. Financials - ''23 ''24'!R$8:R$79)</f>
        <v>-273.79265508374073</v>
      </c>
      <c r="G56" s="257">
        <f>_xlfn.XLOOKUP($C56,'Cons. Financials - ''23 ''24'!$C$8:$C$79,'Cons. Financials - ''23 ''24'!S$8:S$79)</f>
        <v>-276.30401479562977</v>
      </c>
      <c r="H56" s="257">
        <f>_xlfn.XLOOKUP($C56,'Cons. Financials - ''23 ''24'!$C$8:$C$79,'Cons. Financials - ''23 ''24'!T$8:T$79)</f>
        <v>-277.40446744760874</v>
      </c>
      <c r="I56" s="257">
        <f>_xlfn.XLOOKUP($C56,'Cons. Financials - ''23 ''24'!$C$8:$C$79,'Cons. Financials - ''23 ''24'!U$8:U$79)</f>
        <v>-277.7156246291965</v>
      </c>
      <c r="J56" s="257">
        <f>_xlfn.XLOOKUP($C56,'Cons. Financials - ''23 ''24'!$C$8:$C$79,'Cons. Financials - ''23 ''24'!V$8:V$79)</f>
        <v>-280.01495286046446</v>
      </c>
      <c r="K56" s="257">
        <f>_xlfn.XLOOKUP($C56,'Cons. Financials - ''23 ''24'!$C$8:$C$79,'Cons. Financials - ''23 ''24'!W$8:W$79)</f>
        <v>-281.12454906163094</v>
      </c>
      <c r="L56" s="257">
        <f>_xlfn.XLOOKUP($C56,'Cons. Financials - ''23 ''24'!$C$8:$C$79,'Cons. Financials - ''23 ''24'!X$8:X$79)</f>
        <v>-281.14232262519704</v>
      </c>
      <c r="M56" s="257">
        <f>_xlfn.XLOOKUP($C56,'Cons. Financials - ''23 ''24'!$C$8:$C$79,'Cons. Financials - ''23 ''24'!Y$8:Y$79)</f>
        <v>-281.86988559273749</v>
      </c>
      <c r="N56" s="257">
        <f>_xlfn.XLOOKUP($C56,'Cons. Financials - ''23 ''24'!$C$8:$C$79,'Cons. Financials - ''23 ''24'!Z$8:Z$79)</f>
        <v>-282.59861993495548</v>
      </c>
      <c r="O56" s="257">
        <f>_xlfn.XLOOKUP($C56,'Cons. Financials - ''23 ''24'!$C$8:$C$79,'Cons. Financials - ''23 ''24'!AA$8:AA$79)</f>
        <v>-283.21799175333791</v>
      </c>
      <c r="P56" s="92">
        <f>O56-P138/10/12</f>
        <v>-287.3846584200046</v>
      </c>
      <c r="Q56" s="198">
        <f t="shared" ref="Q56:AA56" si="47">P56-Q138/10/12</f>
        <v>-291.55132508667128</v>
      </c>
      <c r="R56" s="198">
        <f t="shared" si="47"/>
        <v>-295.71799175333797</v>
      </c>
      <c r="S56" s="198">
        <f t="shared" si="47"/>
        <v>-299.88465842000465</v>
      </c>
      <c r="T56" s="198">
        <f t="shared" si="47"/>
        <v>-304.05132508667134</v>
      </c>
      <c r="U56" s="198">
        <f t="shared" si="47"/>
        <v>-308.21799175333803</v>
      </c>
      <c r="V56" s="198">
        <f t="shared" si="47"/>
        <v>-316.55132508667134</v>
      </c>
      <c r="W56" s="198">
        <f t="shared" si="47"/>
        <v>-324.88465842000465</v>
      </c>
      <c r="X56" s="198">
        <f t="shared" si="47"/>
        <v>-333.21799175333797</v>
      </c>
      <c r="Y56" s="198">
        <f t="shared" si="47"/>
        <v>-341.55132508667128</v>
      </c>
      <c r="Z56" s="198">
        <f t="shared" si="47"/>
        <v>-349.8846584200046</v>
      </c>
      <c r="AA56" s="93">
        <f t="shared" si="47"/>
        <v>-358.21799175333791</v>
      </c>
      <c r="AB56" s="15"/>
      <c r="AC56" s="115">
        <f>'Cons. Financials - ''23 ''24'!AC56</f>
        <v>-3158.2223491180339</v>
      </c>
      <c r="AD56" s="93">
        <f>SUM(D56:O56)</f>
        <v>-3338.4178245176408</v>
      </c>
      <c r="AE56" s="93">
        <f>SUM(P56:AA56)</f>
        <v>-3811.1159010400556</v>
      </c>
    </row>
    <row r="57" spans="3:31" x14ac:dyDescent="0.2">
      <c r="C57" s="16" t="s">
        <v>9</v>
      </c>
      <c r="D57" s="96">
        <f>(D56/D$14)</f>
        <v>-1.9959094468040825E-2</v>
      </c>
      <c r="E57" s="111">
        <f t="shared" ref="E57:AA57" si="48">(E56/E$14)</f>
        <v>-2.1352841066911696E-2</v>
      </c>
      <c r="F57" s="111">
        <f t="shared" si="48"/>
        <v>-2.1680149950359259E-2</v>
      </c>
      <c r="G57" s="111">
        <f t="shared" si="48"/>
        <v>-2.3382470045343835E-2</v>
      </c>
      <c r="H57" s="111">
        <f t="shared" si="48"/>
        <v>-2.3394423969130447E-2</v>
      </c>
      <c r="I57" s="111">
        <f t="shared" si="48"/>
        <v>-2.550738447854458E-2</v>
      </c>
      <c r="J57" s="111">
        <f t="shared" si="48"/>
        <v>-2.2000385346521378E-2</v>
      </c>
      <c r="K57" s="111">
        <f t="shared" si="48"/>
        <v>-2.1234197113747067E-2</v>
      </c>
      <c r="L57" s="111">
        <f t="shared" si="48"/>
        <v>-2.3240646727534744E-2</v>
      </c>
      <c r="M57" s="111">
        <f t="shared" si="48"/>
        <v>-2.0537741806005129E-2</v>
      </c>
      <c r="N57" s="111">
        <f t="shared" si="48"/>
        <v>-2.3035842058473064E-2</v>
      </c>
      <c r="O57" s="111">
        <f t="shared" si="48"/>
        <v>-2.8623251916450276E-2</v>
      </c>
      <c r="P57" s="96">
        <f t="shared" si="48"/>
        <v>-1.9630843133361168E-2</v>
      </c>
      <c r="Q57" s="111">
        <f t="shared" si="48"/>
        <v>-1.898575786184438E-2</v>
      </c>
      <c r="R57" s="111">
        <f t="shared" si="48"/>
        <v>-1.7933771042955082E-2</v>
      </c>
      <c r="S57" s="111">
        <f t="shared" si="48"/>
        <v>-1.6812659331971829E-2</v>
      </c>
      <c r="T57" s="111">
        <f t="shared" si="48"/>
        <v>-1.4342524770411797E-2</v>
      </c>
      <c r="U57" s="111">
        <f t="shared" si="48"/>
        <v>-1.7313598040337348E-2</v>
      </c>
      <c r="V57" s="111">
        <f t="shared" si="48"/>
        <v>-1.7102087168137183E-2</v>
      </c>
      <c r="W57" s="111">
        <f t="shared" si="48"/>
        <v>-2.0469380481228754E-2</v>
      </c>
      <c r="X57" s="111">
        <f t="shared" si="48"/>
        <v>-2.2898750681831694E-2</v>
      </c>
      <c r="Y57" s="111">
        <f t="shared" si="48"/>
        <v>-2.0436713934036715E-2</v>
      </c>
      <c r="Z57" s="111">
        <f t="shared" si="48"/>
        <v>-2.6484706858977355E-2</v>
      </c>
      <c r="AA57" s="97">
        <f t="shared" si="48"/>
        <v>-3.3221129601158632E-2</v>
      </c>
      <c r="AB57" s="15"/>
      <c r="AC57" s="232">
        <f>'Cons. Financials - ''23 ''24'!AC57</f>
        <v>-2.4850466051733251E-2</v>
      </c>
      <c r="AD57" s="97">
        <f t="shared" ref="AD57" si="49">(AD56/AD$14)</f>
        <v>-2.2638384344859413E-2</v>
      </c>
      <c r="AE57" s="97">
        <f t="shared" ref="AE57" si="50">(AE56/AE$14)</f>
        <v>-1.9750526193432323E-2</v>
      </c>
    </row>
    <row r="58" spans="3:31" ht="3" customHeight="1" x14ac:dyDescent="0.2">
      <c r="C58" s="16"/>
      <c r="D58" s="96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96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97"/>
      <c r="AB58" s="15"/>
      <c r="AC58" s="232">
        <f>'Cons. Financials - ''23 ''24'!AC58</f>
        <v>0</v>
      </c>
      <c r="AD58" s="97"/>
      <c r="AE58" s="97"/>
    </row>
    <row r="59" spans="3:31" x14ac:dyDescent="0.2">
      <c r="C59" t="s">
        <v>212</v>
      </c>
      <c r="D59" s="115">
        <f>_xlfn.XLOOKUP($C59,'Cons. Financials - ''23 ''24'!$C$8:$C$79,'Cons. Financials - ''23 ''24'!P$8:P$79)</f>
        <v>-12.132</v>
      </c>
      <c r="E59" s="257">
        <f>_xlfn.XLOOKUP($C59,'Cons. Financials - ''23 ''24'!$C$8:$C$79,'Cons. Financials - ''23 ''24'!Q$8:Q$79)</f>
        <v>-12.132</v>
      </c>
      <c r="F59" s="257">
        <f>_xlfn.XLOOKUP($C59,'Cons. Financials - ''23 ''24'!$C$8:$C$79,'Cons. Financials - ''23 ''24'!R$8:R$79)</f>
        <v>-12.132</v>
      </c>
      <c r="G59" s="257">
        <f>_xlfn.XLOOKUP($C59,'Cons. Financials - ''23 ''24'!$C$8:$C$79,'Cons. Financials - ''23 ''24'!S$8:S$79)</f>
        <v>-12.132</v>
      </c>
      <c r="H59" s="257">
        <f>_xlfn.XLOOKUP($C59,'Cons. Financials - ''23 ''24'!$C$8:$C$79,'Cons. Financials - ''23 ''24'!T$8:T$79)</f>
        <v>-12.132</v>
      </c>
      <c r="I59" s="257">
        <f>_xlfn.XLOOKUP($C59,'Cons. Financials - ''23 ''24'!$C$8:$C$79,'Cons. Financials - ''23 ''24'!U$8:U$79)</f>
        <v>-12.132</v>
      </c>
      <c r="J59" s="257">
        <f>_xlfn.XLOOKUP($C59,'Cons. Financials - ''23 ''24'!$C$8:$C$79,'Cons. Financials - ''23 ''24'!V$8:V$79)</f>
        <v>-12.132</v>
      </c>
      <c r="K59" s="257">
        <f>_xlfn.XLOOKUP($C59,'Cons. Financials - ''23 ''24'!$C$8:$C$79,'Cons. Financials - ''23 ''24'!W$8:W$79)</f>
        <v>-12.132</v>
      </c>
      <c r="L59" s="257">
        <f>_xlfn.XLOOKUP($C59,'Cons. Financials - ''23 ''24'!$C$8:$C$79,'Cons. Financials - ''23 ''24'!X$8:X$79)</f>
        <v>-12.132</v>
      </c>
      <c r="M59" s="257">
        <f>_xlfn.XLOOKUP($C59,'Cons. Financials - ''23 ''24'!$C$8:$C$79,'Cons. Financials - ''23 ''24'!Y$8:Y$79)</f>
        <v>-12.132</v>
      </c>
      <c r="N59" s="257">
        <f>_xlfn.XLOOKUP($C59,'Cons. Financials - ''23 ''24'!$C$8:$C$79,'Cons. Financials - ''23 ''24'!Z$8:Z$79)</f>
        <v>-12.132</v>
      </c>
      <c r="O59" s="257">
        <f>_xlfn.XLOOKUP($C59,'Cons. Financials - ''23 ''24'!$C$8:$C$79,'Cons. Financials - ''23 ''24'!AA$8:AA$79)</f>
        <v>-12.132</v>
      </c>
      <c r="P59" s="92">
        <f>$O59</f>
        <v>-12.132</v>
      </c>
      <c r="Q59" s="198">
        <f t="shared" ref="Q59:AA59" si="51">$O59</f>
        <v>-12.132</v>
      </c>
      <c r="R59" s="198">
        <f t="shared" si="51"/>
        <v>-12.132</v>
      </c>
      <c r="S59" s="198">
        <f t="shared" si="51"/>
        <v>-12.132</v>
      </c>
      <c r="T59" s="198">
        <f t="shared" si="51"/>
        <v>-12.132</v>
      </c>
      <c r="U59" s="198">
        <f t="shared" si="51"/>
        <v>-12.132</v>
      </c>
      <c r="V59" s="198">
        <f t="shared" si="51"/>
        <v>-12.132</v>
      </c>
      <c r="W59" s="198">
        <f t="shared" si="51"/>
        <v>-12.132</v>
      </c>
      <c r="X59" s="198">
        <f t="shared" si="51"/>
        <v>-12.132</v>
      </c>
      <c r="Y59" s="198">
        <f t="shared" si="51"/>
        <v>-12.132</v>
      </c>
      <c r="Z59" s="198">
        <f t="shared" si="51"/>
        <v>-12.132</v>
      </c>
      <c r="AA59" s="93">
        <f t="shared" si="51"/>
        <v>-12.132</v>
      </c>
      <c r="AB59" s="15"/>
      <c r="AC59" s="115">
        <f>'Cons. Financials - ''23 ''24'!AC59</f>
        <v>-145.58400000000003</v>
      </c>
      <c r="AD59" s="93">
        <f>SUM(D59:O59)</f>
        <v>-145.58400000000003</v>
      </c>
      <c r="AE59" s="93">
        <f>SUM(P59:AA59)</f>
        <v>-145.58400000000003</v>
      </c>
    </row>
    <row r="60" spans="3:31" ht="3" customHeight="1" x14ac:dyDescent="0.2">
      <c r="C60" s="7"/>
      <c r="D60" s="36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6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8"/>
      <c r="AB60" s="15"/>
      <c r="AC60" s="232">
        <f>'Cons. Financials - ''23 ''24'!AC60</f>
        <v>0</v>
      </c>
      <c r="AD60" s="38"/>
      <c r="AE60" s="38"/>
    </row>
    <row r="61" spans="3:31" x14ac:dyDescent="0.2">
      <c r="C61" s="8" t="s">
        <v>166</v>
      </c>
      <c r="D61" s="94">
        <f>D53+D56+D59</f>
        <v>3655.7042479508077</v>
      </c>
      <c r="E61" s="98">
        <f t="shared" ref="E61:AA61" si="52">E53+E56+E59</f>
        <v>2716.231954563415</v>
      </c>
      <c r="F61" s="98">
        <f t="shared" si="52"/>
        <v>2230.9274133531271</v>
      </c>
      <c r="G61" s="98">
        <f t="shared" si="52"/>
        <v>1044.7210814885461</v>
      </c>
      <c r="H61" s="98">
        <f t="shared" si="52"/>
        <v>62.358146795146133</v>
      </c>
      <c r="I61" s="98">
        <f t="shared" si="52"/>
        <v>499.18608363741589</v>
      </c>
      <c r="J61" s="98">
        <f t="shared" si="52"/>
        <v>1972.436992922693</v>
      </c>
      <c r="K61" s="98">
        <f t="shared" si="52"/>
        <v>3550.1946230223798</v>
      </c>
      <c r="L61" s="98">
        <f t="shared" si="52"/>
        <v>2880.8572216590705</v>
      </c>
      <c r="M61" s="98">
        <f t="shared" si="52"/>
        <v>3325.993488587088</v>
      </c>
      <c r="N61" s="98">
        <f t="shared" si="52"/>
        <v>3681.5042968604594</v>
      </c>
      <c r="O61" s="98">
        <f t="shared" si="52"/>
        <v>2546.7793628456839</v>
      </c>
      <c r="P61" s="94">
        <f t="shared" si="52"/>
        <v>3908.4928524669472</v>
      </c>
      <c r="Q61" s="98">
        <f t="shared" si="52"/>
        <v>3361.5661032958155</v>
      </c>
      <c r="R61" s="98">
        <f t="shared" si="52"/>
        <v>3135.0470655255372</v>
      </c>
      <c r="S61" s="98">
        <f t="shared" si="52"/>
        <v>1699.5920535448681</v>
      </c>
      <c r="T61" s="98">
        <f t="shared" si="52"/>
        <v>444.25006737083123</v>
      </c>
      <c r="U61" s="98">
        <f t="shared" si="52"/>
        <v>1211.4992424170905</v>
      </c>
      <c r="V61" s="98">
        <f t="shared" si="52"/>
        <v>2829.4929916955984</v>
      </c>
      <c r="W61" s="98">
        <f t="shared" si="52"/>
        <v>4220.6796841193782</v>
      </c>
      <c r="X61" s="98">
        <f t="shared" si="52"/>
        <v>3334.6382160805797</v>
      </c>
      <c r="Y61" s="98">
        <f t="shared" si="52"/>
        <v>3964.8811029549051</v>
      </c>
      <c r="Z61" s="98">
        <f t="shared" si="52"/>
        <v>3743.575042160282</v>
      </c>
      <c r="AA61" s="95">
        <f t="shared" si="52"/>
        <v>2537.5707905035788</v>
      </c>
      <c r="AB61" s="15"/>
      <c r="AC61" s="113">
        <f>'Cons. Financials - ''23 ''24'!AC61</f>
        <v>22130.696068145786</v>
      </c>
      <c r="AD61" s="95">
        <f>SUM(D61:O61)</f>
        <v>28166.894913685835</v>
      </c>
      <c r="AE61" s="95">
        <f>SUM(P61:AA61)</f>
        <v>34391.285212135415</v>
      </c>
    </row>
    <row r="62" spans="3:31" x14ac:dyDescent="0.2">
      <c r="C62" s="16" t="s">
        <v>9</v>
      </c>
      <c r="D62" s="96">
        <f>(D61/D$14)</f>
        <v>0.26973327023538807</v>
      </c>
      <c r="E62" s="111">
        <f t="shared" ref="E62:AA62" si="53">(E61/E$14)</f>
        <v>0.21266462874137571</v>
      </c>
      <c r="F62" s="111">
        <f t="shared" si="53"/>
        <v>0.17665499768454229</v>
      </c>
      <c r="G62" s="111">
        <f t="shared" si="53"/>
        <v>8.8410439536007496E-2</v>
      </c>
      <c r="H62" s="111">
        <f t="shared" si="53"/>
        <v>5.2588660070171369E-3</v>
      </c>
      <c r="I62" s="111">
        <f t="shared" si="53"/>
        <v>4.5848811634849058E-2</v>
      </c>
      <c r="J62" s="111">
        <f t="shared" si="53"/>
        <v>0.15497163088164495</v>
      </c>
      <c r="K62" s="111">
        <f t="shared" si="53"/>
        <v>0.26815705945657348</v>
      </c>
      <c r="L62" s="111">
        <f t="shared" si="53"/>
        <v>0.23814623261224041</v>
      </c>
      <c r="M62" s="111">
        <f t="shared" si="53"/>
        <v>0.24234016831351732</v>
      </c>
      <c r="N62" s="111">
        <f t="shared" si="53"/>
        <v>0.30009541992663319</v>
      </c>
      <c r="O62" s="111">
        <f t="shared" si="53"/>
        <v>0.25738868786922536</v>
      </c>
      <c r="P62" s="96">
        <f t="shared" si="53"/>
        <v>0.26698366745279634</v>
      </c>
      <c r="Q62" s="111">
        <f t="shared" si="53"/>
        <v>0.21890444179866231</v>
      </c>
      <c r="R62" s="111">
        <f t="shared" si="53"/>
        <v>0.19012443561066675</v>
      </c>
      <c r="S62" s="111">
        <f t="shared" si="53"/>
        <v>9.5285508602297148E-2</v>
      </c>
      <c r="T62" s="111">
        <f t="shared" si="53"/>
        <v>2.0955894843434675E-2</v>
      </c>
      <c r="U62" s="111">
        <f t="shared" si="53"/>
        <v>6.805381733253589E-2</v>
      </c>
      <c r="V62" s="111">
        <f t="shared" si="53"/>
        <v>0.15286695063545289</v>
      </c>
      <c r="W62" s="111">
        <f t="shared" si="53"/>
        <v>0.26592421680910067</v>
      </c>
      <c r="X62" s="111">
        <f t="shared" si="53"/>
        <v>0.22915644117038372</v>
      </c>
      <c r="Y62" s="111">
        <f t="shared" si="53"/>
        <v>0.2372385493248946</v>
      </c>
      <c r="Z62" s="111">
        <f t="shared" si="53"/>
        <v>0.28337192046066034</v>
      </c>
      <c r="AA62" s="97">
        <f t="shared" si="53"/>
        <v>0.23533426584972311</v>
      </c>
      <c r="AB62" s="15"/>
      <c r="AC62" s="232">
        <f>'Cons. Financials - ''23 ''24'!AC62</f>
        <v>0.17413533644845014</v>
      </c>
      <c r="AD62" s="97">
        <f t="shared" ref="AD62" si="54">(AD61/AD$14)</f>
        <v>0.19100454957264626</v>
      </c>
      <c r="AE62" s="97">
        <f t="shared" ref="AE62" si="55">(AE61/AE$14)</f>
        <v>0.17822758400570174</v>
      </c>
    </row>
    <row r="63" spans="3:31" ht="3" customHeight="1" x14ac:dyDescent="0.2">
      <c r="C63" s="7"/>
      <c r="D63" s="36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6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8"/>
      <c r="AB63" s="15"/>
      <c r="AC63" s="232">
        <f>'Cons. Financials - ''23 ''24'!AC63</f>
        <v>0</v>
      </c>
      <c r="AD63" s="38"/>
      <c r="AE63" s="38"/>
    </row>
    <row r="64" spans="3:31" ht="12.75" customHeight="1" x14ac:dyDescent="0.2">
      <c r="C64" t="s">
        <v>169</v>
      </c>
      <c r="D64" s="115">
        <f>_xlfn.XLOOKUP($C64,'Cons. Financials - ''23 ''24'!$C$8:$C$79,'Cons. Financials - ''23 ''24'!P$8:P$79)</f>
        <v>-847.23426666666683</v>
      </c>
      <c r="E64" s="257">
        <f>_xlfn.XLOOKUP($C64,'Cons. Financials - ''23 ''24'!$C$8:$C$79,'Cons. Financials - ''23 ''24'!Q$8:Q$79)</f>
        <v>-846.30252916666677</v>
      </c>
      <c r="F64" s="257">
        <f>_xlfn.XLOOKUP($C64,'Cons. Financials - ''23 ''24'!$C$8:$C$79,'Cons. Financials - ''23 ''24'!R$8:R$79)</f>
        <v>-845.42541666666659</v>
      </c>
      <c r="G64" s="257">
        <f>_xlfn.XLOOKUP($C64,'Cons. Financials - ''23 ''24'!$C$8:$C$79,'Cons. Financials - ''23 ''24'!S$8:S$79)</f>
        <v>-844.76013333333333</v>
      </c>
      <c r="H64" s="257">
        <f>_xlfn.XLOOKUP($C64,'Cons. Financials - ''23 ''24'!$C$8:$C$79,'Cons. Financials - ''23 ''24'!T$8:T$79)</f>
        <v>-844.50778333333346</v>
      </c>
      <c r="I64" s="257">
        <f>_xlfn.XLOOKUP($C64,'Cons. Financials - ''23 ''24'!$C$8:$C$79,'Cons. Financials - ''23 ''24'!U$8:U$79)</f>
        <v>-829.74490624999999</v>
      </c>
      <c r="J64" s="257">
        <f>_xlfn.XLOOKUP($C64,'Cons. Financials - ''23 ''24'!$C$8:$C$79,'Cons. Financials - ''23 ''24'!V$8:V$79)</f>
        <v>-815.15385000000015</v>
      </c>
      <c r="K64" s="257">
        <f>_xlfn.XLOOKUP($C64,'Cons. Financials - ''23 ''24'!$C$8:$C$79,'Cons. Financials - ''23 ''24'!W$8:W$79)</f>
        <v>-814.78687500000012</v>
      </c>
      <c r="L64" s="257">
        <f>_xlfn.XLOOKUP($C64,'Cons. Financials - ''23 ''24'!$C$8:$C$79,'Cons. Financials - ''23 ''24'!X$8:X$79)</f>
        <v>-799.30434375000004</v>
      </c>
      <c r="M64" s="257">
        <f>_xlfn.XLOOKUP($C64,'Cons. Financials - ''23 ''24'!$C$8:$C$79,'Cons. Financials - ''23 ''24'!Y$8:Y$79)</f>
        <v>-773.59300416666667</v>
      </c>
      <c r="N64" s="257">
        <f>_xlfn.XLOOKUP($C64,'Cons. Financials - ''23 ''24'!$C$8:$C$79,'Cons. Financials - ''23 ''24'!Z$8:Z$79)</f>
        <v>-759.16489999999988</v>
      </c>
      <c r="O64" s="257">
        <f>_xlfn.XLOOKUP($C64,'Cons. Financials - ''23 ''24'!$C$8:$C$79,'Cons. Financials - ''23 ''24'!AA$8:AA$79)</f>
        <v>-747.32583125000008</v>
      </c>
      <c r="P64" s="92">
        <f t="shared" ref="P64:AA64" ca="1" si="56">-(AVERAGE(O107:P107)*P146+AVERAGE(O108:P108)*P149)/12</f>
        <v>-744.16666666666663</v>
      </c>
      <c r="Q64" s="198">
        <f t="shared" ca="1" si="56"/>
        <v>-744.16666666666663</v>
      </c>
      <c r="R64" s="198">
        <f t="shared" ca="1" si="56"/>
        <v>-743.17708333333337</v>
      </c>
      <c r="S64" s="198">
        <f t="shared" ca="1" si="56"/>
        <v>-742.1875</v>
      </c>
      <c r="T64" s="198">
        <f t="shared" ca="1" si="56"/>
        <v>-742.1875</v>
      </c>
      <c r="U64" s="198">
        <f t="shared" ca="1" si="56"/>
        <v>-782.86458333333337</v>
      </c>
      <c r="V64" s="198">
        <f t="shared" ca="1" si="56"/>
        <v>-823.54166666666663</v>
      </c>
      <c r="W64" s="198">
        <f t="shared" ca="1" si="56"/>
        <v>-823.54166666666663</v>
      </c>
      <c r="X64" s="198">
        <f t="shared" ca="1" si="56"/>
        <v>-822.55208333333337</v>
      </c>
      <c r="Y64" s="198">
        <f t="shared" ca="1" si="56"/>
        <v>-821.5625</v>
      </c>
      <c r="Z64" s="198">
        <f t="shared" ca="1" si="56"/>
        <v>-821.5625</v>
      </c>
      <c r="AA64" s="93">
        <f t="shared" ca="1" si="56"/>
        <v>-820.57291666666663</v>
      </c>
      <c r="AB64" s="15"/>
      <c r="AC64" s="115">
        <f>'Cons. Financials - ''23 ''24'!AC64</f>
        <v>-10430.0278375</v>
      </c>
      <c r="AD64" s="93">
        <f>SUM(D64:O64)</f>
        <v>-9767.3038395833337</v>
      </c>
      <c r="AE64" s="93">
        <f ca="1">SUM(P64:AA64)</f>
        <v>-9432.0833333333339</v>
      </c>
    </row>
    <row r="65" spans="3:31" ht="3" customHeight="1" x14ac:dyDescent="0.2">
      <c r="C65" s="7"/>
      <c r="D65" s="36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6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8"/>
      <c r="AB65" s="15"/>
      <c r="AC65" s="232">
        <f>'Cons. Financials - ''23 ''24'!AC65</f>
        <v>0</v>
      </c>
      <c r="AD65" s="38"/>
      <c r="AE65" s="38"/>
    </row>
    <row r="66" spans="3:31" x14ac:dyDescent="0.2">
      <c r="C66" s="8" t="s">
        <v>170</v>
      </c>
      <c r="D66" s="94">
        <f t="shared" ref="D66:AA66" si="57">D61+D64</f>
        <v>2808.4699812841409</v>
      </c>
      <c r="E66" s="98">
        <f t="shared" si="57"/>
        <v>1869.9294253967482</v>
      </c>
      <c r="F66" s="98">
        <f t="shared" si="57"/>
        <v>1385.5019966864606</v>
      </c>
      <c r="G66" s="98">
        <f t="shared" si="57"/>
        <v>199.9609481552128</v>
      </c>
      <c r="H66" s="98">
        <f t="shared" si="57"/>
        <v>-782.14963653818734</v>
      </c>
      <c r="I66" s="98">
        <f t="shared" si="57"/>
        <v>-330.55882261258409</v>
      </c>
      <c r="J66" s="98">
        <f t="shared" si="57"/>
        <v>1157.2831429226928</v>
      </c>
      <c r="K66" s="98">
        <f t="shared" si="57"/>
        <v>2735.4077480223796</v>
      </c>
      <c r="L66" s="98">
        <f t="shared" si="57"/>
        <v>2081.5528779090705</v>
      </c>
      <c r="M66" s="98">
        <f t="shared" si="57"/>
        <v>2552.4004844204214</v>
      </c>
      <c r="N66" s="98">
        <f t="shared" si="57"/>
        <v>2922.3393968604596</v>
      </c>
      <c r="O66" s="98">
        <f t="shared" si="57"/>
        <v>1799.4535315956837</v>
      </c>
      <c r="P66" s="94">
        <f t="shared" ca="1" si="57"/>
        <v>3164.3261858002807</v>
      </c>
      <c r="Q66" s="98">
        <f t="shared" ca="1" si="57"/>
        <v>2617.399436629149</v>
      </c>
      <c r="R66" s="98">
        <f t="shared" ca="1" si="57"/>
        <v>2391.8699821922037</v>
      </c>
      <c r="S66" s="98">
        <f t="shared" ca="1" si="57"/>
        <v>957.40455354486812</v>
      </c>
      <c r="T66" s="98">
        <f t="shared" ca="1" si="57"/>
        <v>-297.93743262916877</v>
      </c>
      <c r="U66" s="98">
        <f t="shared" ca="1" si="57"/>
        <v>428.63465908375713</v>
      </c>
      <c r="V66" s="98">
        <f t="shared" ca="1" si="57"/>
        <v>2005.9513250289319</v>
      </c>
      <c r="W66" s="98">
        <f t="shared" ca="1" si="57"/>
        <v>3397.1380174527117</v>
      </c>
      <c r="X66" s="98">
        <f t="shared" ca="1" si="57"/>
        <v>2512.0861327472462</v>
      </c>
      <c r="Y66" s="98">
        <f t="shared" ca="1" si="57"/>
        <v>3143.3186029549051</v>
      </c>
      <c r="Z66" s="98">
        <f t="shared" ca="1" si="57"/>
        <v>2922.012542160282</v>
      </c>
      <c r="AA66" s="95">
        <f t="shared" ca="1" si="57"/>
        <v>1716.9978738369123</v>
      </c>
      <c r="AB66" s="15"/>
      <c r="AC66" s="113">
        <f>'Cons. Financials - ''23 ''24'!AC66</f>
        <v>11700.668230645788</v>
      </c>
      <c r="AD66" s="95">
        <f>SUM(D66:O66)</f>
        <v>18399.5910741025</v>
      </c>
      <c r="AE66" s="95">
        <f ca="1">SUM(P66:AA66)</f>
        <v>24959.20187880208</v>
      </c>
    </row>
    <row r="67" spans="3:31" x14ac:dyDescent="0.2">
      <c r="C67" s="16" t="s">
        <v>9</v>
      </c>
      <c r="D67" s="96">
        <f>(D66/D$14)</f>
        <v>0.20722075447824467</v>
      </c>
      <c r="E67" s="111">
        <f t="shared" ref="E67:AA67" si="58">(E66/E$14)</f>
        <v>0.14640422971111514</v>
      </c>
      <c r="F67" s="111">
        <f t="shared" si="58"/>
        <v>0.10971036105953023</v>
      </c>
      <c r="G67" s="111">
        <f t="shared" si="58"/>
        <v>1.6921870946884871E-2</v>
      </c>
      <c r="H67" s="111">
        <f t="shared" si="58"/>
        <v>-6.5961231168461365E-2</v>
      </c>
      <c r="I67" s="111">
        <f t="shared" si="58"/>
        <v>-3.0360880819767053E-2</v>
      </c>
      <c r="J67" s="111">
        <f t="shared" si="58"/>
        <v>9.0926126763023418E-2</v>
      </c>
      <c r="K67" s="111">
        <f t="shared" si="58"/>
        <v>0.20661371446164375</v>
      </c>
      <c r="L67" s="111">
        <f t="shared" si="58"/>
        <v>0.17207169176254172</v>
      </c>
      <c r="M67" s="111">
        <f t="shared" si="58"/>
        <v>0.18597425554814101</v>
      </c>
      <c r="N67" s="111">
        <f t="shared" si="58"/>
        <v>0.23821258859234842</v>
      </c>
      <c r="O67" s="111">
        <f t="shared" si="58"/>
        <v>0.18186066297535045</v>
      </c>
      <c r="P67" s="96">
        <f t="shared" ca="1" si="58"/>
        <v>0.21615068569682691</v>
      </c>
      <c r="Q67" s="111">
        <f t="shared" ca="1" si="58"/>
        <v>0.17044447291328987</v>
      </c>
      <c r="R67" s="111">
        <f t="shared" ca="1" si="58"/>
        <v>0.1450545784205497</v>
      </c>
      <c r="S67" s="111">
        <f t="shared" ca="1" si="58"/>
        <v>5.3675692135889165E-2</v>
      </c>
      <c r="T67" s="111">
        <f t="shared" ca="1" si="58"/>
        <v>-1.4054123942063595E-2</v>
      </c>
      <c r="U67" s="111">
        <f t="shared" ca="1" si="58"/>
        <v>2.4077790369461234E-2</v>
      </c>
      <c r="V67" s="111">
        <f t="shared" ca="1" si="58"/>
        <v>0.10837406668979241</v>
      </c>
      <c r="W67" s="111">
        <f t="shared" ca="1" si="58"/>
        <v>0.21403691686971005</v>
      </c>
      <c r="X67" s="111">
        <f t="shared" ca="1" si="58"/>
        <v>0.1726306366063432</v>
      </c>
      <c r="Y67" s="111">
        <f t="shared" ca="1" si="58"/>
        <v>0.18808038023516427</v>
      </c>
      <c r="Z67" s="111">
        <f t="shared" ca="1" si="58"/>
        <v>0.22118330642686329</v>
      </c>
      <c r="AA67" s="97">
        <f t="shared" ca="1" si="58"/>
        <v>0.15923434948774698</v>
      </c>
      <c r="AB67" s="15"/>
      <c r="AC67" s="232">
        <f>'Cons. Financials - ''23 ''24'!AC67</f>
        <v>9.2066683882930725E-2</v>
      </c>
      <c r="AD67" s="97">
        <f t="shared" ref="AD67" si="59">(AD66/AD$14)</f>
        <v>0.12477078556934716</v>
      </c>
      <c r="AE67" s="97">
        <f t="shared" ref="AE67" ca="1" si="60">(AE66/AE$14)</f>
        <v>0.12934725242544248</v>
      </c>
    </row>
    <row r="68" spans="3:31" ht="3" customHeight="1" x14ac:dyDescent="0.2">
      <c r="C68" s="7"/>
      <c r="D68" s="36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6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8"/>
      <c r="AB68" s="15"/>
      <c r="AC68" s="232">
        <f>'Cons. Financials - ''23 ''24'!AC68</f>
        <v>0</v>
      </c>
      <c r="AD68" s="38"/>
      <c r="AE68" s="38"/>
    </row>
    <row r="69" spans="3:31" x14ac:dyDescent="0.2">
      <c r="C69" t="s">
        <v>171</v>
      </c>
      <c r="D69" s="115">
        <f>_xlfn.XLOOKUP($C69,'Cons. Financials - ''23 ''24'!$C$8:$C$79,'Cons. Financials - ''23 ''24'!P$8:P$79)</f>
        <v>-711.84198191905432</v>
      </c>
      <c r="E69" s="257">
        <f>_xlfn.XLOOKUP($C69,'Cons. Financials - ''23 ''24'!$C$8:$C$79,'Cons. Financials - ''23 ''24'!Q$8:Q$79)</f>
        <v>-532.2431833645968</v>
      </c>
      <c r="F69" s="257">
        <f>_xlfn.XLOOKUP($C69,'Cons. Financials - ''23 ''24'!$C$8:$C$79,'Cons. Financials - ''23 ''24'!R$8:R$79)</f>
        <v>-398.2408090246501</v>
      </c>
      <c r="G69" s="257">
        <f>_xlfn.XLOOKUP($C69,'Cons. Financials - ''23 ''24'!$C$8:$C$79,'Cons. Financials - ''23 ''24'!S$8:S$79)</f>
        <v>-69.889673980206908</v>
      </c>
      <c r="H69" s="257">
        <f>_xlfn.XLOOKUP($C69,'Cons. Financials - ''23 ''24'!$C$8:$C$79,'Cons. Financials - ''23 ''24'!T$8:T$79)</f>
        <v>293.18322395253279</v>
      </c>
      <c r="I69" s="257">
        <f>_xlfn.XLOOKUP($C69,'Cons. Financials - ''23 ''24'!$C$8:$C$79,'Cons. Financials - ''23 ''24'!U$8:U$79)</f>
        <v>124.39042733313448</v>
      </c>
      <c r="J69" s="257">
        <f>_xlfn.XLOOKUP($C69,'Cons. Financials - ''23 ''24'!$C$8:$C$79,'Cons. Financials - ''23 ''24'!V$8:V$79)</f>
        <v>-245.89638807226933</v>
      </c>
      <c r="K69" s="257">
        <f>_xlfn.XLOOKUP($C69,'Cons. Financials - ''23 ''24'!$C$8:$C$79,'Cons. Financials - ''23 ''24'!W$8:W$79)</f>
        <v>-672.1541901791735</v>
      </c>
      <c r="L69" s="257">
        <f>_xlfn.XLOOKUP($C69,'Cons. Financials - ''23 ''24'!$C$8:$C$79,'Cons. Financials - ''23 ''24'!X$8:X$79)</f>
        <v>-604.73473753174949</v>
      </c>
      <c r="M69" s="257">
        <f>_xlfn.XLOOKUP($C69,'Cons. Financials - ''23 ''24'!$C$8:$C$79,'Cons. Financials - ''23 ''24'!Y$8:Y$79)</f>
        <v>-642.44361309418105</v>
      </c>
      <c r="N69" s="257">
        <f>_xlfn.XLOOKUP($C69,'Cons. Financials - ''23 ''24'!$C$8:$C$79,'Cons. Financials - ''23 ''24'!Z$8:Z$79)</f>
        <v>-797.11947057317195</v>
      </c>
      <c r="O69" s="257">
        <f>_xlfn.XLOOKUP($C69,'Cons. Financials - ''23 ''24'!$C$8:$C$79,'Cons. Financials - ''23 ''24'!AA$8:AA$79)</f>
        <v>-465</v>
      </c>
      <c r="P69" s="92">
        <f ca="1">P70*P66</f>
        <v>-812.07880112214468</v>
      </c>
      <c r="Q69" s="198">
        <f t="shared" ref="Q69:AA69" ca="1" si="61">Q70*Q66</f>
        <v>-671.71791773357063</v>
      </c>
      <c r="R69" s="198">
        <f t="shared" ca="1" si="61"/>
        <v>-613.83902718216359</v>
      </c>
      <c r="S69" s="198">
        <f t="shared" ca="1" si="61"/>
        <v>-245.70410772458544</v>
      </c>
      <c r="T69" s="198">
        <f t="shared" ca="1" si="61"/>
        <v>76.461356665641787</v>
      </c>
      <c r="U69" s="198">
        <f t="shared" ca="1" si="61"/>
        <v>-110.00291993605062</v>
      </c>
      <c r="V69" s="198">
        <f t="shared" ca="1" si="61"/>
        <v>-514.79855472829183</v>
      </c>
      <c r="W69" s="198">
        <f t="shared" ca="1" si="61"/>
        <v>-871.82660903896408</v>
      </c>
      <c r="X69" s="198">
        <f t="shared" ca="1" si="61"/>
        <v>-644.69077307876057</v>
      </c>
      <c r="Y69" s="198">
        <f t="shared" ca="1" si="61"/>
        <v>-806.6875071499552</v>
      </c>
      <c r="Z69" s="198">
        <f t="shared" ca="1" si="61"/>
        <v>-749.89248982916331</v>
      </c>
      <c r="AA69" s="93">
        <f t="shared" ca="1" si="61"/>
        <v>-440.64280767632471</v>
      </c>
      <c r="AB69" s="15"/>
      <c r="AC69" s="115">
        <f>'Cons. Financials - ''23 ''24'!AC69</f>
        <v>-3008.269888500532</v>
      </c>
      <c r="AD69" s="93">
        <f>SUM(D69:O69)</f>
        <v>-4721.9903964533869</v>
      </c>
      <c r="AE69" s="93">
        <f ca="1">SUM(P69:AA69)</f>
        <v>-6405.4201585343335</v>
      </c>
    </row>
    <row r="70" spans="3:31" x14ac:dyDescent="0.2">
      <c r="C70" s="16" t="s">
        <v>173</v>
      </c>
      <c r="D70" s="96">
        <f>D69/D66</f>
        <v>-0.25346255671693979</v>
      </c>
      <c r="E70" s="111">
        <f t="shared" ref="E70:O70" si="62">E69/E66</f>
        <v>-0.28463276535245136</v>
      </c>
      <c r="F70" s="111">
        <f t="shared" si="62"/>
        <v>-0.2874343089920296</v>
      </c>
      <c r="G70" s="111">
        <f t="shared" si="62"/>
        <v>-0.3495166162442751</v>
      </c>
      <c r="H70" s="111">
        <f t="shared" si="62"/>
        <v>-0.37484288204769695</v>
      </c>
      <c r="I70" s="111">
        <f t="shared" si="62"/>
        <v>-0.3763034559174977</v>
      </c>
      <c r="J70" s="111">
        <f t="shared" si="62"/>
        <v>-0.21247729181578112</v>
      </c>
      <c r="K70" s="111">
        <f t="shared" si="62"/>
        <v>-0.245723582038225</v>
      </c>
      <c r="L70" s="111">
        <f t="shared" si="62"/>
        <v>-0.29052095863123512</v>
      </c>
      <c r="M70" s="111">
        <f t="shared" si="62"/>
        <v>-0.25170172824193848</v>
      </c>
      <c r="N70" s="111">
        <f t="shared" si="62"/>
        <v>-0.27276758867554424</v>
      </c>
      <c r="O70" s="111">
        <f t="shared" si="62"/>
        <v>-0.25841178548670635</v>
      </c>
      <c r="P70" s="232">
        <f>-('Budget Assumption Driver'!E45)</f>
        <v>-0.25663561638060528</v>
      </c>
      <c r="Q70" s="233">
        <f>-('Budget Assumption Driver'!F45)</f>
        <v>-0.25663561638060528</v>
      </c>
      <c r="R70" s="233">
        <f>-('Budget Assumption Driver'!G45)</f>
        <v>-0.25663561638060528</v>
      </c>
      <c r="S70" s="233">
        <f>-('Budget Assumption Driver'!H45)</f>
        <v>-0.25663561638060528</v>
      </c>
      <c r="T70" s="233">
        <f>-('Budget Assumption Driver'!I45)</f>
        <v>-0.25663561638060528</v>
      </c>
      <c r="U70" s="233">
        <f>-('Budget Assumption Driver'!J45)</f>
        <v>-0.25663561638060528</v>
      </c>
      <c r="V70" s="233">
        <f>-('Budget Assumption Driver'!K45)</f>
        <v>-0.25663561638060528</v>
      </c>
      <c r="W70" s="233">
        <f>-('Budget Assumption Driver'!L45)</f>
        <v>-0.25663561638060528</v>
      </c>
      <c r="X70" s="233">
        <f>-('Budget Assumption Driver'!M45)</f>
        <v>-0.25663561638060528</v>
      </c>
      <c r="Y70" s="233">
        <f>-('Budget Assumption Driver'!N45)</f>
        <v>-0.25663561638060528</v>
      </c>
      <c r="Z70" s="233">
        <f>-('Budget Assumption Driver'!O45)</f>
        <v>-0.25663561638060528</v>
      </c>
      <c r="AA70" s="323">
        <f>-('Budget Assumption Driver'!P45)</f>
        <v>-0.25663561638060528</v>
      </c>
      <c r="AB70" s="15"/>
      <c r="AC70" s="232">
        <f>'Cons. Financials - ''23 ''24'!AC70</f>
        <v>-0.2571024004100404</v>
      </c>
      <c r="AD70" s="97">
        <f t="shared" ref="AD70" si="63">AD69/AD66</f>
        <v>-0.25663561638060572</v>
      </c>
      <c r="AE70" s="97">
        <f t="shared" ref="AE70" ca="1" si="64">AE69/AE66</f>
        <v>-0.25663561638060528</v>
      </c>
    </row>
    <row r="71" spans="3:31" ht="3" customHeight="1" x14ac:dyDescent="0.2">
      <c r="C71" s="7"/>
      <c r="D71" s="36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6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8"/>
      <c r="AB71" s="15"/>
      <c r="AC71" s="232">
        <f>'Cons. Financials - ''23 ''24'!AC71</f>
        <v>0</v>
      </c>
      <c r="AD71" s="38"/>
      <c r="AE71" s="38"/>
    </row>
    <row r="72" spans="3:31" x14ac:dyDescent="0.2">
      <c r="C72" s="180" t="s">
        <v>172</v>
      </c>
      <c r="D72" s="181">
        <f>D66+D69</f>
        <v>2096.6279993650865</v>
      </c>
      <c r="E72" s="181">
        <f t="shared" ref="E72:AA72" si="65">E66+E69</f>
        <v>1337.6862420321513</v>
      </c>
      <c r="F72" s="181">
        <f t="shared" si="65"/>
        <v>987.26118766181048</v>
      </c>
      <c r="G72" s="181">
        <f t="shared" si="65"/>
        <v>130.0712741750059</v>
      </c>
      <c r="H72" s="181">
        <f t="shared" si="65"/>
        <v>-488.96641258565455</v>
      </c>
      <c r="I72" s="181">
        <f t="shared" si="65"/>
        <v>-206.16839527944961</v>
      </c>
      <c r="J72" s="181">
        <f t="shared" si="65"/>
        <v>911.38675485042347</v>
      </c>
      <c r="K72" s="181">
        <f t="shared" si="65"/>
        <v>2063.2535578432062</v>
      </c>
      <c r="L72" s="181">
        <f t="shared" si="65"/>
        <v>1476.818140377321</v>
      </c>
      <c r="M72" s="181">
        <f t="shared" si="65"/>
        <v>1909.9568713262404</v>
      </c>
      <c r="N72" s="181">
        <f t="shared" si="65"/>
        <v>2125.2199262872878</v>
      </c>
      <c r="O72" s="181">
        <f t="shared" si="65"/>
        <v>1334.4535315956837</v>
      </c>
      <c r="P72" s="182">
        <f t="shared" ca="1" si="65"/>
        <v>2352.2473846781359</v>
      </c>
      <c r="Q72" s="181">
        <f t="shared" ca="1" si="65"/>
        <v>1945.6815188955784</v>
      </c>
      <c r="R72" s="181">
        <f t="shared" ca="1" si="65"/>
        <v>1778.0309550100401</v>
      </c>
      <c r="S72" s="181">
        <f t="shared" ca="1" si="65"/>
        <v>711.70044582028265</v>
      </c>
      <c r="T72" s="181">
        <f t="shared" ca="1" si="65"/>
        <v>-221.47607596352697</v>
      </c>
      <c r="U72" s="181">
        <f t="shared" ca="1" si="65"/>
        <v>318.63173914770653</v>
      </c>
      <c r="V72" s="181">
        <f t="shared" ca="1" si="65"/>
        <v>1491.15277030064</v>
      </c>
      <c r="W72" s="181">
        <f t="shared" ca="1" si="65"/>
        <v>2525.3114084137478</v>
      </c>
      <c r="X72" s="181">
        <f t="shared" ca="1" si="65"/>
        <v>1867.3953596684855</v>
      </c>
      <c r="Y72" s="181">
        <f t="shared" ca="1" si="65"/>
        <v>2336.6310958049498</v>
      </c>
      <c r="Z72" s="181">
        <f t="shared" ca="1" si="65"/>
        <v>2172.1200523311186</v>
      </c>
      <c r="AA72" s="183">
        <f t="shared" ca="1" si="65"/>
        <v>1276.3550661605875</v>
      </c>
      <c r="AC72" s="305">
        <f>'Cons. Financials - ''23 ''24'!AC72</f>
        <v>8692.3983421452558</v>
      </c>
      <c r="AD72" s="183">
        <f>SUM(D72:O72)</f>
        <v>13677.600677649112</v>
      </c>
      <c r="AE72" s="183">
        <f ca="1">SUM(P72:AA72)</f>
        <v>18553.781720267747</v>
      </c>
    </row>
    <row r="73" spans="3:31" x14ac:dyDescent="0.2">
      <c r="C73" s="16" t="s">
        <v>9</v>
      </c>
      <c r="D73" s="96">
        <f>(D72/D$14)</f>
        <v>0.15469805224337552</v>
      </c>
      <c r="E73" s="111">
        <f t="shared" ref="E73:AA73" si="66">(E72/E$14)</f>
        <v>0.10473278894914491</v>
      </c>
      <c r="F73" s="111">
        <f t="shared" si="66"/>
        <v>7.8175839239118083E-2</v>
      </c>
      <c r="G73" s="111">
        <f t="shared" si="66"/>
        <v>1.1007395873007364E-2</v>
      </c>
      <c r="H73" s="111">
        <f t="shared" si="66"/>
        <v>-4.1236133173860934E-2</v>
      </c>
      <c r="I73" s="111">
        <f t="shared" si="66"/>
        <v>-1.8935976442589441E-2</v>
      </c>
      <c r="J73" s="111">
        <f t="shared" si="66"/>
        <v>7.1606389593117784E-2</v>
      </c>
      <c r="K73" s="111">
        <f t="shared" si="66"/>
        <v>0.15584385244590565</v>
      </c>
      <c r="L73" s="111">
        <f t="shared" si="66"/>
        <v>0.12208125891838971</v>
      </c>
      <c r="M73" s="111">
        <f t="shared" si="66"/>
        <v>0.139164214018166</v>
      </c>
      <c r="N73" s="111">
        <f t="shared" si="66"/>
        <v>0.1732359152098541</v>
      </c>
      <c r="O73" s="111">
        <f t="shared" si="66"/>
        <v>0.13486572434609398</v>
      </c>
      <c r="P73" s="96">
        <f t="shared" ca="1" si="66"/>
        <v>0.16067872124193125</v>
      </c>
      <c r="Q73" s="111">
        <f t="shared" ca="1" si="66"/>
        <v>0.12670235054852036</v>
      </c>
      <c r="R73" s="111">
        <f t="shared" ca="1" si="66"/>
        <v>0.10782840727876307</v>
      </c>
      <c r="S73" s="111">
        <f t="shared" ca="1" si="66"/>
        <v>3.9900597799939638E-2</v>
      </c>
      <c r="T73" s="111">
        <f t="shared" ca="1" si="66"/>
        <v>-1.0447335181502681E-2</v>
      </c>
      <c r="U73" s="111">
        <f t="shared" ca="1" si="66"/>
        <v>1.7898571796911549E-2</v>
      </c>
      <c r="V73" s="111">
        <f t="shared" ca="1" si="66"/>
        <v>8.0561421285184703E-2</v>
      </c>
      <c r="W73" s="111">
        <f t="shared" ca="1" si="66"/>
        <v>0.15910742078064766</v>
      </c>
      <c r="X73" s="111">
        <f t="shared" ca="1" si="66"/>
        <v>0.128327466774698</v>
      </c>
      <c r="Y73" s="111">
        <f t="shared" ca="1" si="66"/>
        <v>0.13981225592441426</v>
      </c>
      <c r="Z73" s="111">
        <f t="shared" ca="1" si="66"/>
        <v>0.16441979224890493</v>
      </c>
      <c r="AA73" s="97">
        <f t="shared" ca="1" si="66"/>
        <v>0.11836914405799431</v>
      </c>
      <c r="AB73" s="15"/>
      <c r="AC73" s="232">
        <f>'Cons. Financials - ''23 ''24'!AC73</f>
        <v>6.8396118458836863E-2</v>
      </c>
      <c r="AD73" s="97">
        <f t="shared" ref="AD73" si="67">(AD72/AD$14)</f>
        <v>9.2750158108465361E-2</v>
      </c>
      <c r="AE73" s="97">
        <f t="shared" ref="AE73" ca="1" si="68">(AE72/AE$14)</f>
        <v>9.6152140572101308E-2</v>
      </c>
    </row>
    <row r="74" spans="3:31" ht="6" customHeight="1" x14ac:dyDescent="0.2">
      <c r="D74" s="11"/>
      <c r="P74" s="11"/>
      <c r="AA74" s="15"/>
      <c r="AB74" s="15"/>
      <c r="AC74" s="11"/>
      <c r="AD74" s="15"/>
      <c r="AE74" s="15"/>
    </row>
    <row r="75" spans="3:31" x14ac:dyDescent="0.2">
      <c r="C75" s="79" t="s">
        <v>13</v>
      </c>
      <c r="D75" s="11"/>
      <c r="P75" s="11"/>
      <c r="AA75" s="15"/>
      <c r="AB75" s="15"/>
      <c r="AC75" s="11"/>
      <c r="AD75" s="15"/>
      <c r="AE75" s="15"/>
    </row>
    <row r="76" spans="3:31" x14ac:dyDescent="0.2">
      <c r="C76" s="24" t="s">
        <v>15</v>
      </c>
      <c r="D76" s="113">
        <f>_xlfn.XLOOKUP($C76,'Cons. Financials - ''23 ''24'!$C$8:$C$79,'Cons. Financials - ''23 ''24'!P$8:P$79)</f>
        <v>13573.704573260678</v>
      </c>
      <c r="E76" s="114">
        <f>_xlfn.XLOOKUP($C76,'Cons. Financials - ''23 ''24'!$C$8:$C$79,'Cons. Financials - ''23 ''24'!Q$8:Q$79)</f>
        <v>12769.6858531126</v>
      </c>
      <c r="F76" s="114">
        <f>_xlfn.XLOOKUP($C76,'Cons. Financials - ''23 ''24'!$C$8:$C$79,'Cons. Financials - ''23 ''24'!R$8:R$79)</f>
        <v>12650.005325331864</v>
      </c>
      <c r="G76" s="114">
        <f>_xlfn.XLOOKUP($C76,'Cons. Financials - ''23 ''24'!$C$8:$C$79,'Cons. Financials - ''23 ''24'!S$8:S$79)</f>
        <v>11793.30356573196</v>
      </c>
      <c r="H76" s="114">
        <f>_xlfn.XLOOKUP($C76,'Cons. Financials - ''23 ''24'!$C$8:$C$79,'Cons. Financials - ''23 ''24'!T$8:T$79)</f>
        <v>11858.263887232122</v>
      </c>
      <c r="I76" s="114">
        <f>_xlfn.XLOOKUP($C76,'Cons. Financials - ''23 ''24'!$C$8:$C$79,'Cons. Financials - ''23 ''24'!U$8:U$79)</f>
        <v>10888.355404228325</v>
      </c>
      <c r="J76" s="114">
        <f>_xlfn.XLOOKUP($C76,'Cons. Financials - ''23 ''24'!$C$8:$C$79,'Cons. Financials - ''23 ''24'!V$8:V$79)</f>
        <v>12742.519128443775</v>
      </c>
      <c r="K76" s="114">
        <f>_xlfn.XLOOKUP($C76,'Cons. Financials - ''23 ''24'!$C$8:$C$79,'Cons. Financials - ''23 ''24'!W$8:W$79)</f>
        <v>13239.373361752479</v>
      </c>
      <c r="L76" s="114">
        <f>_xlfn.XLOOKUP($C76,'Cons. Financials - ''23 ''24'!$C$8:$C$79,'Cons. Financials - ''23 ''24'!X$8:X$79)</f>
        <v>12067.659436884342</v>
      </c>
      <c r="M76" s="114">
        <f>_xlfn.XLOOKUP($C76,'Cons. Financials - ''23 ''24'!$C$8:$C$79,'Cons. Financials - ''23 ''24'!Y$8:Y$79)</f>
        <v>13739.345255257629</v>
      </c>
      <c r="N76" s="114">
        <f>_xlfn.XLOOKUP($C76,'Cons. Financials - ''23 ''24'!$C$8:$C$79,'Cons. Financials - ''23 ''24'!Z$8:Z$79)</f>
        <v>12309.682857054502</v>
      </c>
      <c r="O76" s="114">
        <f>_xlfn.XLOOKUP($C76,'Cons. Financials - ''23 ''24'!$C$8:$C$79,'Cons. Financials - ''23 ''24'!AA$8:AA$79)</f>
        <v>9886.5489158356104</v>
      </c>
      <c r="P76" s="113">
        <f>SUMIFS('Site Level Budget - ''25'!S:S,'Site Level Budget - ''25'!$F:$F,'Consolidated Budget - ''25'!$C76)</f>
        <v>14639.445512740896</v>
      </c>
      <c r="Q76" s="114">
        <f>SUMIFS('Site Level Budget - ''25'!T:T,'Site Level Budget - ''25'!$F:$F,'Consolidated Budget - ''25'!$C76)</f>
        <v>15356.317467452858</v>
      </c>
      <c r="R76" s="114">
        <f>SUMIFS('Site Level Budget - ''25'!U:U,'Site Level Budget - ''25'!$F:$F,'Consolidated Budget - ''25'!$C76)</f>
        <v>16489.448373408602</v>
      </c>
      <c r="S76" s="114">
        <f>SUMIFS('Site Level Budget - ''25'!V:V,'Site Level Budget - ''25'!$F:$F,'Consolidated Budget - ''25'!$C76)</f>
        <v>17836.8366656742</v>
      </c>
      <c r="T76" s="114">
        <f>SUMIFS('Site Level Budget - ''25'!W:W,'Site Level Budget - ''25'!$F:$F,'Consolidated Budget - ''25'!$C76)</f>
        <v>21199.288824929918</v>
      </c>
      <c r="U76" s="114">
        <f>SUMIFS('Site Level Budget - ''25'!X:X,'Site Level Budget - ''25'!$F:$F,'Consolidated Budget - ''25'!$C76)</f>
        <v>17802.076208264134</v>
      </c>
      <c r="V76" s="114">
        <f>SUMIFS('Site Level Budget - ''25'!Y:Y,'Site Level Budget - ''25'!$F:$F,'Consolidated Budget - ''25'!$C76)</f>
        <v>18509.51418821187</v>
      </c>
      <c r="W76" s="114">
        <f>SUMIFS('Site Level Budget - ''25'!Z:Z,'Site Level Budget - ''25'!$F:$F,'Consolidated Budget - ''25'!$C76)</f>
        <v>15871.738703471607</v>
      </c>
      <c r="X76" s="114">
        <f>SUMIFS('Site Level Budget - ''25'!AA:AA,'Site Level Budget - ''25'!$F:$F,'Consolidated Budget - ''25'!$C76)</f>
        <v>14551.797885537899</v>
      </c>
      <c r="Y76" s="114">
        <f>SUMIFS('Site Level Budget - ''25'!AB:AB,'Site Level Budget - ''25'!$F:$F,'Consolidated Budget - ''25'!$C76)</f>
        <v>16712.634241937893</v>
      </c>
      <c r="Z76" s="114">
        <f>SUMIFS('Site Level Budget - ''25'!AC:AC,'Site Level Budget - ''25'!$F:$F,'Consolidated Budget - ''25'!$C76)</f>
        <v>13210.818616306731</v>
      </c>
      <c r="AA76" s="333">
        <f>SUMIFS('Site Level Budget - ''25'!AD:AD,'Site Level Budget - ''25'!$F:$F,'Consolidated Budget - ''25'!$C76)</f>
        <v>10782.835985831276</v>
      </c>
      <c r="AB76" s="34"/>
      <c r="AC76" s="113">
        <f>'Cons. Financials - ''23 ''24'!AC76</f>
        <v>127053.22453034669</v>
      </c>
      <c r="AD76" s="95">
        <f>SUM(D76:O76)</f>
        <v>147518.44756412591</v>
      </c>
      <c r="AE76" s="95">
        <f>SUM(P76:AA76)</f>
        <v>192962.75267376789</v>
      </c>
    </row>
    <row r="77" spans="3:31" x14ac:dyDescent="0.2">
      <c r="C77" s="16" t="s">
        <v>17</v>
      </c>
      <c r="D77" s="96">
        <f>(D76/D$12)</f>
        <v>0.98117744216934244</v>
      </c>
      <c r="E77" s="111">
        <f t="shared" ref="E77:AA77" si="69">(E76/E$12)</f>
        <v>0.97934571102895052</v>
      </c>
      <c r="F77" s="111">
        <f t="shared" si="69"/>
        <v>0.98105940376536749</v>
      </c>
      <c r="G77" s="111">
        <f t="shared" si="69"/>
        <v>0.97744311846183107</v>
      </c>
      <c r="H77" s="111">
        <f t="shared" si="69"/>
        <v>0.97924395914375728</v>
      </c>
      <c r="I77" s="111">
        <f t="shared" si="69"/>
        <v>0.97926258925833864</v>
      </c>
      <c r="J77" s="111">
        <f t="shared" si="69"/>
        <v>0.98037029574494383</v>
      </c>
      <c r="K77" s="111">
        <f t="shared" si="69"/>
        <v>0.97956695693865214</v>
      </c>
      <c r="L77" s="111">
        <f t="shared" si="69"/>
        <v>0.9771059324115754</v>
      </c>
      <c r="M77" s="111">
        <f t="shared" si="69"/>
        <v>0.98060560234280436</v>
      </c>
      <c r="N77" s="111">
        <f t="shared" si="69"/>
        <v>0.98293506175879553</v>
      </c>
      <c r="O77" s="111">
        <f t="shared" si="69"/>
        <v>0.97894252169428408</v>
      </c>
      <c r="P77" s="96">
        <f t="shared" si="69"/>
        <v>0.98001835384810676</v>
      </c>
      <c r="Q77" s="111">
        <f t="shared" si="69"/>
        <v>0.98003254152015662</v>
      </c>
      <c r="R77" s="111">
        <f t="shared" si="69"/>
        <v>0.98003254152015684</v>
      </c>
      <c r="S77" s="111">
        <f t="shared" si="69"/>
        <v>0.98006934353477215</v>
      </c>
      <c r="T77" s="111">
        <f t="shared" si="69"/>
        <v>0.98006934353477193</v>
      </c>
      <c r="U77" s="111">
        <f t="shared" si="69"/>
        <v>0.98006934353477237</v>
      </c>
      <c r="V77" s="111">
        <f t="shared" si="69"/>
        <v>0.98001182182651758</v>
      </c>
      <c r="W77" s="111">
        <f t="shared" si="69"/>
        <v>0.98001182182651769</v>
      </c>
      <c r="X77" s="111">
        <f t="shared" si="69"/>
        <v>0.98001182182651791</v>
      </c>
      <c r="Y77" s="111">
        <f t="shared" si="69"/>
        <v>0.9800118218265178</v>
      </c>
      <c r="Z77" s="111">
        <f t="shared" si="69"/>
        <v>0.98001182182651769</v>
      </c>
      <c r="AA77" s="97">
        <f t="shared" si="69"/>
        <v>0.98001182182651791</v>
      </c>
      <c r="AB77" s="15"/>
      <c r="AC77" s="232">
        <f>'Cons. Financials - ''23 ''24'!AC77</f>
        <v>0.98016221076498466</v>
      </c>
      <c r="AD77" s="97">
        <f t="shared" ref="AD77:AE77" si="70">(AD76/AD$12)</f>
        <v>0.97980733656558072</v>
      </c>
      <c r="AE77" s="97">
        <f t="shared" si="70"/>
        <v>0.98003267957895435</v>
      </c>
    </row>
    <row r="78" spans="3:31" ht="6" customHeight="1" x14ac:dyDescent="0.2">
      <c r="C78" s="27"/>
      <c r="O78" s="15"/>
      <c r="AA78" s="15"/>
      <c r="AB78" s="15"/>
      <c r="AC78" s="11"/>
      <c r="AD78" s="15"/>
      <c r="AE78" s="15"/>
    </row>
    <row r="79" spans="3:31" x14ac:dyDescent="0.2">
      <c r="C79" s="24" t="s">
        <v>55</v>
      </c>
      <c r="D79" s="314">
        <f>_xlfn.XLOOKUP($C79,'Cons. Financials - ''23 ''24'!$C$8:$C$79,'Cons. Financials - ''23 ''24'!P$8:P$79)</f>
        <v>4.8216688017405751E-2</v>
      </c>
      <c r="E79" s="315">
        <f>_xlfn.XLOOKUP($C79,'Cons. Financials - ''23 ''24'!$C$8:$C$79,'Cons. Financials - ''23 ''24'!Q$8:Q$79)</f>
        <v>6.5069649996600587E-2</v>
      </c>
      <c r="F79" s="315">
        <f>_xlfn.XLOOKUP($C79,'Cons. Financials - ''23 ''24'!$C$8:$C$79,'Cons. Financials - ''23 ''24'!R$8:R$79)</f>
        <v>3.1560101389717987E-2</v>
      </c>
      <c r="G79" s="315">
        <f>_xlfn.XLOOKUP($C79,'Cons. Financials - ''23 ''24'!$C$8:$C$79,'Cons. Financials - ''23 ''24'!S$8:S$79)</f>
        <v>4.6129846920810014E-2</v>
      </c>
      <c r="H79" s="315">
        <f>_xlfn.XLOOKUP($C79,'Cons. Financials - ''23 ''24'!$C$8:$C$79,'Cons. Financials - ''23 ''24'!T$8:T$79)</f>
        <v>3.1249017002648261E-2</v>
      </c>
      <c r="I79" s="315">
        <f>_xlfn.XLOOKUP($C79,'Cons. Financials - ''23 ''24'!$C$8:$C$79,'Cons. Financials - ''23 ''24'!U$8:U$79)</f>
        <v>4.6651515132067889E-2</v>
      </c>
      <c r="J79" s="315">
        <f>_xlfn.XLOOKUP($C79,'Cons. Financials - ''23 ''24'!$C$8:$C$79,'Cons. Financials - ''23 ''24'!V$8:V$79)</f>
        <v>4.1243932594398514E-2</v>
      </c>
      <c r="K79" s="315">
        <f>_xlfn.XLOOKUP($C79,'Cons. Financials - ''23 ''24'!$C$8:$C$79,'Cons. Financials - ''23 ''24'!W$8:W$79)</f>
        <v>1.2501748528848999E-2</v>
      </c>
      <c r="L79" s="315">
        <f>_xlfn.XLOOKUP($C79,'Cons. Financials - ''23 ''24'!$C$8:$C$79,'Cons. Financials - ''23 ''24'!X$8:X$79)</f>
        <v>1.023208570743761E-2</v>
      </c>
      <c r="M79" s="315">
        <f>_xlfn.XLOOKUP($C79,'Cons. Financials - ''23 ''24'!$C$8:$C$79,'Cons. Financials - ''23 ''24'!Y$8:Y$79)</f>
        <v>2.2740801914629127E-3</v>
      </c>
      <c r="N79" s="315">
        <f>_xlfn.XLOOKUP($C79,'Cons. Financials - ''23 ''24'!$C$8:$C$79,'Cons. Financials - ''23 ''24'!Z$8:Z$79)</f>
        <v>2.6411876995813266E-4</v>
      </c>
      <c r="O79" s="315">
        <f>_xlfn.XLOOKUP($C79,'Cons. Financials - ''23 ''24'!$C$8:$C$79,'Cons. Financials - ''23 ''24'!AA$8:AA$79)</f>
        <v>-8.9330595017951264E-3</v>
      </c>
      <c r="P79" s="176">
        <f t="shared" ref="P79:AA79" si="71">P11/D11-1</f>
        <v>-6.5925607358571225E-3</v>
      </c>
      <c r="Q79" s="177">
        <f t="shared" si="71"/>
        <v>-6.4540076030287219E-3</v>
      </c>
      <c r="R79" s="177">
        <f t="shared" si="71"/>
        <v>-3.3601669581264648E-3</v>
      </c>
      <c r="S79" s="177">
        <f t="shared" si="71"/>
        <v>-6.0918269998329055E-3</v>
      </c>
      <c r="T79" s="177">
        <f t="shared" si="71"/>
        <v>-3.0415385274049633E-3</v>
      </c>
      <c r="U79" s="177">
        <f t="shared" si="71"/>
        <v>4.3322729981953856E-4</v>
      </c>
      <c r="V79" s="177">
        <f t="shared" si="71"/>
        <v>-2.4188761465577246E-2</v>
      </c>
      <c r="W79" s="177">
        <f t="shared" si="71"/>
        <v>-2.0380676730425207E-2</v>
      </c>
      <c r="X79" s="177">
        <f t="shared" si="71"/>
        <v>-1.7117959363181723E-2</v>
      </c>
      <c r="Y79" s="177">
        <f t="shared" si="71"/>
        <v>-1.384691242276892E-2</v>
      </c>
      <c r="Z79" s="177">
        <f t="shared" si="71"/>
        <v>-1.0020148074480706E-2</v>
      </c>
      <c r="AA79" s="104">
        <f t="shared" si="71"/>
        <v>-5.9605869967637171E-3</v>
      </c>
      <c r="AB79" s="24"/>
      <c r="AC79" s="43"/>
      <c r="AD79" s="104">
        <f>AD11/AC11-1</f>
        <v>4.1412867038852053E-2</v>
      </c>
      <c r="AE79" s="104">
        <f>AE11/AD11-1</f>
        <v>1.2969467360008258E-2</v>
      </c>
    </row>
    <row r="80" spans="3:31" ht="6" customHeight="1" x14ac:dyDescent="0.2">
      <c r="C80" s="24"/>
      <c r="D80" s="28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29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29"/>
      <c r="AB80" s="25"/>
      <c r="AC80" s="28"/>
      <c r="AD80" s="29"/>
      <c r="AE80" s="29"/>
    </row>
    <row r="83" spans="2:32" ht="13.5" thickBot="1" x14ac:dyDescent="0.25">
      <c r="B83" s="2" t="s">
        <v>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3"/>
      <c r="AE83" s="3">
        <f ca="1">TODAY()</f>
        <v>45999</v>
      </c>
      <c r="AF83" s="1"/>
    </row>
    <row r="84" spans="2:32" x14ac:dyDescent="0.2">
      <c r="C84" t="s">
        <v>219</v>
      </c>
      <c r="AE84" s="53" t="s">
        <v>16</v>
      </c>
    </row>
    <row r="86" spans="2:32" x14ac:dyDescent="0.2">
      <c r="D86" s="300" t="s">
        <v>229</v>
      </c>
      <c r="E86" s="301"/>
      <c r="F86" s="301"/>
      <c r="G86" s="301"/>
      <c r="H86" s="301"/>
      <c r="I86" s="301"/>
      <c r="J86" s="301"/>
      <c r="K86" s="301"/>
      <c r="L86" s="301"/>
      <c r="M86" s="301"/>
      <c r="N86" s="301"/>
      <c r="O86" s="302"/>
      <c r="P86" s="266" t="s">
        <v>230</v>
      </c>
      <c r="Q86" s="267"/>
      <c r="R86" s="267"/>
      <c r="S86" s="267"/>
      <c r="T86" s="267"/>
      <c r="U86" s="267"/>
      <c r="V86" s="267"/>
      <c r="W86" s="267"/>
      <c r="X86" s="267"/>
      <c r="Y86" s="267"/>
      <c r="Z86" s="267"/>
      <c r="AA86" s="268"/>
    </row>
    <row r="87" spans="2:32" ht="15" x14ac:dyDescent="0.35">
      <c r="D87" s="211">
        <v>44957</v>
      </c>
      <c r="E87" s="212">
        <f>EOMONTH(D87,1)</f>
        <v>44985</v>
      </c>
      <c r="F87" s="212">
        <f t="shared" ref="F87" si="72">EOMONTH(E87,1)</f>
        <v>45016</v>
      </c>
      <c r="G87" s="212">
        <f t="shared" ref="G87" si="73">EOMONTH(F87,1)</f>
        <v>45046</v>
      </c>
      <c r="H87" s="212">
        <f t="shared" ref="H87" si="74">EOMONTH(G87,1)</f>
        <v>45077</v>
      </c>
      <c r="I87" s="212">
        <f t="shared" ref="I87" si="75">EOMONTH(H87,1)</f>
        <v>45107</v>
      </c>
      <c r="J87" s="212">
        <f t="shared" ref="J87" si="76">EOMONTH(I87,1)</f>
        <v>45138</v>
      </c>
      <c r="K87" s="212">
        <f t="shared" ref="K87" si="77">EOMONTH(J87,1)</f>
        <v>45169</v>
      </c>
      <c r="L87" s="212">
        <f t="shared" ref="L87" si="78">EOMONTH(K87,1)</f>
        <v>45199</v>
      </c>
      <c r="M87" s="212">
        <f t="shared" ref="M87" si="79">EOMONTH(L87,1)</f>
        <v>45230</v>
      </c>
      <c r="N87" s="212">
        <f t="shared" ref="N87" si="80">EOMONTH(M87,1)</f>
        <v>45260</v>
      </c>
      <c r="O87" s="213">
        <f t="shared" ref="O87" si="81">EOMONTH(N87,1)</f>
        <v>45291</v>
      </c>
      <c r="P87" s="4">
        <f t="shared" ref="P87" si="82">EOMONTH(O87,1)</f>
        <v>45322</v>
      </c>
      <c r="Q87" s="19">
        <f t="shared" ref="Q87" si="83">EOMONTH(P87,1)</f>
        <v>45351</v>
      </c>
      <c r="R87" s="19">
        <f t="shared" ref="R87" si="84">EOMONTH(Q87,1)</f>
        <v>45382</v>
      </c>
      <c r="S87" s="19">
        <f t="shared" ref="S87" si="85">EOMONTH(R87,1)</f>
        <v>45412</v>
      </c>
      <c r="T87" s="19">
        <f t="shared" ref="T87" si="86">EOMONTH(S87,1)</f>
        <v>45443</v>
      </c>
      <c r="U87" s="19">
        <f t="shared" ref="U87" si="87">EOMONTH(T87,1)</f>
        <v>45473</v>
      </c>
      <c r="V87" s="19">
        <f t="shared" ref="V87" si="88">EOMONTH(U87,1)</f>
        <v>45504</v>
      </c>
      <c r="W87" s="19">
        <f t="shared" ref="W87" si="89">EOMONTH(V87,1)</f>
        <v>45535</v>
      </c>
      <c r="X87" s="19">
        <f t="shared" ref="X87" si="90">EOMONTH(W87,1)</f>
        <v>45565</v>
      </c>
      <c r="Y87" s="19">
        <f t="shared" ref="Y87" si="91">EOMONTH(X87,1)</f>
        <v>45596</v>
      </c>
      <c r="Z87" s="19">
        <f t="shared" ref="Z87" si="92">EOMONTH(Y87,1)</f>
        <v>45626</v>
      </c>
      <c r="AA87" s="5">
        <f t="shared" ref="AA87" si="93">EOMONTH(Z87,1)</f>
        <v>45657</v>
      </c>
      <c r="AB87" s="12"/>
    </row>
    <row r="88" spans="2:32" ht="3" customHeight="1" x14ac:dyDescent="0.2">
      <c r="D88" s="11"/>
      <c r="P88" s="11"/>
      <c r="AA88" s="15"/>
    </row>
    <row r="89" spans="2:32" ht="12.75" customHeight="1" x14ac:dyDescent="0.2">
      <c r="C89" s="7" t="s">
        <v>175</v>
      </c>
      <c r="D89" s="303">
        <f>_xlfn.XLOOKUP($C89,'Cons. Financials - ''23 ''24'!$C$89:$C$149,'Cons. Financials - ''23 ''24'!P$89:P$149)</f>
        <v>13173.609593624944</v>
      </c>
      <c r="E89" s="256">
        <f>_xlfn.XLOOKUP($C89,'Cons. Financials - ''23 ''24'!$C$89:$C$149,'Cons. Financials - ''23 ''24'!Q$89:Q$149)</f>
        <v>13785.012494425435</v>
      </c>
      <c r="F89" s="256">
        <f>_xlfn.XLOOKUP($C89,'Cons. Financials - ''23 ''24'!$C$89:$C$149,'Cons. Financials - ''23 ''24'!R$89:R$149)</f>
        <v>13488.748210809072</v>
      </c>
      <c r="G89" s="256">
        <f>_xlfn.XLOOKUP($C89,'Cons. Financials - ''23 ''24'!$C$89:$C$149,'Cons. Financials - ''23 ''24'!S$89:S$149)</f>
        <v>13989.070303621353</v>
      </c>
      <c r="H89" s="256">
        <f>_xlfn.XLOOKUP($C89,'Cons. Financials - ''23 ''24'!$C$89:$C$149,'Cons. Financials - ''23 ''24'!T$89:T$149)</f>
        <v>13005.637957793029</v>
      </c>
      <c r="I89" s="256">
        <f>_xlfn.XLOOKUP($C89,'Cons. Financials - ''23 ''24'!$C$89:$C$149,'Cons. Financials - ''23 ''24'!U$89:U$149)</f>
        <v>10071.560218343791</v>
      </c>
      <c r="J89" s="256">
        <f>_xlfn.XLOOKUP($C89,'Cons. Financials - ''23 ''24'!$C$89:$C$149,'Cons. Financials - ''23 ''24'!V$89:V$149)</f>
        <v>10905.635234669431</v>
      </c>
      <c r="K89" s="256">
        <f>_xlfn.XLOOKUP($C89,'Cons. Financials - ''23 ''24'!$C$89:$C$149,'Cons. Financials - ''23 ''24'!W$89:W$149)</f>
        <v>12680.159321524134</v>
      </c>
      <c r="L89" s="256">
        <f>_xlfn.XLOOKUP($C89,'Cons. Financials - ''23 ''24'!$C$89:$C$149,'Cons. Financials - ''23 ''24'!X$89:X$149)</f>
        <v>13895.175589926894</v>
      </c>
      <c r="M89" s="256">
        <f>_xlfn.XLOOKUP($C89,'Cons. Financials - ''23 ''24'!$C$89:$C$149,'Cons. Financials - ''23 ''24'!Y$89:Y$149)</f>
        <v>15281.940294904003</v>
      </c>
      <c r="N89" s="256">
        <f>_xlfn.XLOOKUP($C89,'Cons. Financials - ''23 ''24'!$C$89:$C$149,'Cons. Financials - ''23 ''24'!Z$89:Z$149)</f>
        <v>17719.205536318259</v>
      </c>
      <c r="O89" s="256">
        <f>_xlfn.XLOOKUP($C89,'Cons. Financials - ''23 ''24'!$C$89:$C$149,'Cons. Financials - ''23 ''24'!AA$89:AA$149)</f>
        <v>20550.830587909699</v>
      </c>
      <c r="P89" s="205">
        <f ca="1">O89+P179</f>
        <v>23480.094944287528</v>
      </c>
      <c r="Q89" s="76">
        <f t="shared" ref="Q89:AA89" ca="1" si="94">P89+Q179</f>
        <v>24438.573107712084</v>
      </c>
      <c r="R89" s="76">
        <f t="shared" ca="1" si="94"/>
        <v>24757.917462292782</v>
      </c>
      <c r="S89" s="76">
        <f t="shared" ca="1" si="94"/>
        <v>25437.488520591884</v>
      </c>
      <c r="T89" s="76">
        <f t="shared" ca="1" si="94"/>
        <v>24022.068782788559</v>
      </c>
      <c r="U89" s="76">
        <f t="shared" ca="1" si="94"/>
        <v>15113.564786385197</v>
      </c>
      <c r="V89" s="76">
        <f t="shared" ca="1" si="94"/>
        <v>15639.878793257638</v>
      </c>
      <c r="W89" s="76">
        <f t="shared" ca="1" si="94"/>
        <v>17428.522922440025</v>
      </c>
      <c r="X89" s="76">
        <f t="shared" ca="1" si="94"/>
        <v>18537.314981750802</v>
      </c>
      <c r="Y89" s="76">
        <f t="shared" ca="1" si="94"/>
        <v>19653.192146225389</v>
      </c>
      <c r="Z89" s="76">
        <f t="shared" ca="1" si="94"/>
        <v>21559.9301485506</v>
      </c>
      <c r="AA89" s="206">
        <f t="shared" ca="1" si="94"/>
        <v>22866.169398514881</v>
      </c>
    </row>
    <row r="90" spans="2:32" ht="12.75" customHeight="1" x14ac:dyDescent="0.2">
      <c r="C90" s="7" t="s">
        <v>176</v>
      </c>
      <c r="D90" s="115">
        <f>_xlfn.XLOOKUP($C90,'Cons. Financials - ''23 ''24'!$C$89:$C$149,'Cons. Financials - ''23 ''24'!P$89:P$149)</f>
        <v>14066.965486151968</v>
      </c>
      <c r="E90" s="257">
        <f>_xlfn.XLOOKUP($C90,'Cons. Financials - ''23 ''24'!$C$89:$C$149,'Cons. Financials - ''23 ''24'!Q$89:Q$149)</f>
        <v>14208.021425784642</v>
      </c>
      <c r="F90" s="257">
        <f>_xlfn.XLOOKUP($C90,'Cons. Financials - ''23 ''24'!$C$89:$C$149,'Cons. Financials - ''23 ''24'!R$89:R$149)</f>
        <v>14354.796198087843</v>
      </c>
      <c r="G90" s="257">
        <f>_xlfn.XLOOKUP($C90,'Cons. Financials - ''23 ''24'!$C$89:$C$149,'Cons. Financials - ''23 ''24'!S$89:S$149)</f>
        <v>13606.01772923124</v>
      </c>
      <c r="H90" s="257">
        <f>_xlfn.XLOOKUP($C90,'Cons. Financials - ''23 ''24'!$C$89:$C$149,'Cons. Financials - ''23 ''24'!T$89:T$149)</f>
        <v>12999.925165194833</v>
      </c>
      <c r="I90" s="257">
        <f>_xlfn.XLOOKUP($C90,'Cons. Financials - ''23 ''24'!$C$89:$C$149,'Cons. Financials - ''23 ''24'!U$89:U$149)</f>
        <v>12106.235585102535</v>
      </c>
      <c r="J90" s="257">
        <f>_xlfn.XLOOKUP($C90,'Cons. Financials - ''23 ''24'!$C$89:$C$149,'Cons. Financials - ''23 ''24'!V$89:V$149)</f>
        <v>12668.990901749576</v>
      </c>
      <c r="K90" s="257">
        <f>_xlfn.XLOOKUP($C90,'Cons. Financials - ''23 ''24'!$C$89:$C$149,'Cons. Financials - ''23 ''24'!W$89:W$149)</f>
        <v>13123.032645921638</v>
      </c>
      <c r="L90" s="257">
        <f>_xlfn.XLOOKUP($C90,'Cons. Financials - ''23 ''24'!$C$89:$C$149,'Cons. Financials - ''23 ''24'!X$89:X$149)</f>
        <v>13550.214514355906</v>
      </c>
      <c r="M90" s="257">
        <f>_xlfn.XLOOKUP($C90,'Cons. Financials - ''23 ''24'!$C$89:$C$149,'Cons. Financials - ''23 ''24'!Y$89:Y$149)</f>
        <v>13897.822492904277</v>
      </c>
      <c r="N90" s="257">
        <f>_xlfn.XLOOKUP($C90,'Cons. Financials - ''23 ''24'!$C$89:$C$149,'Cons. Financials - ''23 ''24'!Z$89:Z$149)</f>
        <v>13790.177168726146</v>
      </c>
      <c r="O90" s="257">
        <f>_xlfn.XLOOKUP($C90,'Cons. Financials - ''23 ''24'!$C$89:$C$149,'Cons. Financials - ''23 ''24'!AA$89:AA$149)</f>
        <v>13303.136047981026</v>
      </c>
      <c r="P90" s="92">
        <f>P121/365*P122*4</f>
        <v>13614.057970590224</v>
      </c>
      <c r="Q90" s="198">
        <f t="shared" ref="Q90:AA90" si="95">Q121/365*Q122*4</f>
        <v>15010.38006599164</v>
      </c>
      <c r="R90" s="198">
        <f t="shared" si="95"/>
        <v>17130.03716708532</v>
      </c>
      <c r="S90" s="198">
        <f t="shared" si="95"/>
        <v>18162.871225773535</v>
      </c>
      <c r="T90" s="198">
        <f t="shared" si="95"/>
        <v>19883.347026181404</v>
      </c>
      <c r="U90" s="198">
        <f t="shared" si="95"/>
        <v>19909.000556762614</v>
      </c>
      <c r="V90" s="198">
        <f t="shared" si="95"/>
        <v>20539.641299731778</v>
      </c>
      <c r="W90" s="198">
        <f t="shared" si="95"/>
        <v>18581.211917935951</v>
      </c>
      <c r="X90" s="198">
        <f t="shared" si="95"/>
        <v>17419.445416788636</v>
      </c>
      <c r="Y90" s="198">
        <f t="shared" si="95"/>
        <v>16771.068077404292</v>
      </c>
      <c r="Z90" s="198">
        <f t="shared" si="95"/>
        <v>16102.213723644152</v>
      </c>
      <c r="AA90" s="93">
        <f t="shared" si="95"/>
        <v>15089.646295802433</v>
      </c>
    </row>
    <row r="91" spans="2:32" ht="12.75" customHeight="1" x14ac:dyDescent="0.2">
      <c r="C91" s="7" t="s">
        <v>197</v>
      </c>
      <c r="D91" s="115">
        <f>_xlfn.XLOOKUP($C91,'Cons. Financials - ''23 ''24'!$C$89:$C$149,'Cons. Financials - ''23 ''24'!P$89:P$149)</f>
        <v>578.35458454358002</v>
      </c>
      <c r="E91" s="257">
        <f>_xlfn.XLOOKUP($C91,'Cons. Financials - ''23 ''24'!$C$89:$C$149,'Cons. Financials - ''23 ''24'!Q$89:Q$149)</f>
        <v>615.56504947476503</v>
      </c>
      <c r="F91" s="257">
        <f>_xlfn.XLOOKUP($C91,'Cons. Financials - ''23 ''24'!$C$89:$C$149,'Cons. Financials - ''23 ''24'!R$89:R$149)</f>
        <v>709.42224878741922</v>
      </c>
      <c r="G91" s="257">
        <f>_xlfn.XLOOKUP($C91,'Cons. Financials - ''23 ''24'!$C$89:$C$149,'Cons. Financials - ''23 ''24'!S$89:S$149)</f>
        <v>737.27909769907524</v>
      </c>
      <c r="H91" s="257">
        <f>_xlfn.XLOOKUP($C91,'Cons. Financials - ''23 ''24'!$C$89:$C$149,'Cons. Financials - ''23 ''24'!T$89:T$149)</f>
        <v>803.13030988643504</v>
      </c>
      <c r="I91" s="257">
        <f>_xlfn.XLOOKUP($C91,'Cons. Financials - ''23 ''24'!$C$89:$C$149,'Cons. Financials - ''23 ''24'!U$89:U$149)</f>
        <v>811.10527687224192</v>
      </c>
      <c r="J91" s="257">
        <f>_xlfn.XLOOKUP($C91,'Cons. Financials - ''23 ''24'!$C$89:$C$149,'Cons. Financials - ''23 ''24'!V$89:V$149)</f>
        <v>797.51990904517379</v>
      </c>
      <c r="K91" s="257">
        <f>_xlfn.XLOOKUP($C91,'Cons. Financials - ''23 ''24'!$C$89:$C$149,'Cons. Financials - ''23 ''24'!W$89:W$149)</f>
        <v>698.92814024326981</v>
      </c>
      <c r="L91" s="257">
        <f>_xlfn.XLOOKUP($C91,'Cons. Financials - ''23 ''24'!$C$89:$C$149,'Cons. Financials - ''23 ''24'!X$89:X$149)</f>
        <v>640.87107058821016</v>
      </c>
      <c r="M91" s="257">
        <f>_xlfn.XLOOKUP($C91,'Cons. Financials - ''23 ''24'!$C$89:$C$149,'Cons. Financials - ''23 ''24'!Y$89:Y$149)</f>
        <v>594.95146820586388</v>
      </c>
      <c r="N91" s="257">
        <f>_xlfn.XLOOKUP($C91,'Cons. Financials - ''23 ''24'!$C$89:$C$149,'Cons. Financials - ''23 ''24'!Z$89:Z$149)</f>
        <v>572.16176150736351</v>
      </c>
      <c r="O91" s="257">
        <f>_xlfn.XLOOKUP($C91,'Cons. Financials - ''23 ''24'!$C$89:$C$149,'Cons. Financials - ''23 ''24'!AA$89:AA$149)</f>
        <v>537.45080305903184</v>
      </c>
      <c r="P91" s="92">
        <f>P124/365*P125*4</f>
        <v>614.55455155690595</v>
      </c>
      <c r="Q91" s="198">
        <f t="shared" ref="Q91:AA91" si="96">Q124/365*Q125*4</f>
        <v>693.75018699084251</v>
      </c>
      <c r="R91" s="198">
        <f t="shared" si="96"/>
        <v>853.53777834339269</v>
      </c>
      <c r="S91" s="198">
        <f t="shared" si="96"/>
        <v>1013.1722275482783</v>
      </c>
      <c r="T91" s="198">
        <f t="shared" si="96"/>
        <v>1296.5380643404728</v>
      </c>
      <c r="U91" s="198">
        <f t="shared" si="96"/>
        <v>1398.8771933500823</v>
      </c>
      <c r="V91" s="198">
        <f t="shared" si="96"/>
        <v>1361.9105751952654</v>
      </c>
      <c r="W91" s="198">
        <f t="shared" si="96"/>
        <v>1038.0174046318234</v>
      </c>
      <c r="X91" s="198">
        <f t="shared" si="96"/>
        <v>851.78635926861989</v>
      </c>
      <c r="Y91" s="198">
        <f t="shared" si="96"/>
        <v>724.01702999286101</v>
      </c>
      <c r="Z91" s="198">
        <f t="shared" si="96"/>
        <v>674.25675015209072</v>
      </c>
      <c r="AA91" s="93">
        <f t="shared" si="96"/>
        <v>615.11238362630797</v>
      </c>
    </row>
    <row r="92" spans="2:32" ht="12.75" customHeight="1" x14ac:dyDescent="0.2">
      <c r="C92" s="7" t="s">
        <v>178</v>
      </c>
      <c r="D92" s="115">
        <f>_xlfn.XLOOKUP($C92,'Cons. Financials - ''23 ''24'!$C$89:$C$149,'Cons. Financials - ''23 ''24'!P$89:P$149)</f>
        <v>88.333333333332234</v>
      </c>
      <c r="E92" s="257">
        <f>_xlfn.XLOOKUP($C92,'Cons. Financials - ''23 ''24'!$C$89:$C$149,'Cons. Financials - ''23 ''24'!Q$89:Q$149)</f>
        <v>173.60416666666538</v>
      </c>
      <c r="F92" s="257">
        <f>_xlfn.XLOOKUP($C92,'Cons. Financials - ''23 ''24'!$C$89:$C$149,'Cons. Financials - ''23 ''24'!R$89:R$149)</f>
        <v>259.22916666666526</v>
      </c>
      <c r="G92" s="257">
        <f>_xlfn.XLOOKUP($C92,'Cons. Financials - ''23 ''24'!$C$89:$C$149,'Cons. Financials - ''23 ''24'!S$89:S$149)</f>
        <v>340.85416666666515</v>
      </c>
      <c r="H92" s="257">
        <f>_xlfn.XLOOKUP($C92,'Cons. Financials - ''23 ''24'!$C$89:$C$149,'Cons. Financials - ''23 ''24'!T$89:T$149)</f>
        <v>420.47916666666504</v>
      </c>
      <c r="I92" s="257">
        <f>_xlfn.XLOOKUP($C92,'Cons. Financials - ''23 ''24'!$C$89:$C$149,'Cons. Financials - ''23 ''24'!U$89:U$149)</f>
        <v>504.10416666666504</v>
      </c>
      <c r="J92" s="257">
        <f>_xlfn.XLOOKUP($C92,'Cons. Financials - ''23 ''24'!$C$89:$C$149,'Cons. Financials - ''23 ''24'!V$89:V$149)</f>
        <v>561.47916666666504</v>
      </c>
      <c r="K92" s="257">
        <f>_xlfn.XLOOKUP($C92,'Cons. Financials - ''23 ''24'!$C$89:$C$149,'Cons. Financials - ''23 ''24'!W$89:W$149)</f>
        <v>641.35416666666504</v>
      </c>
      <c r="L92" s="257">
        <f>_xlfn.XLOOKUP($C92,'Cons. Financials - ''23 ''24'!$C$89:$C$149,'Cons. Financials - ''23 ''24'!X$89:X$149)</f>
        <v>711.47916666666515</v>
      </c>
      <c r="M92" s="257">
        <f>_xlfn.XLOOKUP($C92,'Cons. Financials - ''23 ''24'!$C$89:$C$149,'Cons. Financials - ''23 ''24'!Y$89:Y$149)</f>
        <v>790.27083333333189</v>
      </c>
      <c r="N92" s="257">
        <f>_xlfn.XLOOKUP($C92,'Cons. Financials - ''23 ''24'!$C$89:$C$149,'Cons. Financials - ''23 ''24'!Z$89:Z$149)</f>
        <v>861.49999999999864</v>
      </c>
      <c r="O92" s="257">
        <f>_xlfn.XLOOKUP($C92,'Cons. Financials - ''23 ''24'!$C$89:$C$149,'Cons. Financials - ''23 ''24'!AA$89:AA$149)</f>
        <v>3.7472222222211258</v>
      </c>
      <c r="P92" s="115">
        <f>O92+('Corporate Monthly - ''25'!I294-'Corporate Monthly - ''25'!I117)/1000</f>
        <v>101.41388888888778</v>
      </c>
      <c r="Q92" s="257">
        <f>P92+('Corporate Monthly - ''25'!J294-'Corporate Monthly - ''25'!J117)/1000</f>
        <v>210.16388888888775</v>
      </c>
      <c r="R92" s="257">
        <f>Q92+('Corporate Monthly - ''25'!K294-'Corporate Monthly - ''25'!K117)/1000</f>
        <v>318.91388888888775</v>
      </c>
      <c r="S92" s="257">
        <f>R92+('Corporate Monthly - ''25'!L294-'Corporate Monthly - ''25'!L117)/1000</f>
        <v>427.66388888888775</v>
      </c>
      <c r="T92" s="257">
        <f>S92+('Corporate Monthly - ''25'!M294-'Corporate Monthly - ''25'!M117)/1000</f>
        <v>536.41388888888775</v>
      </c>
      <c r="U92" s="257">
        <f>T92+('Corporate Monthly - ''25'!N294-'Corporate Monthly - ''25'!N117)/1000</f>
        <v>645.16388888888775</v>
      </c>
      <c r="V92" s="257">
        <f>U92+('Corporate Monthly - ''25'!O294-'Corporate Monthly - ''25'!O117)/1000</f>
        <v>753.91388888888775</v>
      </c>
      <c r="W92" s="257">
        <f>V92+('Corporate Monthly - ''25'!P294-'Corporate Monthly - ''25'!P117)/1000</f>
        <v>862.66388888888775</v>
      </c>
      <c r="X92" s="257">
        <f>W92+('Corporate Monthly - ''25'!Q294-'Corporate Monthly - ''25'!Q117)/1000</f>
        <v>971.41388888888775</v>
      </c>
      <c r="Y92" s="257">
        <f>X92+('Corporate Monthly - ''25'!R294-'Corporate Monthly - ''25'!R117)/1000</f>
        <v>1080.1638888888876</v>
      </c>
      <c r="Z92" s="257">
        <f>Y92+('Corporate Monthly - ''25'!S294-'Corporate Monthly - ''25'!S117)/1000</f>
        <v>1188.9138888888876</v>
      </c>
      <c r="AA92" s="328">
        <f>Z92+('Corporate Monthly - ''25'!T294-'Corporate Monthly - ''25'!T117)/1000</f>
        <v>3.7472222222208984</v>
      </c>
    </row>
    <row r="93" spans="2:32" ht="12.75" customHeight="1" x14ac:dyDescent="0.2">
      <c r="C93" s="7" t="s">
        <v>177</v>
      </c>
      <c r="D93" s="115">
        <f>_xlfn.XLOOKUP($C93,'Cons. Financials - ''23 ''24'!$C$89:$C$149,'Cons. Financials - ''23 ''24'!P$89:P$149)</f>
        <v>7426.8518789272548</v>
      </c>
      <c r="E93" s="257">
        <f>_xlfn.XLOOKUP($C93,'Cons. Financials - ''23 ''24'!$C$89:$C$149,'Cons. Financials - ''23 ''24'!Q$89:Q$149)</f>
        <v>7744.801863502842</v>
      </c>
      <c r="F93" s="257">
        <f>_xlfn.XLOOKUP($C93,'Cons. Financials - ''23 ''24'!$C$89:$C$149,'Cons. Financials - ''23 ''24'!R$89:R$149)</f>
        <v>8229.5566118097795</v>
      </c>
      <c r="G93" s="257">
        <f>_xlfn.XLOOKUP($C93,'Cons. Financials - ''23 ''24'!$C$89:$C$149,'Cons. Financials - ''23 ''24'!S$89:S$149)</f>
        <v>7501.3406829767073</v>
      </c>
      <c r="H93" s="257">
        <f>_xlfn.XLOOKUP($C93,'Cons. Financials - ''23 ''24'!$C$89:$C$149,'Cons. Financials - ''23 ''24'!T$89:T$149)</f>
        <v>7447.3253492328986</v>
      </c>
      <c r="I93" s="257">
        <f>_xlfn.XLOOKUP($C93,'Cons. Financials - ''23 ''24'!$C$89:$C$149,'Cons. Financials - ''23 ''24'!U$89:U$149)</f>
        <v>6830.6613127915116</v>
      </c>
      <c r="J93" s="257">
        <f>_xlfn.XLOOKUP($C93,'Cons. Financials - ''23 ''24'!$C$89:$C$149,'Cons. Financials - ''23 ''24'!V$89:V$149)</f>
        <v>7067.8712588081562</v>
      </c>
      <c r="K93" s="257">
        <f>_xlfn.XLOOKUP($C93,'Cons. Financials - ''23 ''24'!$C$89:$C$149,'Cons. Financials - ''23 ''24'!W$89:W$149)</f>
        <v>7611.8645261947322</v>
      </c>
      <c r="L93" s="257">
        <f>_xlfn.XLOOKUP($C93,'Cons. Financials - ''23 ''24'!$C$89:$C$149,'Cons. Financials - ''23 ''24'!X$89:X$149)</f>
        <v>8087.6775146388491</v>
      </c>
      <c r="M93" s="257">
        <f>_xlfn.XLOOKUP($C93,'Cons. Financials - ''23 ''24'!$C$89:$C$149,'Cons. Financials - ''23 ''24'!Y$89:Y$149)</f>
        <v>8760.3802461636787</v>
      </c>
      <c r="N93" s="257">
        <f>_xlfn.XLOOKUP($C93,'Cons. Financials - ''23 ''24'!$C$89:$C$149,'Cons. Financials - ''23 ''24'!Z$89:Z$149)</f>
        <v>8342.2974555214569</v>
      </c>
      <c r="O93" s="257">
        <f>_xlfn.XLOOKUP($C93,'Cons. Financials - ''23 ''24'!$C$89:$C$149,'Cons. Financials - ''23 ''24'!AA$89:AA$149)</f>
        <v>8477.3958180610844</v>
      </c>
      <c r="P93" s="92">
        <f>P130*P122</f>
        <v>7187.7329988645042</v>
      </c>
      <c r="Q93" s="198">
        <f t="shared" ref="Q93:AA93" si="97">Q130*Q122</f>
        <v>8182.1680882324472</v>
      </c>
      <c r="R93" s="198">
        <f t="shared" si="97"/>
        <v>9820.5929700146353</v>
      </c>
      <c r="S93" s="198">
        <f t="shared" si="97"/>
        <v>10013.64892777191</v>
      </c>
      <c r="T93" s="198">
        <f t="shared" si="97"/>
        <v>11390.66205797317</v>
      </c>
      <c r="U93" s="198">
        <f t="shared" si="97"/>
        <v>11233.189617321597</v>
      </c>
      <c r="V93" s="198">
        <f t="shared" si="97"/>
        <v>11458.808482414741</v>
      </c>
      <c r="W93" s="198">
        <f t="shared" si="97"/>
        <v>10777.818791436086</v>
      </c>
      <c r="X93" s="198">
        <f t="shared" si="97"/>
        <v>10397.094220580824</v>
      </c>
      <c r="Y93" s="198">
        <f t="shared" si="97"/>
        <v>10571.507411853281</v>
      </c>
      <c r="Z93" s="198">
        <f t="shared" si="97"/>
        <v>9740.9521960063303</v>
      </c>
      <c r="AA93" s="93">
        <f t="shared" si="97"/>
        <v>9615.8457631853362</v>
      </c>
    </row>
    <row r="94" spans="2:32" ht="12.75" customHeight="1" x14ac:dyDescent="0.2">
      <c r="C94" s="8" t="s">
        <v>179</v>
      </c>
      <c r="D94" s="94">
        <f>SUM(D89:D93)</f>
        <v>35334.114876581079</v>
      </c>
      <c r="E94" s="98">
        <f t="shared" ref="E94:AA94" si="98">SUM(E89:E93)</f>
        <v>36527.004999854347</v>
      </c>
      <c r="F94" s="98">
        <f t="shared" si="98"/>
        <v>37041.752436160779</v>
      </c>
      <c r="G94" s="98">
        <f t="shared" si="98"/>
        <v>36174.561980195038</v>
      </c>
      <c r="H94" s="98">
        <f t="shared" si="98"/>
        <v>34676.49794877386</v>
      </c>
      <c r="I94" s="98">
        <f t="shared" si="98"/>
        <v>30323.666559776742</v>
      </c>
      <c r="J94" s="98">
        <f t="shared" si="98"/>
        <v>32001.496470939004</v>
      </c>
      <c r="K94" s="98">
        <f t="shared" si="98"/>
        <v>34755.338800550438</v>
      </c>
      <c r="L94" s="98">
        <f t="shared" si="98"/>
        <v>36885.417856176522</v>
      </c>
      <c r="M94" s="98">
        <f t="shared" si="98"/>
        <v>39325.365335511153</v>
      </c>
      <c r="N94" s="98">
        <f t="shared" si="98"/>
        <v>41285.341922073218</v>
      </c>
      <c r="O94" s="98">
        <f t="shared" si="98"/>
        <v>42872.560479233063</v>
      </c>
      <c r="P94" s="94">
        <f t="shared" ca="1" si="98"/>
        <v>44997.854354188043</v>
      </c>
      <c r="Q94" s="98">
        <f t="shared" ca="1" si="98"/>
        <v>48535.035337815905</v>
      </c>
      <c r="R94" s="98">
        <f t="shared" ca="1" si="98"/>
        <v>52880.999266625018</v>
      </c>
      <c r="S94" s="98">
        <f t="shared" ca="1" si="98"/>
        <v>55054.844790574483</v>
      </c>
      <c r="T94" s="98">
        <f t="shared" ca="1" si="98"/>
        <v>57129.029820172487</v>
      </c>
      <c r="U94" s="98">
        <f t="shared" ca="1" si="98"/>
        <v>48299.796042708374</v>
      </c>
      <c r="V94" s="98">
        <f t="shared" ca="1" si="98"/>
        <v>49754.153039488316</v>
      </c>
      <c r="W94" s="98">
        <f t="shared" ca="1" si="98"/>
        <v>48688.23492533277</v>
      </c>
      <c r="X94" s="98">
        <f t="shared" ca="1" si="98"/>
        <v>48177.054867277766</v>
      </c>
      <c r="Y94" s="98">
        <f t="shared" ca="1" si="98"/>
        <v>48799.948554364702</v>
      </c>
      <c r="Z94" s="98">
        <f t="shared" ca="1" si="98"/>
        <v>49266.266707242052</v>
      </c>
      <c r="AA94" s="95">
        <f t="shared" ca="1" si="98"/>
        <v>48190.521063351182</v>
      </c>
    </row>
    <row r="95" spans="2:32" ht="3" customHeight="1" x14ac:dyDescent="0.2">
      <c r="D95" s="11"/>
      <c r="P95" s="11"/>
      <c r="AA95" s="15"/>
    </row>
    <row r="96" spans="2:32" ht="12.75" customHeight="1" x14ac:dyDescent="0.2">
      <c r="C96" s="7" t="s">
        <v>180</v>
      </c>
      <c r="D96" s="303">
        <f>_xlfn.XLOOKUP($C96,'Cons. Financials - ''23 ''24'!$C$89:$C$149,'Cons. Financials - ''23 ''24'!P$89:P$149)</f>
        <v>24134.565467636061</v>
      </c>
      <c r="E96" s="256">
        <f>_xlfn.XLOOKUP($C96,'Cons. Financials - ''23 ''24'!$C$89:$C$149,'Cons. Financials - ''23 ''24'!Q$89:Q$149)</f>
        <v>24175.731423185989</v>
      </c>
      <c r="F96" s="256">
        <f>_xlfn.XLOOKUP($C96,'Cons. Financials - ''23 ''24'!$C$89:$C$149,'Cons. Financials - ''23 ''24'!R$89:R$149)</f>
        <v>24488.277636144459</v>
      </c>
      <c r="G96" s="256">
        <f>_xlfn.XLOOKUP($C96,'Cons. Financials - ''23 ''24'!$C$89:$C$149,'Cons. Financials - ''23 ''24'!S$89:S$149)</f>
        <v>24453.675671481658</v>
      </c>
      <c r="H96" s="256">
        <f>_xlfn.XLOOKUP($C96,'Cons. Financials - ''23 ''24'!$C$89:$C$149,'Cons. Financials - ''23 ''24'!T$89:T$149)</f>
        <v>24487.500859298591</v>
      </c>
      <c r="I96" s="256">
        <f>_xlfn.XLOOKUP($C96,'Cons. Financials - ''23 ''24'!$C$89:$C$149,'Cons. Financials - ''23 ''24'!U$89:U$149)</f>
        <v>24569.701041641852</v>
      </c>
      <c r="J96" s="256">
        <f>_xlfn.XLOOKUP($C96,'Cons. Financials - ''23 ''24'!$C$89:$C$149,'Cons. Financials - ''23 ''24'!V$89:V$149)</f>
        <v>24473.57612823501</v>
      </c>
      <c r="K96" s="256">
        <f>_xlfn.XLOOKUP($C96,'Cons. Financials - ''23 ''24'!$C$89:$C$149,'Cons. Financials - ''23 ''24'!W$89:W$149)</f>
        <v>24566.547027535402</v>
      </c>
      <c r="L96" s="256">
        <f>_xlfn.XLOOKUP($C96,'Cons. Financials - ''23 ''24'!$C$89:$C$149,'Cons. Financials - ''23 ''24'!X$89:X$149)</f>
        <v>24597.501694312781</v>
      </c>
      <c r="M96" s="256">
        <f>_xlfn.XLOOKUP($C96,'Cons. Financials - ''23 ''24'!$C$89:$C$149,'Cons. Financials - ''23 ''24'!Y$89:Y$149)</f>
        <v>24588.053140960055</v>
      </c>
      <c r="N96" s="256">
        <f>_xlfn.XLOOKUP($C96,'Cons. Financials - ''23 ''24'!$C$89:$C$149,'Cons. Financials - ''23 ''24'!Z$89:Z$149)</f>
        <v>24824.186355874888</v>
      </c>
      <c r="O96" s="256">
        <f>_xlfn.XLOOKUP($C96,'Cons. Financials - ''23 ''24'!$C$89:$C$149,'Cons. Financials - ''23 ''24'!AA$89:AA$149)</f>
        <v>24819.970348819545</v>
      </c>
      <c r="P96" s="205">
        <f>O96-P171+P56</f>
        <v>25032.585690399541</v>
      </c>
      <c r="Q96" s="76">
        <f t="shared" ref="Q96:AA96" si="99">P96-Q171+Q56</f>
        <v>25241.034365312869</v>
      </c>
      <c r="R96" s="76">
        <f t="shared" si="99"/>
        <v>25445.31637355953</v>
      </c>
      <c r="S96" s="76">
        <f t="shared" si="99"/>
        <v>25645.431715139526</v>
      </c>
      <c r="T96" s="76">
        <f t="shared" si="99"/>
        <v>25841.380390052855</v>
      </c>
      <c r="U96" s="76">
        <f t="shared" si="99"/>
        <v>26033.162398299515</v>
      </c>
      <c r="V96" s="76">
        <f t="shared" si="99"/>
        <v>26716.611073212844</v>
      </c>
      <c r="W96" s="76">
        <f t="shared" si="99"/>
        <v>27391.72641479284</v>
      </c>
      <c r="X96" s="76">
        <f t="shared" si="99"/>
        <v>28058.5084230395</v>
      </c>
      <c r="Y96" s="76">
        <f t="shared" si="99"/>
        <v>28716.957097952829</v>
      </c>
      <c r="Z96" s="76">
        <f t="shared" si="99"/>
        <v>29367.072439532825</v>
      </c>
      <c r="AA96" s="206">
        <f t="shared" si="99"/>
        <v>30008.854447779486</v>
      </c>
    </row>
    <row r="97" spans="3:28" ht="12.75" customHeight="1" x14ac:dyDescent="0.2">
      <c r="C97" s="7" t="s">
        <v>181</v>
      </c>
      <c r="D97" s="115">
        <f>_xlfn.XLOOKUP($C97,'Cons. Financials - ''23 ''24'!$C$89:$C$149,'Cons. Financials - ''23 ''24'!P$89:P$149)</f>
        <v>23842</v>
      </c>
      <c r="E97" s="257">
        <f>_xlfn.XLOOKUP($C97,'Cons. Financials - ''23 ''24'!$C$89:$C$149,'Cons. Financials - ''23 ''24'!Q$89:Q$149)</f>
        <v>23842</v>
      </c>
      <c r="F97" s="257">
        <f>_xlfn.XLOOKUP($C97,'Cons. Financials - ''23 ''24'!$C$89:$C$149,'Cons. Financials - ''23 ''24'!R$89:R$149)</f>
        <v>23842</v>
      </c>
      <c r="G97" s="257">
        <f>_xlfn.XLOOKUP($C97,'Cons. Financials - ''23 ''24'!$C$89:$C$149,'Cons. Financials - ''23 ''24'!S$89:S$149)</f>
        <v>23842</v>
      </c>
      <c r="H97" s="257">
        <f>_xlfn.XLOOKUP($C97,'Cons. Financials - ''23 ''24'!$C$89:$C$149,'Cons. Financials - ''23 ''24'!T$89:T$149)</f>
        <v>23842</v>
      </c>
      <c r="I97" s="257">
        <f>_xlfn.XLOOKUP($C97,'Cons. Financials - ''23 ''24'!$C$89:$C$149,'Cons. Financials - ''23 ''24'!U$89:U$149)</f>
        <v>23842</v>
      </c>
      <c r="J97" s="257">
        <f>_xlfn.XLOOKUP($C97,'Cons. Financials - ''23 ''24'!$C$89:$C$149,'Cons. Financials - ''23 ''24'!V$89:V$149)</f>
        <v>23842</v>
      </c>
      <c r="K97" s="257">
        <f>_xlfn.XLOOKUP($C97,'Cons. Financials - ''23 ''24'!$C$89:$C$149,'Cons. Financials - ''23 ''24'!W$89:W$149)</f>
        <v>23842</v>
      </c>
      <c r="L97" s="257">
        <f>_xlfn.XLOOKUP($C97,'Cons. Financials - ''23 ''24'!$C$89:$C$149,'Cons. Financials - ''23 ''24'!X$89:X$149)</f>
        <v>23842</v>
      </c>
      <c r="M97" s="257">
        <f>_xlfn.XLOOKUP($C97,'Cons. Financials - ''23 ''24'!$C$89:$C$149,'Cons. Financials - ''23 ''24'!Y$89:Y$149)</f>
        <v>23842</v>
      </c>
      <c r="N97" s="257">
        <f>_xlfn.XLOOKUP($C97,'Cons. Financials - ''23 ''24'!$C$89:$C$149,'Cons. Financials - ''23 ''24'!Z$89:Z$149)</f>
        <v>23842</v>
      </c>
      <c r="O97" s="257">
        <f>_xlfn.XLOOKUP($C97,'Cons. Financials - ''23 ''24'!$C$89:$C$149,'Cons. Financials - ''23 ''24'!AA$89:AA$149)</f>
        <v>23842</v>
      </c>
      <c r="P97" s="92">
        <f>O97</f>
        <v>23842</v>
      </c>
      <c r="Q97" s="198">
        <f t="shared" ref="Q97:AA97" si="100">P97</f>
        <v>23842</v>
      </c>
      <c r="R97" s="198">
        <f t="shared" si="100"/>
        <v>23842</v>
      </c>
      <c r="S97" s="198">
        <f t="shared" si="100"/>
        <v>23842</v>
      </c>
      <c r="T97" s="198">
        <f t="shared" si="100"/>
        <v>23842</v>
      </c>
      <c r="U97" s="198">
        <f t="shared" si="100"/>
        <v>23842</v>
      </c>
      <c r="V97" s="198">
        <f t="shared" si="100"/>
        <v>23842</v>
      </c>
      <c r="W97" s="198">
        <f t="shared" si="100"/>
        <v>23842</v>
      </c>
      <c r="X97" s="198">
        <f t="shared" si="100"/>
        <v>23842</v>
      </c>
      <c r="Y97" s="198">
        <f t="shared" si="100"/>
        <v>23842</v>
      </c>
      <c r="Z97" s="198">
        <f t="shared" si="100"/>
        <v>23842</v>
      </c>
      <c r="AA97" s="93">
        <f t="shared" si="100"/>
        <v>23842</v>
      </c>
    </row>
    <row r="98" spans="3:28" ht="12.75" customHeight="1" x14ac:dyDescent="0.2">
      <c r="C98" s="7" t="s">
        <v>182</v>
      </c>
      <c r="D98" s="115">
        <f>_xlfn.XLOOKUP($C98,'Cons. Financials - ''23 ''24'!$C$89:$C$149,'Cons. Financials - ''23 ''24'!P$89:P$149)</f>
        <v>183356.81437811995</v>
      </c>
      <c r="E98" s="257">
        <f>_xlfn.XLOOKUP($C98,'Cons. Financials - ''23 ''24'!$C$89:$C$149,'Cons. Financials - ''23 ''24'!Q$89:Q$149)</f>
        <v>183344.68237811993</v>
      </c>
      <c r="F98" s="257">
        <f>_xlfn.XLOOKUP($C98,'Cons. Financials - ''23 ''24'!$C$89:$C$149,'Cons. Financials - ''23 ''24'!R$89:R$149)</f>
        <v>183332.55037811992</v>
      </c>
      <c r="G98" s="257">
        <f>_xlfn.XLOOKUP($C98,'Cons. Financials - ''23 ''24'!$C$89:$C$149,'Cons. Financials - ''23 ''24'!S$89:S$149)</f>
        <v>183320.41837811991</v>
      </c>
      <c r="H98" s="257">
        <f>_xlfn.XLOOKUP($C98,'Cons. Financials - ''23 ''24'!$C$89:$C$149,'Cons. Financials - ''23 ''24'!T$89:T$149)</f>
        <v>183308.2863781199</v>
      </c>
      <c r="I98" s="257">
        <f>_xlfn.XLOOKUP($C98,'Cons. Financials - ''23 ''24'!$C$89:$C$149,'Cons. Financials - ''23 ''24'!U$89:U$149)</f>
        <v>183296.15437811989</v>
      </c>
      <c r="J98" s="257">
        <f>_xlfn.XLOOKUP($C98,'Cons. Financials - ''23 ''24'!$C$89:$C$149,'Cons. Financials - ''23 ''24'!V$89:V$149)</f>
        <v>183284.02237811987</v>
      </c>
      <c r="K98" s="257">
        <f>_xlfn.XLOOKUP($C98,'Cons. Financials - ''23 ''24'!$C$89:$C$149,'Cons. Financials - ''23 ''24'!W$89:W$149)</f>
        <v>183271.89037811986</v>
      </c>
      <c r="L98" s="257">
        <f>_xlfn.XLOOKUP($C98,'Cons. Financials - ''23 ''24'!$C$89:$C$149,'Cons. Financials - ''23 ''24'!X$89:X$149)</f>
        <v>183259.75837811985</v>
      </c>
      <c r="M98" s="257">
        <f>_xlfn.XLOOKUP($C98,'Cons. Financials - ''23 ''24'!$C$89:$C$149,'Cons. Financials - ''23 ''24'!Y$89:Y$149)</f>
        <v>183247.62637811984</v>
      </c>
      <c r="N98" s="257">
        <f>_xlfn.XLOOKUP($C98,'Cons. Financials - ''23 ''24'!$C$89:$C$149,'Cons. Financials - ''23 ''24'!Z$89:Z$149)</f>
        <v>183235.49437811982</v>
      </c>
      <c r="O98" s="257">
        <f>_xlfn.XLOOKUP($C98,'Cons. Financials - ''23 ''24'!$C$89:$C$149,'Cons. Financials - ''23 ''24'!AA$89:AA$149)</f>
        <v>183223.36237811981</v>
      </c>
      <c r="P98" s="92">
        <f>O98+P59</f>
        <v>183211.2303781198</v>
      </c>
      <c r="Q98" s="198">
        <f t="shared" ref="Q98:AA98" si="101">P98+Q59</f>
        <v>183199.09837811979</v>
      </c>
      <c r="R98" s="198">
        <f t="shared" si="101"/>
        <v>183186.96637811977</v>
      </c>
      <c r="S98" s="198">
        <f t="shared" si="101"/>
        <v>183174.83437811976</v>
      </c>
      <c r="T98" s="198">
        <f t="shared" si="101"/>
        <v>183162.70237811975</v>
      </c>
      <c r="U98" s="198">
        <f t="shared" si="101"/>
        <v>183150.57037811974</v>
      </c>
      <c r="V98" s="198">
        <f t="shared" si="101"/>
        <v>183138.43837811972</v>
      </c>
      <c r="W98" s="198">
        <f t="shared" si="101"/>
        <v>183126.30637811971</v>
      </c>
      <c r="X98" s="198">
        <f t="shared" si="101"/>
        <v>183114.1743781197</v>
      </c>
      <c r="Y98" s="198">
        <f t="shared" si="101"/>
        <v>183102.04237811969</v>
      </c>
      <c r="Z98" s="198">
        <f t="shared" si="101"/>
        <v>183089.91037811968</v>
      </c>
      <c r="AA98" s="93">
        <f t="shared" si="101"/>
        <v>183077.77837811966</v>
      </c>
    </row>
    <row r="99" spans="3:28" ht="12.75" customHeight="1" x14ac:dyDescent="0.2">
      <c r="C99" s="7" t="s">
        <v>183</v>
      </c>
      <c r="D99" s="115">
        <f>_xlfn.XLOOKUP($C99,'Cons. Financials - ''23 ''24'!$C$89:$C$149,'Cons. Financials - ''23 ''24'!P$89:P$149)</f>
        <v>2305.0669894865264</v>
      </c>
      <c r="E99" s="257">
        <f>_xlfn.XLOOKUP($C99,'Cons. Financials - ''23 ''24'!$C$89:$C$149,'Cons. Financials - ''23 ''24'!Q$89:Q$149)</f>
        <v>2302.9745903414891</v>
      </c>
      <c r="F99" s="257">
        <f>_xlfn.XLOOKUP($C99,'Cons. Financials - ''23 ''24'!$C$89:$C$149,'Cons. Financials - ''23 ''24'!R$89:R$149)</f>
        <v>2298.3278647420789</v>
      </c>
      <c r="G99" s="257">
        <f>_xlfn.XLOOKUP($C99,'Cons. Financials - ''23 ''24'!$C$89:$C$149,'Cons. Financials - ''23 ''24'!S$89:S$149)</f>
        <v>2295.7772467227305</v>
      </c>
      <c r="H99" s="257">
        <f>_xlfn.XLOOKUP($C99,'Cons. Financials - ''23 ''24'!$C$89:$C$149,'Cons. Financials - ''23 ''24'!T$89:T$149)</f>
        <v>2296.9493460218064</v>
      </c>
      <c r="I99" s="257">
        <f>_xlfn.XLOOKUP($C99,'Cons. Financials - ''23 ''24'!$C$89:$C$149,'Cons. Financials - ''23 ''24'!U$89:U$149)</f>
        <v>2294.3927995594368</v>
      </c>
      <c r="J99" s="257">
        <f>_xlfn.XLOOKUP($C99,'Cons. Financials - ''23 ''24'!$C$89:$C$149,'Cons. Financials - ''23 ''24'!V$89:V$149)</f>
        <v>2297.7077230389623</v>
      </c>
      <c r="K99" s="257">
        <f>_xlfn.XLOOKUP($C99,'Cons. Financials - ''23 ''24'!$C$89:$C$149,'Cons. Financials - ''23 ''24'!W$89:W$149)</f>
        <v>2292.7593904345786</v>
      </c>
      <c r="L99" s="257">
        <f>_xlfn.XLOOKUP($C99,'Cons. Financials - ''23 ''24'!$C$89:$C$149,'Cons. Financials - ''23 ''24'!X$89:X$149)</f>
        <v>2289.2942860875537</v>
      </c>
      <c r="M99" s="257">
        <f>_xlfn.XLOOKUP($C99,'Cons. Financials - ''23 ''24'!$C$89:$C$149,'Cons. Financials - ''23 ''24'!Y$89:Y$149)</f>
        <v>2286.3962989768511</v>
      </c>
      <c r="N99" s="257">
        <f>_xlfn.XLOOKUP($C99,'Cons. Financials - ''23 ''24'!$C$89:$C$149,'Cons. Financials - ''23 ''24'!Z$89:Z$149)</f>
        <v>2288.4066067370372</v>
      </c>
      <c r="O99" s="257">
        <f>_xlfn.XLOOKUP($C99,'Cons. Financials - ''23 ''24'!$C$89:$C$149,'Cons. Financials - ''23 ''24'!AA$89:AA$149)</f>
        <v>2287.6534569560195</v>
      </c>
      <c r="P99" s="92">
        <f>O99</f>
        <v>2287.6534569560195</v>
      </c>
      <c r="Q99" s="198">
        <f t="shared" ref="Q99:AA99" si="102">P99</f>
        <v>2287.6534569560195</v>
      </c>
      <c r="R99" s="198">
        <f t="shared" si="102"/>
        <v>2287.6534569560195</v>
      </c>
      <c r="S99" s="198">
        <f t="shared" si="102"/>
        <v>2287.6534569560195</v>
      </c>
      <c r="T99" s="198">
        <f t="shared" si="102"/>
        <v>2287.6534569560195</v>
      </c>
      <c r="U99" s="198">
        <f t="shared" si="102"/>
        <v>2287.6534569560195</v>
      </c>
      <c r="V99" s="198">
        <f t="shared" si="102"/>
        <v>2287.6534569560195</v>
      </c>
      <c r="W99" s="198">
        <f t="shared" si="102"/>
        <v>2287.6534569560195</v>
      </c>
      <c r="X99" s="198">
        <f t="shared" si="102"/>
        <v>2287.6534569560195</v>
      </c>
      <c r="Y99" s="198">
        <f t="shared" si="102"/>
        <v>2287.6534569560195</v>
      </c>
      <c r="Z99" s="198">
        <f t="shared" si="102"/>
        <v>2287.6534569560195</v>
      </c>
      <c r="AA99" s="93">
        <f t="shared" si="102"/>
        <v>2287.6534569560195</v>
      </c>
    </row>
    <row r="100" spans="3:28" ht="12.75" customHeight="1" x14ac:dyDescent="0.2">
      <c r="C100" s="216" t="s">
        <v>184</v>
      </c>
      <c r="D100" s="214">
        <f>SUM(D94,D96:D99)</f>
        <v>268972.56171182363</v>
      </c>
      <c r="E100" s="214">
        <f t="shared" ref="E100:AA100" si="103">SUM(E94,E96:E99)</f>
        <v>270192.3933915018</v>
      </c>
      <c r="F100" s="214">
        <f t="shared" si="103"/>
        <v>271002.90831516724</v>
      </c>
      <c r="G100" s="214">
        <f t="shared" si="103"/>
        <v>270086.4332765193</v>
      </c>
      <c r="H100" s="214">
        <f t="shared" si="103"/>
        <v>268611.23453221418</v>
      </c>
      <c r="I100" s="214">
        <f t="shared" si="103"/>
        <v>264325.91477909795</v>
      </c>
      <c r="J100" s="214">
        <f t="shared" si="103"/>
        <v>265898.80270033283</v>
      </c>
      <c r="K100" s="214">
        <f t="shared" si="103"/>
        <v>268728.53559664031</v>
      </c>
      <c r="L100" s="214">
        <f t="shared" si="103"/>
        <v>270873.9722146967</v>
      </c>
      <c r="M100" s="214">
        <f t="shared" si="103"/>
        <v>273289.44115356787</v>
      </c>
      <c r="N100" s="214">
        <f t="shared" si="103"/>
        <v>275475.42926280497</v>
      </c>
      <c r="O100" s="214">
        <f t="shared" si="103"/>
        <v>277045.54666312842</v>
      </c>
      <c r="P100" s="215">
        <f t="shared" ca="1" si="103"/>
        <v>279371.32387966343</v>
      </c>
      <c r="Q100" s="214">
        <f t="shared" ca="1" si="103"/>
        <v>283104.82153820456</v>
      </c>
      <c r="R100" s="214">
        <f t="shared" ca="1" si="103"/>
        <v>287642.93547526037</v>
      </c>
      <c r="S100" s="214">
        <f t="shared" ca="1" si="103"/>
        <v>290004.76434078981</v>
      </c>
      <c r="T100" s="214">
        <f t="shared" ca="1" si="103"/>
        <v>292262.7660453011</v>
      </c>
      <c r="U100" s="214">
        <f t="shared" ca="1" si="103"/>
        <v>283613.18227608362</v>
      </c>
      <c r="V100" s="214">
        <f t="shared" ca="1" si="103"/>
        <v>285738.85594777693</v>
      </c>
      <c r="W100" s="214">
        <f t="shared" ca="1" si="103"/>
        <v>285335.92117520137</v>
      </c>
      <c r="X100" s="214">
        <f t="shared" ca="1" si="103"/>
        <v>285479.39112539298</v>
      </c>
      <c r="Y100" s="214">
        <f t="shared" ca="1" si="103"/>
        <v>286748.60148739326</v>
      </c>
      <c r="Z100" s="214">
        <f t="shared" ca="1" si="103"/>
        <v>287852.90298185055</v>
      </c>
      <c r="AA100" s="217">
        <f t="shared" ca="1" si="103"/>
        <v>287406.80734620639</v>
      </c>
    </row>
    <row r="101" spans="3:28" ht="6" customHeight="1" x14ac:dyDescent="0.2">
      <c r="D101" s="11"/>
      <c r="P101" s="11"/>
      <c r="AA101" s="15"/>
    </row>
    <row r="102" spans="3:28" ht="12.75" customHeight="1" x14ac:dyDescent="0.2">
      <c r="C102" s="7" t="s">
        <v>186</v>
      </c>
      <c r="D102" s="303">
        <f>_xlfn.XLOOKUP($C102,'Cons. Financials - ''23 ''24'!$C$89:$C$149,'Cons. Financials - ''23 ''24'!P$89:P$149)</f>
        <v>271.25004131931757</v>
      </c>
      <c r="E102" s="256">
        <f>_xlfn.XLOOKUP($C102,'Cons. Financials - ''23 ''24'!$C$89:$C$149,'Cons. Financials - ''23 ''24'!Q$89:Q$149)</f>
        <v>283.25464112289222</v>
      </c>
      <c r="F102" s="256">
        <f>_xlfn.XLOOKUP($C102,'Cons. Financials - ''23 ''24'!$C$89:$C$149,'Cons. Financials - ''23 ''24'!R$89:R$149)</f>
        <v>318.62093053722077</v>
      </c>
      <c r="G102" s="256">
        <f>_xlfn.XLOOKUP($C102,'Cons. Financials - ''23 ''24'!$C$89:$C$149,'Cons. Financials - ''23 ''24'!S$89:S$149)</f>
        <v>333.7035907543862</v>
      </c>
      <c r="H102" s="256">
        <f>_xlfn.XLOOKUP($C102,'Cons. Financials - ''23 ''24'!$C$89:$C$149,'Cons. Financials - ''23 ''24'!T$89:T$149)</f>
        <v>379.51654423297873</v>
      </c>
      <c r="I102" s="256">
        <f>_xlfn.XLOOKUP($C102,'Cons. Financials - ''23 ''24'!$C$89:$C$149,'Cons. Financials - ''23 ''24'!U$89:U$149)</f>
        <v>384.51874670884723</v>
      </c>
      <c r="J102" s="256">
        <f>_xlfn.XLOOKUP($C102,'Cons. Financials - ''23 ''24'!$C$89:$C$149,'Cons. Financials - ''23 ''24'!V$89:V$149)</f>
        <v>378.42225110740912</v>
      </c>
      <c r="K102" s="256">
        <f>_xlfn.XLOOKUP($C102,'Cons. Financials - ''23 ''24'!$C$89:$C$149,'Cons. Financials - ''23 ''24'!W$89:W$149)</f>
        <v>340.33932431529541</v>
      </c>
      <c r="L102" s="256">
        <f>_xlfn.XLOOKUP($C102,'Cons. Financials - ''23 ''24'!$C$89:$C$149,'Cons. Financials - ''23 ''24'!X$89:X$149)</f>
        <v>320.523775468412</v>
      </c>
      <c r="M102" s="256">
        <f>_xlfn.XLOOKUP($C102,'Cons. Financials - ''23 ''24'!$C$89:$C$149,'Cons. Financials - ''23 ''24'!Y$89:Y$149)</f>
        <v>307.89247399793038</v>
      </c>
      <c r="N102" s="256">
        <f>_xlfn.XLOOKUP($C102,'Cons. Financials - ''23 ''24'!$C$89:$C$149,'Cons. Financials - ''23 ''24'!Z$89:Z$149)</f>
        <v>293.75142730746023</v>
      </c>
      <c r="O102" s="256">
        <f>_xlfn.XLOOKUP($C102,'Cons. Financials - ''23 ''24'!$C$89:$C$149,'Cons. Financials - ''23 ''24'!AA$89:AA$149)</f>
        <v>275.18775079454412</v>
      </c>
      <c r="P102" s="205">
        <f>P133*P132</f>
        <v>274.64298048344625</v>
      </c>
      <c r="Q102" s="76">
        <f t="shared" ref="Q102:AA102" si="104">Q133*Q132</f>
        <v>312.4443404953729</v>
      </c>
      <c r="R102" s="76">
        <f t="shared" si="104"/>
        <v>382.19350294051128</v>
      </c>
      <c r="S102" s="76">
        <f t="shared" si="104"/>
        <v>449.11309314497203</v>
      </c>
      <c r="T102" s="76">
        <f t="shared" si="104"/>
        <v>590.1188983268604</v>
      </c>
      <c r="U102" s="76">
        <f t="shared" si="104"/>
        <v>635.74780258419378</v>
      </c>
      <c r="V102" s="76">
        <f t="shared" si="104"/>
        <v>618.76891226278235</v>
      </c>
      <c r="W102" s="76">
        <f t="shared" si="104"/>
        <v>489.87045151023278</v>
      </c>
      <c r="X102" s="76">
        <f t="shared" si="104"/>
        <v>415.25883582091177</v>
      </c>
      <c r="Y102" s="76">
        <f t="shared" si="104"/>
        <v>371.57454147558082</v>
      </c>
      <c r="Z102" s="76">
        <f t="shared" si="104"/>
        <v>343.84899439886715</v>
      </c>
      <c r="AA102" s="206">
        <f t="shared" si="104"/>
        <v>312.9592845351732</v>
      </c>
    </row>
    <row r="103" spans="3:28" ht="12.75" customHeight="1" x14ac:dyDescent="0.2">
      <c r="C103" s="7" t="s">
        <v>185</v>
      </c>
      <c r="D103" s="115">
        <f>_xlfn.XLOOKUP($C103,'Cons. Financials - ''23 ''24'!$C$89:$C$149,'Cons. Financials - ''23 ''24'!P$89:P$149)</f>
        <v>12443.33819434693</v>
      </c>
      <c r="E103" s="257">
        <f>_xlfn.XLOOKUP($C103,'Cons. Financials - ''23 ''24'!$C$89:$C$149,'Cons. Financials - ''23 ''24'!Q$89:Q$149)</f>
        <v>12529.920560499875</v>
      </c>
      <c r="F103" s="257">
        <f>_xlfn.XLOOKUP($C103,'Cons. Financials - ''23 ''24'!$C$89:$C$149,'Cons. Financials - ''23 ''24'!R$89:R$149)</f>
        <v>12551.701325299606</v>
      </c>
      <c r="G103" s="257">
        <f>_xlfn.XLOOKUP($C103,'Cons. Financials - ''23 ''24'!$C$89:$C$149,'Cons. Financials - ''23 ''24'!S$89:S$149)</f>
        <v>11618.612314210908</v>
      </c>
      <c r="H103" s="257">
        <f>_xlfn.XLOOKUP($C103,'Cons. Financials - ''23 ''24'!$C$89:$C$149,'Cons. Financials - ''23 ''24'!T$89:T$149)</f>
        <v>10814.6377427606</v>
      </c>
      <c r="I103" s="257">
        <f>_xlfn.XLOOKUP($C103,'Cons. Financials - ''23 ''24'!$C$89:$C$149,'Cons. Financials - ''23 ''24'!U$89:U$149)</f>
        <v>10447.875841879484</v>
      </c>
      <c r="J103" s="257">
        <f>_xlfn.XLOOKUP($C103,'Cons. Financials - ''23 ''24'!$C$89:$C$149,'Cons. Financials - ''23 ''24'!V$89:V$149)</f>
        <v>10824.646460940579</v>
      </c>
      <c r="K103" s="257">
        <f>_xlfn.XLOOKUP($C103,'Cons. Financials - ''23 ''24'!$C$89:$C$149,'Cons. Financials - ''23 ''24'!W$89:W$149)</f>
        <v>11336.422855111468</v>
      </c>
      <c r="L103" s="257">
        <f>_xlfn.XLOOKUP($C103,'Cons. Financials - ''23 ''24'!$C$89:$C$149,'Cons. Financials - ''23 ''24'!X$89:X$149)</f>
        <v>12115.33057689065</v>
      </c>
      <c r="M103" s="257">
        <f>_xlfn.XLOOKUP($C103,'Cons. Financials - ''23 ''24'!$C$89:$C$149,'Cons. Financials - ''23 ''24'!Y$89:Y$149)</f>
        <v>12171.767882402357</v>
      </c>
      <c r="N103" s="257">
        <f>_xlfn.XLOOKUP($C103,'Cons. Financials - ''23 ''24'!$C$89:$C$149,'Cons. Financials - ''23 ''24'!Z$89:Z$149)</f>
        <v>11952.392844152282</v>
      </c>
      <c r="O103" s="257">
        <f>_xlfn.XLOOKUP($C103,'Cons. Financials - ''23 ''24'!$C$89:$C$149,'Cons. Financials - ''23 ''24'!AA$89:AA$149)</f>
        <v>11666.094933787725</v>
      </c>
      <c r="P103" s="92">
        <f>P135*P122</f>
        <v>12042.705848128109</v>
      </c>
      <c r="Q103" s="198">
        <f t="shared" ref="Q103:AA103" si="105">Q135*Q122</f>
        <v>13237.513104284992</v>
      </c>
      <c r="R103" s="198">
        <f t="shared" si="105"/>
        <v>14978.346417845856</v>
      </c>
      <c r="S103" s="198">
        <f t="shared" si="105"/>
        <v>15509.854792547201</v>
      </c>
      <c r="T103" s="198">
        <f t="shared" si="105"/>
        <v>16540.956387768983</v>
      </c>
      <c r="U103" s="198">
        <f t="shared" si="105"/>
        <v>17181.78739301343</v>
      </c>
      <c r="V103" s="198">
        <f t="shared" si="105"/>
        <v>17549.492080969634</v>
      </c>
      <c r="W103" s="198">
        <f t="shared" si="105"/>
        <v>16051.508911518449</v>
      </c>
      <c r="X103" s="198">
        <f t="shared" si="105"/>
        <v>15574.833849818848</v>
      </c>
      <c r="Y103" s="198">
        <f t="shared" si="105"/>
        <v>14688.16772428603</v>
      </c>
      <c r="Z103" s="198">
        <f t="shared" si="105"/>
        <v>13956.309750824859</v>
      </c>
      <c r="AA103" s="93">
        <f t="shared" si="105"/>
        <v>13232.762979284578</v>
      </c>
    </row>
    <row r="104" spans="3:28" ht="12.75" customHeight="1" x14ac:dyDescent="0.2">
      <c r="C104" s="7" t="s">
        <v>190</v>
      </c>
      <c r="D104" s="115">
        <f>_xlfn.XLOOKUP($C104,'Cons. Financials - ''23 ''24'!$C$89:$C$149,'Cons. Financials - ''23 ''24'!P$89:P$149)</f>
        <v>8840.4526140102134</v>
      </c>
      <c r="E104" s="257">
        <f>_xlfn.XLOOKUP($C104,'Cons. Financials - ''23 ''24'!$C$89:$C$149,'Cons. Financials - ''23 ''24'!Q$89:Q$149)</f>
        <v>8624.0110856997035</v>
      </c>
      <c r="F104" s="257">
        <f>_xlfn.XLOOKUP($C104,'Cons. Financials - ''23 ''24'!$C$89:$C$149,'Cons. Financials - ''23 ''24'!R$89:R$149)</f>
        <v>8640.1177674893224</v>
      </c>
      <c r="G104" s="257">
        <f>_xlfn.XLOOKUP($C104,'Cons. Financials - ''23 ''24'!$C$89:$C$149,'Cons. Financials - ''23 ''24'!S$89:S$149)</f>
        <v>8511.5778055379615</v>
      </c>
      <c r="H104" s="257">
        <f>_xlfn.XLOOKUP($C104,'Cons. Financials - ''23 ''24'!$C$89:$C$149,'Cons. Financials - ''23 ''24'!T$89:T$149)</f>
        <v>8283.5070917901612</v>
      </c>
      <c r="I104" s="257">
        <f>_xlfn.XLOOKUP($C104,'Cons. Financials - ''23 ''24'!$C$89:$C$149,'Cons. Financials - ''23 ''24'!U$89:U$149)</f>
        <v>8066.1154323586361</v>
      </c>
      <c r="J104" s="257">
        <f>_xlfn.XLOOKUP($C104,'Cons. Financials - ''23 ''24'!$C$89:$C$149,'Cons. Financials - ''23 ''24'!V$89:V$149)</f>
        <v>8356.9424752834948</v>
      </c>
      <c r="K104" s="257">
        <f>_xlfn.XLOOKUP($C104,'Cons. Financials - ''23 ''24'!$C$89:$C$149,'Cons. Financials - ''23 ''24'!W$89:W$149)</f>
        <v>8649.7283463689582</v>
      </c>
      <c r="L104" s="257">
        <f>_xlfn.XLOOKUP($C104,'Cons. Financials - ''23 ''24'!$C$89:$C$149,'Cons. Financials - ''23 ''24'!X$89:X$149)</f>
        <v>8809.2546511157798</v>
      </c>
      <c r="M104" s="257">
        <f>_xlfn.XLOOKUP($C104,'Cons. Financials - ''23 ''24'!$C$89:$C$149,'Cons. Financials - ''23 ''24'!Y$89:Y$149)</f>
        <v>9270.960714619514</v>
      </c>
      <c r="N104" s="257">
        <f>_xlfn.XLOOKUP($C104,'Cons. Financials - ''23 ''24'!$C$89:$C$149,'Cons. Financials - ''23 ''24'!Z$89:Z$149)</f>
        <v>9317.2903021904058</v>
      </c>
      <c r="O104" s="257">
        <f>_xlfn.XLOOKUP($C104,'Cons. Financials - ''23 ''24'!$C$89:$C$149,'Cons. Financials - ''23 ''24'!AA$89:AA$149)</f>
        <v>8958.3570036977144</v>
      </c>
      <c r="P104" s="92">
        <f>P136*P122</f>
        <v>8555.8206915252758</v>
      </c>
      <c r="Q104" s="198">
        <f t="shared" ref="Q104:AA104" si="106">Q136*Q122</f>
        <v>9111.0282150020666</v>
      </c>
      <c r="R104" s="198">
        <f t="shared" si="106"/>
        <v>10310.528721041801</v>
      </c>
      <c r="S104" s="198">
        <f t="shared" si="106"/>
        <v>11362.229175845187</v>
      </c>
      <c r="T104" s="198">
        <f t="shared" si="106"/>
        <v>12669.599555916371</v>
      </c>
      <c r="U104" s="198">
        <f t="shared" si="106"/>
        <v>13264.924138049431</v>
      </c>
      <c r="V104" s="198">
        <f t="shared" si="106"/>
        <v>13548.719241807259</v>
      </c>
      <c r="W104" s="198">
        <f t="shared" si="106"/>
        <v>12247.354691021703</v>
      </c>
      <c r="X104" s="198">
        <f t="shared" si="106"/>
        <v>11324.715958933799</v>
      </c>
      <c r="Y104" s="198">
        <f t="shared" si="106"/>
        <v>11187.645645007269</v>
      </c>
      <c r="Z104" s="198">
        <f t="shared" si="106"/>
        <v>10879.410607671382</v>
      </c>
      <c r="AA104" s="93">
        <f t="shared" si="106"/>
        <v>10161.396387270548</v>
      </c>
    </row>
    <row r="105" spans="3:28" ht="12.75" customHeight="1" x14ac:dyDescent="0.2">
      <c r="C105" s="8" t="s">
        <v>191</v>
      </c>
      <c r="D105" s="98">
        <f>SUM(D102:D104)</f>
        <v>21555.040849676461</v>
      </c>
      <c r="E105" s="98">
        <f t="shared" ref="E105:AA105" si="107">SUM(E102:E104)</f>
        <v>21437.186287322471</v>
      </c>
      <c r="F105" s="98">
        <f t="shared" si="107"/>
        <v>21510.440023326148</v>
      </c>
      <c r="G105" s="98">
        <f t="shared" si="107"/>
        <v>20463.893710503256</v>
      </c>
      <c r="H105" s="98">
        <f t="shared" si="107"/>
        <v>19477.661378783741</v>
      </c>
      <c r="I105" s="98">
        <f t="shared" si="107"/>
        <v>18898.510020946967</v>
      </c>
      <c r="J105" s="98">
        <f t="shared" si="107"/>
        <v>19560.011187331482</v>
      </c>
      <c r="K105" s="98">
        <f t="shared" si="107"/>
        <v>20326.490525795722</v>
      </c>
      <c r="L105" s="98">
        <f t="shared" si="107"/>
        <v>21245.109003474841</v>
      </c>
      <c r="M105" s="98">
        <f t="shared" si="107"/>
        <v>21750.621071019799</v>
      </c>
      <c r="N105" s="98">
        <f t="shared" si="107"/>
        <v>21563.434573650149</v>
      </c>
      <c r="O105" s="95">
        <f t="shared" si="107"/>
        <v>20899.639688279982</v>
      </c>
      <c r="P105" s="98">
        <f t="shared" si="107"/>
        <v>20873.169520136831</v>
      </c>
      <c r="Q105" s="98">
        <f t="shared" si="107"/>
        <v>22660.985659782433</v>
      </c>
      <c r="R105" s="98">
        <f t="shared" si="107"/>
        <v>25671.068641828169</v>
      </c>
      <c r="S105" s="98">
        <f t="shared" si="107"/>
        <v>27321.197061537358</v>
      </c>
      <c r="T105" s="98">
        <f t="shared" si="107"/>
        <v>29800.674842012217</v>
      </c>
      <c r="U105" s="98">
        <f t="shared" si="107"/>
        <v>31082.459333647053</v>
      </c>
      <c r="V105" s="98">
        <f t="shared" si="107"/>
        <v>31716.980235039675</v>
      </c>
      <c r="W105" s="98">
        <f t="shared" si="107"/>
        <v>28788.734054050386</v>
      </c>
      <c r="X105" s="98">
        <f t="shared" si="107"/>
        <v>27314.808644573561</v>
      </c>
      <c r="Y105" s="98">
        <f t="shared" si="107"/>
        <v>26247.387910768877</v>
      </c>
      <c r="Z105" s="98">
        <f t="shared" si="107"/>
        <v>25179.569352895109</v>
      </c>
      <c r="AA105" s="98">
        <f t="shared" si="107"/>
        <v>23707.118651090299</v>
      </c>
      <c r="AB105" s="11"/>
    </row>
    <row r="106" spans="3:28" ht="3" customHeight="1" x14ac:dyDescent="0.2">
      <c r="C106" s="24"/>
      <c r="D106" s="11"/>
      <c r="P106" s="11"/>
      <c r="AA106" s="15"/>
    </row>
    <row r="107" spans="3:28" ht="12.75" customHeight="1" x14ac:dyDescent="0.2">
      <c r="C107" s="7" t="s">
        <v>188</v>
      </c>
      <c r="D107" s="303">
        <f>_xlfn.XLOOKUP($C107,'Cons. Financials - ''23 ''24'!$C$89:$C$149,'Cons. Financials - ''23 ''24'!P$89:P$149)</f>
        <v>3250</v>
      </c>
      <c r="E107" s="256">
        <f>_xlfn.XLOOKUP($C107,'Cons. Financials - ''23 ''24'!$C$89:$C$149,'Cons. Financials - ''23 ''24'!Q$89:Q$149)</f>
        <v>3250</v>
      </c>
      <c r="F107" s="256">
        <f>_xlfn.XLOOKUP($C107,'Cons. Financials - ''23 ''24'!$C$89:$C$149,'Cons. Financials - ''23 ''24'!R$89:R$149)</f>
        <v>3250</v>
      </c>
      <c r="G107" s="256">
        <f>_xlfn.XLOOKUP($C107,'Cons. Financials - ''23 ''24'!$C$89:$C$149,'Cons. Financials - ''23 ''24'!S$89:S$149)</f>
        <v>3250</v>
      </c>
      <c r="H107" s="256">
        <f>_xlfn.XLOOKUP($C107,'Cons. Financials - ''23 ''24'!$C$89:$C$149,'Cons. Financials - ''23 ''24'!T$89:T$149)</f>
        <v>3250</v>
      </c>
      <c r="I107" s="256">
        <f>_xlfn.XLOOKUP($C107,'Cons. Financials - ''23 ''24'!$C$89:$C$149,'Cons. Financials - ''23 ''24'!U$89:U$149)</f>
        <v>0</v>
      </c>
      <c r="J107" s="256">
        <f>_xlfn.XLOOKUP($C107,'Cons. Financials - ''23 ''24'!$C$89:$C$149,'Cons. Financials - ''23 ''24'!V$89:V$149)</f>
        <v>0</v>
      </c>
      <c r="K107" s="256">
        <f>_xlfn.XLOOKUP($C107,'Cons. Financials - ''23 ''24'!$C$89:$C$149,'Cons. Financials - ''23 ''24'!W$89:W$149)</f>
        <v>0</v>
      </c>
      <c r="L107" s="256">
        <f>_xlfn.XLOOKUP($C107,'Cons. Financials - ''23 ''24'!$C$89:$C$149,'Cons. Financials - ''23 ''24'!X$89:X$149)</f>
        <v>0</v>
      </c>
      <c r="M107" s="256">
        <f>_xlfn.XLOOKUP($C107,'Cons. Financials - ''23 ''24'!$C$89:$C$149,'Cons. Financials - ''23 ''24'!Y$89:Y$149)</f>
        <v>0</v>
      </c>
      <c r="N107" s="256">
        <f>_xlfn.XLOOKUP($C107,'Cons. Financials - ''23 ''24'!$C$89:$C$149,'Cons. Financials - ''23 ''24'!Z$89:Z$149)</f>
        <v>0</v>
      </c>
      <c r="O107" s="256">
        <f>_xlfn.XLOOKUP($C107,'Cons. Financials - ''23 ''24'!$C$89:$C$149,'Cons. Financials - ''23 ''24'!AA$89:AA$149)</f>
        <v>0</v>
      </c>
      <c r="P107" s="205">
        <f>O107+P175</f>
        <v>0</v>
      </c>
      <c r="Q107" s="76">
        <f t="shared" ref="Q107:AA107" si="108">P107+Q175</f>
        <v>0</v>
      </c>
      <c r="R107" s="76">
        <f t="shared" si="108"/>
        <v>0</v>
      </c>
      <c r="S107" s="76">
        <f t="shared" si="108"/>
        <v>0</v>
      </c>
      <c r="T107" s="76">
        <f t="shared" si="108"/>
        <v>0</v>
      </c>
      <c r="U107" s="76">
        <f t="shared" si="108"/>
        <v>10000</v>
      </c>
      <c r="V107" s="76">
        <f t="shared" si="108"/>
        <v>10000</v>
      </c>
      <c r="W107" s="76">
        <f t="shared" si="108"/>
        <v>10000</v>
      </c>
      <c r="X107" s="76">
        <f t="shared" si="108"/>
        <v>10000</v>
      </c>
      <c r="Y107" s="76">
        <f t="shared" si="108"/>
        <v>10000</v>
      </c>
      <c r="Z107" s="76">
        <f t="shared" si="108"/>
        <v>10000</v>
      </c>
      <c r="AA107" s="206">
        <f t="shared" si="108"/>
        <v>10000</v>
      </c>
    </row>
    <row r="108" spans="3:28" ht="12.75" customHeight="1" x14ac:dyDescent="0.2">
      <c r="C108" s="7" t="s">
        <v>187</v>
      </c>
      <c r="D108" s="115">
        <f>_xlfn.XLOOKUP($C108,'Cons. Financials - ''23 ''24'!$C$89:$C$149,'Cons. Financials - ''23 ''24'!P$89:P$149)</f>
        <v>95000</v>
      </c>
      <c r="E108" s="257">
        <f>_xlfn.XLOOKUP($C108,'Cons. Financials - ''23 ''24'!$C$89:$C$149,'Cons. Financials - ''23 ''24'!Q$89:Q$149)</f>
        <v>95000</v>
      </c>
      <c r="F108" s="257">
        <f>_xlfn.XLOOKUP($C108,'Cons. Financials - ''23 ''24'!$C$89:$C$149,'Cons. Financials - ''23 ''24'!R$89:R$149)</f>
        <v>94750</v>
      </c>
      <c r="G108" s="257">
        <f>_xlfn.XLOOKUP($C108,'Cons. Financials - ''23 ''24'!$C$89:$C$149,'Cons. Financials - ''23 ''24'!S$89:S$149)</f>
        <v>94750</v>
      </c>
      <c r="H108" s="257">
        <f>_xlfn.XLOOKUP($C108,'Cons. Financials - ''23 ''24'!$C$89:$C$149,'Cons. Financials - ''23 ''24'!T$89:T$149)</f>
        <v>94750</v>
      </c>
      <c r="I108" s="257">
        <f>_xlfn.XLOOKUP($C108,'Cons. Financials - ''23 ''24'!$C$89:$C$149,'Cons. Financials - ''23 ''24'!U$89:U$149)</f>
        <v>94500</v>
      </c>
      <c r="J108" s="257">
        <f>_xlfn.XLOOKUP($C108,'Cons. Financials - ''23 ''24'!$C$89:$C$149,'Cons. Financials - ''23 ''24'!V$89:V$149)</f>
        <v>94500</v>
      </c>
      <c r="K108" s="257">
        <f>_xlfn.XLOOKUP($C108,'Cons. Financials - ''23 ''24'!$C$89:$C$149,'Cons. Financials - ''23 ''24'!W$89:W$149)</f>
        <v>94500</v>
      </c>
      <c r="L108" s="257">
        <f>_xlfn.XLOOKUP($C108,'Cons. Financials - ''23 ''24'!$C$89:$C$149,'Cons. Financials - ''23 ''24'!X$89:X$149)</f>
        <v>94250</v>
      </c>
      <c r="M108" s="257">
        <f>_xlfn.XLOOKUP($C108,'Cons. Financials - ''23 ''24'!$C$89:$C$149,'Cons. Financials - ''23 ''24'!Y$89:Y$149)</f>
        <v>94250</v>
      </c>
      <c r="N108" s="257">
        <f>_xlfn.XLOOKUP($C108,'Cons. Financials - ''23 ''24'!$C$89:$C$149,'Cons. Financials - ''23 ''24'!Z$89:Z$149)</f>
        <v>94250</v>
      </c>
      <c r="O108" s="257">
        <f>_xlfn.XLOOKUP($C108,'Cons. Financials - ''23 ''24'!$C$89:$C$149,'Cons. Financials - ''23 ''24'!AA$89:AA$149)</f>
        <v>94000</v>
      </c>
      <c r="P108" s="92">
        <f ca="1">O108+P176</f>
        <v>94000</v>
      </c>
      <c r="Q108" s="198">
        <f t="shared" ref="Q108:AA108" ca="1" si="109">P108+Q176</f>
        <v>94000</v>
      </c>
      <c r="R108" s="198">
        <f t="shared" ca="1" si="109"/>
        <v>93750</v>
      </c>
      <c r="S108" s="198">
        <f t="shared" ca="1" si="109"/>
        <v>93750</v>
      </c>
      <c r="T108" s="198">
        <f t="shared" ca="1" si="109"/>
        <v>93750</v>
      </c>
      <c r="U108" s="198">
        <f t="shared" ca="1" si="109"/>
        <v>93500</v>
      </c>
      <c r="V108" s="198">
        <f t="shared" ca="1" si="109"/>
        <v>93500</v>
      </c>
      <c r="W108" s="198">
        <f t="shared" ca="1" si="109"/>
        <v>93500</v>
      </c>
      <c r="X108" s="198">
        <f t="shared" ca="1" si="109"/>
        <v>93250</v>
      </c>
      <c r="Y108" s="198">
        <f t="shared" ca="1" si="109"/>
        <v>93250</v>
      </c>
      <c r="Z108" s="198">
        <f t="shared" ca="1" si="109"/>
        <v>93250</v>
      </c>
      <c r="AA108" s="93">
        <f t="shared" ca="1" si="109"/>
        <v>93000</v>
      </c>
    </row>
    <row r="109" spans="3:28" ht="12.75" customHeight="1" x14ac:dyDescent="0.2">
      <c r="C109" s="7" t="s">
        <v>189</v>
      </c>
      <c r="D109" s="115">
        <f>_xlfn.XLOOKUP($C109,'Cons. Financials - ''23 ''24'!$C$89:$C$149,'Cons. Financials - ''23 ''24'!P$89:P$149)</f>
        <v>23842</v>
      </c>
      <c r="E109" s="257">
        <f>_xlfn.XLOOKUP($C109,'Cons. Financials - ''23 ''24'!$C$89:$C$149,'Cons. Financials - ''23 ''24'!Q$89:Q$149)</f>
        <v>23842</v>
      </c>
      <c r="F109" s="257">
        <f>_xlfn.XLOOKUP($C109,'Cons. Financials - ''23 ''24'!$C$89:$C$149,'Cons. Financials - ''23 ''24'!R$89:R$149)</f>
        <v>23842</v>
      </c>
      <c r="G109" s="257">
        <f>_xlfn.XLOOKUP($C109,'Cons. Financials - ''23 ''24'!$C$89:$C$149,'Cons. Financials - ''23 ''24'!S$89:S$149)</f>
        <v>23842</v>
      </c>
      <c r="H109" s="257">
        <f>_xlfn.XLOOKUP($C109,'Cons. Financials - ''23 ''24'!$C$89:$C$149,'Cons. Financials - ''23 ''24'!T$89:T$149)</f>
        <v>23842</v>
      </c>
      <c r="I109" s="257">
        <f>_xlfn.XLOOKUP($C109,'Cons. Financials - ''23 ''24'!$C$89:$C$149,'Cons. Financials - ''23 ''24'!U$89:U$149)</f>
        <v>23842</v>
      </c>
      <c r="J109" s="257">
        <f>_xlfn.XLOOKUP($C109,'Cons. Financials - ''23 ''24'!$C$89:$C$149,'Cons. Financials - ''23 ''24'!V$89:V$149)</f>
        <v>23842</v>
      </c>
      <c r="K109" s="257">
        <f>_xlfn.XLOOKUP($C109,'Cons. Financials - ''23 ''24'!$C$89:$C$149,'Cons. Financials - ''23 ''24'!W$89:W$149)</f>
        <v>23842</v>
      </c>
      <c r="L109" s="257">
        <f>_xlfn.XLOOKUP($C109,'Cons. Financials - ''23 ''24'!$C$89:$C$149,'Cons. Financials - ''23 ''24'!X$89:X$149)</f>
        <v>23842</v>
      </c>
      <c r="M109" s="257">
        <f>_xlfn.XLOOKUP($C109,'Cons. Financials - ''23 ''24'!$C$89:$C$149,'Cons. Financials - ''23 ''24'!Y$89:Y$149)</f>
        <v>23842</v>
      </c>
      <c r="N109" s="257">
        <f>_xlfn.XLOOKUP($C109,'Cons. Financials - ''23 ''24'!$C$89:$C$149,'Cons. Financials - ''23 ''24'!Z$89:Z$149)</f>
        <v>23842</v>
      </c>
      <c r="O109" s="257">
        <f>_xlfn.XLOOKUP($C109,'Cons. Financials - ''23 ''24'!$C$89:$C$149,'Cons. Financials - ''23 ''24'!AA$89:AA$149)</f>
        <v>23842</v>
      </c>
      <c r="P109" s="92">
        <f>O109</f>
        <v>23842</v>
      </c>
      <c r="Q109" s="198">
        <f t="shared" ref="Q109:AA109" si="110">P109</f>
        <v>23842</v>
      </c>
      <c r="R109" s="198">
        <f t="shared" si="110"/>
        <v>23842</v>
      </c>
      <c r="S109" s="198">
        <f t="shared" si="110"/>
        <v>23842</v>
      </c>
      <c r="T109" s="198">
        <f t="shared" si="110"/>
        <v>23842</v>
      </c>
      <c r="U109" s="198">
        <f t="shared" si="110"/>
        <v>23842</v>
      </c>
      <c r="V109" s="198">
        <f t="shared" si="110"/>
        <v>23842</v>
      </c>
      <c r="W109" s="198">
        <f t="shared" si="110"/>
        <v>23842</v>
      </c>
      <c r="X109" s="198">
        <f t="shared" si="110"/>
        <v>23842</v>
      </c>
      <c r="Y109" s="198">
        <f t="shared" si="110"/>
        <v>23842</v>
      </c>
      <c r="Z109" s="198">
        <f t="shared" si="110"/>
        <v>23842</v>
      </c>
      <c r="AA109" s="93">
        <f t="shared" si="110"/>
        <v>23842</v>
      </c>
    </row>
    <row r="110" spans="3:28" ht="12.75" customHeight="1" x14ac:dyDescent="0.2">
      <c r="C110" s="216" t="s">
        <v>192</v>
      </c>
      <c r="D110" s="214">
        <f>SUM(D105,D107:D109)</f>
        <v>143647.04084967647</v>
      </c>
      <c r="E110" s="214">
        <f t="shared" ref="E110:AA110" si="111">SUM(E105,E107:E109)</f>
        <v>143529.18628732249</v>
      </c>
      <c r="F110" s="214">
        <f t="shared" si="111"/>
        <v>143352.44002332614</v>
      </c>
      <c r="G110" s="214">
        <f t="shared" si="111"/>
        <v>142305.89371050324</v>
      </c>
      <c r="H110" s="214">
        <f t="shared" si="111"/>
        <v>141319.66137878376</v>
      </c>
      <c r="I110" s="214">
        <f t="shared" si="111"/>
        <v>137240.51002094697</v>
      </c>
      <c r="J110" s="214">
        <f t="shared" si="111"/>
        <v>137902.01118733149</v>
      </c>
      <c r="K110" s="214">
        <f t="shared" si="111"/>
        <v>138668.49052579573</v>
      </c>
      <c r="L110" s="214">
        <f t="shared" si="111"/>
        <v>139337.10900347485</v>
      </c>
      <c r="M110" s="214">
        <f t="shared" si="111"/>
        <v>139842.62107101979</v>
      </c>
      <c r="N110" s="214">
        <f t="shared" si="111"/>
        <v>139655.43457365016</v>
      </c>
      <c r="O110" s="214">
        <f t="shared" si="111"/>
        <v>138741.63968827997</v>
      </c>
      <c r="P110" s="215">
        <f t="shared" ca="1" si="111"/>
        <v>138715.16952013684</v>
      </c>
      <c r="Q110" s="214">
        <f t="shared" ca="1" si="111"/>
        <v>140502.98565978243</v>
      </c>
      <c r="R110" s="214">
        <f t="shared" ca="1" si="111"/>
        <v>143263.06864182817</v>
      </c>
      <c r="S110" s="214">
        <f t="shared" ca="1" si="111"/>
        <v>144913.19706153736</v>
      </c>
      <c r="T110" s="214">
        <f t="shared" ca="1" si="111"/>
        <v>147392.67484201223</v>
      </c>
      <c r="U110" s="214">
        <f t="shared" ca="1" si="111"/>
        <v>158424.45933364704</v>
      </c>
      <c r="V110" s="214">
        <f t="shared" ca="1" si="111"/>
        <v>159058.98023503966</v>
      </c>
      <c r="W110" s="214">
        <f t="shared" ca="1" si="111"/>
        <v>156130.73405405038</v>
      </c>
      <c r="X110" s="214">
        <f t="shared" ca="1" si="111"/>
        <v>154406.80864457355</v>
      </c>
      <c r="Y110" s="214">
        <f t="shared" ca="1" si="111"/>
        <v>153339.38791076888</v>
      </c>
      <c r="Z110" s="214">
        <f t="shared" ca="1" si="111"/>
        <v>152271.56935289511</v>
      </c>
      <c r="AA110" s="217">
        <f t="shared" ca="1" si="111"/>
        <v>150549.11865109031</v>
      </c>
    </row>
    <row r="111" spans="3:28" ht="6" customHeight="1" x14ac:dyDescent="0.2">
      <c r="D111" s="11"/>
      <c r="P111" s="11"/>
      <c r="AA111" s="15"/>
    </row>
    <row r="112" spans="3:28" ht="12.75" customHeight="1" x14ac:dyDescent="0.2">
      <c r="C112" s="7" t="s">
        <v>193</v>
      </c>
      <c r="D112" s="303">
        <f>_xlfn.XLOOKUP($C112,'Cons. Financials - ''23 ''24'!$C$89:$C$149,'Cons. Financials - ''23 ''24'!P$89:P$149)</f>
        <v>82320.123000000007</v>
      </c>
      <c r="E112" s="256">
        <f>_xlfn.XLOOKUP($C112,'Cons. Financials - ''23 ''24'!$C$89:$C$149,'Cons. Financials - ''23 ''24'!Q$89:Q$149)</f>
        <v>82320.123000000007</v>
      </c>
      <c r="F112" s="256">
        <f>_xlfn.XLOOKUP($C112,'Cons. Financials - ''23 ''24'!$C$89:$C$149,'Cons. Financials - ''23 ''24'!R$89:R$149)</f>
        <v>82320.123000000007</v>
      </c>
      <c r="G112" s="256">
        <f>_xlfn.XLOOKUP($C112,'Cons. Financials - ''23 ''24'!$C$89:$C$149,'Cons. Financials - ''23 ''24'!S$89:S$149)</f>
        <v>82320.123000000007</v>
      </c>
      <c r="H112" s="256">
        <f>_xlfn.XLOOKUP($C112,'Cons. Financials - ''23 ''24'!$C$89:$C$149,'Cons. Financials - ''23 ''24'!T$89:T$149)</f>
        <v>82320.123000000007</v>
      </c>
      <c r="I112" s="256">
        <f>_xlfn.XLOOKUP($C112,'Cons. Financials - ''23 ''24'!$C$89:$C$149,'Cons. Financials - ''23 ''24'!U$89:U$149)</f>
        <v>82320.123000000007</v>
      </c>
      <c r="J112" s="256">
        <f>_xlfn.XLOOKUP($C112,'Cons. Financials - ''23 ''24'!$C$89:$C$149,'Cons. Financials - ''23 ''24'!V$89:V$149)</f>
        <v>82320.123000000007</v>
      </c>
      <c r="K112" s="256">
        <f>_xlfn.XLOOKUP($C112,'Cons. Financials - ''23 ''24'!$C$89:$C$149,'Cons. Financials - ''23 ''24'!W$89:W$149)</f>
        <v>82320.123000000007</v>
      </c>
      <c r="L112" s="256">
        <f>_xlfn.XLOOKUP($C112,'Cons. Financials - ''23 ''24'!$C$89:$C$149,'Cons. Financials - ''23 ''24'!X$89:X$149)</f>
        <v>82320.123000000007</v>
      </c>
      <c r="M112" s="256">
        <f>_xlfn.XLOOKUP($C112,'Cons. Financials - ''23 ''24'!$C$89:$C$149,'Cons. Financials - ''23 ''24'!Y$89:Y$149)</f>
        <v>82320.123000000007</v>
      </c>
      <c r="N112" s="256">
        <f>_xlfn.XLOOKUP($C112,'Cons. Financials - ''23 ''24'!$C$89:$C$149,'Cons. Financials - ''23 ''24'!Z$89:Z$149)</f>
        <v>82320.123000000007</v>
      </c>
      <c r="O112" s="256">
        <f>_xlfn.XLOOKUP($C112,'Cons. Financials - ''23 ''24'!$C$89:$C$149,'Cons. Financials - ''23 ''24'!AA$89:AA$149)</f>
        <v>82320.123000000007</v>
      </c>
      <c r="P112" s="205">
        <f>O112</f>
        <v>82320.123000000007</v>
      </c>
      <c r="Q112" s="76">
        <f t="shared" ref="Q112:AA112" si="112">P112</f>
        <v>82320.123000000007</v>
      </c>
      <c r="R112" s="76">
        <f t="shared" si="112"/>
        <v>82320.123000000007</v>
      </c>
      <c r="S112" s="76">
        <f t="shared" si="112"/>
        <v>82320.123000000007</v>
      </c>
      <c r="T112" s="76">
        <f t="shared" si="112"/>
        <v>82320.123000000007</v>
      </c>
      <c r="U112" s="76">
        <f t="shared" si="112"/>
        <v>82320.123000000007</v>
      </c>
      <c r="V112" s="76">
        <f t="shared" si="112"/>
        <v>82320.123000000007</v>
      </c>
      <c r="W112" s="76">
        <f t="shared" si="112"/>
        <v>82320.123000000007</v>
      </c>
      <c r="X112" s="76">
        <f t="shared" si="112"/>
        <v>82320.123000000007</v>
      </c>
      <c r="Y112" s="76">
        <f t="shared" si="112"/>
        <v>82320.123000000007</v>
      </c>
      <c r="Z112" s="76">
        <f t="shared" si="112"/>
        <v>82320.123000000007</v>
      </c>
      <c r="AA112" s="206">
        <f t="shared" si="112"/>
        <v>82320.123000000007</v>
      </c>
    </row>
    <row r="113" spans="3:27" ht="12.75" customHeight="1" x14ac:dyDescent="0.2">
      <c r="C113" s="7" t="s">
        <v>194</v>
      </c>
      <c r="D113" s="115">
        <f>_xlfn.XLOOKUP($C113,'Cons. Financials - ''23 ''24'!$C$89:$C$149,'Cons. Financials - ''23 ''24'!P$89:P$149)</f>
        <v>43005.397862147271</v>
      </c>
      <c r="E113" s="257">
        <f>_xlfn.XLOOKUP($C113,'Cons. Financials - ''23 ''24'!$C$89:$C$149,'Cons. Financials - ''23 ''24'!Q$89:Q$149)</f>
        <v>44343.084104179419</v>
      </c>
      <c r="F113" s="257">
        <f>_xlfn.XLOOKUP($C113,'Cons. Financials - ''23 ''24'!$C$89:$C$149,'Cons. Financials - ''23 ''24'!R$89:R$149)</f>
        <v>45330.345291841229</v>
      </c>
      <c r="G113" s="257">
        <f>_xlfn.XLOOKUP($C113,'Cons. Financials - ''23 ''24'!$C$89:$C$149,'Cons. Financials - ''23 ''24'!S$89:S$149)</f>
        <v>45460.416566016233</v>
      </c>
      <c r="H113" s="257">
        <f>_xlfn.XLOOKUP($C113,'Cons. Financials - ''23 ''24'!$C$89:$C$149,'Cons. Financials - ''23 ''24'!T$89:T$149)</f>
        <v>44971.450153430575</v>
      </c>
      <c r="I113" s="257">
        <f>_xlfn.XLOOKUP($C113,'Cons. Financials - ''23 ''24'!$C$89:$C$149,'Cons. Financials - ''23 ''24'!U$89:U$149)</f>
        <v>44765.281758151126</v>
      </c>
      <c r="J113" s="257">
        <f>_xlfn.XLOOKUP($C113,'Cons. Financials - ''23 ''24'!$C$89:$C$149,'Cons. Financials - ''23 ''24'!V$89:V$149)</f>
        <v>45676.668513001547</v>
      </c>
      <c r="K113" s="257">
        <f>_xlfn.XLOOKUP($C113,'Cons. Financials - ''23 ''24'!$C$89:$C$149,'Cons. Financials - ''23 ''24'!W$89:W$149)</f>
        <v>47739.922070844754</v>
      </c>
      <c r="L113" s="257">
        <f>_xlfn.XLOOKUP($C113,'Cons. Financials - ''23 ''24'!$C$89:$C$149,'Cons. Financials - ''23 ''24'!X$89:X$149)</f>
        <v>49216.740211222073</v>
      </c>
      <c r="M113" s="257">
        <f>_xlfn.XLOOKUP($C113,'Cons. Financials - ''23 ''24'!$C$89:$C$149,'Cons. Financials - ''23 ''24'!Y$89:Y$149)</f>
        <v>51126.697082548315</v>
      </c>
      <c r="N113" s="257">
        <f>_xlfn.XLOOKUP($C113,'Cons. Financials - ''23 ''24'!$C$89:$C$149,'Cons. Financials - ''23 ''24'!Z$89:Z$149)</f>
        <v>53499.871689155058</v>
      </c>
      <c r="O113" s="257">
        <f>_xlfn.XLOOKUP($C113,'Cons. Financials - ''23 ''24'!$C$89:$C$149,'Cons. Financials - ''23 ''24'!AA$89:AA$149)</f>
        <v>55983.783974848702</v>
      </c>
      <c r="P113" s="92">
        <f ca="1">O113+P72+P174</f>
        <v>58336.031359526838</v>
      </c>
      <c r="Q113" s="198">
        <f t="shared" ref="Q113:AA113" ca="1" si="113">P113+Q72+Q174</f>
        <v>60281.712878422419</v>
      </c>
      <c r="R113" s="198">
        <f t="shared" ca="1" si="113"/>
        <v>62059.743833432462</v>
      </c>
      <c r="S113" s="198">
        <f t="shared" ca="1" si="113"/>
        <v>62771.444279252741</v>
      </c>
      <c r="T113" s="198">
        <f t="shared" ca="1" si="113"/>
        <v>62549.968203289216</v>
      </c>
      <c r="U113" s="198">
        <f t="shared" ca="1" si="113"/>
        <v>42868.599942436922</v>
      </c>
      <c r="V113" s="198">
        <f t="shared" ca="1" si="113"/>
        <v>44359.752712737565</v>
      </c>
      <c r="W113" s="198">
        <f t="shared" ca="1" si="113"/>
        <v>46885.064121151314</v>
      </c>
      <c r="X113" s="198">
        <f t="shared" ca="1" si="113"/>
        <v>48752.459480819802</v>
      </c>
      <c r="Y113" s="198">
        <f t="shared" ca="1" si="113"/>
        <v>51089.090576624752</v>
      </c>
      <c r="Z113" s="198">
        <f t="shared" ca="1" si="113"/>
        <v>53261.210628955872</v>
      </c>
      <c r="AA113" s="93">
        <f t="shared" ca="1" si="113"/>
        <v>54537.565695116456</v>
      </c>
    </row>
    <row r="114" spans="3:27" ht="12.75" customHeight="1" x14ac:dyDescent="0.2">
      <c r="C114" s="8" t="s">
        <v>195</v>
      </c>
      <c r="D114" s="94">
        <f>SUM(D112:D113)</f>
        <v>125325.52086214727</v>
      </c>
      <c r="E114" s="98">
        <f t="shared" ref="E114:AA114" si="114">SUM(E112:E113)</f>
        <v>126663.20710417943</v>
      </c>
      <c r="F114" s="98">
        <f t="shared" si="114"/>
        <v>127650.46829184124</v>
      </c>
      <c r="G114" s="98">
        <f t="shared" si="114"/>
        <v>127780.53956601623</v>
      </c>
      <c r="H114" s="98">
        <f t="shared" si="114"/>
        <v>127291.57315343058</v>
      </c>
      <c r="I114" s="98">
        <f t="shared" si="114"/>
        <v>127085.40475815113</v>
      </c>
      <c r="J114" s="98">
        <f t="shared" si="114"/>
        <v>127996.79151300155</v>
      </c>
      <c r="K114" s="98">
        <f t="shared" si="114"/>
        <v>130060.04507084476</v>
      </c>
      <c r="L114" s="98">
        <f t="shared" si="114"/>
        <v>131536.86321122208</v>
      </c>
      <c r="M114" s="98">
        <f t="shared" si="114"/>
        <v>133446.82008254831</v>
      </c>
      <c r="N114" s="98">
        <f t="shared" si="114"/>
        <v>135819.99468915508</v>
      </c>
      <c r="O114" s="98">
        <f t="shared" si="114"/>
        <v>138303.90697484871</v>
      </c>
      <c r="P114" s="94">
        <f t="shared" ca="1" si="114"/>
        <v>140656.15435952684</v>
      </c>
      <c r="Q114" s="98">
        <f t="shared" ca="1" si="114"/>
        <v>142601.83587842243</v>
      </c>
      <c r="R114" s="98">
        <f t="shared" ca="1" si="114"/>
        <v>144379.86683343246</v>
      </c>
      <c r="S114" s="98">
        <f t="shared" ca="1" si="114"/>
        <v>145091.56727925275</v>
      </c>
      <c r="T114" s="98">
        <f t="shared" ca="1" si="114"/>
        <v>144870.09120328922</v>
      </c>
      <c r="U114" s="98">
        <f t="shared" ca="1" si="114"/>
        <v>125188.72294243693</v>
      </c>
      <c r="V114" s="98">
        <f t="shared" ca="1" si="114"/>
        <v>126679.87571273757</v>
      </c>
      <c r="W114" s="98">
        <f t="shared" ca="1" si="114"/>
        <v>129205.18712115132</v>
      </c>
      <c r="X114" s="98">
        <f t="shared" ca="1" si="114"/>
        <v>131072.58248081981</v>
      </c>
      <c r="Y114" s="98">
        <f t="shared" ca="1" si="114"/>
        <v>133409.21357662475</v>
      </c>
      <c r="Z114" s="98">
        <f t="shared" ca="1" si="114"/>
        <v>135581.33362895588</v>
      </c>
      <c r="AA114" s="95">
        <f t="shared" ca="1" si="114"/>
        <v>136857.68869511646</v>
      </c>
    </row>
    <row r="115" spans="3:27" ht="12.75" customHeight="1" x14ac:dyDescent="0.2">
      <c r="D115" s="11"/>
      <c r="P115" s="11"/>
      <c r="AA115" s="15"/>
    </row>
    <row r="116" spans="3:27" ht="12.75" customHeight="1" x14ac:dyDescent="0.2">
      <c r="C116" s="180" t="s">
        <v>196</v>
      </c>
      <c r="D116" s="181">
        <f>D114+D110</f>
        <v>268972.56171182374</v>
      </c>
      <c r="E116" s="181">
        <f t="shared" ref="E116:AA116" si="115">E114+E110</f>
        <v>270192.39339150192</v>
      </c>
      <c r="F116" s="181">
        <f t="shared" si="115"/>
        <v>271002.90831516741</v>
      </c>
      <c r="G116" s="181">
        <f t="shared" si="115"/>
        <v>270086.43327651947</v>
      </c>
      <c r="H116" s="181">
        <f t="shared" si="115"/>
        <v>268611.23453221435</v>
      </c>
      <c r="I116" s="181">
        <f t="shared" si="115"/>
        <v>264325.91477909812</v>
      </c>
      <c r="J116" s="181">
        <f t="shared" si="115"/>
        <v>265898.80270033306</v>
      </c>
      <c r="K116" s="181">
        <f t="shared" si="115"/>
        <v>268728.53559664049</v>
      </c>
      <c r="L116" s="181">
        <f t="shared" si="115"/>
        <v>270873.97221469693</v>
      </c>
      <c r="M116" s="181">
        <f t="shared" si="115"/>
        <v>273289.4411535681</v>
      </c>
      <c r="N116" s="181">
        <f t="shared" si="115"/>
        <v>275475.42926280526</v>
      </c>
      <c r="O116" s="181">
        <f t="shared" si="115"/>
        <v>277045.54666312865</v>
      </c>
      <c r="P116" s="182">
        <f t="shared" ca="1" si="115"/>
        <v>279371.32387966372</v>
      </c>
      <c r="Q116" s="181">
        <f t="shared" ca="1" si="115"/>
        <v>283104.82153820485</v>
      </c>
      <c r="R116" s="181">
        <f t="shared" ca="1" si="115"/>
        <v>287642.9354752606</v>
      </c>
      <c r="S116" s="181">
        <f t="shared" ca="1" si="115"/>
        <v>290004.76434079011</v>
      </c>
      <c r="T116" s="181">
        <f t="shared" ca="1" si="115"/>
        <v>292262.76604530145</v>
      </c>
      <c r="U116" s="181">
        <f t="shared" ca="1" si="115"/>
        <v>283613.18227608397</v>
      </c>
      <c r="V116" s="181">
        <f t="shared" ca="1" si="115"/>
        <v>285738.85594777722</v>
      </c>
      <c r="W116" s="181">
        <f t="shared" ca="1" si="115"/>
        <v>285335.92117520171</v>
      </c>
      <c r="X116" s="181">
        <f t="shared" ca="1" si="115"/>
        <v>285479.39112539333</v>
      </c>
      <c r="Y116" s="181">
        <f t="shared" ca="1" si="115"/>
        <v>286748.60148739361</v>
      </c>
      <c r="Z116" s="181">
        <f t="shared" ca="1" si="115"/>
        <v>287852.90298185102</v>
      </c>
      <c r="AA116" s="183">
        <f t="shared" ca="1" si="115"/>
        <v>287406.80734620674</v>
      </c>
    </row>
    <row r="117" spans="3:27" ht="12.75" customHeight="1" x14ac:dyDescent="0.2">
      <c r="C117" s="16" t="s">
        <v>227</v>
      </c>
      <c r="D117" s="76">
        <f>D116-D100</f>
        <v>0</v>
      </c>
      <c r="E117" s="76">
        <f t="shared" ref="E117:AA117" si="116">E116-E100</f>
        <v>0</v>
      </c>
      <c r="F117" s="76">
        <f t="shared" si="116"/>
        <v>0</v>
      </c>
      <c r="G117" s="76">
        <f t="shared" si="116"/>
        <v>0</v>
      </c>
      <c r="H117" s="76">
        <f t="shared" si="116"/>
        <v>0</v>
      </c>
      <c r="I117" s="76">
        <f t="shared" si="116"/>
        <v>0</v>
      </c>
      <c r="J117" s="76">
        <f t="shared" si="116"/>
        <v>0</v>
      </c>
      <c r="K117" s="76">
        <f t="shared" si="116"/>
        <v>0</v>
      </c>
      <c r="L117" s="76">
        <f t="shared" si="116"/>
        <v>0</v>
      </c>
      <c r="M117" s="76">
        <f t="shared" si="116"/>
        <v>0</v>
      </c>
      <c r="N117" s="76">
        <f t="shared" si="116"/>
        <v>0</v>
      </c>
      <c r="O117" s="76">
        <f t="shared" si="116"/>
        <v>0</v>
      </c>
      <c r="P117" s="76">
        <f t="shared" ca="1" si="116"/>
        <v>0</v>
      </c>
      <c r="Q117" s="76">
        <f t="shared" ca="1" si="116"/>
        <v>0</v>
      </c>
      <c r="R117" s="76">
        <f t="shared" ca="1" si="116"/>
        <v>0</v>
      </c>
      <c r="S117" s="76">
        <f t="shared" ca="1" si="116"/>
        <v>0</v>
      </c>
      <c r="T117" s="76">
        <f t="shared" ca="1" si="116"/>
        <v>0</v>
      </c>
      <c r="U117" s="76">
        <f t="shared" ca="1" si="116"/>
        <v>0</v>
      </c>
      <c r="V117" s="76">
        <f t="shared" ca="1" si="116"/>
        <v>0</v>
      </c>
      <c r="W117" s="76">
        <f t="shared" ca="1" si="116"/>
        <v>0</v>
      </c>
      <c r="X117" s="76">
        <f t="shared" ca="1" si="116"/>
        <v>0</v>
      </c>
      <c r="Y117" s="76">
        <f t="shared" ca="1" si="116"/>
        <v>0</v>
      </c>
      <c r="Z117" s="76">
        <f t="shared" ca="1" si="116"/>
        <v>4.6566128730773926E-10</v>
      </c>
      <c r="AA117" s="76">
        <f t="shared" ca="1" si="116"/>
        <v>0</v>
      </c>
    </row>
    <row r="118" spans="3:27" ht="12.75" customHeight="1" x14ac:dyDescent="0.2"/>
    <row r="119" spans="3:27" ht="12.75" customHeight="1" x14ac:dyDescent="0.2">
      <c r="C119" s="189" t="s">
        <v>284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3:27" ht="3" customHeight="1" x14ac:dyDescent="0.2"/>
    <row r="121" spans="3:27" x14ac:dyDescent="0.2">
      <c r="C121" s="7" t="s">
        <v>201</v>
      </c>
      <c r="D121" s="318">
        <f>_xlfn.XLOOKUP($C121,'Cons. Financials - ''23 ''24'!$C$89:$C$149,'Cons. Financials - ''23 ''24'!P$89:P$149)</f>
        <v>33.755935158785292</v>
      </c>
      <c r="E121" s="318">
        <f>_xlfn.XLOOKUP($C121,'Cons. Financials - ''23 ''24'!$C$89:$C$149,'Cons. Financials - ''23 ''24'!Q$89:Q$149)</f>
        <v>34.336472361421144</v>
      </c>
      <c r="F121" s="318">
        <f>_xlfn.XLOOKUP($C121,'Cons. Financials - ''23 ''24'!$C$89:$C$149,'Cons. Financials - ''23 ''24'!R$89:R$149)</f>
        <v>33.626089803190766</v>
      </c>
      <c r="G121" s="318">
        <f>_xlfn.XLOOKUP($C121,'Cons. Financials - ''23 ''24'!$C$89:$C$149,'Cons. Financials - ''23 ''24'!S$89:S$149)</f>
        <v>33.359001254690952</v>
      </c>
      <c r="H121" s="318">
        <f>_xlfn.XLOOKUP($C121,'Cons. Financials - ''23 ''24'!$C$89:$C$149,'Cons. Financials - ''23 ''24'!T$89:T$149)</f>
        <v>32.676031779204621</v>
      </c>
      <c r="I121" s="318">
        <f>_xlfn.XLOOKUP($C121,'Cons. Financials - ''23 ''24'!$C$89:$C$149,'Cons. Financials - ''23 ''24'!U$89:U$149)</f>
        <v>31.962592877753945</v>
      </c>
      <c r="J121" s="318">
        <f>_xlfn.XLOOKUP($C121,'Cons. Financials - ''23 ''24'!$C$89:$C$149,'Cons. Financials - ''23 ''24'!V$89:V$149)</f>
        <v>32.589351683966598</v>
      </c>
      <c r="K121" s="318">
        <f>_xlfn.XLOOKUP($C121,'Cons. Financials - ''23 ''24'!$C$89:$C$149,'Cons. Financials - ''23 ''24'!W$89:W$149)</f>
        <v>32.491901470375097</v>
      </c>
      <c r="L121" s="318">
        <f>_xlfn.XLOOKUP($C121,'Cons. Financials - ''23 ''24'!$C$89:$C$149,'Cons. Financials - ''23 ''24'!X$89:X$149)</f>
        <v>32.48365611861454</v>
      </c>
      <c r="M121" s="318">
        <f>_xlfn.XLOOKUP($C121,'Cons. Financials - ''23 ''24'!$C$89:$C$149,'Cons. Financials - ''23 ''24'!Y$89:Y$149)</f>
        <v>32.466785805570339</v>
      </c>
      <c r="N121" s="318">
        <f>_xlfn.XLOOKUP($C121,'Cons. Financials - ''23 ''24'!$C$89:$C$149,'Cons. Financials - ''23 ''24'!Z$89:Z$149)</f>
        <v>33.036958256788147</v>
      </c>
      <c r="O121" s="319">
        <f>_xlfn.XLOOKUP($C121,'Cons. Financials - ''23 ''24'!$C$89:$C$149,'Cons. Financials - ''23 ''24'!AA$89:AA$149)</f>
        <v>33.825982755791323</v>
      </c>
      <c r="P121" s="318">
        <f>D121+_xlfn.XLOOKUP($C121,'Budget Assumption Driver'!$A$46:$A$52,'Budget Assumption Driver'!E$46:E$52)</f>
        <v>33.755935158785292</v>
      </c>
      <c r="Q121" s="318">
        <f>E121+_xlfn.XLOOKUP($C121,'Budget Assumption Driver'!$A$46:$A$52,'Budget Assumption Driver'!F$46:F$52)</f>
        <v>34.336472361421144</v>
      </c>
      <c r="R121" s="318">
        <f>F121+_xlfn.XLOOKUP($C121,'Budget Assumption Driver'!$A$46:$A$52,'Budget Assumption Driver'!G$46:G$52)</f>
        <v>33.626089803190766</v>
      </c>
      <c r="S121" s="318">
        <f>G121+_xlfn.XLOOKUP($C121,'Budget Assumption Driver'!$A$46:$A$52,'Budget Assumption Driver'!H$46:H$52)</f>
        <v>33.359001254690952</v>
      </c>
      <c r="T121" s="318">
        <f>H121+_xlfn.XLOOKUP($C121,'Budget Assumption Driver'!$A$46:$A$52,'Budget Assumption Driver'!I$46:I$52)</f>
        <v>32.676031779204621</v>
      </c>
      <c r="U121" s="318">
        <f>I121+_xlfn.XLOOKUP($C121,'Budget Assumption Driver'!$A$46:$A$52,'Budget Assumption Driver'!J$46:J$52)</f>
        <v>31.962592877753945</v>
      </c>
      <c r="V121" s="318">
        <f>J121+_xlfn.XLOOKUP($C121,'Budget Assumption Driver'!$A$46:$A$52,'Budget Assumption Driver'!K$46:K$52)</f>
        <v>32.589351683966598</v>
      </c>
      <c r="W121" s="318">
        <f>K121+_xlfn.XLOOKUP($C121,'Budget Assumption Driver'!$A$46:$A$52,'Budget Assumption Driver'!L$46:L$52)</f>
        <v>32.491901470375097</v>
      </c>
      <c r="X121" s="318">
        <f>L121+_xlfn.XLOOKUP($C121,'Budget Assumption Driver'!$A$46:$A$52,'Budget Assumption Driver'!M$46:M$52)</f>
        <v>32.48365611861454</v>
      </c>
      <c r="Y121" s="318">
        <f>M121+_xlfn.XLOOKUP($C121,'Budget Assumption Driver'!$A$46:$A$52,'Budget Assumption Driver'!N$46:N$52)</f>
        <v>32.466785805570339</v>
      </c>
      <c r="Z121" s="318">
        <f>N121+_xlfn.XLOOKUP($C121,'Budget Assumption Driver'!$A$46:$A$52,'Budget Assumption Driver'!O$46:O$52)</f>
        <v>33.036958256788147</v>
      </c>
      <c r="AA121" s="318">
        <f>O121+_xlfn.XLOOKUP($C121,'Budget Assumption Driver'!$A$46:$A$52,'Budget Assumption Driver'!P$46:P$52)</f>
        <v>33.825982755791323</v>
      </c>
    </row>
    <row r="122" spans="3:27" x14ac:dyDescent="0.2">
      <c r="C122" s="190" t="s">
        <v>198</v>
      </c>
      <c r="D122" s="320">
        <f>_xlfn.XLOOKUP($C122,'Cons. Financials - ''23 ''24'!$C$89:$C$149,'Cons. Financials - ''23 ''24'!P$89:P$149)</f>
        <v>38026.219524755063</v>
      </c>
      <c r="E122" s="320">
        <f>_xlfn.XLOOKUP($C122,'Cons. Financials - ''23 ''24'!$C$89:$C$149,'Cons. Financials - ''23 ''24'!Q$89:Q$149)</f>
        <v>37758.158189817863</v>
      </c>
      <c r="F122" s="320">
        <f>_xlfn.XLOOKUP($C122,'Cons. Financials - ''23 ''24'!$C$89:$C$149,'Cons. Financials - ''23 ''24'!R$89:R$149)</f>
        <v>38954.132363948607</v>
      </c>
      <c r="G122" s="320">
        <f>_xlfn.XLOOKUP($C122,'Cons. Financials - ''23 ''24'!$C$89:$C$149,'Cons. Financials - ''23 ''24'!S$89:S$149)</f>
        <v>37217.814415764733</v>
      </c>
      <c r="H122" s="320">
        <f>_xlfn.XLOOKUP($C122,'Cons. Financials - ''23 ''24'!$C$89:$C$149,'Cons. Financials - ''23 ''24'!T$89:T$149)</f>
        <v>36303.158821107718</v>
      </c>
      <c r="I122" s="320">
        <f>_xlfn.XLOOKUP($C122,'Cons. Financials - ''23 ''24'!$C$89:$C$149,'Cons. Financials - ''23 ''24'!U$89:U$149)</f>
        <v>34562.089545290815</v>
      </c>
      <c r="J122" s="320">
        <f>_xlfn.XLOOKUP($C122,'Cons. Financials - ''23 ''24'!$C$89:$C$149,'Cons. Financials - ''23 ''24'!V$89:V$149)</f>
        <v>35473.102717578862</v>
      </c>
      <c r="K122" s="320">
        <f>_xlfn.XLOOKUP($C122,'Cons. Financials - ''23 ''24'!$C$89:$C$149,'Cons. Financials - ''23 ''24'!W$89:W$149)</f>
        <v>36854.621451815125</v>
      </c>
      <c r="L122" s="320">
        <f>_xlfn.XLOOKUP($C122,'Cons. Financials - ''23 ''24'!$C$89:$C$149,'Cons. Financials - ''23 ''24'!X$89:X$149)</f>
        <v>38063.975000844599</v>
      </c>
      <c r="M122" s="320">
        <f>_xlfn.XLOOKUP($C122,'Cons. Financials - ''23 ''24'!$C$89:$C$149,'Cons. Financials - ''23 ''24'!Y$89:Y$149)</f>
        <v>39060.728403238914</v>
      </c>
      <c r="N122" s="320">
        <f>_xlfn.XLOOKUP($C122,'Cons. Financials - ''23 ''24'!$C$89:$C$149,'Cons. Financials - ''23 ''24'!Z$89:Z$149)</f>
        <v>38089.271320482578</v>
      </c>
      <c r="O122" s="321">
        <f>_xlfn.XLOOKUP($C122,'Cons. Financials - ''23 ''24'!$C$89:$C$149,'Cons. Financials - ''23 ''24'!AA$89:AA$149)</f>
        <v>35886.944457524616</v>
      </c>
      <c r="P122" s="195">
        <f>SUM(N14:P14)</f>
        <v>36801.907100862598</v>
      </c>
      <c r="Q122" s="195">
        <f t="shared" ref="Q122:AA122" si="117">SUM(O$14:Q$14)</f>
        <v>39890.445547361029</v>
      </c>
      <c r="R122" s="195">
        <f t="shared" si="117"/>
        <v>46485.211353602353</v>
      </c>
      <c r="S122" s="195">
        <f t="shared" si="117"/>
        <v>49682.602506535659</v>
      </c>
      <c r="T122" s="195">
        <f t="shared" si="117"/>
        <v>55525.573864012724</v>
      </c>
      <c r="U122" s="195">
        <f t="shared" si="117"/>
        <v>56838.201698868244</v>
      </c>
      <c r="V122" s="195">
        <f t="shared" si="117"/>
        <v>57510.879221405921</v>
      </c>
      <c r="W122" s="195">
        <f t="shared" si="117"/>
        <v>52183.329099947616</v>
      </c>
      <c r="X122" s="195">
        <f t="shared" si="117"/>
        <v>48933.050777221375</v>
      </c>
      <c r="Y122" s="195">
        <f t="shared" si="117"/>
        <v>47136.170830947398</v>
      </c>
      <c r="Z122" s="195">
        <f t="shared" si="117"/>
        <v>44475.250743782519</v>
      </c>
      <c r="AA122" s="195">
        <f t="shared" si="117"/>
        <v>40706.288844075898</v>
      </c>
    </row>
    <row r="123" spans="3:27" ht="6" customHeight="1" x14ac:dyDescent="0.2">
      <c r="C123" s="190"/>
      <c r="D123" s="191"/>
      <c r="E123" s="191"/>
      <c r="F123" s="192"/>
      <c r="G123" s="192"/>
      <c r="H123" s="192"/>
      <c r="I123" s="192"/>
      <c r="J123" s="192"/>
      <c r="K123" s="192"/>
      <c r="L123" s="192"/>
      <c r="M123" s="192"/>
      <c r="N123" s="192"/>
      <c r="O123" s="193"/>
      <c r="P123" s="192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  <c r="AA123" s="192"/>
    </row>
    <row r="124" spans="3:27" x14ac:dyDescent="0.2">
      <c r="C124" s="7" t="s">
        <v>200</v>
      </c>
      <c r="D124" s="318">
        <f>_xlfn.XLOOKUP($C124,'Cons. Financials - ''23 ''24'!$C$89:$C$149,'Cons. Financials - ''23 ''24'!P$89:P$149)</f>
        <v>27.990025876262298</v>
      </c>
      <c r="E124" s="318">
        <f>_xlfn.XLOOKUP($C124,'Cons. Financials - ''23 ''24'!$C$89:$C$149,'Cons. Financials - ''23 ''24'!Q$89:Q$149)</f>
        <v>27.410711465182839</v>
      </c>
      <c r="F124" s="318">
        <f>_xlfn.XLOOKUP($C124,'Cons. Financials - ''23 ''24'!$C$89:$C$149,'Cons. Financials - ''23 ''24'!R$89:R$149)</f>
        <v>26.781053670672861</v>
      </c>
      <c r="G124" s="318">
        <f>_xlfn.XLOOKUP($C124,'Cons. Financials - ''23 ''24'!$C$89:$C$149,'Cons. Financials - ''23 ''24'!S$89:S$149)</f>
        <v>26.215722953353595</v>
      </c>
      <c r="H124" s="318">
        <f>_xlfn.XLOOKUP($C124,'Cons. Financials - ''23 ''24'!$C$89:$C$149,'Cons. Financials - ''23 ''24'!T$89:T$149)</f>
        <v>25.450979306245177</v>
      </c>
      <c r="I124" s="318">
        <f>_xlfn.XLOOKUP($C124,'Cons. Financials - ''23 ''24'!$C$89:$C$149,'Cons. Financials - ''23 ''24'!U$89:U$149)</f>
        <v>25.167260308840202</v>
      </c>
      <c r="J124" s="318">
        <f>_xlfn.XLOOKUP($C124,'Cons. Financials - ''23 ''24'!$C$89:$C$149,'Cons. Financials - ''23 ''24'!V$89:V$149)</f>
        <v>24.714456491437549</v>
      </c>
      <c r="K124" s="318">
        <f>_xlfn.XLOOKUP($C124,'Cons. Financials - ''23 ''24'!$C$89:$C$149,'Cons. Financials - ''23 ''24'!W$89:W$149)</f>
        <v>24.232845245485009</v>
      </c>
      <c r="L124" s="318">
        <f>_xlfn.XLOOKUP($C124,'Cons. Financials - ''23 ''24'!$C$89:$C$149,'Cons. Financials - ''23 ''24'!X$89:X$149)</f>
        <v>24.00041102646702</v>
      </c>
      <c r="M124" s="318">
        <f>_xlfn.XLOOKUP($C124,'Cons. Financials - ''23 ''24'!$C$89:$C$149,'Cons. Financials - ''23 ''24'!Y$89:Y$149)</f>
        <v>23.228103266884567</v>
      </c>
      <c r="N124" s="318">
        <f>_xlfn.XLOOKUP($C124,'Cons. Financials - ''23 ''24'!$C$89:$C$149,'Cons. Financials - ''23 ''24'!Z$89:Z$149)</f>
        <v>23.81315145762909</v>
      </c>
      <c r="O124" s="319">
        <f>_xlfn.XLOOKUP($C124,'Cons. Financials - ''23 ''24'!$C$89:$C$149,'Cons. Financials - ''23 ''24'!AA$89:AA$149)</f>
        <v>24.560085054586551</v>
      </c>
      <c r="P124" s="318">
        <f>D124+_xlfn.XLOOKUP($C124,'Budget Assumption Driver'!$A$46:$A$52,'Budget Assumption Driver'!E$46:E$52)</f>
        <v>27.990025876262298</v>
      </c>
      <c r="Q124" s="318">
        <f>E124+_xlfn.XLOOKUP($C124,'Budget Assumption Driver'!$A$46:$A$52,'Budget Assumption Driver'!F$46:F$52)</f>
        <v>27.410711465182839</v>
      </c>
      <c r="R124" s="318">
        <f>F124+_xlfn.XLOOKUP($C124,'Budget Assumption Driver'!$A$46:$A$52,'Budget Assumption Driver'!G$46:G$52)</f>
        <v>26.781053670672861</v>
      </c>
      <c r="S124" s="318">
        <f>G124+_xlfn.XLOOKUP($C124,'Budget Assumption Driver'!$A$46:$A$52,'Budget Assumption Driver'!H$46:H$52)</f>
        <v>26.215722953353595</v>
      </c>
      <c r="T124" s="318">
        <f>H124+_xlfn.XLOOKUP($C124,'Budget Assumption Driver'!$A$46:$A$52,'Budget Assumption Driver'!I$46:I$52)</f>
        <v>25.450979306245177</v>
      </c>
      <c r="U124" s="318">
        <f>I124+_xlfn.XLOOKUP($C124,'Budget Assumption Driver'!$A$46:$A$52,'Budget Assumption Driver'!J$46:J$52)</f>
        <v>25.167260308840202</v>
      </c>
      <c r="V124" s="318">
        <f>J124+_xlfn.XLOOKUP($C124,'Budget Assumption Driver'!$A$46:$A$52,'Budget Assumption Driver'!K$46:K$52)</f>
        <v>24.714456491437549</v>
      </c>
      <c r="W124" s="318">
        <f>K124+_xlfn.XLOOKUP($C124,'Budget Assumption Driver'!$A$46:$A$52,'Budget Assumption Driver'!L$46:L$52)</f>
        <v>24.232845245485009</v>
      </c>
      <c r="X124" s="318">
        <f>L124+_xlfn.XLOOKUP($C124,'Budget Assumption Driver'!$A$46:$A$52,'Budget Assumption Driver'!M$46:M$52)</f>
        <v>24.00041102646702</v>
      </c>
      <c r="Y124" s="318">
        <f>M124+_xlfn.XLOOKUP($C124,'Budget Assumption Driver'!$A$46:$A$52,'Budget Assumption Driver'!N$46:N$52)</f>
        <v>23.228103266884567</v>
      </c>
      <c r="Z124" s="318">
        <f>N124+_xlfn.XLOOKUP($C124,'Budget Assumption Driver'!$A$46:$A$52,'Budget Assumption Driver'!O$46:O$52)</f>
        <v>23.81315145762909</v>
      </c>
      <c r="AA124" s="318">
        <f>O124+_xlfn.XLOOKUP($C124,'Budget Assumption Driver'!$A$46:$A$52,'Budget Assumption Driver'!P$46:P$52)</f>
        <v>24.560085054586551</v>
      </c>
    </row>
    <row r="125" spans="3:27" x14ac:dyDescent="0.2">
      <c r="C125" s="190" t="s">
        <v>199</v>
      </c>
      <c r="D125" s="320">
        <f>_xlfn.XLOOKUP($C125,'Cons. Financials - ''23 ''24'!$C$89:$C$149,'Cons. Financials - ''23 ''24'!P$89:P$149)</f>
        <v>1885.487926052931</v>
      </c>
      <c r="E125" s="320">
        <f>_xlfn.XLOOKUP($C125,'Cons. Financials - ''23 ''24'!$C$89:$C$149,'Cons. Financials - ''23 ''24'!Q$89:Q$149)</f>
        <v>2049.2102452692625</v>
      </c>
      <c r="F125" s="320">
        <f>_xlfn.XLOOKUP($C125,'Cons. Financials - ''23 ''24'!$C$89:$C$149,'Cons. Financials - ''23 ''24'!R$89:R$149)</f>
        <v>2417.185708893192</v>
      </c>
      <c r="G125" s="320">
        <f>_xlfn.XLOOKUP($C125,'Cons. Financials - ''23 ''24'!$C$89:$C$149,'Cons. Financials - ''23 ''24'!S$89:S$149)</f>
        <v>2566.2735978995529</v>
      </c>
      <c r="H125" s="320">
        <f>_xlfn.XLOOKUP($C125,'Cons. Financials - ''23 ''24'!$C$89:$C$149,'Cons. Financials - ''23 ''24'!T$89:T$149)</f>
        <v>2879.4821564745966</v>
      </c>
      <c r="I125" s="320">
        <f>_xlfn.XLOOKUP($C125,'Cons. Financials - ''23 ''24'!$C$89:$C$149,'Cons. Financials - ''23 ''24'!U$89:U$149)</f>
        <v>2940.8587031856737</v>
      </c>
      <c r="J125" s="320">
        <f>_xlfn.XLOOKUP($C125,'Cons. Financials - ''23 ''24'!$C$89:$C$149,'Cons. Financials - ''23 ''24'!V$89:V$149)</f>
        <v>2944.5798949932373</v>
      </c>
      <c r="K125" s="320">
        <f>_xlfn.XLOOKUP($C125,'Cons. Financials - ''23 ''24'!$C$89:$C$149,'Cons. Financials - ''23 ''24'!W$89:W$149)</f>
        <v>2631.8491349702795</v>
      </c>
      <c r="L125" s="320">
        <f>_xlfn.XLOOKUP($C125,'Cons. Financials - ''23 ''24'!$C$89:$C$149,'Cons. Financials - ''23 ''24'!X$89:X$149)</f>
        <v>2436.603486777145</v>
      </c>
      <c r="M125" s="320">
        <f>_xlfn.XLOOKUP($C125,'Cons. Financials - ''23 ''24'!$C$89:$C$149,'Cons. Financials - ''23 ''24'!Y$89:Y$149)</f>
        <v>2337.2257669950745</v>
      </c>
      <c r="N125" s="320">
        <f>_xlfn.XLOOKUP($C125,'Cons. Financials - ''23 ''24'!$C$89:$C$149,'Cons. Financials - ''23 ''24'!Z$89:Z$149)</f>
        <v>2192.4759026726938</v>
      </c>
      <c r="O125" s="321">
        <f>_xlfn.XLOOKUP($C125,'Cons. Financials - ''23 ''24'!$C$89:$C$149,'Cons. Financials - ''23 ''24'!AA$89:AA$149)</f>
        <v>1996.8328965529408</v>
      </c>
      <c r="P125" s="195">
        <f>-(SUM(N23:P23))</f>
        <v>2003.503072039895</v>
      </c>
      <c r="Q125" s="195">
        <f t="shared" ref="Q125:AA125" si="118">-(SUM(O$23:Q$23))</f>
        <v>2309.4878308184079</v>
      </c>
      <c r="R125" s="195">
        <f t="shared" si="118"/>
        <v>2908.2247185488632</v>
      </c>
      <c r="S125" s="195">
        <f t="shared" si="118"/>
        <v>3526.5846350406928</v>
      </c>
      <c r="T125" s="195">
        <f t="shared" si="118"/>
        <v>4648.5086859521107</v>
      </c>
      <c r="U125" s="195">
        <f t="shared" si="118"/>
        <v>5071.968197045182</v>
      </c>
      <c r="V125" s="195">
        <f t="shared" si="118"/>
        <v>5028.4067557635126</v>
      </c>
      <c r="W125" s="195">
        <f t="shared" si="118"/>
        <v>3908.7068486232192</v>
      </c>
      <c r="X125" s="195">
        <f t="shared" si="118"/>
        <v>3238.5072571277187</v>
      </c>
      <c r="Y125" s="195">
        <f t="shared" si="118"/>
        <v>2844.2509157016348</v>
      </c>
      <c r="Z125" s="195">
        <f t="shared" si="118"/>
        <v>2583.6953399826898</v>
      </c>
      <c r="AA125" s="195">
        <f t="shared" si="118"/>
        <v>2285.3750254182696</v>
      </c>
    </row>
    <row r="126" spans="3:27" ht="6" customHeight="1" x14ac:dyDescent="0.2">
      <c r="C126" s="190"/>
      <c r="D126" s="191"/>
      <c r="E126" s="191"/>
      <c r="F126" s="192"/>
      <c r="G126" s="192"/>
      <c r="H126" s="192"/>
      <c r="I126" s="192"/>
      <c r="J126" s="192"/>
      <c r="K126" s="192"/>
      <c r="L126" s="192"/>
      <c r="M126" s="192"/>
      <c r="N126" s="192"/>
      <c r="O126" s="193"/>
      <c r="P126" s="192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  <c r="AA126" s="192"/>
    </row>
    <row r="127" spans="3:27" x14ac:dyDescent="0.2">
      <c r="C127" s="7" t="s">
        <v>207</v>
      </c>
      <c r="D127" s="311">
        <f>_xlfn.XLOOKUP($C127,'Cons. Financials - ''23 ''24'!$C$89:$C$149,'Cons. Financials - ''23 ''24'!P$89:P$149)</f>
        <v>4.0668341997735884E-2</v>
      </c>
      <c r="E127" s="311">
        <f>_xlfn.XLOOKUP($C127,'Cons. Financials - ''23 ''24'!$C$89:$C$149,'Cons. Financials - ''23 ''24'!Q$89:Q$149)</f>
        <v>7.7784000746755719E-2</v>
      </c>
      <c r="F127" s="311">
        <f>_xlfn.XLOOKUP($C127,'Cons. Financials - ''23 ''24'!$C$89:$C$149,'Cons. Financials - ''23 ''24'!R$89:R$149)</f>
        <v>0.11280949402090584</v>
      </c>
      <c r="G127" s="311">
        <f>_xlfn.XLOOKUP($C127,'Cons. Financials - ''23 ''24'!$C$89:$C$149,'Cons. Financials - ''23 ''24'!S$89:S$149)</f>
        <v>0.14819343677255084</v>
      </c>
      <c r="H127" s="311">
        <f>_xlfn.XLOOKUP($C127,'Cons. Financials - ''23 ''24'!$C$89:$C$149,'Cons. Financials - ''23 ''24'!T$89:T$149)</f>
        <v>0.18461299233485104</v>
      </c>
      <c r="I127" s="311">
        <f>_xlfn.XLOOKUP($C127,'Cons. Financials - ''23 ''24'!$C$89:$C$149,'Cons. Financials - ''23 ''24'!U$89:U$149)</f>
        <v>0.22408364357022398</v>
      </c>
      <c r="J127" s="311">
        <f>_xlfn.XLOOKUP($C127,'Cons. Financials - ''23 ''24'!$C$89:$C$149,'Cons. Financials - ''23 ''24'!V$89:V$149)</f>
        <v>0.25557114950594501</v>
      </c>
      <c r="K127" s="311">
        <f>_xlfn.XLOOKUP($C127,'Cons. Financials - ''23 ''24'!$C$89:$C$149,'Cons. Financials - ''23 ''24'!W$89:W$149)</f>
        <v>0.29612920602550957</v>
      </c>
      <c r="L127" s="311">
        <f>_xlfn.XLOOKUP($C127,'Cons. Financials - ''23 ''24'!$C$89:$C$149,'Cons. Financials - ''23 ''24'!X$89:X$149)</f>
        <v>0.33770741451258757</v>
      </c>
      <c r="M127" s="311">
        <f>_xlfn.XLOOKUP($C127,'Cons. Financials - ''23 ''24'!$C$89:$C$149,'Cons. Financials - ''23 ''24'!Y$89:Y$149)</f>
        <v>0.37665574421606524</v>
      </c>
      <c r="N127" s="311">
        <f>_xlfn.XLOOKUP($C127,'Cons. Financials - ''23 ''24'!$C$89:$C$149,'Cons. Financials - ''23 ''24'!Z$89:Z$149)</f>
        <v>0.41870778951205373</v>
      </c>
      <c r="O127" s="322">
        <f>_xlfn.XLOOKUP($C127,'Cons. Financials - ''23 ''24'!$C$89:$C$149,'Cons. Financials - ''23 ''24'!AA$89:AA$149)</f>
        <v>1.8300334398247365E-3</v>
      </c>
      <c r="P127" s="311">
        <f>D127+_xlfn.XLOOKUP($C127,'Budget Assumption Driver'!$A$46:$A$52,'Budget Assumption Driver'!E$46:E$52)</f>
        <v>4.0668341997735884E-2</v>
      </c>
      <c r="Q127" s="311">
        <f>E127+_xlfn.XLOOKUP($C127,'Budget Assumption Driver'!$A$46:$A$52,'Budget Assumption Driver'!F$46:F$52)</f>
        <v>7.7784000746755719E-2</v>
      </c>
      <c r="R127" s="311">
        <f>F127+_xlfn.XLOOKUP($C127,'Budget Assumption Driver'!$A$46:$A$52,'Budget Assumption Driver'!G$46:G$52)</f>
        <v>0.11280949402090584</v>
      </c>
      <c r="S127" s="311">
        <f>G127+_xlfn.XLOOKUP($C127,'Budget Assumption Driver'!$A$46:$A$52,'Budget Assumption Driver'!H$46:H$52)</f>
        <v>0.14819343677255084</v>
      </c>
      <c r="T127" s="311">
        <f>H127+_xlfn.XLOOKUP($C127,'Budget Assumption Driver'!$A$46:$A$52,'Budget Assumption Driver'!I$46:I$52)</f>
        <v>0.18461299233485104</v>
      </c>
      <c r="U127" s="311">
        <f>I127+_xlfn.XLOOKUP($C127,'Budget Assumption Driver'!$A$46:$A$52,'Budget Assumption Driver'!J$46:J$52)</f>
        <v>0.22408364357022398</v>
      </c>
      <c r="V127" s="311">
        <f>J127+_xlfn.XLOOKUP($C127,'Budget Assumption Driver'!$A$46:$A$52,'Budget Assumption Driver'!K$46:K$52)</f>
        <v>0.25557114950594501</v>
      </c>
      <c r="W127" s="311">
        <f>K127+_xlfn.XLOOKUP($C127,'Budget Assumption Driver'!$A$46:$A$52,'Budget Assumption Driver'!L$46:L$52)</f>
        <v>0.29612920602550957</v>
      </c>
      <c r="X127" s="311">
        <f>L127+_xlfn.XLOOKUP($C127,'Budget Assumption Driver'!$A$46:$A$52,'Budget Assumption Driver'!M$46:M$52)</f>
        <v>0.33770741451258757</v>
      </c>
      <c r="Y127" s="311">
        <f>M127+_xlfn.XLOOKUP($C127,'Budget Assumption Driver'!$A$46:$A$52,'Budget Assumption Driver'!N$46:N$52)</f>
        <v>0.37665574421606524</v>
      </c>
      <c r="Z127" s="311">
        <f>N127+_xlfn.XLOOKUP($C127,'Budget Assumption Driver'!$A$46:$A$52,'Budget Assumption Driver'!O$46:O$52)</f>
        <v>0.41870778951205373</v>
      </c>
      <c r="AA127" s="311">
        <f>O127+_xlfn.XLOOKUP($C127,'Budget Assumption Driver'!$A$46:$A$52,'Budget Assumption Driver'!P$46:P$52)</f>
        <v>1.8300334398247365E-3</v>
      </c>
    </row>
    <row r="128" spans="3:27" x14ac:dyDescent="0.2">
      <c r="C128" s="190" t="s">
        <v>205</v>
      </c>
      <c r="D128" s="320">
        <f>_xlfn.XLOOKUP($C128,'Cons. Financials - ''23 ''24'!$C$89:$C$149,'Cons. Financials - ''23 ''24'!P$89:P$149)</f>
        <v>2172.0416666666665</v>
      </c>
      <c r="E128" s="320">
        <f>_xlfn.XLOOKUP($C128,'Cons. Financials - ''23 ''24'!$C$89:$C$149,'Cons. Financials - ''23 ''24'!Q$89:Q$149)</f>
        <v>2231.8749999999995</v>
      </c>
      <c r="F128" s="320">
        <f>_xlfn.XLOOKUP($C128,'Cons. Financials - ''23 ''24'!$C$89:$C$149,'Cons. Financials - ''23 ''24'!R$89:R$149)</f>
        <v>2297.9374999999995</v>
      </c>
      <c r="G128" s="320">
        <f>_xlfn.XLOOKUP($C128,'Cons. Financials - ''23 ''24'!$C$89:$C$149,'Cons. Financials - ''23 ''24'!S$89:S$149)</f>
        <v>2300.0624999999995</v>
      </c>
      <c r="H128" s="320">
        <f>_xlfn.XLOOKUP($C128,'Cons. Financials - ''23 ''24'!$C$89:$C$149,'Cons. Financials - ''23 ''24'!T$89:T$149)</f>
        <v>2277.6249999999995</v>
      </c>
      <c r="I128" s="320">
        <f>_xlfn.XLOOKUP($C128,'Cons. Financials - ''23 ''24'!$C$89:$C$149,'Cons. Financials - ''23 ''24'!U$89:U$149)</f>
        <v>2249.6249999999995</v>
      </c>
      <c r="J128" s="320">
        <f>_xlfn.XLOOKUP($C128,'Cons. Financials - ''23 ''24'!$C$89:$C$149,'Cons. Financials - ''23 ''24'!V$89:V$149)</f>
        <v>2196.958333333333</v>
      </c>
      <c r="K128" s="320">
        <f>_xlfn.XLOOKUP($C128,'Cons. Financials - ''23 ''24'!$C$89:$C$149,'Cons. Financials - ''23 ''24'!W$89:W$149)</f>
        <v>2165.7916666666665</v>
      </c>
      <c r="L128" s="320">
        <f>_xlfn.XLOOKUP($C128,'Cons. Financials - ''23 ''24'!$C$89:$C$149,'Cons. Financials - ''23 ''24'!X$89:X$149)</f>
        <v>2106.7916666666665</v>
      </c>
      <c r="M128" s="320">
        <f>_xlfn.XLOOKUP($C128,'Cons. Financials - ''23 ''24'!$C$89:$C$149,'Cons. Financials - ''23 ''24'!Y$89:Y$149)</f>
        <v>2098.125</v>
      </c>
      <c r="N128" s="320">
        <f>_xlfn.XLOOKUP($C128,'Cons. Financials - ''23 ''24'!$C$89:$C$149,'Cons. Financials - ''23 ''24'!Z$89:Z$149)</f>
        <v>2057.520833333333</v>
      </c>
      <c r="O128" s="321">
        <f>_xlfn.XLOOKUP($C128,'Cons. Financials - ''23 ''24'!$C$89:$C$149,'Cons. Financials - ''23 ''24'!AA$89:AA$149)</f>
        <v>2047.6249999999998</v>
      </c>
      <c r="P128" s="195">
        <f>-(SUM(N$41:P$41))</f>
        <v>2168.125</v>
      </c>
      <c r="Q128" s="195">
        <f t="shared" ref="Q128:AA128" si="119">-(SUM(O$41:Q$41))</f>
        <v>2372.8541666666674</v>
      </c>
      <c r="R128" s="195">
        <f t="shared" si="119"/>
        <v>2570.7083333333344</v>
      </c>
      <c r="S128" s="195">
        <f t="shared" si="119"/>
        <v>2629.5000000000009</v>
      </c>
      <c r="T128" s="195">
        <f t="shared" si="119"/>
        <v>2629.5000000000009</v>
      </c>
      <c r="U128" s="195">
        <f t="shared" si="119"/>
        <v>2629.5000000000009</v>
      </c>
      <c r="V128" s="195">
        <f t="shared" si="119"/>
        <v>2629.5000000000009</v>
      </c>
      <c r="W128" s="195">
        <f t="shared" si="119"/>
        <v>2629.5000000000009</v>
      </c>
      <c r="X128" s="195">
        <f t="shared" si="119"/>
        <v>2629.5000000000009</v>
      </c>
      <c r="Y128" s="195">
        <f t="shared" si="119"/>
        <v>2629.5000000000009</v>
      </c>
      <c r="Z128" s="195">
        <f t="shared" si="119"/>
        <v>2629.5000000000009</v>
      </c>
      <c r="AA128" s="195">
        <f t="shared" si="119"/>
        <v>2629.5000000000009</v>
      </c>
    </row>
    <row r="129" spans="3:27" ht="6" customHeight="1" x14ac:dyDescent="0.2">
      <c r="C129" s="190"/>
      <c r="D129" s="191"/>
      <c r="E129" s="191"/>
      <c r="F129" s="192"/>
      <c r="G129" s="192"/>
      <c r="H129" s="192"/>
      <c r="I129" s="192"/>
      <c r="J129" s="192"/>
      <c r="K129" s="192"/>
      <c r="L129" s="192"/>
      <c r="M129" s="192"/>
      <c r="N129" s="192"/>
      <c r="O129" s="193"/>
      <c r="P129" s="192"/>
      <c r="Q129" s="192"/>
      <c r="R129" s="192"/>
      <c r="S129" s="192"/>
      <c r="T129" s="192"/>
      <c r="U129" s="192"/>
      <c r="V129" s="192"/>
      <c r="W129" s="192"/>
      <c r="X129" s="192"/>
      <c r="Y129" s="192"/>
      <c r="Z129" s="192"/>
      <c r="AA129" s="192"/>
    </row>
    <row r="130" spans="3:27" x14ac:dyDescent="0.2">
      <c r="C130" s="7" t="s">
        <v>202</v>
      </c>
      <c r="D130" s="311">
        <f>_xlfn.XLOOKUP($C130,'Cons. Financials - ''23 ''24'!$C$89:$C$149,'Cons. Financials - ''23 ''24'!P$89:P$149)</f>
        <v>0.19530870993085114</v>
      </c>
      <c r="E130" s="311">
        <f>_xlfn.XLOOKUP($C130,'Cons. Financials - ''23 ''24'!$C$89:$C$149,'Cons. Financials - ''23 ''24'!Q$89:Q$149)</f>
        <v>0.20511598644637707</v>
      </c>
      <c r="F130" s="311">
        <f>_xlfn.XLOOKUP($C130,'Cons. Financials - ''23 ''24'!$C$89:$C$149,'Cons. Financials - ''23 ''24'!R$89:R$149)</f>
        <v>0.21126273677259708</v>
      </c>
      <c r="G130" s="311">
        <f>_xlfn.XLOOKUP($C130,'Cons. Financials - ''23 ''24'!$C$89:$C$149,'Cons. Financials - ''23 ''24'!S$89:S$149)</f>
        <v>0.20155242323416195</v>
      </c>
      <c r="H130" s="311">
        <f>_xlfn.XLOOKUP($C130,'Cons. Financials - ''23 ''24'!$C$89:$C$149,'Cons. Financials - ''23 ''24'!T$89:T$149)</f>
        <v>0.20514262645659379</v>
      </c>
      <c r="I130" s="311">
        <f>_xlfn.XLOOKUP($C130,'Cons. Financials - ''23 ''24'!$C$89:$C$149,'Cons. Financials - ''23 ''24'!U$89:U$149)</f>
        <v>0.19763450076826183</v>
      </c>
      <c r="J130" s="311">
        <f>_xlfn.XLOOKUP($C130,'Cons. Financials - ''23 ''24'!$C$89:$C$149,'Cons. Financials - ''23 ''24'!V$89:V$149)</f>
        <v>0.19924592768440408</v>
      </c>
      <c r="K130" s="311">
        <f>_xlfn.XLOOKUP($C130,'Cons. Financials - ''23 ''24'!$C$89:$C$149,'Cons. Financials - ''23 ''24'!W$89:W$149)</f>
        <v>0.20653758541915077</v>
      </c>
      <c r="L130" s="311">
        <f>_xlfn.XLOOKUP($C130,'Cons. Financials - ''23 ''24'!$C$89:$C$149,'Cons. Financials - ''23 ''24'!X$89:X$149)</f>
        <v>0.21247590443350681</v>
      </c>
      <c r="M130" s="311">
        <f>_xlfn.XLOOKUP($C130,'Cons. Financials - ''23 ''24'!$C$89:$C$149,'Cons. Financials - ''23 ''24'!Y$89:Y$149)</f>
        <v>0.22427590585938148</v>
      </c>
      <c r="N130" s="311">
        <f>_xlfn.XLOOKUP($C130,'Cons. Financials - ''23 ''24'!$C$89:$C$149,'Cons. Financials - ''23 ''24'!Z$89:Z$149)</f>
        <v>0.21901961277572066</v>
      </c>
      <c r="O130" s="322">
        <f>_xlfn.XLOOKUP($C130,'Cons. Financials - ''23 ''24'!$C$89:$C$149,'Cons. Financials - ''23 ''24'!AA$89:AA$149)</f>
        <v>0.23622506586189956</v>
      </c>
      <c r="P130" s="311">
        <f>D130+_xlfn.XLOOKUP($C130,'Budget Assumption Driver'!$A$46:$A$52,'Budget Assumption Driver'!E$46:E$52)</f>
        <v>0.19530870993085114</v>
      </c>
      <c r="Q130" s="311">
        <f>E130+_xlfn.XLOOKUP($C130,'Budget Assumption Driver'!$A$46:$A$52,'Budget Assumption Driver'!F$46:F$52)</f>
        <v>0.20511598644637707</v>
      </c>
      <c r="R130" s="311">
        <f>F130+_xlfn.XLOOKUP($C130,'Budget Assumption Driver'!$A$46:$A$52,'Budget Assumption Driver'!G$46:G$52)</f>
        <v>0.21126273677259708</v>
      </c>
      <c r="S130" s="311">
        <f>G130+_xlfn.XLOOKUP($C130,'Budget Assumption Driver'!$A$46:$A$52,'Budget Assumption Driver'!H$46:H$52)</f>
        <v>0.20155242323416195</v>
      </c>
      <c r="T130" s="311">
        <f>H130+_xlfn.XLOOKUP($C130,'Budget Assumption Driver'!$A$46:$A$52,'Budget Assumption Driver'!I$46:I$52)</f>
        <v>0.20514262645659379</v>
      </c>
      <c r="U130" s="311">
        <f>I130+_xlfn.XLOOKUP($C130,'Budget Assumption Driver'!$A$46:$A$52,'Budget Assumption Driver'!J$46:J$52)</f>
        <v>0.19763450076826183</v>
      </c>
      <c r="V130" s="311">
        <f>J130+_xlfn.XLOOKUP($C130,'Budget Assumption Driver'!$A$46:$A$52,'Budget Assumption Driver'!K$46:K$52)</f>
        <v>0.19924592768440408</v>
      </c>
      <c r="W130" s="311">
        <f>K130+_xlfn.XLOOKUP($C130,'Budget Assumption Driver'!$A$46:$A$52,'Budget Assumption Driver'!L$46:L$52)</f>
        <v>0.20653758541915077</v>
      </c>
      <c r="X130" s="311">
        <f>L130+_xlfn.XLOOKUP($C130,'Budget Assumption Driver'!$A$46:$A$52,'Budget Assumption Driver'!M$46:M$52)</f>
        <v>0.21247590443350681</v>
      </c>
      <c r="Y130" s="311">
        <f>M130+_xlfn.XLOOKUP($C130,'Budget Assumption Driver'!$A$46:$A$52,'Budget Assumption Driver'!N$46:N$52)</f>
        <v>0.22427590585938148</v>
      </c>
      <c r="Z130" s="311">
        <f>N130+_xlfn.XLOOKUP($C130,'Budget Assumption Driver'!$A$46:$A$52,'Budget Assumption Driver'!O$46:O$52)</f>
        <v>0.21901961277572066</v>
      </c>
      <c r="AA130" s="311">
        <f>O130+_xlfn.XLOOKUP($C130,'Budget Assumption Driver'!$A$46:$A$52,'Budget Assumption Driver'!P$46:P$52)</f>
        <v>0.23622506586189956</v>
      </c>
    </row>
    <row r="131" spans="3:27" ht="6" customHeight="1" x14ac:dyDescent="0.2">
      <c r="C131" s="190"/>
      <c r="D131" s="191"/>
      <c r="E131" s="191"/>
      <c r="F131" s="192"/>
      <c r="G131" s="192"/>
      <c r="H131" s="192"/>
      <c r="I131" s="192"/>
      <c r="J131" s="192"/>
      <c r="K131" s="192"/>
      <c r="L131" s="192"/>
      <c r="M131" s="192"/>
      <c r="N131" s="192"/>
      <c r="O131" s="193"/>
      <c r="P131" s="192"/>
      <c r="Q131" s="192"/>
      <c r="R131" s="192"/>
      <c r="S131" s="192"/>
      <c r="T131" s="192"/>
      <c r="U131" s="192"/>
      <c r="V131" s="192"/>
      <c r="W131" s="192"/>
      <c r="X131" s="192"/>
      <c r="Y131" s="192"/>
      <c r="Z131" s="192"/>
      <c r="AA131" s="192"/>
    </row>
    <row r="132" spans="3:27" x14ac:dyDescent="0.2">
      <c r="C132" s="7" t="s">
        <v>206</v>
      </c>
      <c r="D132" s="311">
        <f>_xlfn.XLOOKUP($C132,'Cons. Financials - ''23 ''24'!$C$89:$C$149,'Cons. Financials - ''23 ''24'!P$89:P$149)</f>
        <v>0.46032107394765825</v>
      </c>
      <c r="E132" s="311">
        <f>_xlfn.XLOOKUP($C132,'Cons. Financials - ''23 ''24'!$C$89:$C$149,'Cons. Financials - ''23 ''24'!Q$89:Q$149)</f>
        <v>0.46492316019556995</v>
      </c>
      <c r="F132" s="311">
        <f>_xlfn.XLOOKUP($C132,'Cons. Financials - ''23 ''24'!$C$89:$C$149,'Cons. Financials - ''23 ''24'!R$89:R$149)</f>
        <v>0.46125622877963118</v>
      </c>
      <c r="G132" s="311">
        <f>_xlfn.XLOOKUP($C132,'Cons. Financials - ''23 ''24'!$C$89:$C$149,'Cons. Financials - ''23 ''24'!S$89:S$149)</f>
        <v>0.45924679603739982</v>
      </c>
      <c r="H132" s="311">
        <f>_xlfn.XLOOKUP($C132,'Cons. Financials - ''23 ''24'!$C$89:$C$149,'Cons. Financials - ''23 ''24'!T$89:T$149)</f>
        <v>0.46752406829965271</v>
      </c>
      <c r="I132" s="311">
        <f>_xlfn.XLOOKUP($C132,'Cons. Financials - ''23 ''24'!$C$89:$C$149,'Cons. Financials - ''23 ''24'!U$89:U$149)</f>
        <v>0.46576091847688278</v>
      </c>
      <c r="J132" s="311">
        <f>_xlfn.XLOOKUP($C132,'Cons. Financials - ''23 ''24'!$C$89:$C$149,'Cons. Financials - ''23 ''24'!V$89:V$149)</f>
        <v>0.45583569984464739</v>
      </c>
      <c r="K132" s="311">
        <f>_xlfn.XLOOKUP($C132,'Cons. Financials - ''23 ''24'!$C$89:$C$149,'Cons. Financials - ''23 ''24'!W$89:W$149)</f>
        <v>0.45685470005875983</v>
      </c>
      <c r="L132" s="311">
        <f>_xlfn.XLOOKUP($C132,'Cons. Financials - ''23 ''24'!$C$89:$C$149,'Cons. Financials - ''23 ''24'!X$89:X$149)</f>
        <v>0.45688368220223124</v>
      </c>
      <c r="M132" s="311">
        <f>_xlfn.XLOOKUP($C132,'Cons. Financials - ''23 ''24'!$C$89:$C$149,'Cons. Financials - ''23 ''24'!Y$89:Y$149)</f>
        <v>0.45181526352281948</v>
      </c>
      <c r="N132" s="311">
        <f>_xlfn.XLOOKUP($C132,'Cons. Financials - ''23 ''24'!$C$89:$C$149,'Cons. Financials - ''23 ''24'!Z$89:Z$149)</f>
        <v>0.45068792996001522</v>
      </c>
      <c r="O132" s="322">
        <f>_xlfn.XLOOKUP($C132,'Cons. Financials - ''23 ''24'!$C$89:$C$149,'Cons. Financials - ''23 ''24'!AA$89:AA$149)</f>
        <v>0.45923137548481691</v>
      </c>
      <c r="P132" s="311">
        <f>D132+_xlfn.XLOOKUP($C132,'Budget Assumption Driver'!$A$46:$A$52,'Budget Assumption Driver'!E$46:E$52)</f>
        <v>0.46032107394765825</v>
      </c>
      <c r="Q132" s="311">
        <f>E132+_xlfn.XLOOKUP($C132,'Budget Assumption Driver'!$A$46:$A$52,'Budget Assumption Driver'!F$46:F$52)</f>
        <v>0.46492316019556995</v>
      </c>
      <c r="R132" s="311">
        <f>F132+_xlfn.XLOOKUP($C132,'Budget Assumption Driver'!$A$46:$A$52,'Budget Assumption Driver'!G$46:G$52)</f>
        <v>0.46125622877963118</v>
      </c>
      <c r="S132" s="311">
        <f>G132+_xlfn.XLOOKUP($C132,'Budget Assumption Driver'!$A$46:$A$52,'Budget Assumption Driver'!H$46:H$52)</f>
        <v>0.45924679603739982</v>
      </c>
      <c r="T132" s="311">
        <f>H132+_xlfn.XLOOKUP($C132,'Budget Assumption Driver'!$A$46:$A$52,'Budget Assumption Driver'!I$46:I$52)</f>
        <v>0.46752406829965271</v>
      </c>
      <c r="U132" s="311">
        <f>I132+_xlfn.XLOOKUP($C132,'Budget Assumption Driver'!$A$46:$A$52,'Budget Assumption Driver'!J$46:J$52)</f>
        <v>0.46576091847688278</v>
      </c>
      <c r="V132" s="311">
        <f>J132+_xlfn.XLOOKUP($C132,'Budget Assumption Driver'!$A$46:$A$52,'Budget Assumption Driver'!K$46:K$52)</f>
        <v>0.45583569984464739</v>
      </c>
      <c r="W132" s="311">
        <f>K132+_xlfn.XLOOKUP($C132,'Budget Assumption Driver'!$A$46:$A$52,'Budget Assumption Driver'!L$46:L$52)</f>
        <v>0.45685470005875983</v>
      </c>
      <c r="X132" s="311">
        <f>L132+_xlfn.XLOOKUP($C132,'Budget Assumption Driver'!$A$46:$A$52,'Budget Assumption Driver'!M$46:M$52)</f>
        <v>0.45688368220223124</v>
      </c>
      <c r="Y132" s="311">
        <f>M132+_xlfn.XLOOKUP($C132,'Budget Assumption Driver'!$A$46:$A$52,'Budget Assumption Driver'!N$46:N$52)</f>
        <v>0.45181526352281948</v>
      </c>
      <c r="Z132" s="311">
        <f>N132+_xlfn.XLOOKUP($C132,'Budget Assumption Driver'!$A$46:$A$52,'Budget Assumption Driver'!O$46:O$52)</f>
        <v>0.45068792996001522</v>
      </c>
      <c r="AA132" s="311">
        <f>O132+_xlfn.XLOOKUP($C132,'Budget Assumption Driver'!$A$46:$A$52,'Budget Assumption Driver'!P$46:P$52)</f>
        <v>0.45923137548481691</v>
      </c>
    </row>
    <row r="133" spans="3:27" x14ac:dyDescent="0.2">
      <c r="C133" s="190" t="s">
        <v>204</v>
      </c>
      <c r="D133" s="320">
        <f>_xlfn.XLOOKUP($C133,'Cons. Financials - ''23 ''24'!$C$89:$C$149,'Cons. Financials - ''23 ''24'!P$89:P$149)</f>
        <v>589.26270525290056</v>
      </c>
      <c r="E133" s="320">
        <f>_xlfn.XLOOKUP($C133,'Cons. Financials - ''23 ''24'!$C$89:$C$149,'Cons. Financials - ''23 ''24'!Q$89:Q$149)</f>
        <v>609.25044259731249</v>
      </c>
      <c r="F133" s="320">
        <f>_xlfn.XLOOKUP($C133,'Cons. Financials - ''23 ''24'!$C$89:$C$149,'Cons. Financials - ''23 ''24'!R$89:R$149)</f>
        <v>690.76775695845276</v>
      </c>
      <c r="G133" s="320">
        <f>_xlfn.XLOOKUP($C133,'Cons. Financials - ''23 ''24'!$C$89:$C$149,'Cons. Financials - ''23 ''24'!S$89:S$149)</f>
        <v>726.63237639051545</v>
      </c>
      <c r="H133" s="320">
        <f>_xlfn.XLOOKUP($C133,'Cons. Financials - ''23 ''24'!$C$89:$C$149,'Cons. Financials - ''23 ''24'!T$89:T$149)</f>
        <v>811.75830286823475</v>
      </c>
      <c r="I133" s="320">
        <f>_xlfn.XLOOKUP($C133,'Cons. Financials - ''23 ''24'!$C$89:$C$149,'Cons. Financials - ''23 ''24'!U$89:U$149)</f>
        <v>825.57108476659823</v>
      </c>
      <c r="J133" s="320">
        <f>_xlfn.XLOOKUP($C133,'Cons. Financials - ''23 ''24'!$C$89:$C$149,'Cons. Financials - ''23 ''24'!V$89:V$149)</f>
        <v>830.17247494300818</v>
      </c>
      <c r="K133" s="320">
        <f>_xlfn.XLOOKUP($C133,'Cons. Financials - ''23 ''24'!$C$89:$C$149,'Cons. Financials - ''23 ''24'!W$89:W$149)</f>
        <v>744.96185389254299</v>
      </c>
      <c r="L133" s="320">
        <f>_xlfn.XLOOKUP($C133,'Cons. Financials - ''23 ''24'!$C$89:$C$149,'Cons. Financials - ''23 ''24'!X$89:X$149)</f>
        <v>701.54349554234682</v>
      </c>
      <c r="M133" s="320">
        <f>_xlfn.XLOOKUP($C133,'Cons. Financials - ''23 ''24'!$C$89:$C$149,'Cons. Financials - ''23 ''24'!Y$89:Y$149)</f>
        <v>681.45655726033237</v>
      </c>
      <c r="N133" s="320">
        <f>_xlfn.XLOOKUP($C133,'Cons. Financials - ''23 ''24'!$C$89:$C$149,'Cons. Financials - ''23 ''24'!Z$89:Z$149)</f>
        <v>651.7845448701537</v>
      </c>
      <c r="O133" s="321">
        <f>_xlfn.XLOOKUP($C133,'Cons. Financials - ''23 ''24'!$C$89:$C$149,'Cons. Financials - ''23 ''24'!AA$89:AA$149)</f>
        <v>599.23551718134377</v>
      </c>
      <c r="P133" s="195">
        <f t="shared" ref="P133:AA133" si="120">-(SUM(N$44:P$44))</f>
        <v>596.63351522914434</v>
      </c>
      <c r="Q133" s="195">
        <f t="shared" si="120"/>
        <v>672.0343644828173</v>
      </c>
      <c r="R133" s="195">
        <f t="shared" si="120"/>
        <v>828.59261099129185</v>
      </c>
      <c r="S133" s="195">
        <f t="shared" si="120"/>
        <v>977.93408036840708</v>
      </c>
      <c r="T133" s="195">
        <f t="shared" si="120"/>
        <v>1262.2214305951675</v>
      </c>
      <c r="U133" s="195">
        <f t="shared" si="120"/>
        <v>1364.9659672245514</v>
      </c>
      <c r="V133" s="195">
        <f t="shared" si="120"/>
        <v>1357.4384640642756</v>
      </c>
      <c r="W133" s="195">
        <f t="shared" si="120"/>
        <v>1072.2675096638527</v>
      </c>
      <c r="X133" s="195">
        <f t="shared" si="120"/>
        <v>908.89399643103252</v>
      </c>
      <c r="Y133" s="195">
        <f t="shared" si="120"/>
        <v>822.40369344408828</v>
      </c>
      <c r="Z133" s="195">
        <f t="shared" si="120"/>
        <v>762.94254081615463</v>
      </c>
      <c r="AA133" s="195">
        <f t="shared" si="120"/>
        <v>681.48497955911171</v>
      </c>
    </row>
    <row r="134" spans="3:27" ht="6" customHeight="1" x14ac:dyDescent="0.2">
      <c r="C134" s="190"/>
      <c r="D134" s="191"/>
      <c r="E134" s="191"/>
      <c r="F134" s="192"/>
      <c r="G134" s="192"/>
      <c r="H134" s="192"/>
      <c r="I134" s="192"/>
      <c r="J134" s="192"/>
      <c r="K134" s="192"/>
      <c r="L134" s="192"/>
      <c r="M134" s="192"/>
      <c r="N134" s="192"/>
      <c r="O134" s="193"/>
      <c r="P134" s="192"/>
      <c r="Q134" s="192"/>
      <c r="R134" s="192"/>
      <c r="S134" s="192"/>
      <c r="T134" s="192"/>
      <c r="U134" s="192"/>
      <c r="V134" s="192"/>
      <c r="W134" s="192"/>
      <c r="X134" s="192"/>
      <c r="Y134" s="192"/>
      <c r="Z134" s="192"/>
      <c r="AA134" s="192"/>
    </row>
    <row r="135" spans="3:27" x14ac:dyDescent="0.2">
      <c r="C135" s="7" t="s">
        <v>203</v>
      </c>
      <c r="D135" s="233">
        <f>_xlfn.XLOOKUP($C135,'Cons. Financials - ''23 ''24'!$C$89:$C$149,'Cons. Financials - ''23 ''24'!P$89:P$149)</f>
        <v>0.32723048333127935</v>
      </c>
      <c r="E135" s="233">
        <f>_xlfn.XLOOKUP($C135,'Cons. Financials - ''23 ''24'!$C$89:$C$149,'Cons. Financials - ''23 ''24'!Q$89:Q$149)</f>
        <v>0.33184670972321906</v>
      </c>
      <c r="F135" s="233">
        <f>_xlfn.XLOOKUP($C135,'Cons. Financials - ''23 ''24'!$C$89:$C$149,'Cons. Financials - ''23 ''24'!R$89:R$149)</f>
        <v>0.32221745328657336</v>
      </c>
      <c r="G135" s="233">
        <f>_xlfn.XLOOKUP($C135,'Cons. Financials - ''23 ''24'!$C$89:$C$149,'Cons. Financials - ''23 ''24'!S$89:S$149)</f>
        <v>0.31217879116753006</v>
      </c>
      <c r="H135" s="233">
        <f>_xlfn.XLOOKUP($C135,'Cons. Financials - ''23 ''24'!$C$89:$C$149,'Cons. Financials - ''23 ''24'!T$89:T$149)</f>
        <v>0.29789798171702497</v>
      </c>
      <c r="I135" s="233">
        <f>_xlfn.XLOOKUP($C135,'Cons. Financials - ''23 ''24'!$C$89:$C$149,'Cons. Financials - ''23 ''24'!U$89:U$149)</f>
        <v>0.30229294522799005</v>
      </c>
      <c r="J135" s="233">
        <f>_xlfn.XLOOKUP($C135,'Cons. Financials - ''23 ''24'!$C$89:$C$149,'Cons. Financials - ''23 ''24'!V$89:V$149)</f>
        <v>0.30515082221934803</v>
      </c>
      <c r="K135" s="233">
        <f>_xlfn.XLOOKUP($C135,'Cons. Financials - ''23 ''24'!$C$89:$C$149,'Cons. Financials - ''23 ''24'!W$89:W$149)</f>
        <v>0.30759840716131243</v>
      </c>
      <c r="L135" s="233">
        <f>_xlfn.XLOOKUP($C135,'Cons. Financials - ''23 ''24'!$C$89:$C$149,'Cons. Financials - ''23 ''24'!X$89:X$149)</f>
        <v>0.31828863319245621</v>
      </c>
      <c r="M135" s="233">
        <f>_xlfn.XLOOKUP($C135,'Cons. Financials - ''23 ''24'!$C$89:$C$149,'Cons. Financials - ''23 ''24'!Y$89:Y$149)</f>
        <v>0.31161139026258083</v>
      </c>
      <c r="N135" s="233">
        <f>_xlfn.XLOOKUP($C135,'Cons. Financials - ''23 ''24'!$C$89:$C$149,'Cons. Financials - ''23 ''24'!Z$89:Z$149)</f>
        <v>0.3137994618900693</v>
      </c>
      <c r="O135" s="323">
        <f>_xlfn.XLOOKUP($C135,'Cons. Financials - ''23 ''24'!$C$89:$C$149,'Cons. Financials - ''23 ''24'!AA$89:AA$149)</f>
        <v>0.32507908126855389</v>
      </c>
      <c r="P135" s="233">
        <f>D135+_xlfn.XLOOKUP($C135,'Budget Assumption Driver'!$A$46:$A$52,'Budget Assumption Driver'!E$46:E$52)</f>
        <v>0.32723048333127935</v>
      </c>
      <c r="Q135" s="233">
        <f>E135+_xlfn.XLOOKUP($C135,'Budget Assumption Driver'!$A$46:$A$52,'Budget Assumption Driver'!F$46:F$52)</f>
        <v>0.33184670972321906</v>
      </c>
      <c r="R135" s="233">
        <f>F135+_xlfn.XLOOKUP($C135,'Budget Assumption Driver'!$A$46:$A$52,'Budget Assumption Driver'!G$46:G$52)</f>
        <v>0.32221745328657336</v>
      </c>
      <c r="S135" s="233">
        <f>G135+_xlfn.XLOOKUP($C135,'Budget Assumption Driver'!$A$46:$A$52,'Budget Assumption Driver'!H$46:H$52)</f>
        <v>0.31217879116753006</v>
      </c>
      <c r="T135" s="233">
        <f>H135+_xlfn.XLOOKUP($C135,'Budget Assumption Driver'!$A$46:$A$52,'Budget Assumption Driver'!I$46:I$52)</f>
        <v>0.29789798171702497</v>
      </c>
      <c r="U135" s="233">
        <f>I135+_xlfn.XLOOKUP($C135,'Budget Assumption Driver'!$A$46:$A$52,'Budget Assumption Driver'!J$46:J$52)</f>
        <v>0.30229294522799005</v>
      </c>
      <c r="V135" s="233">
        <f>J135+_xlfn.XLOOKUP($C135,'Budget Assumption Driver'!$A$46:$A$52,'Budget Assumption Driver'!K$46:K$52)</f>
        <v>0.30515082221934803</v>
      </c>
      <c r="W135" s="233">
        <f>K135+_xlfn.XLOOKUP($C135,'Budget Assumption Driver'!$A$46:$A$52,'Budget Assumption Driver'!L$46:L$52)</f>
        <v>0.30759840716131243</v>
      </c>
      <c r="X135" s="233">
        <f>L135+_xlfn.XLOOKUP($C135,'Budget Assumption Driver'!$A$46:$A$52,'Budget Assumption Driver'!M$46:M$52)</f>
        <v>0.31828863319245621</v>
      </c>
      <c r="Y135" s="233">
        <f>M135+_xlfn.XLOOKUP($C135,'Budget Assumption Driver'!$A$46:$A$52,'Budget Assumption Driver'!N$46:N$52)</f>
        <v>0.31161139026258083</v>
      </c>
      <c r="Z135" s="233">
        <f>N135+_xlfn.XLOOKUP($C135,'Budget Assumption Driver'!$A$46:$A$52,'Budget Assumption Driver'!O$46:O$52)</f>
        <v>0.3137994618900693</v>
      </c>
      <c r="AA135" s="233">
        <f>O135+_xlfn.XLOOKUP($C135,'Budget Assumption Driver'!$A$46:$A$52,'Budget Assumption Driver'!P$46:P$52)</f>
        <v>0.32507908126855389</v>
      </c>
    </row>
    <row r="136" spans="3:27" x14ac:dyDescent="0.2">
      <c r="C136" s="7" t="s">
        <v>275</v>
      </c>
      <c r="D136" s="233">
        <f>_xlfn.XLOOKUP($C136,'Cons. Financials - ''23 ''24'!$C$89:$C$149,'Cons. Financials - ''23 ''24'!P$89:P$149)</f>
        <v>0.23248307942510774</v>
      </c>
      <c r="E136" s="233">
        <f>_xlfn.XLOOKUP($C136,'Cons. Financials - ''23 ''24'!$C$89:$C$149,'Cons. Financials - ''23 ''24'!Q$89:Q$149)</f>
        <v>0.22840126476363237</v>
      </c>
      <c r="F136" s="233">
        <f>_xlfn.XLOOKUP($C136,'Cons. Financials - ''23 ''24'!$C$89:$C$149,'Cons. Financials - ''23 ''24'!R$89:R$149)</f>
        <v>0.22180234145031569</v>
      </c>
      <c r="G136" s="233">
        <f>_xlfn.XLOOKUP($C136,'Cons. Financials - ''23 ''24'!$C$89:$C$149,'Cons. Financials - ''23 ''24'!S$89:S$149)</f>
        <v>0.22869633639563275</v>
      </c>
      <c r="H136" s="233">
        <f>_xlfn.XLOOKUP($C136,'Cons. Financials - ''23 ''24'!$C$89:$C$149,'Cons. Financials - ''23 ''24'!T$89:T$149)</f>
        <v>0.22817593181378718</v>
      </c>
      <c r="I136" s="233">
        <f>_xlfn.XLOOKUP($C136,'Cons. Financials - ''23 ''24'!$C$89:$C$149,'Cons. Financials - ''23 ''24'!U$89:U$149)</f>
        <v>0.23338043325733088</v>
      </c>
      <c r="J136" s="233">
        <f>_xlfn.XLOOKUP($C136,'Cons. Financials - ''23 ''24'!$C$89:$C$149,'Cons. Financials - ''23 ''24'!V$89:V$149)</f>
        <v>0.23558532620666905</v>
      </c>
      <c r="K136" s="233">
        <f>_xlfn.XLOOKUP($C136,'Cons. Financials - ''23 ''24'!$C$89:$C$149,'Cons. Financials - ''23 ''24'!W$89:W$149)</f>
        <v>0.23469860781714666</v>
      </c>
      <c r="L136" s="233">
        <f>_xlfn.XLOOKUP($C136,'Cons. Financials - ''23 ''24'!$C$89:$C$149,'Cons. Financials - ''23 ''24'!X$89:X$149)</f>
        <v>0.23143286141083036</v>
      </c>
      <c r="M136" s="233">
        <f>_xlfn.XLOOKUP($C136,'Cons. Financials - ''23 ''24'!$C$89:$C$149,'Cons. Financials - ''23 ''24'!Y$89:Y$149)</f>
        <v>0.23734735867984394</v>
      </c>
      <c r="N136" s="233">
        <f>_xlfn.XLOOKUP($C136,'Cons. Financials - ''23 ''24'!$C$89:$C$149,'Cons. Financials - ''23 ''24'!Z$89:Z$149)</f>
        <v>0.2446171842930483</v>
      </c>
      <c r="O136" s="323">
        <f>_xlfn.XLOOKUP($C136,'Cons. Financials - ''23 ''24'!$C$89:$C$149,'Cons. Financials - ''23 ''24'!AA$89:AA$149)</f>
        <v>0.24962718724355942</v>
      </c>
      <c r="P136" s="233">
        <f>D136+_xlfn.XLOOKUP($C136,'Budget Assumption Driver'!$A$46:$A$52,'Budget Assumption Driver'!E$46:E$52)</f>
        <v>0.23248307942510774</v>
      </c>
      <c r="Q136" s="233">
        <f>E136+_xlfn.XLOOKUP($C136,'Budget Assumption Driver'!$A$46:$A$52,'Budget Assumption Driver'!F$46:F$52)</f>
        <v>0.22840126476363237</v>
      </c>
      <c r="R136" s="233">
        <f>F136+_xlfn.XLOOKUP($C136,'Budget Assumption Driver'!$A$46:$A$52,'Budget Assumption Driver'!G$46:G$52)</f>
        <v>0.22180234145031569</v>
      </c>
      <c r="S136" s="233">
        <f>G136+_xlfn.XLOOKUP($C136,'Budget Assumption Driver'!$A$46:$A$52,'Budget Assumption Driver'!H$46:H$52)</f>
        <v>0.22869633639563275</v>
      </c>
      <c r="T136" s="233">
        <f>H136+_xlfn.XLOOKUP($C136,'Budget Assumption Driver'!$A$46:$A$52,'Budget Assumption Driver'!I$46:I$52)</f>
        <v>0.22817593181378718</v>
      </c>
      <c r="U136" s="233">
        <f>I136+_xlfn.XLOOKUP($C136,'Budget Assumption Driver'!$A$46:$A$52,'Budget Assumption Driver'!J$46:J$52)</f>
        <v>0.23338043325733088</v>
      </c>
      <c r="V136" s="233">
        <f>J136+_xlfn.XLOOKUP($C136,'Budget Assumption Driver'!$A$46:$A$52,'Budget Assumption Driver'!K$46:K$52)</f>
        <v>0.23558532620666905</v>
      </c>
      <c r="W136" s="233">
        <f>K136+_xlfn.XLOOKUP($C136,'Budget Assumption Driver'!$A$46:$A$52,'Budget Assumption Driver'!L$46:L$52)</f>
        <v>0.23469860781714666</v>
      </c>
      <c r="X136" s="233">
        <f>L136+_xlfn.XLOOKUP($C136,'Budget Assumption Driver'!$A$46:$A$52,'Budget Assumption Driver'!M$46:M$52)</f>
        <v>0.23143286141083036</v>
      </c>
      <c r="Y136" s="233">
        <f>M136+_xlfn.XLOOKUP($C136,'Budget Assumption Driver'!$A$46:$A$52,'Budget Assumption Driver'!N$46:N$52)</f>
        <v>0.23734735867984394</v>
      </c>
      <c r="Z136" s="233">
        <f>N136+_xlfn.XLOOKUP($C136,'Budget Assumption Driver'!$A$46:$A$52,'Budget Assumption Driver'!O$46:O$52)</f>
        <v>0.2446171842930483</v>
      </c>
      <c r="AA136" s="233">
        <f>O136+_xlfn.XLOOKUP($C136,'Budget Assumption Driver'!$A$46:$A$52,'Budget Assumption Driver'!P$46:P$52)</f>
        <v>0.24962718724355942</v>
      </c>
    </row>
    <row r="137" spans="3:27" ht="3" customHeight="1" x14ac:dyDescent="0.2">
      <c r="C137" s="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8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spans="3:27" x14ac:dyDescent="0.2">
      <c r="C138" s="7" t="s">
        <v>208</v>
      </c>
      <c r="D138" s="256">
        <f>_xlfn.XLOOKUP($C138,'Cons. Financials - ''23 ''24'!$C$89:$C$149,'Cons. Financials - ''23 ''24'!P$89:P$149)</f>
        <v>406.13059894954881</v>
      </c>
      <c r="E138" s="256">
        <f>_xlfn.XLOOKUP($C138,'Cons. Financials - ''23 ''24'!$C$89:$C$149,'Cons. Financials - ''23 ''24'!Q$89:Q$149)</f>
        <v>313.89240550034822</v>
      </c>
      <c r="F138" s="256">
        <f>_xlfn.XLOOKUP($C138,'Cons. Financials - ''23 ''24'!$C$89:$C$149,'Cons. Financials - ''23 ''24'!R$89:R$149)</f>
        <v>586.33886804221004</v>
      </c>
      <c r="G138" s="256">
        <f>_xlfn.XLOOKUP($C138,'Cons. Financials - ''23 ''24'!$C$89:$C$149,'Cons. Financials - ''23 ''24'!S$89:S$149)</f>
        <v>241.70205013282862</v>
      </c>
      <c r="H138" s="256">
        <f>_xlfn.XLOOKUP($C138,'Cons. Financials - ''23 ''24'!$C$89:$C$149,'Cons. Financials - ''23 ''24'!T$89:T$149)</f>
        <v>311.22965526454328</v>
      </c>
      <c r="I138" s="256">
        <f>_xlfn.XLOOKUP($C138,'Cons. Financials - ''23 ''24'!$C$89:$C$149,'Cons. Financials - ''23 ''24'!U$89:U$149)</f>
        <v>359.91580697245956</v>
      </c>
      <c r="J138" s="256">
        <f>_xlfn.XLOOKUP($C138,'Cons. Financials - ''23 ''24'!$C$89:$C$149,'Cons. Financials - ''23 ''24'!V$89:V$149)</f>
        <v>183.89003945362211</v>
      </c>
      <c r="K138" s="256">
        <f>_xlfn.XLOOKUP($C138,'Cons. Financials - ''23 ''24'!$C$89:$C$149,'Cons. Financials - ''23 ''24'!W$89:W$149)</f>
        <v>374.09544836202303</v>
      </c>
      <c r="L138" s="256">
        <f>_xlfn.XLOOKUP($C138,'Cons. Financials - ''23 ''24'!$C$89:$C$149,'Cons. Financials - ''23 ''24'!X$89:X$149)</f>
        <v>312.09698940257658</v>
      </c>
      <c r="M138" s="256">
        <f>_xlfn.XLOOKUP($C138,'Cons. Financials - ''23 ''24'!$C$89:$C$149,'Cons. Financials - ''23 ''24'!Y$89:Y$149)</f>
        <v>272.42133224000929</v>
      </c>
      <c r="N138" s="256">
        <f>_xlfn.XLOOKUP($C138,'Cons. Financials - ''23 ''24'!$C$89:$C$149,'Cons. Financials - ''23 ''24'!Z$89:Z$149)</f>
        <v>518.73183484979086</v>
      </c>
      <c r="O138" s="324">
        <f>_xlfn.XLOOKUP($C138,'Cons. Financials - ''23 ''24'!$C$89:$C$149,'Cons. Financials - ''23 ''24'!AA$89:AA$149)</f>
        <v>279.00198469799716</v>
      </c>
      <c r="P138" s="256">
        <f>'Budget Assumption Driver'!E53</f>
        <v>500</v>
      </c>
      <c r="Q138" s="256">
        <f>'Budget Assumption Driver'!F53</f>
        <v>500</v>
      </c>
      <c r="R138" s="256">
        <f>'Budget Assumption Driver'!G53</f>
        <v>500</v>
      </c>
      <c r="S138" s="256">
        <f>'Budget Assumption Driver'!H53</f>
        <v>500</v>
      </c>
      <c r="T138" s="256">
        <f>'Budget Assumption Driver'!I53</f>
        <v>500</v>
      </c>
      <c r="U138" s="256">
        <f>'Budget Assumption Driver'!J53</f>
        <v>500</v>
      </c>
      <c r="V138" s="256">
        <f>'Budget Assumption Driver'!K53</f>
        <v>1000</v>
      </c>
      <c r="W138" s="256">
        <f>'Budget Assumption Driver'!L53</f>
        <v>1000</v>
      </c>
      <c r="X138" s="256">
        <f>'Budget Assumption Driver'!M53</f>
        <v>1000</v>
      </c>
      <c r="Y138" s="256">
        <f>'Budget Assumption Driver'!N53</f>
        <v>1000</v>
      </c>
      <c r="Z138" s="256">
        <f>'Budget Assumption Driver'!O53</f>
        <v>1000</v>
      </c>
      <c r="AA138" s="256">
        <f>'Budget Assumption Driver'!P53</f>
        <v>1000</v>
      </c>
    </row>
    <row r="139" spans="3:27" x14ac:dyDescent="0.2">
      <c r="C139" s="190" t="s">
        <v>209</v>
      </c>
      <c r="D139" s="325">
        <f>_xlfn.XLOOKUP($C139,'Cons. Financials - ''23 ''24'!$C$89:$C$149,'Cons. Financials - ''23 ''24'!P$89:P$149)</f>
        <v>1057.491922486267</v>
      </c>
      <c r="E139" s="325">
        <f>_xlfn.XLOOKUP($C139,'Cons. Financials - ''23 ''24'!$C$89:$C$149,'Cons. Financials - ''23 ''24'!Q$89:Q$149)</f>
        <v>885.14831873542107</v>
      </c>
      <c r="F139" s="257">
        <f>_xlfn.XLOOKUP($C139,'Cons. Financials - ''23 ''24'!$C$89:$C$149,'Cons. Financials - ''23 ''24'!R$89:R$149)</f>
        <v>1306.3618724921071</v>
      </c>
      <c r="G139" s="325">
        <f>_xlfn.XLOOKUP($C139,'Cons. Financials - ''23 ''24'!$C$89:$C$149,'Cons. Financials - ''23 ''24'!S$89:S$149)</f>
        <v>1141.9333236753869</v>
      </c>
      <c r="H139" s="325">
        <f>_xlfn.XLOOKUP($C139,'Cons. Financials - ''23 ''24'!$C$89:$C$149,'Cons. Financials - ''23 ''24'!T$89:T$149)</f>
        <v>1139.270573439582</v>
      </c>
      <c r="I139" s="325">
        <f>_xlfn.XLOOKUP($C139,'Cons. Financials - ''23 ''24'!$C$89:$C$149,'Cons. Financials - ''23 ''24'!U$89:U$149)</f>
        <v>912.84751236983141</v>
      </c>
      <c r="J139" s="325">
        <f>_xlfn.XLOOKUP($C139,'Cons. Financials - ''23 ''24'!$C$89:$C$149,'Cons. Financials - ''23 ''24'!V$89:V$149)</f>
        <v>855.03550169062498</v>
      </c>
      <c r="K139" s="325">
        <f>_xlfn.XLOOKUP($C139,'Cons. Financials - ''23 ''24'!$C$89:$C$149,'Cons. Financials - ''23 ''24'!W$89:W$149)</f>
        <v>917.90129478810468</v>
      </c>
      <c r="L139" s="325">
        <f>_xlfn.XLOOKUP($C139,'Cons. Financials - ''23 ''24'!$C$89:$C$149,'Cons. Financials - ''23 ''24'!X$89:X$149)</f>
        <v>870.0824772182217</v>
      </c>
      <c r="M139" s="325">
        <f>_xlfn.XLOOKUP($C139,'Cons. Financials - ''23 ''24'!$C$89:$C$149,'Cons. Financials - ''23 ''24'!Y$89:Y$149)</f>
        <v>958.61377000460891</v>
      </c>
      <c r="N139" s="325">
        <f>_xlfn.XLOOKUP($C139,'Cons. Financials - ''23 ''24'!$C$89:$C$149,'Cons. Financials - ''23 ''24'!Z$89:Z$149)</f>
        <v>1103.2501564923768</v>
      </c>
      <c r="O139" s="326">
        <f>_xlfn.XLOOKUP($C139,'Cons. Financials - ''23 ''24'!$C$89:$C$149,'Cons. Financials - ''23 ''24'!AA$89:AA$149)</f>
        <v>1070.1551517877974</v>
      </c>
      <c r="P139" s="199">
        <f t="shared" ref="P139:AA139" si="121">SUM(N138:P138)</f>
        <v>1297.733819547788</v>
      </c>
      <c r="Q139" s="199">
        <f t="shared" si="121"/>
        <v>1279.0019846979972</v>
      </c>
      <c r="R139" s="199">
        <f t="shared" si="121"/>
        <v>1500</v>
      </c>
      <c r="S139" s="199">
        <f t="shared" si="121"/>
        <v>1500</v>
      </c>
      <c r="T139" s="199">
        <f t="shared" si="121"/>
        <v>1500</v>
      </c>
      <c r="U139" s="199">
        <f t="shared" si="121"/>
        <v>1500</v>
      </c>
      <c r="V139" s="199">
        <f t="shared" si="121"/>
        <v>2000</v>
      </c>
      <c r="W139" s="199">
        <f t="shared" si="121"/>
        <v>2500</v>
      </c>
      <c r="X139" s="199">
        <f t="shared" si="121"/>
        <v>3000</v>
      </c>
      <c r="Y139" s="199">
        <f t="shared" si="121"/>
        <v>3000</v>
      </c>
      <c r="Z139" s="199">
        <f t="shared" si="121"/>
        <v>3000</v>
      </c>
      <c r="AA139" s="199">
        <f t="shared" si="121"/>
        <v>3000</v>
      </c>
    </row>
    <row r="140" spans="3:27" x14ac:dyDescent="0.2">
      <c r="C140" s="190" t="s">
        <v>210</v>
      </c>
      <c r="D140" s="233">
        <f>_xlfn.XLOOKUP($C140,'Cons. Financials - ''23 ''24'!$C$89:$C$149,'Cons. Financials - ''23 ''24'!P$89:P$149)</f>
        <v>2.7809546562940338E-2</v>
      </c>
      <c r="E140" s="233">
        <f>_xlfn.XLOOKUP($C140,'Cons. Financials - ''23 ''24'!$C$89:$C$149,'Cons. Financials - ''23 ''24'!Q$89:Q$149)</f>
        <v>2.3442571385119005E-2</v>
      </c>
      <c r="F140" s="233">
        <f>_xlfn.XLOOKUP($C140,'Cons. Financials - ''23 ''24'!$C$89:$C$149,'Cons. Financials - ''23 ''24'!R$89:R$149)</f>
        <v>3.3535899613595883E-2</v>
      </c>
      <c r="G140" s="233">
        <f>_xlfn.XLOOKUP($C140,'Cons. Financials - ''23 ''24'!$C$89:$C$149,'Cons. Financials - ''23 ''24'!S$89:S$149)</f>
        <v>3.0682439084646691E-2</v>
      </c>
      <c r="H140" s="233">
        <f>_xlfn.XLOOKUP($C140,'Cons. Financials - ''23 ''24'!$C$89:$C$149,'Cons. Financials - ''23 ''24'!T$89:T$149)</f>
        <v>3.1382133413062029E-2</v>
      </c>
      <c r="I140" s="233">
        <f>_xlfn.XLOOKUP($C140,'Cons. Financials - ''23 ''24'!$C$89:$C$149,'Cons. Financials - ''23 ''24'!U$89:U$149)</f>
        <v>2.6411814921479756E-2</v>
      </c>
      <c r="J140" s="233">
        <f>_xlfn.XLOOKUP($C140,'Cons. Financials - ''23 ''24'!$C$89:$C$149,'Cons. Financials - ''23 ''24'!V$89:V$149)</f>
        <v>2.4103769791383602E-2</v>
      </c>
      <c r="K140" s="233">
        <f>_xlfn.XLOOKUP($C140,'Cons. Financials - ''23 ''24'!$C$89:$C$149,'Cons. Financials - ''23 ''24'!W$89:W$149)</f>
        <v>2.4906002520964633E-2</v>
      </c>
      <c r="L140" s="233">
        <f>_xlfn.XLOOKUP($C140,'Cons. Financials - ''23 ''24'!$C$89:$C$149,'Cons. Financials - ''23 ''24'!X$89:X$149)</f>
        <v>2.2858423934938889E-2</v>
      </c>
      <c r="M140" s="233">
        <f>_xlfn.XLOOKUP($C140,'Cons. Financials - ''23 ''24'!$C$89:$C$149,'Cons. Financials - ''23 ''24'!Y$89:Y$149)</f>
        <v>2.4541625545444787E-2</v>
      </c>
      <c r="N140" s="233">
        <f>_xlfn.XLOOKUP($C140,'Cons. Financials - ''23 ''24'!$C$89:$C$149,'Cons. Financials - ''23 ''24'!Z$89:Z$149)</f>
        <v>2.8964853310257527E-2</v>
      </c>
      <c r="O140" s="323">
        <f>_xlfn.XLOOKUP($C140,'Cons. Financials - ''23 ''24'!$C$89:$C$149,'Cons. Financials - ''23 ''24'!AA$89:AA$149)</f>
        <v>2.9820180234469976E-2</v>
      </c>
      <c r="P140" s="111">
        <f t="shared" ref="P140:AA140" si="122">P139/P122</f>
        <v>3.5262678534324396E-2</v>
      </c>
      <c r="Q140" s="111">
        <f t="shared" si="122"/>
        <v>3.2062865359061152E-2</v>
      </c>
      <c r="R140" s="111">
        <f t="shared" si="122"/>
        <v>3.2268326986616101E-2</v>
      </c>
      <c r="S140" s="111">
        <f t="shared" si="122"/>
        <v>3.0191655113128938E-2</v>
      </c>
      <c r="T140" s="111">
        <f t="shared" si="122"/>
        <v>2.7014578969929044E-2</v>
      </c>
      <c r="U140" s="111">
        <f t="shared" si="122"/>
        <v>2.6390701239055347E-2</v>
      </c>
      <c r="V140" s="111">
        <f t="shared" si="122"/>
        <v>3.4776028937070866E-2</v>
      </c>
      <c r="W140" s="111">
        <f t="shared" si="122"/>
        <v>4.7908020494662341E-2</v>
      </c>
      <c r="X140" s="111">
        <f t="shared" si="122"/>
        <v>6.1308255920076778E-2</v>
      </c>
      <c r="Y140" s="111">
        <f t="shared" si="122"/>
        <v>6.3645390516752387E-2</v>
      </c>
      <c r="Z140" s="111">
        <f t="shared" si="122"/>
        <v>6.745324534048612E-2</v>
      </c>
      <c r="AA140" s="111">
        <f t="shared" si="122"/>
        <v>7.3698686006268013E-2</v>
      </c>
    </row>
    <row r="141" spans="3:27" ht="12.75" customHeight="1" x14ac:dyDescent="0.2"/>
    <row r="142" spans="3:27" ht="12.75" customHeight="1" x14ac:dyDescent="0.2">
      <c r="C142" s="189" t="s">
        <v>214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3:27" ht="3" customHeight="1" x14ac:dyDescent="0.2"/>
    <row r="144" spans="3:27" x14ac:dyDescent="0.2">
      <c r="C144" s="7" t="s">
        <v>218</v>
      </c>
      <c r="D144" s="311">
        <f>_xlfn.XLOOKUP($C144,'Cons. Financials - ''23 ''24'!$C$89:$C$149,'Cons. Financials - ''23 ''24'!P$89:P$149)</f>
        <v>5.3313600000000003E-2</v>
      </c>
      <c r="E144" s="311">
        <f>_xlfn.XLOOKUP($C144,'Cons. Financials - ''23 ''24'!$C$89:$C$149,'Cons. Financials - ''23 ''24'!Q$89:Q$149)</f>
        <v>5.3199799999999998E-2</v>
      </c>
      <c r="F144" s="311">
        <f>_xlfn.XLOOKUP($C144,'Cons. Financials - ''23 ''24'!$C$89:$C$149,'Cons. Financials - ''23 ''24'!R$89:R$149)</f>
        <v>5.3224E-2</v>
      </c>
      <c r="G144" s="311">
        <f>_xlfn.XLOOKUP($C144,'Cons. Financials - ''23 ''24'!$C$89:$C$149,'Cons. Financials - ''23 ''24'!S$89:S$149)</f>
        <v>5.3274200000000001E-2</v>
      </c>
      <c r="H144" s="311">
        <f>_xlfn.XLOOKUP($C144,'Cons. Financials - ''23 ''24'!$C$89:$C$149,'Cons. Financials - ''23 ''24'!T$89:T$149)</f>
        <v>5.32433E-2</v>
      </c>
      <c r="I144" s="311">
        <f>_xlfn.XLOOKUP($C144,'Cons. Financials - ''23 ''24'!$C$89:$C$149,'Cons. Financials - ''23 ''24'!U$89:U$149)</f>
        <v>5.3364300000000003E-2</v>
      </c>
      <c r="J144" s="311">
        <f>_xlfn.XLOOKUP($C144,'Cons. Financials - ''23 ''24'!$C$89:$C$149,'Cons. Financials - ''23 ''24'!V$89:V$149)</f>
        <v>5.3511599999999999E-2</v>
      </c>
      <c r="K144" s="311">
        <f>_xlfn.XLOOKUP($C144,'Cons. Financials - ''23 ''24'!$C$89:$C$149,'Cons. Financials - ''23 ''24'!W$89:W$149)</f>
        <v>5.3464999999999999E-2</v>
      </c>
      <c r="L144" s="311">
        <f>_xlfn.XLOOKUP($C144,'Cons. Financials - ''23 ''24'!$C$89:$C$149,'Cons. Financials - ''23 ''24'!X$89:X$149)</f>
        <v>5.1633399999999996E-2</v>
      </c>
      <c r="M144" s="311">
        <f>_xlfn.XLOOKUP($C144,'Cons. Financials - ''23 ''24'!$C$89:$C$149,'Cons. Financials - ''23 ''24'!Y$89:Y$149)</f>
        <v>4.8494599999999999E-2</v>
      </c>
      <c r="N144" s="311">
        <f>_xlfn.XLOOKUP($C144,'Cons. Financials - ''23 ''24'!$C$89:$C$149,'Cons. Financials - ''23 ''24'!Z$89:Z$149)</f>
        <v>4.6657599999999994E-2</v>
      </c>
      <c r="O144" s="322">
        <f>_xlfn.XLOOKUP($C144,'Cons. Financials - ''23 ''24'!$C$89:$C$149,'Cons. Financials - ''23 ''24'!AA$89:AA$149)</f>
        <v>4.52766E-2</v>
      </c>
      <c r="P144" s="311">
        <f>'Budget Assumption Driver'!E57</f>
        <v>4.4999999999999998E-2</v>
      </c>
      <c r="Q144" s="311">
        <f>'Budget Assumption Driver'!F57</f>
        <v>4.4999999999999998E-2</v>
      </c>
      <c r="R144" s="311">
        <f>'Budget Assumption Driver'!G57</f>
        <v>4.4999999999999998E-2</v>
      </c>
      <c r="S144" s="311">
        <f>'Budget Assumption Driver'!H57</f>
        <v>4.4999999999999998E-2</v>
      </c>
      <c r="T144" s="311">
        <f>'Budget Assumption Driver'!I57</f>
        <v>4.4999999999999998E-2</v>
      </c>
      <c r="U144" s="311">
        <f>'Budget Assumption Driver'!J57</f>
        <v>4.4999999999999998E-2</v>
      </c>
      <c r="V144" s="311">
        <f>'Budget Assumption Driver'!K57</f>
        <v>4.4999999999999998E-2</v>
      </c>
      <c r="W144" s="311">
        <f>'Budget Assumption Driver'!L57</f>
        <v>4.4999999999999998E-2</v>
      </c>
      <c r="X144" s="311">
        <f>'Budget Assumption Driver'!M57</f>
        <v>4.4999999999999998E-2</v>
      </c>
      <c r="Y144" s="311">
        <f>'Budget Assumption Driver'!N57</f>
        <v>4.4999999999999998E-2</v>
      </c>
      <c r="Z144" s="311">
        <f>'Budget Assumption Driver'!O57</f>
        <v>4.4999999999999998E-2</v>
      </c>
      <c r="AA144" s="311">
        <f>'Budget Assumption Driver'!P57</f>
        <v>4.4999999999999998E-2</v>
      </c>
    </row>
    <row r="145" spans="2:34" ht="6" customHeight="1" x14ac:dyDescent="0.2">
      <c r="C145" s="7"/>
      <c r="D145" s="194"/>
      <c r="E145" s="194"/>
      <c r="F145" s="194"/>
      <c r="G145" s="194"/>
      <c r="H145" s="194"/>
      <c r="I145" s="194"/>
      <c r="J145" s="194"/>
      <c r="K145" s="194"/>
      <c r="L145" s="194"/>
      <c r="M145" s="194"/>
      <c r="N145" s="194"/>
      <c r="O145" s="91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  <c r="AA145" s="194"/>
    </row>
    <row r="146" spans="2:34" x14ac:dyDescent="0.2">
      <c r="C146" s="7" t="s">
        <v>215</v>
      </c>
      <c r="D146" s="244">
        <f>_xlfn.XLOOKUP($C146,'Cons. Financials - ''23 ''24'!$C$89:$C$149,'Cons. Financials - ''23 ''24'!P$89:P$149)</f>
        <v>0.10831360000000001</v>
      </c>
      <c r="E146" s="244">
        <f>_xlfn.XLOOKUP($C146,'Cons. Financials - ''23 ''24'!$C$89:$C$149,'Cons. Financials - ''23 ''24'!Q$89:Q$149)</f>
        <v>0.1081998</v>
      </c>
      <c r="F146" s="244">
        <f>_xlfn.XLOOKUP($C146,'Cons. Financials - ''23 ''24'!$C$89:$C$149,'Cons. Financials - ''23 ''24'!R$89:R$149)</f>
        <v>0.108224</v>
      </c>
      <c r="G146" s="244">
        <f>_xlfn.XLOOKUP($C146,'Cons. Financials - ''23 ''24'!$C$89:$C$149,'Cons. Financials - ''23 ''24'!S$89:S$149)</f>
        <v>0.1082742</v>
      </c>
      <c r="H146" s="244">
        <f>_xlfn.XLOOKUP($C146,'Cons. Financials - ''23 ''24'!$C$89:$C$149,'Cons. Financials - ''23 ''24'!T$89:T$149)</f>
        <v>0.1082433</v>
      </c>
      <c r="I146" s="244">
        <f>_xlfn.XLOOKUP($C146,'Cons. Financials - ''23 ''24'!$C$89:$C$149,'Cons. Financials - ''23 ''24'!U$89:U$149)</f>
        <v>0.1083643</v>
      </c>
      <c r="J146" s="244">
        <f>_xlfn.XLOOKUP($C146,'Cons. Financials - ''23 ''24'!$C$89:$C$149,'Cons. Financials - ''23 ''24'!V$89:V$149)</f>
        <v>0.1085116</v>
      </c>
      <c r="K146" s="244">
        <f>_xlfn.XLOOKUP($C146,'Cons. Financials - ''23 ''24'!$C$89:$C$149,'Cons. Financials - ''23 ''24'!W$89:W$149)</f>
        <v>0.10846500000000001</v>
      </c>
      <c r="L146" s="244">
        <f>_xlfn.XLOOKUP($C146,'Cons. Financials - ''23 ''24'!$C$89:$C$149,'Cons. Financials - ''23 ''24'!X$89:X$149)</f>
        <v>0.10663339999999999</v>
      </c>
      <c r="M146" s="244">
        <f>_xlfn.XLOOKUP($C146,'Cons. Financials - ''23 ''24'!$C$89:$C$149,'Cons. Financials - ''23 ''24'!Y$89:Y$149)</f>
        <v>0.10349459999999999</v>
      </c>
      <c r="N146" s="244">
        <f>_xlfn.XLOOKUP($C146,'Cons. Financials - ''23 ''24'!$C$89:$C$149,'Cons. Financials - ''23 ''24'!Z$89:Z$149)</f>
        <v>0.10165759999999999</v>
      </c>
      <c r="O146" s="327">
        <f>_xlfn.XLOOKUP($C146,'Cons. Financials - ''23 ''24'!$C$89:$C$149,'Cons. Financials - ''23 ''24'!AA$89:AA$149)</f>
        <v>0.10027659999999999</v>
      </c>
      <c r="P146" s="203">
        <f t="shared" ref="P146:AA146" si="123">P144+$AH$146/10^4</f>
        <v>0.1</v>
      </c>
      <c r="Q146" s="203">
        <f t="shared" si="123"/>
        <v>0.1</v>
      </c>
      <c r="R146" s="203">
        <f t="shared" si="123"/>
        <v>0.1</v>
      </c>
      <c r="S146" s="203">
        <f t="shared" si="123"/>
        <v>0.1</v>
      </c>
      <c r="T146" s="203">
        <f t="shared" si="123"/>
        <v>0.1</v>
      </c>
      <c r="U146" s="203">
        <f t="shared" si="123"/>
        <v>0.1</v>
      </c>
      <c r="V146" s="203">
        <f t="shared" si="123"/>
        <v>0.1</v>
      </c>
      <c r="W146" s="203">
        <f t="shared" si="123"/>
        <v>0.1</v>
      </c>
      <c r="X146" s="203">
        <f t="shared" si="123"/>
        <v>0.1</v>
      </c>
      <c r="Y146" s="203">
        <f t="shared" si="123"/>
        <v>0.1</v>
      </c>
      <c r="Z146" s="203">
        <f t="shared" si="123"/>
        <v>0.1</v>
      </c>
      <c r="AA146" s="203">
        <f t="shared" si="123"/>
        <v>0.1</v>
      </c>
      <c r="AH146" s="202">
        <v>550</v>
      </c>
    </row>
    <row r="147" spans="2:34" x14ac:dyDescent="0.2">
      <c r="C147" s="190" t="s">
        <v>217</v>
      </c>
      <c r="D147" s="320">
        <f>_xlfn.XLOOKUP($C147,'Cons. Financials - ''23 ''24'!$C$89:$C$149,'Cons. Financials - ''23 ''24'!P$89:P$149)</f>
        <v>15000</v>
      </c>
      <c r="E147" s="320">
        <f>_xlfn.XLOOKUP($C147,'Cons. Financials - ''23 ''24'!$C$89:$C$149,'Cons. Financials - ''23 ''24'!Q$89:Q$149)</f>
        <v>15000</v>
      </c>
      <c r="F147" s="320">
        <f>_xlfn.XLOOKUP($C147,'Cons. Financials - ''23 ''24'!$C$89:$C$149,'Cons. Financials - ''23 ''24'!R$89:R$149)</f>
        <v>15000</v>
      </c>
      <c r="G147" s="320">
        <f>_xlfn.XLOOKUP($C147,'Cons. Financials - ''23 ''24'!$C$89:$C$149,'Cons. Financials - ''23 ''24'!S$89:S$149)</f>
        <v>15000</v>
      </c>
      <c r="H147" s="320">
        <f>_xlfn.XLOOKUP($C147,'Cons. Financials - ''23 ''24'!$C$89:$C$149,'Cons. Financials - ''23 ''24'!T$89:T$149)</f>
        <v>15000</v>
      </c>
      <c r="I147" s="320">
        <f>_xlfn.XLOOKUP($C147,'Cons. Financials - ''23 ''24'!$C$89:$C$149,'Cons. Financials - ''23 ''24'!U$89:U$149)</f>
        <v>15000</v>
      </c>
      <c r="J147" s="320">
        <f>_xlfn.XLOOKUP($C147,'Cons. Financials - ''23 ''24'!$C$89:$C$149,'Cons. Financials - ''23 ''24'!V$89:V$149)</f>
        <v>15000</v>
      </c>
      <c r="K147" s="320">
        <f>_xlfn.XLOOKUP($C147,'Cons. Financials - ''23 ''24'!$C$89:$C$149,'Cons. Financials - ''23 ''24'!W$89:W$149)</f>
        <v>15000</v>
      </c>
      <c r="L147" s="320">
        <f>_xlfn.XLOOKUP($C147,'Cons. Financials - ''23 ''24'!$C$89:$C$149,'Cons. Financials - ''23 ''24'!X$89:X$149)</f>
        <v>15000</v>
      </c>
      <c r="M147" s="320">
        <f>_xlfn.XLOOKUP($C147,'Cons. Financials - ''23 ''24'!$C$89:$C$149,'Cons. Financials - ''23 ''24'!Y$89:Y$149)</f>
        <v>15000</v>
      </c>
      <c r="N147" s="320">
        <f>_xlfn.XLOOKUP($C147,'Cons. Financials - ''23 ''24'!$C$89:$C$149,'Cons. Financials - ''23 ''24'!Z$89:Z$149)</f>
        <v>15000</v>
      </c>
      <c r="O147" s="321">
        <f>_xlfn.XLOOKUP($C147,'Cons. Financials - ''23 ''24'!$C$89:$C$149,'Cons. Financials - ''23 ''24'!AA$89:AA$149)</f>
        <v>15000</v>
      </c>
      <c r="P147" s="320">
        <f>'Budget Assumption Driver'!E58</f>
        <v>25000</v>
      </c>
      <c r="Q147" s="320">
        <f>'Budget Assumption Driver'!F58</f>
        <v>25000</v>
      </c>
      <c r="R147" s="320">
        <f>'Budget Assumption Driver'!G58</f>
        <v>25000</v>
      </c>
      <c r="S147" s="320">
        <f>'Budget Assumption Driver'!H58</f>
        <v>25000</v>
      </c>
      <c r="T147" s="320">
        <f>'Budget Assumption Driver'!I58</f>
        <v>25000</v>
      </c>
      <c r="U147" s="320">
        <f>'Budget Assumption Driver'!J58</f>
        <v>25000</v>
      </c>
      <c r="V147" s="320">
        <f>'Budget Assumption Driver'!K58</f>
        <v>25000</v>
      </c>
      <c r="W147" s="320">
        <f>'Budget Assumption Driver'!L58</f>
        <v>25000</v>
      </c>
      <c r="X147" s="320">
        <f>'Budget Assumption Driver'!M58</f>
        <v>25000</v>
      </c>
      <c r="Y147" s="320">
        <f>'Budget Assumption Driver'!N58</f>
        <v>25000</v>
      </c>
      <c r="Z147" s="320">
        <f>'Budget Assumption Driver'!O58</f>
        <v>25000</v>
      </c>
      <c r="AA147" s="320">
        <f>'Budget Assumption Driver'!P58</f>
        <v>25000</v>
      </c>
    </row>
    <row r="148" spans="2:34" ht="6" customHeight="1" x14ac:dyDescent="0.2">
      <c r="C148" s="190"/>
      <c r="D148" s="191"/>
      <c r="E148" s="191"/>
      <c r="F148" s="195"/>
      <c r="G148" s="195"/>
      <c r="H148" s="195"/>
      <c r="I148" s="195"/>
      <c r="J148" s="195"/>
      <c r="K148" s="195"/>
      <c r="L148" s="195"/>
      <c r="M148" s="195"/>
      <c r="N148" s="195"/>
      <c r="O148" s="196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  <c r="AA148" s="195"/>
    </row>
    <row r="149" spans="2:34" x14ac:dyDescent="0.2">
      <c r="C149" s="7" t="s">
        <v>216</v>
      </c>
      <c r="D149" s="244">
        <f>_xlfn.XLOOKUP($C149,'Cons. Financials - ''23 ''24'!$C$89:$C$149,'Cons. Financials - ''23 ''24'!P$89:P$149)</f>
        <v>0.10331360000000001</v>
      </c>
      <c r="E149" s="244">
        <f>_xlfn.XLOOKUP($C149,'Cons. Financials - ''23 ''24'!$C$89:$C$149,'Cons. Financials - ''23 ''24'!Q$89:Q$149)</f>
        <v>0.10319980000000001</v>
      </c>
      <c r="F149" s="244">
        <f>_xlfn.XLOOKUP($C149,'Cons. Financials - ''23 ''24'!$C$89:$C$149,'Cons. Financials - ''23 ''24'!R$89:R$149)</f>
        <v>0.10322400000000001</v>
      </c>
      <c r="G149" s="244">
        <f>_xlfn.XLOOKUP($C149,'Cons. Financials - ''23 ''24'!$C$89:$C$149,'Cons. Financials - ''23 ''24'!S$89:S$149)</f>
        <v>0.10327420000000001</v>
      </c>
      <c r="H149" s="244">
        <f>_xlfn.XLOOKUP($C149,'Cons. Financials - ''23 ''24'!$C$89:$C$149,'Cons. Financials - ''23 ''24'!T$89:T$149)</f>
        <v>0.10324330000000001</v>
      </c>
      <c r="I149" s="244">
        <f>_xlfn.XLOOKUP($C149,'Cons. Financials - ''23 ''24'!$C$89:$C$149,'Cons. Financials - ''23 ''24'!U$89:U$149)</f>
        <v>0.10336430000000001</v>
      </c>
      <c r="J149" s="244">
        <f>_xlfn.XLOOKUP($C149,'Cons. Financials - ''23 ''24'!$C$89:$C$149,'Cons. Financials - ''23 ''24'!V$89:V$149)</f>
        <v>0.10351160000000001</v>
      </c>
      <c r="K149" s="244">
        <f>_xlfn.XLOOKUP($C149,'Cons. Financials - ''23 ''24'!$C$89:$C$149,'Cons. Financials - ''23 ''24'!W$89:W$149)</f>
        <v>0.103465</v>
      </c>
      <c r="L149" s="244">
        <f>_xlfn.XLOOKUP($C149,'Cons. Financials - ''23 ''24'!$C$89:$C$149,'Cons. Financials - ''23 ''24'!X$89:X$149)</f>
        <v>0.1016334</v>
      </c>
      <c r="M149" s="244">
        <f>_xlfn.XLOOKUP($C149,'Cons. Financials - ''23 ''24'!$C$89:$C$149,'Cons. Financials - ''23 ''24'!Y$89:Y$149)</f>
        <v>9.8494600000000002E-2</v>
      </c>
      <c r="N149" s="244">
        <f>_xlfn.XLOOKUP($C149,'Cons. Financials - ''23 ''24'!$C$89:$C$149,'Cons. Financials - ''23 ''24'!Z$89:Z$149)</f>
        <v>9.6657599999999996E-2</v>
      </c>
      <c r="O149" s="327">
        <f>_xlfn.XLOOKUP($C149,'Cons. Financials - ''23 ''24'!$C$89:$C$149,'Cons. Financials - ''23 ''24'!AA$89:AA$149)</f>
        <v>9.5276600000000003E-2</v>
      </c>
      <c r="P149" s="203">
        <f t="shared" ref="P149:AA149" si="124">P144+$AH$149/10000</f>
        <v>9.5000000000000001E-2</v>
      </c>
      <c r="Q149" s="203">
        <f t="shared" si="124"/>
        <v>9.5000000000000001E-2</v>
      </c>
      <c r="R149" s="203">
        <f t="shared" si="124"/>
        <v>9.5000000000000001E-2</v>
      </c>
      <c r="S149" s="203">
        <f t="shared" si="124"/>
        <v>9.5000000000000001E-2</v>
      </c>
      <c r="T149" s="203">
        <f t="shared" si="124"/>
        <v>9.5000000000000001E-2</v>
      </c>
      <c r="U149" s="203">
        <f t="shared" si="124"/>
        <v>9.5000000000000001E-2</v>
      </c>
      <c r="V149" s="203">
        <f t="shared" si="124"/>
        <v>9.5000000000000001E-2</v>
      </c>
      <c r="W149" s="203">
        <f t="shared" si="124"/>
        <v>9.5000000000000001E-2</v>
      </c>
      <c r="X149" s="203">
        <f t="shared" si="124"/>
        <v>9.5000000000000001E-2</v>
      </c>
      <c r="Y149" s="203">
        <f t="shared" si="124"/>
        <v>9.5000000000000001E-2</v>
      </c>
      <c r="Z149" s="203">
        <f t="shared" si="124"/>
        <v>9.5000000000000001E-2</v>
      </c>
      <c r="AA149" s="203">
        <f t="shared" si="124"/>
        <v>9.5000000000000001E-2</v>
      </c>
      <c r="AH149" s="202">
        <v>500</v>
      </c>
    </row>
    <row r="150" spans="2:34" ht="6" customHeight="1" x14ac:dyDescent="0.2"/>
    <row r="152" spans="2:34" ht="13.5" thickBot="1" x14ac:dyDescent="0.25">
      <c r="B152" s="2" t="s">
        <v>0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3"/>
      <c r="AE152" s="3">
        <f ca="1">TODAY()</f>
        <v>45999</v>
      </c>
      <c r="AF152" s="1"/>
    </row>
    <row r="153" spans="2:34" x14ac:dyDescent="0.2">
      <c r="C153" t="s">
        <v>280</v>
      </c>
      <c r="AE153" s="53" t="s">
        <v>16</v>
      </c>
    </row>
    <row r="155" spans="2:34" x14ac:dyDescent="0.2">
      <c r="D155" s="300" t="s">
        <v>229</v>
      </c>
      <c r="E155" s="301"/>
      <c r="F155" s="301"/>
      <c r="G155" s="301"/>
      <c r="H155" s="301"/>
      <c r="I155" s="301"/>
      <c r="J155" s="301"/>
      <c r="K155" s="301"/>
      <c r="L155" s="301"/>
      <c r="M155" s="301"/>
      <c r="N155" s="301"/>
      <c r="O155" s="302"/>
      <c r="P155" s="266" t="s">
        <v>230</v>
      </c>
      <c r="Q155" s="267"/>
      <c r="R155" s="267"/>
      <c r="S155" s="267"/>
      <c r="T155" s="267"/>
      <c r="U155" s="267"/>
      <c r="V155" s="267"/>
      <c r="W155" s="267"/>
      <c r="X155" s="267"/>
      <c r="Y155" s="267"/>
      <c r="Z155" s="267"/>
      <c r="AA155" s="268"/>
      <c r="AC155" s="298" t="s">
        <v>231</v>
      </c>
      <c r="AD155" s="299"/>
      <c r="AE155" s="297" t="s">
        <v>232</v>
      </c>
    </row>
    <row r="156" spans="2:34" ht="15" x14ac:dyDescent="0.35">
      <c r="D156" s="211">
        <v>44957</v>
      </c>
      <c r="E156" s="212">
        <f>EOMONTH(D156,1)</f>
        <v>44985</v>
      </c>
      <c r="F156" s="212">
        <f t="shared" ref="F156" si="125">EOMONTH(E156,1)</f>
        <v>45016</v>
      </c>
      <c r="G156" s="212">
        <f t="shared" ref="G156" si="126">EOMONTH(F156,1)</f>
        <v>45046</v>
      </c>
      <c r="H156" s="212">
        <f t="shared" ref="H156" si="127">EOMONTH(G156,1)</f>
        <v>45077</v>
      </c>
      <c r="I156" s="212">
        <f t="shared" ref="I156" si="128">EOMONTH(H156,1)</f>
        <v>45107</v>
      </c>
      <c r="J156" s="212">
        <f t="shared" ref="J156" si="129">EOMONTH(I156,1)</f>
        <v>45138</v>
      </c>
      <c r="K156" s="212">
        <f t="shared" ref="K156" si="130">EOMONTH(J156,1)</f>
        <v>45169</v>
      </c>
      <c r="L156" s="212">
        <f t="shared" ref="L156" si="131">EOMONTH(K156,1)</f>
        <v>45199</v>
      </c>
      <c r="M156" s="212">
        <f t="shared" ref="M156" si="132">EOMONTH(L156,1)</f>
        <v>45230</v>
      </c>
      <c r="N156" s="212">
        <f t="shared" ref="N156" si="133">EOMONTH(M156,1)</f>
        <v>45260</v>
      </c>
      <c r="O156" s="213">
        <f t="shared" ref="O156" si="134">EOMONTH(N156,1)</f>
        <v>45291</v>
      </c>
      <c r="P156" s="4">
        <f t="shared" ref="P156" si="135">EOMONTH(O156,1)</f>
        <v>45322</v>
      </c>
      <c r="Q156" s="19">
        <f t="shared" ref="Q156" si="136">EOMONTH(P156,1)</f>
        <v>45351</v>
      </c>
      <c r="R156" s="19">
        <f t="shared" ref="R156" si="137">EOMONTH(Q156,1)</f>
        <v>45382</v>
      </c>
      <c r="S156" s="19">
        <f t="shared" ref="S156" si="138">EOMONTH(R156,1)</f>
        <v>45412</v>
      </c>
      <c r="T156" s="19">
        <f t="shared" ref="T156" si="139">EOMONTH(S156,1)</f>
        <v>45443</v>
      </c>
      <c r="U156" s="19">
        <f t="shared" ref="U156" si="140">EOMONTH(T156,1)</f>
        <v>45473</v>
      </c>
      <c r="V156" s="19">
        <f t="shared" ref="V156" si="141">EOMONTH(U156,1)</f>
        <v>45504</v>
      </c>
      <c r="W156" s="19">
        <f t="shared" ref="W156" si="142">EOMONTH(V156,1)</f>
        <v>45535</v>
      </c>
      <c r="X156" s="19">
        <f t="shared" ref="X156" si="143">EOMONTH(W156,1)</f>
        <v>45565</v>
      </c>
      <c r="Y156" s="19">
        <f t="shared" ref="Y156" si="144">EOMONTH(X156,1)</f>
        <v>45596</v>
      </c>
      <c r="Z156" s="19">
        <f t="shared" ref="Z156" si="145">EOMONTH(Y156,1)</f>
        <v>45626</v>
      </c>
      <c r="AA156" s="5">
        <f t="shared" ref="AA156" si="146">EOMONTH(Z156,1)</f>
        <v>45657</v>
      </c>
      <c r="AB156" s="12"/>
      <c r="AC156" s="13">
        <f>'Cons. Financials - ''23 ''24'!AC156</f>
        <v>45291</v>
      </c>
      <c r="AD156" s="14">
        <v>45657</v>
      </c>
      <c r="AE156" s="14">
        <v>46022</v>
      </c>
    </row>
    <row r="157" spans="2:34" ht="3" customHeight="1" x14ac:dyDescent="0.2">
      <c r="D157" s="11"/>
      <c r="P157" s="11"/>
      <c r="AA157" s="15"/>
      <c r="AC157" s="11"/>
      <c r="AD157" s="15"/>
      <c r="AE157" s="15"/>
    </row>
    <row r="158" spans="2:34" ht="12.75" customHeight="1" x14ac:dyDescent="0.2">
      <c r="C158" s="7" t="s">
        <v>220</v>
      </c>
      <c r="D158" s="303">
        <f>_xlfn.XLOOKUP($C158,'Cons. Financials - ''23 ''24'!$C$158:$C$179,'Cons. Financials - ''23 ''24'!P$158:P$179)</f>
        <v>2096.6279993650865</v>
      </c>
      <c r="E158" s="256">
        <f>_xlfn.XLOOKUP($C158,'Cons. Financials - ''23 ''24'!$C$158:$C$179,'Cons. Financials - ''23 ''24'!Q$158:Q$179)</f>
        <v>1337.6862420321513</v>
      </c>
      <c r="F158" s="256">
        <f>_xlfn.XLOOKUP($C158,'Cons. Financials - ''23 ''24'!$C$158:$C$179,'Cons. Financials - ''23 ''24'!R$158:R$179)</f>
        <v>987.26118766181048</v>
      </c>
      <c r="G158" s="256">
        <f>_xlfn.XLOOKUP($C158,'Cons. Financials - ''23 ''24'!$C$158:$C$179,'Cons. Financials - ''23 ''24'!S$158:S$179)</f>
        <v>130.0712741750059</v>
      </c>
      <c r="H158" s="256">
        <f>_xlfn.XLOOKUP($C158,'Cons. Financials - ''23 ''24'!$C$158:$C$179,'Cons. Financials - ''23 ''24'!T$158:T$179)</f>
        <v>-488.96641258565455</v>
      </c>
      <c r="I158" s="256">
        <f>_xlfn.XLOOKUP($C158,'Cons. Financials - ''23 ''24'!$C$158:$C$179,'Cons. Financials - ''23 ''24'!U$158:U$179)</f>
        <v>-206.16839527944961</v>
      </c>
      <c r="J158" s="256">
        <f>_xlfn.XLOOKUP($C158,'Cons. Financials - ''23 ''24'!$C$158:$C$179,'Cons. Financials - ''23 ''24'!V$158:V$179)</f>
        <v>911.38675485042347</v>
      </c>
      <c r="K158" s="256">
        <f>_xlfn.XLOOKUP($C158,'Cons. Financials - ''23 ''24'!$C$158:$C$179,'Cons. Financials - ''23 ''24'!W$158:W$179)</f>
        <v>2063.2535578432062</v>
      </c>
      <c r="L158" s="256">
        <f>_xlfn.XLOOKUP($C158,'Cons. Financials - ''23 ''24'!$C$158:$C$179,'Cons. Financials - ''23 ''24'!X$158:X$179)</f>
        <v>1476.818140377321</v>
      </c>
      <c r="M158" s="256">
        <f>_xlfn.XLOOKUP($C158,'Cons. Financials - ''23 ''24'!$C$158:$C$179,'Cons. Financials - ''23 ''24'!Y$158:Y$179)</f>
        <v>1909.9568713262404</v>
      </c>
      <c r="N158" s="256">
        <f>_xlfn.XLOOKUP($C158,'Cons. Financials - ''23 ''24'!$C$158:$C$179,'Cons. Financials - ''23 ''24'!Z$158:Z$179)</f>
        <v>2125.2199262872878</v>
      </c>
      <c r="O158" s="256">
        <f>_xlfn.XLOOKUP($C158,'Cons. Financials - ''23 ''24'!$C$158:$C$179,'Cons. Financials - ''23 ''24'!AA$158:AA$179)</f>
        <v>1334.4535315956837</v>
      </c>
      <c r="P158" s="205">
        <f t="shared" ref="P158:AA158" ca="1" si="147">P72</f>
        <v>2352.2473846781359</v>
      </c>
      <c r="Q158" s="76">
        <f t="shared" ca="1" si="147"/>
        <v>1945.6815188955784</v>
      </c>
      <c r="R158" s="76">
        <f t="shared" ca="1" si="147"/>
        <v>1778.0309550100401</v>
      </c>
      <c r="S158" s="76">
        <f t="shared" ca="1" si="147"/>
        <v>711.70044582028265</v>
      </c>
      <c r="T158" s="76">
        <f t="shared" ca="1" si="147"/>
        <v>-221.47607596352697</v>
      </c>
      <c r="U158" s="76">
        <f t="shared" ca="1" si="147"/>
        <v>318.63173914770653</v>
      </c>
      <c r="V158" s="76">
        <f t="shared" ca="1" si="147"/>
        <v>1491.15277030064</v>
      </c>
      <c r="W158" s="76">
        <f t="shared" ca="1" si="147"/>
        <v>2525.3114084137478</v>
      </c>
      <c r="X158" s="76">
        <f t="shared" ca="1" si="147"/>
        <v>1867.3953596684855</v>
      </c>
      <c r="Y158" s="76">
        <f t="shared" ca="1" si="147"/>
        <v>2336.6310958049498</v>
      </c>
      <c r="Z158" s="76">
        <f t="shared" ca="1" si="147"/>
        <v>2172.1200523311186</v>
      </c>
      <c r="AA158" s="206">
        <f t="shared" ca="1" si="147"/>
        <v>1276.3550661605875</v>
      </c>
      <c r="AC158" s="303">
        <f>'Cons. Financials - ''23 ''24'!AC158</f>
        <v>8692.3983421452558</v>
      </c>
      <c r="AD158" s="206">
        <f t="shared" ref="AD158:AD168" si="148">SUM(D158:O158)</f>
        <v>13677.600677649112</v>
      </c>
      <c r="AE158" s="206">
        <f ca="1">SUM(Q158:AB158)</f>
        <v>16201.534335589609</v>
      </c>
    </row>
    <row r="159" spans="2:34" ht="12.75" customHeight="1" x14ac:dyDescent="0.2">
      <c r="C159" s="7" t="s">
        <v>211</v>
      </c>
      <c r="D159" s="115">
        <f>_xlfn.XLOOKUP($C159,'Cons. Financials - ''23 ''24'!$C$158:$C$179,'Cons. Financials - ''23 ''24'!P$158:P$179)</f>
        <v>270.50629078272163</v>
      </c>
      <c r="E159" s="257">
        <f>_xlfn.XLOOKUP($C159,'Cons. Financials - ''23 ''24'!$C$158:$C$179,'Cons. Financials - ''23 ''24'!Q$158:Q$179)</f>
        <v>272.72644995042026</v>
      </c>
      <c r="F159" s="257">
        <f>_xlfn.XLOOKUP($C159,'Cons. Financials - ''23 ''24'!$C$158:$C$179,'Cons. Financials - ''23 ''24'!R$158:R$179)</f>
        <v>273.79265508374073</v>
      </c>
      <c r="G159" s="257">
        <f>_xlfn.XLOOKUP($C159,'Cons. Financials - ''23 ''24'!$C$158:$C$179,'Cons. Financials - ''23 ''24'!S$158:S$179)</f>
        <v>276.30401479562977</v>
      </c>
      <c r="H159" s="257">
        <f>_xlfn.XLOOKUP($C159,'Cons. Financials - ''23 ''24'!$C$158:$C$179,'Cons. Financials - ''23 ''24'!T$158:T$179)</f>
        <v>277.40446744760874</v>
      </c>
      <c r="I159" s="257">
        <f>_xlfn.XLOOKUP($C159,'Cons. Financials - ''23 ''24'!$C$158:$C$179,'Cons. Financials - ''23 ''24'!U$158:U$179)</f>
        <v>277.7156246291965</v>
      </c>
      <c r="J159" s="257">
        <f>_xlfn.XLOOKUP($C159,'Cons. Financials - ''23 ''24'!$C$158:$C$179,'Cons. Financials - ''23 ''24'!V$158:V$179)</f>
        <v>280.01495286046446</v>
      </c>
      <c r="K159" s="257">
        <f>_xlfn.XLOOKUP($C159,'Cons. Financials - ''23 ''24'!$C$158:$C$179,'Cons. Financials - ''23 ''24'!W$158:W$179)</f>
        <v>281.12454906163094</v>
      </c>
      <c r="L159" s="257">
        <f>_xlfn.XLOOKUP($C159,'Cons. Financials - ''23 ''24'!$C$158:$C$179,'Cons. Financials - ''23 ''24'!X$158:X$179)</f>
        <v>281.14232262519704</v>
      </c>
      <c r="M159" s="257">
        <f>_xlfn.XLOOKUP($C159,'Cons. Financials - ''23 ''24'!$C$158:$C$179,'Cons. Financials - ''23 ''24'!Y$158:Y$179)</f>
        <v>281.86988559273749</v>
      </c>
      <c r="N159" s="257">
        <f>_xlfn.XLOOKUP($C159,'Cons. Financials - ''23 ''24'!$C$158:$C$179,'Cons. Financials - ''23 ''24'!Z$158:Z$179)</f>
        <v>282.59861993495548</v>
      </c>
      <c r="O159" s="257">
        <f>_xlfn.XLOOKUP($C159,'Cons. Financials - ''23 ''24'!$C$158:$C$179,'Cons. Financials - ''23 ''24'!AA$158:AA$179)</f>
        <v>283.21799175333791</v>
      </c>
      <c r="P159" s="92">
        <f t="shared" ref="P159:AA159" si="149">-P56</f>
        <v>287.3846584200046</v>
      </c>
      <c r="Q159" s="198">
        <f t="shared" si="149"/>
        <v>291.55132508667128</v>
      </c>
      <c r="R159" s="198">
        <f t="shared" si="149"/>
        <v>295.71799175333797</v>
      </c>
      <c r="S159" s="198">
        <f t="shared" si="149"/>
        <v>299.88465842000465</v>
      </c>
      <c r="T159" s="198">
        <f t="shared" si="149"/>
        <v>304.05132508667134</v>
      </c>
      <c r="U159" s="198">
        <f t="shared" si="149"/>
        <v>308.21799175333803</v>
      </c>
      <c r="V159" s="198">
        <f t="shared" si="149"/>
        <v>316.55132508667134</v>
      </c>
      <c r="W159" s="198">
        <f t="shared" si="149"/>
        <v>324.88465842000465</v>
      </c>
      <c r="X159" s="198">
        <f t="shared" si="149"/>
        <v>333.21799175333797</v>
      </c>
      <c r="Y159" s="198">
        <f t="shared" si="149"/>
        <v>341.55132508667128</v>
      </c>
      <c r="Z159" s="198">
        <f t="shared" si="149"/>
        <v>349.8846584200046</v>
      </c>
      <c r="AA159" s="93">
        <f t="shared" si="149"/>
        <v>358.21799175333791</v>
      </c>
      <c r="AC159" s="115">
        <f>'Cons. Financials - ''23 ''24'!AC159</f>
        <v>3158.2223491180339</v>
      </c>
      <c r="AD159" s="93">
        <f t="shared" si="148"/>
        <v>3338.4178245176408</v>
      </c>
      <c r="AE159" s="93">
        <f t="shared" ref="AE159:AE168" si="150">SUM(Q159:AB159)</f>
        <v>3523.731242620051</v>
      </c>
    </row>
    <row r="160" spans="2:34" ht="12.75" customHeight="1" x14ac:dyDescent="0.2">
      <c r="C160" s="7" t="s">
        <v>212</v>
      </c>
      <c r="D160" s="115">
        <f>_xlfn.XLOOKUP($C160,'Cons. Financials - ''23 ''24'!$C$158:$C$179,'Cons. Financials - ''23 ''24'!P$158:P$179)</f>
        <v>12.132</v>
      </c>
      <c r="E160" s="257">
        <f>_xlfn.XLOOKUP($C160,'Cons. Financials - ''23 ''24'!$C$158:$C$179,'Cons. Financials - ''23 ''24'!Q$158:Q$179)</f>
        <v>12.132</v>
      </c>
      <c r="F160" s="257">
        <f>_xlfn.XLOOKUP($C160,'Cons. Financials - ''23 ''24'!$C$158:$C$179,'Cons. Financials - ''23 ''24'!R$158:R$179)</f>
        <v>12.132</v>
      </c>
      <c r="G160" s="257">
        <f>_xlfn.XLOOKUP($C160,'Cons. Financials - ''23 ''24'!$C$158:$C$179,'Cons. Financials - ''23 ''24'!S$158:S$179)</f>
        <v>12.132</v>
      </c>
      <c r="H160" s="257">
        <f>_xlfn.XLOOKUP($C160,'Cons. Financials - ''23 ''24'!$C$158:$C$179,'Cons. Financials - ''23 ''24'!T$158:T$179)</f>
        <v>12.132</v>
      </c>
      <c r="I160" s="257">
        <f>_xlfn.XLOOKUP($C160,'Cons. Financials - ''23 ''24'!$C$158:$C$179,'Cons. Financials - ''23 ''24'!U$158:U$179)</f>
        <v>12.132</v>
      </c>
      <c r="J160" s="257">
        <f>_xlfn.XLOOKUP($C160,'Cons. Financials - ''23 ''24'!$C$158:$C$179,'Cons. Financials - ''23 ''24'!V$158:V$179)</f>
        <v>12.132</v>
      </c>
      <c r="K160" s="257">
        <f>_xlfn.XLOOKUP($C160,'Cons. Financials - ''23 ''24'!$C$158:$C$179,'Cons. Financials - ''23 ''24'!W$158:W$179)</f>
        <v>12.132</v>
      </c>
      <c r="L160" s="257">
        <f>_xlfn.XLOOKUP($C160,'Cons. Financials - ''23 ''24'!$C$158:$C$179,'Cons. Financials - ''23 ''24'!X$158:X$179)</f>
        <v>12.132</v>
      </c>
      <c r="M160" s="257">
        <f>_xlfn.XLOOKUP($C160,'Cons. Financials - ''23 ''24'!$C$158:$C$179,'Cons. Financials - ''23 ''24'!Y$158:Y$179)</f>
        <v>12.132</v>
      </c>
      <c r="N160" s="257">
        <f>_xlfn.XLOOKUP($C160,'Cons. Financials - ''23 ''24'!$C$158:$C$179,'Cons. Financials - ''23 ''24'!Z$158:Z$179)</f>
        <v>12.132</v>
      </c>
      <c r="O160" s="257">
        <f>_xlfn.XLOOKUP($C160,'Cons. Financials - ''23 ''24'!$C$158:$C$179,'Cons. Financials - ''23 ''24'!AA$158:AA$179)</f>
        <v>12.132</v>
      </c>
      <c r="P160" s="92">
        <f t="shared" ref="P160:AA160" si="151">-P59</f>
        <v>12.132</v>
      </c>
      <c r="Q160" s="198">
        <f t="shared" si="151"/>
        <v>12.132</v>
      </c>
      <c r="R160" s="198">
        <f t="shared" si="151"/>
        <v>12.132</v>
      </c>
      <c r="S160" s="198">
        <f t="shared" si="151"/>
        <v>12.132</v>
      </c>
      <c r="T160" s="198">
        <f t="shared" si="151"/>
        <v>12.132</v>
      </c>
      <c r="U160" s="198">
        <f t="shared" si="151"/>
        <v>12.132</v>
      </c>
      <c r="V160" s="198">
        <f t="shared" si="151"/>
        <v>12.132</v>
      </c>
      <c r="W160" s="198">
        <f t="shared" si="151"/>
        <v>12.132</v>
      </c>
      <c r="X160" s="198">
        <f t="shared" si="151"/>
        <v>12.132</v>
      </c>
      <c r="Y160" s="198">
        <f t="shared" si="151"/>
        <v>12.132</v>
      </c>
      <c r="Z160" s="198">
        <f t="shared" si="151"/>
        <v>12.132</v>
      </c>
      <c r="AA160" s="93">
        <f t="shared" si="151"/>
        <v>12.132</v>
      </c>
      <c r="AC160" s="115">
        <f>'Cons. Financials - ''23 ''24'!AC160</f>
        <v>145.58400000000003</v>
      </c>
      <c r="AD160" s="93">
        <f t="shared" si="148"/>
        <v>145.58400000000003</v>
      </c>
      <c r="AE160" s="93">
        <f t="shared" si="150"/>
        <v>133.45200000000003</v>
      </c>
    </row>
    <row r="161" spans="3:31" ht="12.75" customHeight="1" x14ac:dyDescent="0.2">
      <c r="C161" s="7" t="str">
        <f>"Change in "&amp;C90</f>
        <v>Change in Accounts receivable net</v>
      </c>
      <c r="D161" s="115">
        <f>_xlfn.XLOOKUP($C161,'Cons. Financials - ''23 ''24'!$C$158:$C$179,'Cons. Financials - ''23 ''24'!P$158:P$179)</f>
        <v>-850.63652629920762</v>
      </c>
      <c r="E161" s="257">
        <f>_xlfn.XLOOKUP($C161,'Cons. Financials - ''23 ''24'!$C$158:$C$179,'Cons. Financials - ''23 ''24'!Q$158:Q$179)</f>
        <v>-141.05593963267347</v>
      </c>
      <c r="F161" s="257">
        <f>_xlfn.XLOOKUP($C161,'Cons. Financials - ''23 ''24'!$C$158:$C$179,'Cons. Financials - ''23 ''24'!R$158:R$179)</f>
        <v>-146.77477230320073</v>
      </c>
      <c r="G161" s="257">
        <f>_xlfn.XLOOKUP($C161,'Cons. Financials - ''23 ''24'!$C$158:$C$179,'Cons. Financials - ''23 ''24'!S$158:S$179)</f>
        <v>748.77846885660256</v>
      </c>
      <c r="H161" s="257">
        <f>_xlfn.XLOOKUP($C161,'Cons. Financials - ''23 ''24'!$C$158:$C$179,'Cons. Financials - ''23 ''24'!T$158:T$179)</f>
        <v>606.09256403640757</v>
      </c>
      <c r="I161" s="257">
        <f>_xlfn.XLOOKUP($C161,'Cons. Financials - ''23 ''24'!$C$158:$C$179,'Cons. Financials - ''23 ''24'!U$158:U$179)</f>
        <v>893.68958009229755</v>
      </c>
      <c r="J161" s="257">
        <f>_xlfn.XLOOKUP($C161,'Cons. Financials - ''23 ''24'!$C$158:$C$179,'Cons. Financials - ''23 ''24'!V$158:V$179)</f>
        <v>-562.75531664704067</v>
      </c>
      <c r="K161" s="257">
        <f>_xlfn.XLOOKUP($C161,'Cons. Financials - ''23 ''24'!$C$158:$C$179,'Cons. Financials - ''23 ''24'!W$158:W$179)</f>
        <v>-454.04174417206195</v>
      </c>
      <c r="L161" s="257">
        <f>_xlfn.XLOOKUP($C161,'Cons. Financials - ''23 ''24'!$C$158:$C$179,'Cons. Financials - ''23 ''24'!X$158:X$179)</f>
        <v>-427.18186843426884</v>
      </c>
      <c r="M161" s="257">
        <f>_xlfn.XLOOKUP($C161,'Cons. Financials - ''23 ''24'!$C$158:$C$179,'Cons. Financials - ''23 ''24'!Y$158:Y$179)</f>
        <v>-347.60797854837074</v>
      </c>
      <c r="N161" s="257">
        <f>_xlfn.XLOOKUP($C161,'Cons. Financials - ''23 ''24'!$C$158:$C$179,'Cons. Financials - ''23 ''24'!Z$158:Z$179)</f>
        <v>107.64532417813098</v>
      </c>
      <c r="O161" s="257">
        <f>_xlfn.XLOOKUP($C161,'Cons. Financials - ''23 ''24'!$C$158:$C$179,'Cons. Financials - ''23 ''24'!AA$158:AA$179)</f>
        <v>487.04112074511977</v>
      </c>
      <c r="P161" s="92">
        <f t="shared" ref="P161:AA161" si="152">O90-P90</f>
        <v>-310.92192260919728</v>
      </c>
      <c r="Q161" s="198">
        <f t="shared" si="152"/>
        <v>-1396.3220954014159</v>
      </c>
      <c r="R161" s="198">
        <f t="shared" si="152"/>
        <v>-2119.6571010936805</v>
      </c>
      <c r="S161" s="198">
        <f t="shared" si="152"/>
        <v>-1032.834058688215</v>
      </c>
      <c r="T161" s="198">
        <f t="shared" si="152"/>
        <v>-1720.4758004078685</v>
      </c>
      <c r="U161" s="198">
        <f t="shared" si="152"/>
        <v>-25.653530581210362</v>
      </c>
      <c r="V161" s="198">
        <f t="shared" si="152"/>
        <v>-630.64074296916442</v>
      </c>
      <c r="W161" s="198">
        <f t="shared" si="152"/>
        <v>1958.4293817958278</v>
      </c>
      <c r="X161" s="198">
        <f t="shared" si="152"/>
        <v>1161.7665011473146</v>
      </c>
      <c r="Y161" s="198">
        <f t="shared" si="152"/>
        <v>648.37733938434394</v>
      </c>
      <c r="Z161" s="198">
        <f t="shared" si="152"/>
        <v>668.85435376013993</v>
      </c>
      <c r="AA161" s="93">
        <f t="shared" si="152"/>
        <v>1012.5674278417191</v>
      </c>
      <c r="AC161" s="115">
        <f>'Cons. Financials - ''23 ''24'!AC161</f>
        <v>-4059.8218252619481</v>
      </c>
      <c r="AD161" s="93">
        <f t="shared" si="148"/>
        <v>-86.807088128265605</v>
      </c>
      <c r="AE161" s="93">
        <f t="shared" si="150"/>
        <v>-1475.5883252122094</v>
      </c>
    </row>
    <row r="162" spans="3:31" ht="12.75" customHeight="1" x14ac:dyDescent="0.2">
      <c r="C162" s="7" t="str">
        <f>"Change in "&amp;C91</f>
        <v>Change in Inventories</v>
      </c>
      <c r="D162" s="115">
        <f>_xlfn.XLOOKUP($C162,'Cons. Financials - ''23 ''24'!$C$158:$C$179,'Cons. Financials - ''23 ''24'!P$158:P$179)</f>
        <v>-20.468441623029776</v>
      </c>
      <c r="E162" s="257">
        <f>_xlfn.XLOOKUP($C162,'Cons. Financials - ''23 ''24'!$C$158:$C$179,'Cons. Financials - ''23 ''24'!Q$158:Q$179)</f>
        <v>-37.210464931185015</v>
      </c>
      <c r="F162" s="257">
        <f>_xlfn.XLOOKUP($C162,'Cons. Financials - ''23 ''24'!$C$158:$C$179,'Cons. Financials - ''23 ''24'!R$158:R$179)</f>
        <v>-93.857199312654188</v>
      </c>
      <c r="G162" s="257">
        <f>_xlfn.XLOOKUP($C162,'Cons. Financials - ''23 ''24'!$C$158:$C$179,'Cons. Financials - ''23 ''24'!S$158:S$179)</f>
        <v>-27.856848911656016</v>
      </c>
      <c r="H162" s="257">
        <f>_xlfn.XLOOKUP($C162,'Cons. Financials - ''23 ''24'!$C$158:$C$179,'Cons. Financials - ''23 ''24'!T$158:T$179)</f>
        <v>-65.851212187359806</v>
      </c>
      <c r="I162" s="257">
        <f>_xlfn.XLOOKUP($C162,'Cons. Financials - ''23 ''24'!$C$158:$C$179,'Cons. Financials - ''23 ''24'!U$158:U$179)</f>
        <v>-7.9749669858068728</v>
      </c>
      <c r="J162" s="257">
        <f>_xlfn.XLOOKUP($C162,'Cons. Financials - ''23 ''24'!$C$158:$C$179,'Cons. Financials - ''23 ''24'!V$158:V$179)</f>
        <v>13.585367827068126</v>
      </c>
      <c r="K162" s="257">
        <f>_xlfn.XLOOKUP($C162,'Cons. Financials - ''23 ''24'!$C$158:$C$179,'Cons. Financials - ''23 ''24'!W$158:W$179)</f>
        <v>98.591768801903982</v>
      </c>
      <c r="L162" s="257">
        <f>_xlfn.XLOOKUP($C162,'Cons. Financials - ''23 ''24'!$C$158:$C$179,'Cons. Financials - ''23 ''24'!X$158:X$179)</f>
        <v>58.057069655059649</v>
      </c>
      <c r="M162" s="257">
        <f>_xlfn.XLOOKUP($C162,'Cons. Financials - ''23 ''24'!$C$158:$C$179,'Cons. Financials - ''23 ''24'!Y$158:Y$179)</f>
        <v>45.919602382346284</v>
      </c>
      <c r="N162" s="257">
        <f>_xlfn.XLOOKUP($C162,'Cons. Financials - ''23 ''24'!$C$158:$C$179,'Cons. Financials - ''23 ''24'!Z$158:Z$179)</f>
        <v>22.789706698500368</v>
      </c>
      <c r="O162" s="257">
        <f>_xlfn.XLOOKUP($C162,'Cons. Financials - ''23 ''24'!$C$158:$C$179,'Cons. Financials - ''23 ''24'!AA$158:AA$179)</f>
        <v>34.710958448331667</v>
      </c>
      <c r="P162" s="92">
        <f t="shared" ref="P162:AA162" si="153">O91-P91</f>
        <v>-77.103748497874108</v>
      </c>
      <c r="Q162" s="198">
        <f t="shared" si="153"/>
        <v>-79.195635433936559</v>
      </c>
      <c r="R162" s="198">
        <f t="shared" si="153"/>
        <v>-159.78759135255018</v>
      </c>
      <c r="S162" s="198">
        <f t="shared" si="153"/>
        <v>-159.63444920488564</v>
      </c>
      <c r="T162" s="198">
        <f t="shared" si="153"/>
        <v>-283.3658367921945</v>
      </c>
      <c r="U162" s="198">
        <f t="shared" si="153"/>
        <v>-102.33912900960945</v>
      </c>
      <c r="V162" s="198">
        <f t="shared" si="153"/>
        <v>36.966618154816842</v>
      </c>
      <c r="W162" s="198">
        <f t="shared" si="153"/>
        <v>323.89317056344203</v>
      </c>
      <c r="X162" s="198">
        <f t="shared" si="153"/>
        <v>186.23104536320352</v>
      </c>
      <c r="Y162" s="198">
        <f t="shared" si="153"/>
        <v>127.76932927575888</v>
      </c>
      <c r="Z162" s="198">
        <f t="shared" si="153"/>
        <v>49.760279840770295</v>
      </c>
      <c r="AA162" s="93">
        <f t="shared" si="153"/>
        <v>59.144366525782743</v>
      </c>
      <c r="AC162" s="115">
        <f>'Cons. Financials - ''23 ''24'!AC162</f>
        <v>151.09883949248615</v>
      </c>
      <c r="AD162" s="93">
        <f t="shared" si="148"/>
        <v>20.435339861518401</v>
      </c>
      <c r="AE162" s="93">
        <f t="shared" si="150"/>
        <v>-0.5578320694020249</v>
      </c>
    </row>
    <row r="163" spans="3:31" ht="12.75" customHeight="1" x14ac:dyDescent="0.2">
      <c r="C163" s="7" t="str">
        <f>"Change in "&amp;C92</f>
        <v>Change in Accrued Compensation</v>
      </c>
      <c r="D163" s="115">
        <f>_xlfn.XLOOKUP($C163,'Cons. Financials - ''23 ''24'!$C$158:$C$179,'Cons. Financials - ''23 ''24'!P$158:P$179)</f>
        <v>-84.916666666666401</v>
      </c>
      <c r="E163" s="257">
        <f>_xlfn.XLOOKUP($C163,'Cons. Financials - ''23 ''24'!$C$158:$C$179,'Cons. Financials - ''23 ''24'!Q$158:Q$179)</f>
        <v>-85.270833333333144</v>
      </c>
      <c r="F163" s="257">
        <f>_xlfn.XLOOKUP($C163,'Cons. Financials - ''23 ''24'!$C$158:$C$179,'Cons. Financials - ''23 ''24'!R$158:R$179)</f>
        <v>-85.624999999999886</v>
      </c>
      <c r="G163" s="257">
        <f>_xlfn.XLOOKUP($C163,'Cons. Financials - ''23 ''24'!$C$158:$C$179,'Cons. Financials - ''23 ''24'!S$158:S$179)</f>
        <v>-81.624999999999886</v>
      </c>
      <c r="H163" s="257">
        <f>_xlfn.XLOOKUP($C163,'Cons. Financials - ''23 ''24'!$C$158:$C$179,'Cons. Financials - ''23 ''24'!T$158:T$179)</f>
        <v>-79.624999999999886</v>
      </c>
      <c r="I163" s="257">
        <f>_xlfn.XLOOKUP($C163,'Cons. Financials - ''23 ''24'!$C$158:$C$179,'Cons. Financials - ''23 ''24'!U$158:U$179)</f>
        <v>-83.625</v>
      </c>
      <c r="J163" s="257">
        <f>_xlfn.XLOOKUP($C163,'Cons. Financials - ''23 ''24'!$C$158:$C$179,'Cons. Financials - ''23 ''24'!V$158:V$179)</f>
        <v>-57.375</v>
      </c>
      <c r="K163" s="257">
        <f>_xlfn.XLOOKUP($C163,'Cons. Financials - ''23 ''24'!$C$158:$C$179,'Cons. Financials - ''23 ''24'!W$158:W$179)</f>
        <v>-79.875</v>
      </c>
      <c r="L163" s="257">
        <f>_xlfn.XLOOKUP($C163,'Cons. Financials - ''23 ''24'!$C$158:$C$179,'Cons. Financials - ''23 ''24'!X$158:X$179)</f>
        <v>-70.125000000000114</v>
      </c>
      <c r="M163" s="257">
        <f>_xlfn.XLOOKUP($C163,'Cons. Financials - ''23 ''24'!$C$158:$C$179,'Cons. Financials - ''23 ''24'!Y$158:Y$179)</f>
        <v>-78.791666666666742</v>
      </c>
      <c r="N163" s="257">
        <f>_xlfn.XLOOKUP($C163,'Cons. Financials - ''23 ''24'!$C$158:$C$179,'Cons. Financials - ''23 ''24'!Z$158:Z$179)</f>
        <v>-71.229166666666742</v>
      </c>
      <c r="O163" s="257">
        <f>_xlfn.XLOOKUP($C163,'Cons. Financials - ''23 ''24'!$C$158:$C$179,'Cons. Financials - ''23 ''24'!AA$158:AA$179)</f>
        <v>857.75277777777751</v>
      </c>
      <c r="P163" s="92">
        <f t="shared" ref="P163:AA163" si="154">O92-P92</f>
        <v>-97.666666666666657</v>
      </c>
      <c r="Q163" s="198">
        <f t="shared" si="154"/>
        <v>-108.74999999999997</v>
      </c>
      <c r="R163" s="198">
        <f t="shared" si="154"/>
        <v>-108.75</v>
      </c>
      <c r="S163" s="198">
        <f t="shared" si="154"/>
        <v>-108.75</v>
      </c>
      <c r="T163" s="198">
        <f t="shared" si="154"/>
        <v>-108.75</v>
      </c>
      <c r="U163" s="198">
        <f t="shared" si="154"/>
        <v>-108.75</v>
      </c>
      <c r="V163" s="198">
        <f t="shared" si="154"/>
        <v>-108.75</v>
      </c>
      <c r="W163" s="198">
        <f t="shared" si="154"/>
        <v>-108.75</v>
      </c>
      <c r="X163" s="198">
        <f t="shared" si="154"/>
        <v>-108.75</v>
      </c>
      <c r="Y163" s="198">
        <f t="shared" si="154"/>
        <v>-108.74999999999989</v>
      </c>
      <c r="Z163" s="198">
        <f t="shared" si="154"/>
        <v>-108.75</v>
      </c>
      <c r="AA163" s="93">
        <f t="shared" si="154"/>
        <v>1185.1666666666667</v>
      </c>
      <c r="AC163" s="115">
        <f>'Cons. Financials - ''23 ''24'!AC163</f>
        <v>105.45670599556104</v>
      </c>
      <c r="AD163" s="93">
        <f t="shared" si="148"/>
        <v>-0.33055555555529281</v>
      </c>
      <c r="AE163" s="93">
        <f t="shared" si="150"/>
        <v>97.666666666666742</v>
      </c>
    </row>
    <row r="164" spans="3:31" ht="12.75" customHeight="1" x14ac:dyDescent="0.2">
      <c r="C164" s="7" t="str">
        <f>"Change in "&amp;C93</f>
        <v>Change in Prepaid expenses and other current assets</v>
      </c>
      <c r="D164" s="115">
        <f>_xlfn.XLOOKUP($C164,'Cons. Financials - ''23 ''24'!$C$158:$C$179,'Cons. Financials - ''23 ''24'!P$158:P$179)</f>
        <v>-233.66196925719487</v>
      </c>
      <c r="E164" s="257">
        <f>_xlfn.XLOOKUP($C164,'Cons. Financials - ''23 ''24'!$C$158:$C$179,'Cons. Financials - ''23 ''24'!Q$158:Q$179)</f>
        <v>-317.94998457558722</v>
      </c>
      <c r="F164" s="257">
        <f>_xlfn.XLOOKUP($C164,'Cons. Financials - ''23 ''24'!$C$158:$C$179,'Cons. Financials - ''23 ''24'!R$158:R$179)</f>
        <v>-484.75474830693747</v>
      </c>
      <c r="G164" s="257">
        <f>_xlfn.XLOOKUP($C164,'Cons. Financials - ''23 ''24'!$C$158:$C$179,'Cons. Financials - ''23 ''24'!S$158:S$179)</f>
        <v>728.21592883307221</v>
      </c>
      <c r="H164" s="257">
        <f>_xlfn.XLOOKUP($C164,'Cons. Financials - ''23 ''24'!$C$158:$C$179,'Cons. Financials - ''23 ''24'!T$158:T$179)</f>
        <v>54.015333743808696</v>
      </c>
      <c r="I164" s="257">
        <f>_xlfn.XLOOKUP($C164,'Cons. Financials - ''23 ''24'!$C$158:$C$179,'Cons. Financials - ''23 ''24'!U$158:U$179)</f>
        <v>616.664036441387</v>
      </c>
      <c r="J164" s="257">
        <f>_xlfn.XLOOKUP($C164,'Cons. Financials - ''23 ''24'!$C$158:$C$179,'Cons. Financials - ''23 ''24'!V$158:V$179)</f>
        <v>-237.20994601664461</v>
      </c>
      <c r="K164" s="257">
        <f>_xlfn.XLOOKUP($C164,'Cons. Financials - ''23 ''24'!$C$158:$C$179,'Cons. Financials - ''23 ''24'!W$158:W$179)</f>
        <v>-543.99326738657601</v>
      </c>
      <c r="L164" s="257">
        <f>_xlfn.XLOOKUP($C164,'Cons. Financials - ''23 ''24'!$C$158:$C$179,'Cons. Financials - ''23 ''24'!X$158:X$179)</f>
        <v>-475.81298844411685</v>
      </c>
      <c r="M164" s="257">
        <f>_xlfn.XLOOKUP($C164,'Cons. Financials - ''23 ''24'!$C$158:$C$179,'Cons. Financials - ''23 ''24'!Y$158:Y$179)</f>
        <v>-672.70273152482969</v>
      </c>
      <c r="N164" s="257">
        <f>_xlfn.XLOOKUP($C164,'Cons. Financials - ''23 ''24'!$C$158:$C$179,'Cons. Financials - ''23 ''24'!Z$158:Z$179)</f>
        <v>418.08279064222188</v>
      </c>
      <c r="O164" s="257">
        <f>_xlfn.XLOOKUP($C164,'Cons. Financials - ''23 ''24'!$C$158:$C$179,'Cons. Financials - ''23 ''24'!AA$158:AA$179)</f>
        <v>-135.09836253962749</v>
      </c>
      <c r="P164" s="92">
        <f t="shared" ref="P164:AA164" si="155">O93-P93</f>
        <v>1289.6628191965801</v>
      </c>
      <c r="Q164" s="198">
        <f t="shared" si="155"/>
        <v>-994.43508936794296</v>
      </c>
      <c r="R164" s="198">
        <f t="shared" si="155"/>
        <v>-1638.4248817821881</v>
      </c>
      <c r="S164" s="198">
        <f t="shared" si="155"/>
        <v>-193.05595775727488</v>
      </c>
      <c r="T164" s="198">
        <f t="shared" si="155"/>
        <v>-1377.0131302012596</v>
      </c>
      <c r="U164" s="198">
        <f t="shared" si="155"/>
        <v>157.47244065157247</v>
      </c>
      <c r="V164" s="198">
        <f t="shared" si="155"/>
        <v>-225.61886509314354</v>
      </c>
      <c r="W164" s="198">
        <f t="shared" si="155"/>
        <v>680.98969097865483</v>
      </c>
      <c r="X164" s="198">
        <f t="shared" si="155"/>
        <v>380.72457085526185</v>
      </c>
      <c r="Y164" s="198">
        <f t="shared" si="155"/>
        <v>-174.41319127245697</v>
      </c>
      <c r="Z164" s="198">
        <f t="shared" si="155"/>
        <v>830.55521584695089</v>
      </c>
      <c r="AA164" s="93">
        <f t="shared" si="155"/>
        <v>125.10643282099409</v>
      </c>
      <c r="AC164" s="115">
        <f>'Cons. Financials - ''23 ''24'!AC164</f>
        <v>-1397.1288237174413</v>
      </c>
      <c r="AD164" s="93">
        <f t="shared" si="148"/>
        <v>-1284.2059083910244</v>
      </c>
      <c r="AE164" s="93">
        <f t="shared" si="150"/>
        <v>-2428.112764320832</v>
      </c>
    </row>
    <row r="165" spans="3:31" ht="12.75" customHeight="1" x14ac:dyDescent="0.2">
      <c r="C165" s="7" t="str">
        <f>"Change in "&amp;C99</f>
        <v>Change in Other assets</v>
      </c>
      <c r="D165" s="115">
        <f>_xlfn.XLOOKUP($C165,'Cons. Financials - ''23 ''24'!$C$158:$C$179,'Cons. Financials - ''23 ''24'!P$158:P$179)</f>
        <v>-4.1817286624086591</v>
      </c>
      <c r="E165" s="257">
        <f>_xlfn.XLOOKUP($C165,'Cons. Financials - ''23 ''24'!$C$158:$C$179,'Cons. Financials - ''23 ''24'!Q$158:Q$179)</f>
        <v>2.0923991450372341</v>
      </c>
      <c r="F165" s="257">
        <f>_xlfn.XLOOKUP($C165,'Cons. Financials - ''23 ''24'!$C$158:$C$179,'Cons. Financials - ''23 ''24'!R$158:R$179)</f>
        <v>4.6467255994102743</v>
      </c>
      <c r="G165" s="257">
        <f>_xlfn.XLOOKUP($C165,'Cons. Financials - ''23 ''24'!$C$158:$C$179,'Cons. Financials - ''23 ''24'!S$158:S$179)</f>
        <v>2.5506180193483488</v>
      </c>
      <c r="H165" s="257">
        <f>_xlfn.XLOOKUP($C165,'Cons. Financials - ''23 ''24'!$C$158:$C$179,'Cons. Financials - ''23 ''24'!T$158:T$179)</f>
        <v>-1.1720992990758532</v>
      </c>
      <c r="I165" s="257">
        <f>_xlfn.XLOOKUP($C165,'Cons. Financials - ''23 ''24'!$C$158:$C$179,'Cons. Financials - ''23 ''24'!U$158:U$179)</f>
        <v>2.5565464623696244</v>
      </c>
      <c r="J165" s="257">
        <f>_xlfn.XLOOKUP($C165,'Cons. Financials - ''23 ''24'!$C$158:$C$179,'Cons. Financials - ''23 ''24'!V$158:V$179)</f>
        <v>-3.3149234795255325</v>
      </c>
      <c r="K165" s="257">
        <f>_xlfn.XLOOKUP($C165,'Cons. Financials - ''23 ''24'!$C$158:$C$179,'Cons. Financials - ''23 ''24'!W$158:W$179)</f>
        <v>4.9483326043837224</v>
      </c>
      <c r="L165" s="257">
        <f>_xlfn.XLOOKUP($C165,'Cons. Financials - ''23 ''24'!$C$158:$C$179,'Cons. Financials - ''23 ''24'!X$158:X$179)</f>
        <v>3.4651043470248624</v>
      </c>
      <c r="M165" s="257">
        <f>_xlfn.XLOOKUP($C165,'Cons. Financials - ''23 ''24'!$C$158:$C$179,'Cons. Financials - ''23 ''24'!Y$158:Y$179)</f>
        <v>2.8979871107026156</v>
      </c>
      <c r="N165" s="257">
        <f>_xlfn.XLOOKUP($C165,'Cons. Financials - ''23 ''24'!$C$158:$C$179,'Cons. Financials - ''23 ''24'!Z$158:Z$179)</f>
        <v>-2.0103077601861514</v>
      </c>
      <c r="O165" s="257">
        <f>_xlfn.XLOOKUP($C165,'Cons. Financials - ''23 ''24'!$C$158:$C$179,'Cons. Financials - ''23 ''24'!AA$158:AA$179)</f>
        <v>0.75314978101778252</v>
      </c>
      <c r="P165" s="92">
        <f t="shared" ref="P165:AA165" si="156">O99-P99</f>
        <v>0</v>
      </c>
      <c r="Q165" s="198">
        <f t="shared" si="156"/>
        <v>0</v>
      </c>
      <c r="R165" s="198">
        <f t="shared" si="156"/>
        <v>0</v>
      </c>
      <c r="S165" s="198">
        <f t="shared" si="156"/>
        <v>0</v>
      </c>
      <c r="T165" s="198">
        <f t="shared" si="156"/>
        <v>0</v>
      </c>
      <c r="U165" s="198">
        <f t="shared" si="156"/>
        <v>0</v>
      </c>
      <c r="V165" s="198">
        <f t="shared" si="156"/>
        <v>0</v>
      </c>
      <c r="W165" s="198">
        <f t="shared" si="156"/>
        <v>0</v>
      </c>
      <c r="X165" s="198">
        <f t="shared" si="156"/>
        <v>0</v>
      </c>
      <c r="Y165" s="198">
        <f t="shared" si="156"/>
        <v>0</v>
      </c>
      <c r="Z165" s="198">
        <f t="shared" si="156"/>
        <v>0</v>
      </c>
      <c r="AA165" s="93">
        <f t="shared" si="156"/>
        <v>0</v>
      </c>
      <c r="AC165" s="115">
        <f>'Cons. Financials - ''23 ''24'!AC165</f>
        <v>5.2334335975609179</v>
      </c>
      <c r="AD165" s="93">
        <f t="shared" si="148"/>
        <v>13.231803868098268</v>
      </c>
      <c r="AE165" s="93">
        <f t="shared" si="150"/>
        <v>0</v>
      </c>
    </row>
    <row r="166" spans="3:31" ht="12.75" customHeight="1" x14ac:dyDescent="0.2">
      <c r="C166" s="7" t="str">
        <f>"Change in "&amp;C102</f>
        <v>Change in Accounts Payable</v>
      </c>
      <c r="D166" s="115">
        <f>_xlfn.XLOOKUP($C166,'Cons. Financials - ''23 ''24'!$C$158:$C$179,'Cons. Financials - ''23 ''24'!P$158:P$179)</f>
        <v>-4.4929091044837151</v>
      </c>
      <c r="E166" s="257">
        <f>_xlfn.XLOOKUP($C166,'Cons. Financials - ''23 ''24'!$C$158:$C$179,'Cons. Financials - ''23 ''24'!Q$158:Q$179)</f>
        <v>12.004599803574649</v>
      </c>
      <c r="F166" s="257">
        <f>_xlfn.XLOOKUP($C166,'Cons. Financials - ''23 ''24'!$C$158:$C$179,'Cons. Financials - ''23 ''24'!R$158:R$179)</f>
        <v>35.366289414328548</v>
      </c>
      <c r="G166" s="257">
        <f>_xlfn.XLOOKUP($C166,'Cons. Financials - ''23 ''24'!$C$158:$C$179,'Cons. Financials - ''23 ''24'!S$158:S$179)</f>
        <v>15.082660217165426</v>
      </c>
      <c r="H166" s="257">
        <f>_xlfn.XLOOKUP($C166,'Cons. Financials - ''23 ''24'!$C$158:$C$179,'Cons. Financials - ''23 ''24'!T$158:T$179)</f>
        <v>45.812953478592533</v>
      </c>
      <c r="I166" s="257">
        <f>_xlfn.XLOOKUP($C166,'Cons. Financials - ''23 ''24'!$C$158:$C$179,'Cons. Financials - ''23 ''24'!U$158:U$179)</f>
        <v>5.0022024758685006</v>
      </c>
      <c r="J166" s="257">
        <f>_xlfn.XLOOKUP($C166,'Cons. Financials - ''23 ''24'!$C$158:$C$179,'Cons. Financials - ''23 ''24'!V$158:V$179)</f>
        <v>-6.0964956014381073</v>
      </c>
      <c r="K166" s="257">
        <f>_xlfn.XLOOKUP($C166,'Cons. Financials - ''23 ''24'!$C$158:$C$179,'Cons. Financials - ''23 ''24'!W$158:W$179)</f>
        <v>-38.08292679211371</v>
      </c>
      <c r="L166" s="257">
        <f>_xlfn.XLOOKUP($C166,'Cons. Financials - ''23 ''24'!$C$158:$C$179,'Cons. Financials - ''23 ''24'!X$158:X$179)</f>
        <v>-19.815548846883416</v>
      </c>
      <c r="M166" s="257">
        <f>_xlfn.XLOOKUP($C166,'Cons. Financials - ''23 ''24'!$C$158:$C$179,'Cons. Financials - ''23 ''24'!Y$158:Y$179)</f>
        <v>-12.631301470481617</v>
      </c>
      <c r="N166" s="257">
        <f>_xlfn.XLOOKUP($C166,'Cons. Financials - ''23 ''24'!$C$158:$C$179,'Cons. Financials - ''23 ''24'!Z$158:Z$179)</f>
        <v>-14.141046690470148</v>
      </c>
      <c r="O166" s="257">
        <f>_xlfn.XLOOKUP($C166,'Cons. Financials - ''23 ''24'!$C$158:$C$179,'Cons. Financials - ''23 ''24'!AA$158:AA$179)</f>
        <v>-18.563676512916118</v>
      </c>
      <c r="P166" s="92">
        <f t="shared" ref="P166:AA166" si="157">P102-O102</f>
        <v>-0.54477031109786367</v>
      </c>
      <c r="Q166" s="198">
        <f t="shared" si="157"/>
        <v>37.801360011926647</v>
      </c>
      <c r="R166" s="198">
        <f t="shared" si="157"/>
        <v>69.749162445138381</v>
      </c>
      <c r="S166" s="198">
        <f t="shared" si="157"/>
        <v>66.919590204460746</v>
      </c>
      <c r="T166" s="198">
        <f t="shared" si="157"/>
        <v>141.00580518188838</v>
      </c>
      <c r="U166" s="198">
        <f t="shared" si="157"/>
        <v>45.628904257333375</v>
      </c>
      <c r="V166" s="198">
        <f t="shared" si="157"/>
        <v>-16.978890321411427</v>
      </c>
      <c r="W166" s="198">
        <f t="shared" si="157"/>
        <v>-128.89846075254957</v>
      </c>
      <c r="X166" s="198">
        <f t="shared" si="157"/>
        <v>-74.611615689321013</v>
      </c>
      <c r="Y166" s="198">
        <f t="shared" si="157"/>
        <v>-43.684294345330954</v>
      </c>
      <c r="Z166" s="198">
        <f t="shared" si="157"/>
        <v>-27.725547076713667</v>
      </c>
      <c r="AA166" s="93">
        <f t="shared" si="157"/>
        <v>-30.889709863693952</v>
      </c>
      <c r="AC166" s="115">
        <f>'Cons. Financials - ''23 ''24'!AC166</f>
        <v>27.931578611176576</v>
      </c>
      <c r="AD166" s="93">
        <f t="shared" si="148"/>
        <v>-0.55519962925717437</v>
      </c>
      <c r="AE166" s="93">
        <f t="shared" si="150"/>
        <v>38.316304051726945</v>
      </c>
    </row>
    <row r="167" spans="3:31" ht="12.75" customHeight="1" x14ac:dyDescent="0.2">
      <c r="C167" s="7" t="str">
        <f>"Change in "&amp;C103</f>
        <v>Change in Deferred Revenue</v>
      </c>
      <c r="D167" s="115">
        <f>_xlfn.XLOOKUP($C167,'Cons. Financials - ''23 ''24'!$C$158:$C$179,'Cons. Financials - ''23 ''24'!P$158:P$179)</f>
        <v>566.7414213492666</v>
      </c>
      <c r="E167" s="257">
        <f>_xlfn.XLOOKUP($C167,'Cons. Financials - ''23 ''24'!$C$158:$C$179,'Cons. Financials - ''23 ''24'!Q$158:Q$179)</f>
        <v>86.582366152944815</v>
      </c>
      <c r="F167" s="257">
        <f>_xlfn.XLOOKUP($C167,'Cons. Financials - ''23 ''24'!$C$158:$C$179,'Cons. Financials - ''23 ''24'!R$158:R$179)</f>
        <v>21.780764799730605</v>
      </c>
      <c r="G167" s="257">
        <f>_xlfn.XLOOKUP($C167,'Cons. Financials - ''23 ''24'!$C$158:$C$179,'Cons. Financials - ''23 ''24'!S$158:S$179)</f>
        <v>-933.08901108869759</v>
      </c>
      <c r="H167" s="257">
        <f>_xlfn.XLOOKUP($C167,'Cons. Financials - ''23 ''24'!$C$158:$C$179,'Cons. Financials - ''23 ''24'!T$158:T$179)</f>
        <v>-803.97457145030785</v>
      </c>
      <c r="I167" s="257">
        <f>_xlfn.XLOOKUP($C167,'Cons. Financials - ''23 ''24'!$C$158:$C$179,'Cons. Financials - ''23 ''24'!U$158:U$179)</f>
        <v>-366.76190088111616</v>
      </c>
      <c r="J167" s="257">
        <f>_xlfn.XLOOKUP($C167,'Cons. Financials - ''23 ''24'!$C$158:$C$179,'Cons. Financials - ''23 ''24'!V$158:V$179)</f>
        <v>376.7706190610952</v>
      </c>
      <c r="K167" s="257">
        <f>_xlfn.XLOOKUP($C167,'Cons. Financials - ''23 ''24'!$C$158:$C$179,'Cons. Financials - ''23 ''24'!W$158:W$179)</f>
        <v>511.77639417088903</v>
      </c>
      <c r="L167" s="257">
        <f>_xlfn.XLOOKUP($C167,'Cons. Financials - ''23 ''24'!$C$158:$C$179,'Cons. Financials - ''23 ''24'!X$158:X$179)</f>
        <v>778.90772177918188</v>
      </c>
      <c r="M167" s="257">
        <f>_xlfn.XLOOKUP($C167,'Cons. Financials - ''23 ''24'!$C$158:$C$179,'Cons. Financials - ''23 ''24'!Y$158:Y$179)</f>
        <v>56.437305511706654</v>
      </c>
      <c r="N167" s="257">
        <f>_xlfn.XLOOKUP($C167,'Cons. Financials - ''23 ''24'!$C$158:$C$179,'Cons. Financials - ''23 ''24'!Z$158:Z$179)</f>
        <v>-219.37503825007479</v>
      </c>
      <c r="O167" s="257">
        <f>_xlfn.XLOOKUP($C167,'Cons. Financials - ''23 ''24'!$C$158:$C$179,'Cons. Financials - ''23 ''24'!AA$158:AA$179)</f>
        <v>-286.29791036455754</v>
      </c>
      <c r="P167" s="92">
        <f t="shared" ref="P167:AA167" si="158">P103-O103</f>
        <v>376.61091434038462</v>
      </c>
      <c r="Q167" s="198">
        <f t="shared" si="158"/>
        <v>1194.8072561568824</v>
      </c>
      <c r="R167" s="198">
        <f t="shared" si="158"/>
        <v>1740.8333135608646</v>
      </c>
      <c r="S167" s="198">
        <f t="shared" si="158"/>
        <v>531.50837470134502</v>
      </c>
      <c r="T167" s="198">
        <f t="shared" si="158"/>
        <v>1031.1015952217822</v>
      </c>
      <c r="U167" s="198">
        <f t="shared" si="158"/>
        <v>640.83100524444671</v>
      </c>
      <c r="V167" s="198">
        <f t="shared" si="158"/>
        <v>367.704687956204</v>
      </c>
      <c r="W167" s="198">
        <f t="shared" si="158"/>
        <v>-1497.9831694511849</v>
      </c>
      <c r="X167" s="198">
        <f t="shared" si="158"/>
        <v>-476.67506169960143</v>
      </c>
      <c r="Y167" s="198">
        <f t="shared" si="158"/>
        <v>-886.66612553281811</v>
      </c>
      <c r="Z167" s="198">
        <f t="shared" si="158"/>
        <v>-731.85797346117033</v>
      </c>
      <c r="AA167" s="93">
        <f t="shared" si="158"/>
        <v>-723.54677154028104</v>
      </c>
      <c r="AC167" s="115">
        <f>'Cons. Financials - ''23 ''24'!AC167</f>
        <v>3529.0994017826597</v>
      </c>
      <c r="AD167" s="93">
        <f t="shared" si="148"/>
        <v>-210.50183920993913</v>
      </c>
      <c r="AE167" s="93">
        <f t="shared" si="150"/>
        <v>1190.057131156469</v>
      </c>
    </row>
    <row r="168" spans="3:31" ht="12.75" customHeight="1" x14ac:dyDescent="0.2">
      <c r="C168" s="7" t="str">
        <f>"Change in "&amp;C104</f>
        <v>Change in Accrued expenses and other current liabilities</v>
      </c>
      <c r="D168" s="115">
        <f>_xlfn.XLOOKUP($C168,'Cons. Financials - ''23 ''24'!$C$158:$C$179,'Cons. Financials - ''23 ''24'!P$158:P$179)</f>
        <v>453.44050019642964</v>
      </c>
      <c r="E168" s="257">
        <f>_xlfn.XLOOKUP($C168,'Cons. Financials - ''23 ''24'!$C$158:$C$179,'Cons. Financials - ''23 ''24'!Q$158:Q$179)</f>
        <v>-216.44152831050997</v>
      </c>
      <c r="F168" s="257">
        <f>_xlfn.XLOOKUP($C168,'Cons. Financials - ''23 ''24'!$C$158:$C$179,'Cons. Financials - ''23 ''24'!R$158:R$179)</f>
        <v>16.10668178961896</v>
      </c>
      <c r="G168" s="257">
        <f>_xlfn.XLOOKUP($C168,'Cons. Financials - ''23 ''24'!$C$158:$C$179,'Cons. Financials - ''23 ''24'!S$158:S$179)</f>
        <v>-128.53996195136097</v>
      </c>
      <c r="H168" s="257">
        <f>_xlfn.XLOOKUP($C168,'Cons. Financials - ''23 ''24'!$C$158:$C$179,'Cons. Financials - ''23 ''24'!T$158:T$179)</f>
        <v>-228.07071374780026</v>
      </c>
      <c r="I168" s="257">
        <f>_xlfn.XLOOKUP($C168,'Cons. Financials - ''23 ''24'!$C$158:$C$179,'Cons. Financials - ''23 ''24'!U$158:U$179)</f>
        <v>-217.39165943152511</v>
      </c>
      <c r="J168" s="257">
        <f>_xlfn.XLOOKUP($C168,'Cons. Financials - ''23 ''24'!$C$158:$C$179,'Cons. Financials - ''23 ''24'!V$158:V$179)</f>
        <v>290.82704292485869</v>
      </c>
      <c r="K168" s="257">
        <f>_xlfn.XLOOKUP($C168,'Cons. Financials - ''23 ''24'!$C$158:$C$179,'Cons. Financials - ''23 ''24'!W$158:W$179)</f>
        <v>292.78587108546344</v>
      </c>
      <c r="L168" s="257">
        <f>_xlfn.XLOOKUP($C168,'Cons. Financials - ''23 ''24'!$C$158:$C$179,'Cons. Financials - ''23 ''24'!X$158:X$179)</f>
        <v>159.52630474682155</v>
      </c>
      <c r="M168" s="257">
        <f>_xlfn.XLOOKUP($C168,'Cons. Financials - ''23 ''24'!$C$158:$C$179,'Cons. Financials - ''23 ''24'!Y$158:Y$179)</f>
        <v>461.70606350373419</v>
      </c>
      <c r="N168" s="257">
        <f>_xlfn.XLOOKUP($C168,'Cons. Financials - ''23 ''24'!$C$158:$C$179,'Cons. Financials - ''23 ''24'!Z$158:Z$179)</f>
        <v>46.329587570891817</v>
      </c>
      <c r="O168" s="257">
        <f>_xlfn.XLOOKUP($C168,'Cons. Financials - ''23 ''24'!$C$158:$C$179,'Cons. Financials - ''23 ''24'!AA$158:AA$179)</f>
        <v>-358.93329849269139</v>
      </c>
      <c r="P168" s="92">
        <f t="shared" ref="P168:AA168" si="159">P104-O104</f>
        <v>-402.53631217243856</v>
      </c>
      <c r="Q168" s="198">
        <f t="shared" si="159"/>
        <v>555.20752347679081</v>
      </c>
      <c r="R168" s="198">
        <f t="shared" si="159"/>
        <v>1199.5005060397343</v>
      </c>
      <c r="S168" s="198">
        <f t="shared" si="159"/>
        <v>1051.7004548033856</v>
      </c>
      <c r="T168" s="198">
        <f t="shared" si="159"/>
        <v>1307.3703800711846</v>
      </c>
      <c r="U168" s="198">
        <f t="shared" si="159"/>
        <v>595.32458213306018</v>
      </c>
      <c r="V168" s="198">
        <f t="shared" si="159"/>
        <v>283.79510375782775</v>
      </c>
      <c r="W168" s="198">
        <f t="shared" si="159"/>
        <v>-1301.3645507855563</v>
      </c>
      <c r="X168" s="198">
        <f t="shared" si="159"/>
        <v>-922.63873208790392</v>
      </c>
      <c r="Y168" s="198">
        <f t="shared" si="159"/>
        <v>-137.07031392652971</v>
      </c>
      <c r="Z168" s="198">
        <f t="shared" si="159"/>
        <v>-308.23503733588768</v>
      </c>
      <c r="AA168" s="93">
        <f t="shared" si="159"/>
        <v>-718.01422040083344</v>
      </c>
      <c r="AC168" s="115">
        <f>'Cons. Financials - ''23 ''24'!AC168</f>
        <v>2643.7686265629136</v>
      </c>
      <c r="AD168" s="93">
        <f t="shared" si="148"/>
        <v>571.34488988393059</v>
      </c>
      <c r="AE168" s="93">
        <f t="shared" si="150"/>
        <v>1605.5756957452722</v>
      </c>
    </row>
    <row r="169" spans="3:31" ht="12.75" customHeight="1" x14ac:dyDescent="0.2">
      <c r="C169" s="186" t="s">
        <v>225</v>
      </c>
      <c r="D169" s="304">
        <f>_xlfn.XLOOKUP($C169,'Cons. Financials - ''23 ''24'!$C$158:$C$179,'Cons. Financials - ''23 ''24'!P$158:P$179)</f>
        <v>2201.0899700805135</v>
      </c>
      <c r="E169" s="316">
        <f>_xlfn.XLOOKUP($C169,'Cons. Financials - ''23 ''24'!$C$158:$C$179,'Cons. Financials - ''23 ''24'!Q$158:Q$179)</f>
        <v>925.29530630083968</v>
      </c>
      <c r="F169" s="316">
        <f>_xlfn.XLOOKUP($C169,'Cons. Financials - ''23 ''24'!$C$158:$C$179,'Cons. Financials - ''23 ''24'!R$158:R$179)</f>
        <v>540.07458442584732</v>
      </c>
      <c r="G169" s="316">
        <f>_xlfn.XLOOKUP($C169,'Cons. Financials - ''23 ''24'!$C$158:$C$179,'Cons. Financials - ''23 ''24'!S$158:S$179)</f>
        <v>742.02414294510982</v>
      </c>
      <c r="H169" s="316">
        <f>_xlfn.XLOOKUP($C169,'Cons. Financials - ''23 ''24'!$C$158:$C$179,'Cons. Financials - ''23 ''24'!T$158:T$179)</f>
        <v>-672.20269056378061</v>
      </c>
      <c r="I169" s="316">
        <f>_xlfn.XLOOKUP($C169,'Cons. Financials - ''23 ''24'!$C$158:$C$179,'Cons. Financials - ''23 ''24'!U$158:U$179)</f>
        <v>925.8380675232213</v>
      </c>
      <c r="J169" s="316">
        <f>_xlfn.XLOOKUP($C169,'Cons. Financials - ''23 ''24'!$C$158:$C$179,'Cons. Financials - ''23 ''24'!V$158:V$179)</f>
        <v>1017.9650557792611</v>
      </c>
      <c r="K169" s="316">
        <f>_xlfn.XLOOKUP($C169,'Cons. Financials - ''23 ''24'!$C$158:$C$179,'Cons. Financials - ''23 ''24'!W$158:W$179)</f>
        <v>2148.619535216726</v>
      </c>
      <c r="L169" s="316">
        <f>_xlfn.XLOOKUP($C169,'Cons. Financials - ''23 ''24'!$C$158:$C$179,'Cons. Financials - ''23 ''24'!X$158:X$179)</f>
        <v>1777.1132578053371</v>
      </c>
      <c r="M169" s="316">
        <f>_xlfn.XLOOKUP($C169,'Cons. Financials - ''23 ''24'!$C$158:$C$179,'Cons. Financials - ''23 ''24'!Y$158:Y$179)</f>
        <v>1659.1860372171191</v>
      </c>
      <c r="N169" s="316">
        <f>_xlfn.XLOOKUP($C169,'Cons. Financials - ''23 ''24'!$C$158:$C$179,'Cons. Financials - ''23 ''24'!Z$158:Z$179)</f>
        <v>2708.0423959445907</v>
      </c>
      <c r="O169" s="316">
        <f>_xlfn.XLOOKUP($C169,'Cons. Financials - ''23 ''24'!$C$158:$C$179,'Cons. Financials - ''23 ''24'!AA$158:AA$179)</f>
        <v>2211.168282191476</v>
      </c>
      <c r="P169" s="184">
        <f t="shared" ref="P169:AD169" ca="1" si="160">SUM(P158:P168)</f>
        <v>3429.2643563778311</v>
      </c>
      <c r="Q169" s="187">
        <f t="shared" ca="1" si="160"/>
        <v>1458.4781634245539</v>
      </c>
      <c r="R169" s="187">
        <f t="shared" ca="1" si="160"/>
        <v>1069.3443545806967</v>
      </c>
      <c r="S169" s="187">
        <f t="shared" ca="1" si="160"/>
        <v>1179.5710582991032</v>
      </c>
      <c r="T169" s="187">
        <f t="shared" ca="1" si="160"/>
        <v>-915.41973780332319</v>
      </c>
      <c r="U169" s="187">
        <f t="shared" ca="1" si="160"/>
        <v>1841.4960035966374</v>
      </c>
      <c r="V169" s="187">
        <f t="shared" ca="1" si="160"/>
        <v>1526.3140068724406</v>
      </c>
      <c r="W169" s="187">
        <f t="shared" ca="1" si="160"/>
        <v>2788.6441291823858</v>
      </c>
      <c r="X169" s="187">
        <f t="shared" ca="1" si="160"/>
        <v>2358.7920593107774</v>
      </c>
      <c r="Y169" s="187">
        <f t="shared" ca="1" si="160"/>
        <v>2115.8771644745884</v>
      </c>
      <c r="Z169" s="187">
        <f t="shared" ca="1" si="160"/>
        <v>2906.7380023252126</v>
      </c>
      <c r="AA169" s="185">
        <f t="shared" ca="1" si="160"/>
        <v>2556.2392499642797</v>
      </c>
      <c r="AC169" s="304">
        <f>'Cons. Financials - ''23 ''24'!AC169</f>
        <v>13001.84262832626</v>
      </c>
      <c r="AD169" s="185">
        <f t="shared" si="160"/>
        <v>16184.213944866255</v>
      </c>
      <c r="AE169" s="185">
        <f t="shared" ref="AE169" ca="1" si="161">SUM(AE158:AE168)</f>
        <v>18886.074454227357</v>
      </c>
    </row>
    <row r="170" spans="3:31" ht="12.75" customHeight="1" x14ac:dyDescent="0.2">
      <c r="C170" s="7"/>
      <c r="D170" s="188"/>
      <c r="P170" s="11"/>
      <c r="AA170" s="15"/>
      <c r="AC170" s="11"/>
      <c r="AD170" s="15"/>
      <c r="AE170" s="15"/>
    </row>
    <row r="171" spans="3:31" ht="12.75" customHeight="1" x14ac:dyDescent="0.2">
      <c r="C171" s="7" t="s">
        <v>208</v>
      </c>
      <c r="D171" s="303">
        <f>_xlfn.XLOOKUP($C171,'Cons. Financials - ''23 ''24'!$C$158:$C$179,'Cons. Financials - ''23 ''24'!P$158:P$179)</f>
        <v>-406.13059894954881</v>
      </c>
      <c r="E171" s="256">
        <f>_xlfn.XLOOKUP($C171,'Cons. Financials - ''23 ''24'!$C$158:$C$179,'Cons. Financials - ''23 ''24'!Q$158:Q$179)</f>
        <v>-313.89240550034822</v>
      </c>
      <c r="F171" s="256">
        <f>_xlfn.XLOOKUP($C171,'Cons. Financials - ''23 ''24'!$C$158:$C$179,'Cons. Financials - ''23 ''24'!R$158:R$179)</f>
        <v>-586.33886804221004</v>
      </c>
      <c r="G171" s="256">
        <f>_xlfn.XLOOKUP($C171,'Cons. Financials - ''23 ''24'!$C$158:$C$179,'Cons. Financials - ''23 ''24'!S$158:S$179)</f>
        <v>-241.70205013282862</v>
      </c>
      <c r="H171" s="256">
        <f>_xlfn.XLOOKUP($C171,'Cons. Financials - ''23 ''24'!$C$158:$C$179,'Cons. Financials - ''23 ''24'!T$158:T$179)</f>
        <v>-311.22965526454328</v>
      </c>
      <c r="I171" s="256">
        <f>_xlfn.XLOOKUP($C171,'Cons. Financials - ''23 ''24'!$C$158:$C$179,'Cons. Financials - ''23 ''24'!U$158:U$179)</f>
        <v>-359.91580697245956</v>
      </c>
      <c r="J171" s="256">
        <f>_xlfn.XLOOKUP($C171,'Cons. Financials - ''23 ''24'!$C$158:$C$179,'Cons. Financials - ''23 ''24'!V$158:V$179)</f>
        <v>-183.89003945362211</v>
      </c>
      <c r="K171" s="256">
        <f>_xlfn.XLOOKUP($C171,'Cons. Financials - ''23 ''24'!$C$158:$C$179,'Cons. Financials - ''23 ''24'!W$158:W$179)</f>
        <v>-374.09544836202303</v>
      </c>
      <c r="L171" s="256">
        <f>_xlfn.XLOOKUP($C171,'Cons. Financials - ''23 ''24'!$C$158:$C$179,'Cons. Financials - ''23 ''24'!X$158:X$179)</f>
        <v>-312.09698940257658</v>
      </c>
      <c r="M171" s="256">
        <f>_xlfn.XLOOKUP($C171,'Cons. Financials - ''23 ''24'!$C$158:$C$179,'Cons. Financials - ''23 ''24'!Y$158:Y$179)</f>
        <v>-272.42133224000929</v>
      </c>
      <c r="N171" s="256">
        <f>_xlfn.XLOOKUP($C171,'Cons. Financials - ''23 ''24'!$C$158:$C$179,'Cons. Financials - ''23 ''24'!Z$158:Z$179)</f>
        <v>-518.73183484979086</v>
      </c>
      <c r="O171" s="256">
        <f>_xlfn.XLOOKUP($C171,'Cons. Financials - ''23 ''24'!$C$158:$C$179,'Cons. Financials - ''23 ''24'!AA$158:AA$179)</f>
        <v>-279.00198469799716</v>
      </c>
      <c r="P171" s="205">
        <f t="shared" ref="P171:AA171" si="162">-P138</f>
        <v>-500</v>
      </c>
      <c r="Q171" s="76">
        <f t="shared" si="162"/>
        <v>-500</v>
      </c>
      <c r="R171" s="76">
        <f t="shared" si="162"/>
        <v>-500</v>
      </c>
      <c r="S171" s="76">
        <f t="shared" si="162"/>
        <v>-500</v>
      </c>
      <c r="T171" s="76">
        <f t="shared" si="162"/>
        <v>-500</v>
      </c>
      <c r="U171" s="76">
        <f t="shared" si="162"/>
        <v>-500</v>
      </c>
      <c r="V171" s="76">
        <f t="shared" si="162"/>
        <v>-1000</v>
      </c>
      <c r="W171" s="76">
        <f t="shared" si="162"/>
        <v>-1000</v>
      </c>
      <c r="X171" s="76">
        <f t="shared" si="162"/>
        <v>-1000</v>
      </c>
      <c r="Y171" s="76">
        <f t="shared" si="162"/>
        <v>-1000</v>
      </c>
      <c r="Z171" s="76">
        <f t="shared" si="162"/>
        <v>-1000</v>
      </c>
      <c r="AA171" s="206">
        <f t="shared" si="162"/>
        <v>-1000</v>
      </c>
      <c r="AC171" s="303">
        <f>'Cons. Financials - ''23 ''24'!AC171</f>
        <v>-3892.0435085872696</v>
      </c>
      <c r="AD171" s="206">
        <f>SUM(D171:O171)</f>
        <v>-4159.4470138679571</v>
      </c>
      <c r="AE171" s="206">
        <f>SUM(Q171:AB171)</f>
        <v>-8500</v>
      </c>
    </row>
    <row r="172" spans="3:31" ht="12.75" customHeight="1" x14ac:dyDescent="0.2">
      <c r="C172" s="186" t="s">
        <v>223</v>
      </c>
      <c r="D172" s="304">
        <f>_xlfn.XLOOKUP($C172,'Cons. Financials - ''23 ''24'!$C$158:$C$179,'Cons. Financials - ''23 ''24'!P$158:P$179)</f>
        <v>-406.13059894954881</v>
      </c>
      <c r="E172" s="316">
        <f>_xlfn.XLOOKUP($C172,'Cons. Financials - ''23 ''24'!$C$158:$C$179,'Cons. Financials - ''23 ''24'!Q$158:Q$179)</f>
        <v>-313.89240550034822</v>
      </c>
      <c r="F172" s="316">
        <f>_xlfn.XLOOKUP($C172,'Cons. Financials - ''23 ''24'!$C$158:$C$179,'Cons. Financials - ''23 ''24'!R$158:R$179)</f>
        <v>-586.33886804221004</v>
      </c>
      <c r="G172" s="316">
        <f>_xlfn.XLOOKUP($C172,'Cons. Financials - ''23 ''24'!$C$158:$C$179,'Cons. Financials - ''23 ''24'!S$158:S$179)</f>
        <v>-241.70205013282862</v>
      </c>
      <c r="H172" s="316">
        <f>_xlfn.XLOOKUP($C172,'Cons. Financials - ''23 ''24'!$C$158:$C$179,'Cons. Financials - ''23 ''24'!T$158:T$179)</f>
        <v>-311.22965526454328</v>
      </c>
      <c r="I172" s="316">
        <f>_xlfn.XLOOKUP($C172,'Cons. Financials - ''23 ''24'!$C$158:$C$179,'Cons. Financials - ''23 ''24'!U$158:U$179)</f>
        <v>-359.91580697245956</v>
      </c>
      <c r="J172" s="316">
        <f>_xlfn.XLOOKUP($C172,'Cons. Financials - ''23 ''24'!$C$158:$C$179,'Cons. Financials - ''23 ''24'!V$158:V$179)</f>
        <v>-183.89003945362211</v>
      </c>
      <c r="K172" s="316">
        <f>_xlfn.XLOOKUP($C172,'Cons. Financials - ''23 ''24'!$C$158:$C$179,'Cons. Financials - ''23 ''24'!W$158:W$179)</f>
        <v>-374.09544836202303</v>
      </c>
      <c r="L172" s="316">
        <f>_xlfn.XLOOKUP($C172,'Cons. Financials - ''23 ''24'!$C$158:$C$179,'Cons. Financials - ''23 ''24'!X$158:X$179)</f>
        <v>-312.09698940257658</v>
      </c>
      <c r="M172" s="316">
        <f>_xlfn.XLOOKUP($C172,'Cons. Financials - ''23 ''24'!$C$158:$C$179,'Cons. Financials - ''23 ''24'!Y$158:Y$179)</f>
        <v>-272.42133224000929</v>
      </c>
      <c r="N172" s="316">
        <f>_xlfn.XLOOKUP($C172,'Cons. Financials - ''23 ''24'!$C$158:$C$179,'Cons. Financials - ''23 ''24'!Z$158:Z$179)</f>
        <v>-518.73183484979086</v>
      </c>
      <c r="O172" s="316">
        <f>_xlfn.XLOOKUP($C172,'Cons. Financials - ''23 ''24'!$C$158:$C$179,'Cons. Financials - ''23 ''24'!AA$158:AA$179)</f>
        <v>-279.00198469799716</v>
      </c>
      <c r="P172" s="184">
        <f t="shared" ref="P172:AD172" si="163">P171</f>
        <v>-500</v>
      </c>
      <c r="Q172" s="187">
        <f t="shared" si="163"/>
        <v>-500</v>
      </c>
      <c r="R172" s="187">
        <f t="shared" si="163"/>
        <v>-500</v>
      </c>
      <c r="S172" s="187">
        <f t="shared" si="163"/>
        <v>-500</v>
      </c>
      <c r="T172" s="187">
        <f t="shared" si="163"/>
        <v>-500</v>
      </c>
      <c r="U172" s="187">
        <f t="shared" si="163"/>
        <v>-500</v>
      </c>
      <c r="V172" s="187">
        <f t="shared" si="163"/>
        <v>-1000</v>
      </c>
      <c r="W172" s="187">
        <f t="shared" si="163"/>
        <v>-1000</v>
      </c>
      <c r="X172" s="187">
        <f t="shared" si="163"/>
        <v>-1000</v>
      </c>
      <c r="Y172" s="187">
        <f t="shared" si="163"/>
        <v>-1000</v>
      </c>
      <c r="Z172" s="187">
        <f t="shared" si="163"/>
        <v>-1000</v>
      </c>
      <c r="AA172" s="185">
        <f t="shared" si="163"/>
        <v>-1000</v>
      </c>
      <c r="AC172" s="304">
        <f>'Cons. Financials - ''23 ''24'!AC172</f>
        <v>-3892.0435085872696</v>
      </c>
      <c r="AD172" s="185">
        <f t="shared" si="163"/>
        <v>-4159.4470138679571</v>
      </c>
      <c r="AE172" s="185">
        <f t="shared" ref="AE172" si="164">AE171</f>
        <v>-8500</v>
      </c>
    </row>
    <row r="173" spans="3:31" ht="12.75" customHeight="1" x14ac:dyDescent="0.2">
      <c r="C173" s="7"/>
      <c r="D173" s="188"/>
      <c r="P173" s="11"/>
      <c r="AA173" s="15"/>
      <c r="AC173" s="11"/>
      <c r="AD173" s="15"/>
      <c r="AE173" s="15"/>
    </row>
    <row r="174" spans="3:31" ht="12.75" customHeight="1" x14ac:dyDescent="0.2">
      <c r="C174" s="7" t="s">
        <v>276</v>
      </c>
      <c r="D174" s="303">
        <f>_xlfn.XLOOKUP($C174,'Cons. Financials - ''23 ''24'!$C$158:$C$179,'Cons. Financials - ''23 ''24'!P$158:P$179)</f>
        <v>0</v>
      </c>
      <c r="E174" s="257">
        <f>_xlfn.XLOOKUP($C174,'Cons. Financials - ''23 ''24'!$C$158:$C$179,'Cons. Financials - ''23 ''24'!Q$158:Q$179)</f>
        <v>0</v>
      </c>
      <c r="F174" s="257">
        <f>_xlfn.XLOOKUP($C174,'Cons. Financials - ''23 ''24'!$C$158:$C$179,'Cons. Financials - ''23 ''24'!R$158:R$179)</f>
        <v>0</v>
      </c>
      <c r="G174" s="257">
        <f>_xlfn.XLOOKUP($C174,'Cons. Financials - ''23 ''24'!$C$158:$C$179,'Cons. Financials - ''23 ''24'!S$158:S$179)</f>
        <v>0</v>
      </c>
      <c r="H174" s="257">
        <f>_xlfn.XLOOKUP($C174,'Cons. Financials - ''23 ''24'!$C$158:$C$179,'Cons. Financials - ''23 ''24'!T$158:T$179)</f>
        <v>0</v>
      </c>
      <c r="I174" s="257">
        <f>_xlfn.XLOOKUP($C174,'Cons. Financials - ''23 ''24'!$C$158:$C$179,'Cons. Financials - ''23 ''24'!U$158:U$179)</f>
        <v>0</v>
      </c>
      <c r="J174" s="257">
        <f>_xlfn.XLOOKUP($C174,'Cons. Financials - ''23 ''24'!$C$158:$C$179,'Cons. Financials - ''23 ''24'!V$158:V$179)</f>
        <v>0</v>
      </c>
      <c r="K174" s="257">
        <f>_xlfn.XLOOKUP($C174,'Cons. Financials - ''23 ''24'!$C$158:$C$179,'Cons. Financials - ''23 ''24'!W$158:W$179)</f>
        <v>0</v>
      </c>
      <c r="L174" s="257">
        <f>_xlfn.XLOOKUP($C174,'Cons. Financials - ''23 ''24'!$C$158:$C$179,'Cons. Financials - ''23 ''24'!X$158:X$179)</f>
        <v>0</v>
      </c>
      <c r="M174" s="257">
        <f>_xlfn.XLOOKUP($C174,'Cons. Financials - ''23 ''24'!$C$158:$C$179,'Cons. Financials - ''23 ''24'!Y$158:Y$179)</f>
        <v>0</v>
      </c>
      <c r="N174" s="257">
        <f>_xlfn.XLOOKUP($C174,'Cons. Financials - ''23 ''24'!$C$158:$C$179,'Cons. Financials - ''23 ''24'!Z$158:Z$179)</f>
        <v>0</v>
      </c>
      <c r="O174" s="257">
        <f>_xlfn.XLOOKUP($C174,'Cons. Financials - ''23 ''24'!$C$158:$C$179,'Cons. Financials - ''23 ''24'!AA$158:AA$179)</f>
        <v>0</v>
      </c>
      <c r="P174" s="144">
        <v>0</v>
      </c>
      <c r="Q174" s="70">
        <v>0</v>
      </c>
      <c r="R174" s="70">
        <v>0</v>
      </c>
      <c r="S174" s="70">
        <v>0</v>
      </c>
      <c r="T174" s="70">
        <v>0</v>
      </c>
      <c r="U174" s="198">
        <f>-20000</f>
        <v>-20000</v>
      </c>
      <c r="V174" s="70">
        <v>0</v>
      </c>
      <c r="W174" s="70">
        <v>0</v>
      </c>
      <c r="X174" s="70">
        <v>0</v>
      </c>
      <c r="Y174" s="70">
        <v>0</v>
      </c>
      <c r="Z174" s="70">
        <v>0</v>
      </c>
      <c r="AA174" s="145">
        <v>0</v>
      </c>
      <c r="AC174" s="303">
        <f>'Cons. Financials - ''23 ''24'!AC174</f>
        <v>0</v>
      </c>
      <c r="AD174" s="206">
        <f>SUM(D174:O174)</f>
        <v>0</v>
      </c>
      <c r="AE174" s="206">
        <f>SUM(Q174:AB174)</f>
        <v>-20000</v>
      </c>
    </row>
    <row r="175" spans="3:31" ht="12.75" customHeight="1" x14ac:dyDescent="0.2">
      <c r="C175" s="7" t="s">
        <v>221</v>
      </c>
      <c r="D175" s="303">
        <f>_xlfn.XLOOKUP($C175,'Cons. Financials - ''23 ''24'!$C$158:$C$179,'Cons. Financials - ''23 ''24'!P$158:P$179)</f>
        <v>0</v>
      </c>
      <c r="E175" s="257">
        <f>_xlfn.XLOOKUP($C175,'Cons. Financials - ''23 ''24'!$C$158:$C$179,'Cons. Financials - ''23 ''24'!Q$158:Q$179)</f>
        <v>0</v>
      </c>
      <c r="F175" s="257">
        <f>_xlfn.XLOOKUP($C175,'Cons. Financials - ''23 ''24'!$C$158:$C$179,'Cons. Financials - ''23 ''24'!R$158:R$179)</f>
        <v>0</v>
      </c>
      <c r="G175" s="257">
        <f>_xlfn.XLOOKUP($C175,'Cons. Financials - ''23 ''24'!$C$158:$C$179,'Cons. Financials - ''23 ''24'!S$158:S$179)</f>
        <v>0</v>
      </c>
      <c r="H175" s="257">
        <f>_xlfn.XLOOKUP($C175,'Cons. Financials - ''23 ''24'!$C$158:$C$179,'Cons. Financials - ''23 ''24'!T$158:T$179)</f>
        <v>0</v>
      </c>
      <c r="I175" s="257">
        <f>_xlfn.XLOOKUP($C175,'Cons. Financials - ''23 ''24'!$C$158:$C$179,'Cons. Financials - ''23 ''24'!U$158:U$179)</f>
        <v>-3250</v>
      </c>
      <c r="J175" s="257">
        <f>_xlfn.XLOOKUP($C175,'Cons. Financials - ''23 ''24'!$C$158:$C$179,'Cons. Financials - ''23 ''24'!V$158:V$179)</f>
        <v>0</v>
      </c>
      <c r="K175" s="257">
        <f>_xlfn.XLOOKUP($C175,'Cons. Financials - ''23 ''24'!$C$158:$C$179,'Cons. Financials - ''23 ''24'!W$158:W$179)</f>
        <v>0</v>
      </c>
      <c r="L175" s="257">
        <f>_xlfn.XLOOKUP($C175,'Cons. Financials - ''23 ''24'!$C$158:$C$179,'Cons. Financials - ''23 ''24'!X$158:X$179)</f>
        <v>0</v>
      </c>
      <c r="M175" s="257">
        <f>_xlfn.XLOOKUP($C175,'Cons. Financials - ''23 ''24'!$C$158:$C$179,'Cons. Financials - ''23 ''24'!Y$158:Y$179)</f>
        <v>0</v>
      </c>
      <c r="N175" s="257">
        <f>_xlfn.XLOOKUP($C175,'Cons. Financials - ''23 ''24'!$C$158:$C$179,'Cons. Financials - ''23 ''24'!Z$158:Z$179)</f>
        <v>0</v>
      </c>
      <c r="O175" s="257">
        <f>_xlfn.XLOOKUP($C175,'Cons. Financials - ''23 ''24'!$C$158:$C$179,'Cons. Financials - ''23 ''24'!AA$158:AA$179)</f>
        <v>0</v>
      </c>
      <c r="P175" s="144">
        <v>0</v>
      </c>
      <c r="Q175" s="70">
        <v>0</v>
      </c>
      <c r="R175" s="70">
        <v>0</v>
      </c>
      <c r="S175" s="70">
        <v>0</v>
      </c>
      <c r="T175" s="70">
        <v>0</v>
      </c>
      <c r="U175" s="70">
        <v>10000</v>
      </c>
      <c r="V175" s="70">
        <v>0</v>
      </c>
      <c r="W175" s="70">
        <v>0</v>
      </c>
      <c r="X175" s="70">
        <v>0</v>
      </c>
      <c r="Y175" s="70">
        <v>0</v>
      </c>
      <c r="Z175" s="70">
        <v>0</v>
      </c>
      <c r="AA175" s="145">
        <v>0</v>
      </c>
      <c r="AC175" s="115">
        <f>'Cons. Financials - ''23 ''24'!AC175</f>
        <v>-5000</v>
      </c>
      <c r="AD175" s="93">
        <f>SUM(D175:O175)</f>
        <v>-3250</v>
      </c>
      <c r="AE175" s="93">
        <f t="shared" ref="AE175:AE176" si="165">SUM(Q175:AB175)</f>
        <v>10000</v>
      </c>
    </row>
    <row r="176" spans="3:31" ht="12.75" customHeight="1" x14ac:dyDescent="0.2">
      <c r="C176" s="7" t="s">
        <v>222</v>
      </c>
      <c r="D176" s="303">
        <f>_xlfn.XLOOKUP($C176,'Cons. Financials - ''23 ''24'!$C$158:$C$179,'Cons. Financials - ''23 ''24'!P$158:P$179)</f>
        <v>0</v>
      </c>
      <c r="E176" s="257">
        <f>_xlfn.XLOOKUP($C176,'Cons. Financials - ''23 ''24'!$C$158:$C$179,'Cons. Financials - ''23 ''24'!Q$158:Q$179)</f>
        <v>0</v>
      </c>
      <c r="F176" s="257">
        <f>_xlfn.XLOOKUP($C176,'Cons. Financials - ''23 ''24'!$C$158:$C$179,'Cons. Financials - ''23 ''24'!R$158:R$179)</f>
        <v>-250</v>
      </c>
      <c r="G176" s="257">
        <f>_xlfn.XLOOKUP($C176,'Cons. Financials - ''23 ''24'!$C$158:$C$179,'Cons. Financials - ''23 ''24'!S$158:S$179)</f>
        <v>0</v>
      </c>
      <c r="H176" s="257">
        <f>_xlfn.XLOOKUP($C176,'Cons. Financials - ''23 ''24'!$C$158:$C$179,'Cons. Financials - ''23 ''24'!T$158:T$179)</f>
        <v>0</v>
      </c>
      <c r="I176" s="257">
        <f>_xlfn.XLOOKUP($C176,'Cons. Financials - ''23 ''24'!$C$158:$C$179,'Cons. Financials - ''23 ''24'!U$158:U$179)</f>
        <v>-250</v>
      </c>
      <c r="J176" s="257">
        <f>_xlfn.XLOOKUP($C176,'Cons. Financials - ''23 ''24'!$C$158:$C$179,'Cons. Financials - ''23 ''24'!V$158:V$179)</f>
        <v>0</v>
      </c>
      <c r="K176" s="257">
        <f>_xlfn.XLOOKUP($C176,'Cons. Financials - ''23 ''24'!$C$158:$C$179,'Cons. Financials - ''23 ''24'!W$158:W$179)</f>
        <v>0</v>
      </c>
      <c r="L176" s="257">
        <f>_xlfn.XLOOKUP($C176,'Cons. Financials - ''23 ''24'!$C$158:$C$179,'Cons. Financials - ''23 ''24'!X$158:X$179)</f>
        <v>-250</v>
      </c>
      <c r="M176" s="257">
        <f>_xlfn.XLOOKUP($C176,'Cons. Financials - ''23 ''24'!$C$158:$C$179,'Cons. Financials - ''23 ''24'!Y$158:Y$179)</f>
        <v>0</v>
      </c>
      <c r="N176" s="257">
        <f>_xlfn.XLOOKUP($C176,'Cons. Financials - ''23 ''24'!$C$158:$C$179,'Cons. Financials - ''23 ''24'!Z$158:Z$179)</f>
        <v>0</v>
      </c>
      <c r="O176" s="257">
        <f>_xlfn.XLOOKUP($C176,'Cons. Financials - ''23 ''24'!$C$158:$C$179,'Cons. Financials - ''23 ''24'!AA$158:AA$179)</f>
        <v>-250</v>
      </c>
      <c r="P176" s="92">
        <f ca="1">P108-O108</f>
        <v>0</v>
      </c>
      <c r="Q176" s="198">
        <f t="shared" ref="Q176:Z176" ca="1" si="166">Q108-P108</f>
        <v>0</v>
      </c>
      <c r="R176" s="198">
        <f>$O176</f>
        <v>-250</v>
      </c>
      <c r="S176" s="198">
        <f t="shared" ca="1" si="166"/>
        <v>0</v>
      </c>
      <c r="T176" s="198">
        <f t="shared" ca="1" si="166"/>
        <v>0</v>
      </c>
      <c r="U176" s="198">
        <f>$O176</f>
        <v>-250</v>
      </c>
      <c r="V176" s="198">
        <f t="shared" ca="1" si="166"/>
        <v>0</v>
      </c>
      <c r="W176" s="198">
        <f t="shared" ca="1" si="166"/>
        <v>0</v>
      </c>
      <c r="X176" s="198">
        <f>$O176</f>
        <v>-250</v>
      </c>
      <c r="Y176" s="198">
        <f t="shared" ca="1" si="166"/>
        <v>0</v>
      </c>
      <c r="Z176" s="198">
        <f t="shared" ca="1" si="166"/>
        <v>0</v>
      </c>
      <c r="AA176" s="93">
        <f>$O176</f>
        <v>-250</v>
      </c>
      <c r="AC176" s="115">
        <f>'Cons. Financials - ''23 ''24'!AC176</f>
        <v>-1000</v>
      </c>
      <c r="AD176" s="93">
        <f>SUM(D176:O176)</f>
        <v>-1000</v>
      </c>
      <c r="AE176" s="93">
        <f t="shared" ca="1" si="165"/>
        <v>-1000</v>
      </c>
    </row>
    <row r="177" spans="3:31" ht="12.75" customHeight="1" x14ac:dyDescent="0.2">
      <c r="C177" s="186" t="s">
        <v>224</v>
      </c>
      <c r="D177" s="304">
        <f>_xlfn.XLOOKUP($C177,'Cons. Financials - ''23 ''24'!$C$158:$C$179,'Cons. Financials - ''23 ''24'!P$158:P$179)</f>
        <v>0</v>
      </c>
      <c r="E177" s="316">
        <f>_xlfn.XLOOKUP($C177,'Cons. Financials - ''23 ''24'!$C$158:$C$179,'Cons. Financials - ''23 ''24'!Q$158:Q$179)</f>
        <v>0</v>
      </c>
      <c r="F177" s="316">
        <f>_xlfn.XLOOKUP($C177,'Cons. Financials - ''23 ''24'!$C$158:$C$179,'Cons. Financials - ''23 ''24'!R$158:R$179)</f>
        <v>-250</v>
      </c>
      <c r="G177" s="316">
        <f>_xlfn.XLOOKUP($C177,'Cons. Financials - ''23 ''24'!$C$158:$C$179,'Cons. Financials - ''23 ''24'!S$158:S$179)</f>
        <v>0</v>
      </c>
      <c r="H177" s="316">
        <f>_xlfn.XLOOKUP($C177,'Cons. Financials - ''23 ''24'!$C$158:$C$179,'Cons. Financials - ''23 ''24'!T$158:T$179)</f>
        <v>0</v>
      </c>
      <c r="I177" s="316">
        <f>_xlfn.XLOOKUP($C177,'Cons. Financials - ''23 ''24'!$C$158:$C$179,'Cons. Financials - ''23 ''24'!U$158:U$179)</f>
        <v>-3500</v>
      </c>
      <c r="J177" s="316">
        <f>_xlfn.XLOOKUP($C177,'Cons. Financials - ''23 ''24'!$C$158:$C$179,'Cons. Financials - ''23 ''24'!V$158:V$179)</f>
        <v>0</v>
      </c>
      <c r="K177" s="316">
        <f>_xlfn.XLOOKUP($C177,'Cons. Financials - ''23 ''24'!$C$158:$C$179,'Cons. Financials - ''23 ''24'!W$158:W$179)</f>
        <v>0</v>
      </c>
      <c r="L177" s="316">
        <f>_xlfn.XLOOKUP($C177,'Cons. Financials - ''23 ''24'!$C$158:$C$179,'Cons. Financials - ''23 ''24'!X$158:X$179)</f>
        <v>-250</v>
      </c>
      <c r="M177" s="316">
        <f>_xlfn.XLOOKUP($C177,'Cons. Financials - ''23 ''24'!$C$158:$C$179,'Cons. Financials - ''23 ''24'!Y$158:Y$179)</f>
        <v>0</v>
      </c>
      <c r="N177" s="316">
        <f>_xlfn.XLOOKUP($C177,'Cons. Financials - ''23 ''24'!$C$158:$C$179,'Cons. Financials - ''23 ''24'!Z$158:Z$179)</f>
        <v>0</v>
      </c>
      <c r="O177" s="316">
        <f>_xlfn.XLOOKUP($C177,'Cons. Financials - ''23 ''24'!$C$158:$C$179,'Cons. Financials - ''23 ''24'!AA$158:AA$179)</f>
        <v>-250</v>
      </c>
      <c r="P177" s="184">
        <f t="shared" ref="P177:AD177" ca="1" si="167">SUM(P174:P176)</f>
        <v>0</v>
      </c>
      <c r="Q177" s="187">
        <f t="shared" ca="1" si="167"/>
        <v>0</v>
      </c>
      <c r="R177" s="187">
        <f t="shared" si="167"/>
        <v>-250</v>
      </c>
      <c r="S177" s="187">
        <f t="shared" ca="1" si="167"/>
        <v>0</v>
      </c>
      <c r="T177" s="187">
        <f t="shared" ca="1" si="167"/>
        <v>0</v>
      </c>
      <c r="U177" s="187">
        <f t="shared" si="167"/>
        <v>-10250</v>
      </c>
      <c r="V177" s="187">
        <f t="shared" ca="1" si="167"/>
        <v>0</v>
      </c>
      <c r="W177" s="187">
        <f t="shared" ca="1" si="167"/>
        <v>0</v>
      </c>
      <c r="X177" s="187">
        <f t="shared" si="167"/>
        <v>-250</v>
      </c>
      <c r="Y177" s="187">
        <f t="shared" ca="1" si="167"/>
        <v>0</v>
      </c>
      <c r="Z177" s="187">
        <f t="shared" ca="1" si="167"/>
        <v>0</v>
      </c>
      <c r="AA177" s="185">
        <f t="shared" si="167"/>
        <v>-250</v>
      </c>
      <c r="AC177" s="304">
        <f>'Cons. Financials - ''23 ''24'!AC177</f>
        <v>-6000</v>
      </c>
      <c r="AD177" s="185">
        <f t="shared" si="167"/>
        <v>-4250</v>
      </c>
      <c r="AE177" s="185">
        <f t="shared" ref="AE177" ca="1" si="168">SUM(AE174:AE176)</f>
        <v>-11000</v>
      </c>
    </row>
    <row r="178" spans="3:31" ht="12.75" customHeight="1" x14ac:dyDescent="0.2">
      <c r="C178" s="7"/>
      <c r="D178" s="188"/>
      <c r="P178" s="11"/>
      <c r="AA178" s="15"/>
      <c r="AC178" s="11"/>
      <c r="AD178" s="15"/>
      <c r="AE178" s="15"/>
    </row>
    <row r="179" spans="3:31" ht="12.75" customHeight="1" x14ac:dyDescent="0.2">
      <c r="C179" s="207" t="s">
        <v>226</v>
      </c>
      <c r="D179" s="317">
        <f>_xlfn.XLOOKUP($C179,'Cons. Financials - ''23 ''24'!$C$158:$C$179,'Cons. Financials - ''23 ''24'!P$158:P$179)</f>
        <v>1794.9593711309647</v>
      </c>
      <c r="E179" s="317">
        <f>_xlfn.XLOOKUP($C179,'Cons. Financials - ''23 ''24'!$C$158:$C$179,'Cons. Financials - ''23 ''24'!Q$158:Q$179)</f>
        <v>611.40290080049147</v>
      </c>
      <c r="F179" s="317">
        <f>_xlfn.XLOOKUP($C179,'Cons. Financials - ''23 ''24'!$C$158:$C$179,'Cons. Financials - ''23 ''24'!R$158:R$179)</f>
        <v>-296.26428361636272</v>
      </c>
      <c r="G179" s="317">
        <f>_xlfn.XLOOKUP($C179,'Cons. Financials - ''23 ''24'!$C$158:$C$179,'Cons. Financials - ''23 ''24'!S$158:S$179)</f>
        <v>500.3220928122812</v>
      </c>
      <c r="H179" s="317">
        <f>_xlfn.XLOOKUP($C179,'Cons. Financials - ''23 ''24'!$C$158:$C$179,'Cons. Financials - ''23 ''24'!T$158:T$179)</f>
        <v>-983.43234582832383</v>
      </c>
      <c r="I179" s="317">
        <f>_xlfn.XLOOKUP($C179,'Cons. Financials - ''23 ''24'!$C$158:$C$179,'Cons. Financials - ''23 ''24'!U$158:U$179)</f>
        <v>-2934.0777394492384</v>
      </c>
      <c r="J179" s="317">
        <f>_xlfn.XLOOKUP($C179,'Cons. Financials - ''23 ''24'!$C$158:$C$179,'Cons. Financials - ''23 ''24'!V$158:V$179)</f>
        <v>834.07501632563901</v>
      </c>
      <c r="K179" s="317">
        <f>_xlfn.XLOOKUP($C179,'Cons. Financials - ''23 ''24'!$C$158:$C$179,'Cons. Financials - ''23 ''24'!W$158:W$179)</f>
        <v>1774.524086854703</v>
      </c>
      <c r="L179" s="317">
        <f>_xlfn.XLOOKUP($C179,'Cons. Financials - ''23 ''24'!$C$158:$C$179,'Cons. Financials - ''23 ''24'!X$158:X$179)</f>
        <v>1215.0162684027605</v>
      </c>
      <c r="M179" s="317">
        <f>_xlfn.XLOOKUP($C179,'Cons. Financials - ''23 ''24'!$C$158:$C$179,'Cons. Financials - ''23 ''24'!Y$158:Y$179)</f>
        <v>1386.7647049771099</v>
      </c>
      <c r="N179" s="317">
        <f>_xlfn.XLOOKUP($C179,'Cons. Financials - ''23 ''24'!$C$158:$C$179,'Cons. Financials - ''23 ''24'!Z$158:Z$179)</f>
        <v>2189.3105610947996</v>
      </c>
      <c r="O179" s="317">
        <f>_xlfn.XLOOKUP($C179,'Cons. Financials - ''23 ''24'!$C$158:$C$179,'Cons. Financials - ''23 ''24'!AA$158:AA$179)</f>
        <v>1682.1662974934789</v>
      </c>
      <c r="P179" s="182">
        <f t="shared" ref="P179:AD179" ca="1" si="169">P169+P172+P177</f>
        <v>2929.2643563778311</v>
      </c>
      <c r="Q179" s="181">
        <f t="shared" ca="1" si="169"/>
        <v>958.47816342455394</v>
      </c>
      <c r="R179" s="181">
        <f t="shared" ca="1" si="169"/>
        <v>319.34435458069674</v>
      </c>
      <c r="S179" s="181">
        <f t="shared" ca="1" si="169"/>
        <v>679.57105829910324</v>
      </c>
      <c r="T179" s="181">
        <f t="shared" ca="1" si="169"/>
        <v>-1415.4197378033232</v>
      </c>
      <c r="U179" s="181">
        <f t="shared" ca="1" si="169"/>
        <v>-8908.5039964033622</v>
      </c>
      <c r="V179" s="181">
        <f t="shared" ca="1" si="169"/>
        <v>526.31400687244059</v>
      </c>
      <c r="W179" s="181">
        <f t="shared" ca="1" si="169"/>
        <v>1788.6441291823858</v>
      </c>
      <c r="X179" s="181">
        <f t="shared" ca="1" si="169"/>
        <v>1108.7920593107774</v>
      </c>
      <c r="Y179" s="181">
        <f t="shared" ca="1" si="169"/>
        <v>1115.8771644745884</v>
      </c>
      <c r="Z179" s="181">
        <f t="shared" ca="1" si="169"/>
        <v>1906.7380023252126</v>
      </c>
      <c r="AA179" s="183">
        <f t="shared" ca="1" si="169"/>
        <v>1306.2392499642797</v>
      </c>
      <c r="AC179" s="305">
        <f>'Cons. Financials - ''23 ''24'!AC179</f>
        <v>3109.7991197389892</v>
      </c>
      <c r="AD179" s="183">
        <f t="shared" si="169"/>
        <v>7774.7669309982975</v>
      </c>
      <c r="AE179" s="183">
        <f t="shared" ref="AE179" ca="1" si="170">AE169+AE172+AE177</f>
        <v>-613.92554577264309</v>
      </c>
    </row>
    <row r="180" spans="3:31" ht="12.75" customHeight="1" x14ac:dyDescent="0.2">
      <c r="C180" s="7"/>
      <c r="D180" s="67"/>
    </row>
    <row r="181" spans="3:31" ht="12.75" customHeight="1" x14ac:dyDescent="0.2">
      <c r="C181" s="7"/>
      <c r="D181" s="67"/>
    </row>
  </sheetData>
  <pageMargins left="0.25" right="0.25" top="0.25" bottom="0.25" header="0.3" footer="0.3"/>
  <pageSetup scale="3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BDCB-4D09-4050-B6F8-BAC575D353A5}">
  <sheetPr>
    <tabColor rgb="FF598CCF"/>
  </sheetPr>
  <dimension ref="B1:AK1580"/>
  <sheetViews>
    <sheetView showGridLines="0" view="pageBreakPreview" zoomScale="85" zoomScaleNormal="70" zoomScaleSheetLayoutView="85" workbookViewId="0">
      <pane xSplit="6" ySplit="10" topLeftCell="L1532" activePane="bottomRight" state="frozen"/>
      <selection pane="topRight"/>
      <selection pane="bottomLeft"/>
      <selection pane="bottomRight" activeCell="A1540" sqref="A1540"/>
    </sheetView>
  </sheetViews>
  <sheetFormatPr defaultRowHeight="12.75" x14ac:dyDescent="0.2"/>
  <cols>
    <col min="1" max="1" width="1.7109375" customWidth="1"/>
    <col min="2" max="3" width="6.7109375" customWidth="1"/>
    <col min="4" max="4" width="1.7109375" customWidth="1"/>
    <col min="5" max="5" width="1.7109375" style="47" customWidth="1"/>
    <col min="6" max="6" width="50.42578125" bestFit="1" customWidth="1"/>
    <col min="7" max="30" width="9.5703125" bestFit="1" customWidth="1"/>
    <col min="31" max="31" width="3.7109375" customWidth="1"/>
    <col min="32" max="34" width="9.7109375" customWidth="1"/>
    <col min="35" max="35" width="1.7109375" customWidth="1"/>
  </cols>
  <sheetData>
    <row r="1" spans="2:35" x14ac:dyDescent="0.2"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 spans="2:35" ht="15.75" thickBot="1" x14ac:dyDescent="0.4">
      <c r="B2" s="35" t="s">
        <v>52</v>
      </c>
      <c r="C2" s="35" t="s">
        <v>233</v>
      </c>
      <c r="E2" s="48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3"/>
      <c r="AH2" s="3">
        <f ca="1">TODAY()</f>
        <v>45999</v>
      </c>
      <c r="AI2" s="1"/>
    </row>
    <row r="3" spans="2:35" x14ac:dyDescent="0.2">
      <c r="B3" s="9">
        <f>G5</f>
        <v>1</v>
      </c>
      <c r="C3" s="9"/>
      <c r="D3" s="9"/>
      <c r="F3" t="s">
        <v>159</v>
      </c>
      <c r="AG3" s="6"/>
      <c r="AH3" s="6" t="s">
        <v>16</v>
      </c>
    </row>
    <row r="4" spans="2:35" x14ac:dyDescent="0.2">
      <c r="B4" s="9"/>
      <c r="C4" s="9"/>
      <c r="D4" s="9"/>
      <c r="AG4" s="6"/>
      <c r="AH4" s="6"/>
    </row>
    <row r="5" spans="2:35" x14ac:dyDescent="0.2">
      <c r="B5" s="9">
        <f>G5</f>
        <v>1</v>
      </c>
      <c r="C5" s="9"/>
      <c r="D5" s="9"/>
      <c r="F5" s="40" t="s">
        <v>53</v>
      </c>
      <c r="G5" s="42">
        <v>1</v>
      </c>
    </row>
    <row r="6" spans="2:35" x14ac:dyDescent="0.2">
      <c r="B6" s="9">
        <f>G5</f>
        <v>1</v>
      </c>
      <c r="C6" s="9"/>
      <c r="D6" s="9"/>
      <c r="F6" s="39" t="s">
        <v>18</v>
      </c>
      <c r="G6" s="41"/>
      <c r="H6" s="11"/>
    </row>
    <row r="7" spans="2:35" x14ac:dyDescent="0.2">
      <c r="B7" s="9">
        <f>G5</f>
        <v>1</v>
      </c>
      <c r="C7" s="9"/>
      <c r="D7" s="9"/>
      <c r="G7" s="23"/>
    </row>
    <row r="8" spans="2:35" x14ac:dyDescent="0.2">
      <c r="B8" s="9">
        <f>G5</f>
        <v>1</v>
      </c>
      <c r="C8" s="9"/>
      <c r="D8" s="9"/>
      <c r="G8" s="208" t="s">
        <v>229</v>
      </c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10"/>
      <c r="S8" s="266" t="s">
        <v>230</v>
      </c>
      <c r="T8" s="267"/>
      <c r="U8" s="267"/>
      <c r="V8" s="267"/>
      <c r="W8" s="267"/>
      <c r="X8" s="267"/>
      <c r="Y8" s="267"/>
      <c r="Z8" s="267"/>
      <c r="AA8" s="267"/>
      <c r="AB8" s="267"/>
      <c r="AC8" s="267"/>
      <c r="AD8" s="268"/>
      <c r="AF8" s="17" t="s">
        <v>231</v>
      </c>
      <c r="AG8" s="50"/>
      <c r="AH8" s="269" t="s">
        <v>232</v>
      </c>
    </row>
    <row r="9" spans="2:35" ht="15" customHeight="1" x14ac:dyDescent="0.35">
      <c r="B9" s="9">
        <f>G5</f>
        <v>1</v>
      </c>
      <c r="C9" s="9"/>
      <c r="D9" s="9"/>
      <c r="G9" s="211">
        <v>44957</v>
      </c>
      <c r="H9" s="212">
        <f>EOMONTH(G9,1)</f>
        <v>44985</v>
      </c>
      <c r="I9" s="212">
        <f t="shared" ref="I9:AD9" si="0">EOMONTH(H9,1)</f>
        <v>45016</v>
      </c>
      <c r="J9" s="212">
        <f t="shared" si="0"/>
        <v>45046</v>
      </c>
      <c r="K9" s="212">
        <f t="shared" si="0"/>
        <v>45077</v>
      </c>
      <c r="L9" s="212">
        <f t="shared" si="0"/>
        <v>45107</v>
      </c>
      <c r="M9" s="212">
        <f t="shared" si="0"/>
        <v>45138</v>
      </c>
      <c r="N9" s="212">
        <f t="shared" si="0"/>
        <v>45169</v>
      </c>
      <c r="O9" s="212">
        <f t="shared" si="0"/>
        <v>45199</v>
      </c>
      <c r="P9" s="212">
        <f t="shared" si="0"/>
        <v>45230</v>
      </c>
      <c r="Q9" s="212">
        <f t="shared" si="0"/>
        <v>45260</v>
      </c>
      <c r="R9" s="213">
        <f t="shared" si="0"/>
        <v>45291</v>
      </c>
      <c r="S9" s="4">
        <f t="shared" si="0"/>
        <v>45322</v>
      </c>
      <c r="T9" s="19">
        <f t="shared" si="0"/>
        <v>45351</v>
      </c>
      <c r="U9" s="19">
        <f t="shared" si="0"/>
        <v>45382</v>
      </c>
      <c r="V9" s="19">
        <f t="shared" si="0"/>
        <v>45412</v>
      </c>
      <c r="W9" s="19">
        <f t="shared" si="0"/>
        <v>45443</v>
      </c>
      <c r="X9" s="19">
        <f t="shared" si="0"/>
        <v>45473</v>
      </c>
      <c r="Y9" s="19">
        <f t="shared" si="0"/>
        <v>45504</v>
      </c>
      <c r="Z9" s="19">
        <f t="shared" si="0"/>
        <v>45535</v>
      </c>
      <c r="AA9" s="19">
        <f t="shared" si="0"/>
        <v>45565</v>
      </c>
      <c r="AB9" s="19">
        <f t="shared" si="0"/>
        <v>45596</v>
      </c>
      <c r="AC9" s="19">
        <f t="shared" si="0"/>
        <v>45626</v>
      </c>
      <c r="AD9" s="5">
        <f t="shared" si="0"/>
        <v>45657</v>
      </c>
      <c r="AE9" s="12"/>
      <c r="AF9" s="13">
        <v>45291</v>
      </c>
      <c r="AG9" s="14">
        <v>45657</v>
      </c>
      <c r="AH9" s="14">
        <v>46022</v>
      </c>
    </row>
    <row r="10" spans="2:35" ht="0.95" customHeight="1" x14ac:dyDescent="0.2">
      <c r="B10" s="9">
        <f>G5</f>
        <v>1</v>
      </c>
      <c r="C10" s="9"/>
      <c r="D10" s="9"/>
      <c r="G10" s="11"/>
      <c r="S10" s="11"/>
      <c r="AD10" s="15"/>
      <c r="AE10" s="15"/>
      <c r="AF10" s="11"/>
      <c r="AG10" s="15"/>
      <c r="AH10" s="15"/>
    </row>
    <row r="11" spans="2:35" x14ac:dyDescent="0.2">
      <c r="B11" s="9">
        <f>G5</f>
        <v>1</v>
      </c>
      <c r="C11" s="9" t="str">
        <f>B11&amp;" - "&amp;F11</f>
        <v>1 - Employed Vets</v>
      </c>
      <c r="D11" s="9" t="s">
        <v>56</v>
      </c>
      <c r="F11" s="7" t="s">
        <v>160</v>
      </c>
      <c r="G11" s="178">
        <f>_xlfn.XLOOKUP($C11,'Site Level Financials - ''23 ''24'!$C$2:$C$1577,'Site Level Financials - ''23 ''24'!S$2:S$1577)</f>
        <v>4</v>
      </c>
      <c r="H11" s="179">
        <f>_xlfn.XLOOKUP($C11,'Site Level Financials - ''23 ''24'!$C$2:$C$1577,'Site Level Financials - ''23 ''24'!T$2:T$1577)</f>
        <v>4</v>
      </c>
      <c r="I11" s="179">
        <f>_xlfn.XLOOKUP($C11,'Site Level Financials - ''23 ''24'!$C$2:$C$1577,'Site Level Financials - ''23 ''24'!U$2:U$1577)</f>
        <v>4</v>
      </c>
      <c r="J11" s="179">
        <f>_xlfn.XLOOKUP($C11,'Site Level Financials - ''23 ''24'!$C$2:$C$1577,'Site Level Financials - ''23 ''24'!V$2:V$1577)</f>
        <v>3</v>
      </c>
      <c r="K11" s="179">
        <f>_xlfn.XLOOKUP($C11,'Site Level Financials - ''23 ''24'!$C$2:$C$1577,'Site Level Financials - ''23 ''24'!W$2:W$1577)</f>
        <v>3</v>
      </c>
      <c r="L11" s="179">
        <f>_xlfn.XLOOKUP($C11,'Site Level Financials - ''23 ''24'!$C$2:$C$1577,'Site Level Financials - ''23 ''24'!X$2:X$1577)</f>
        <v>4</v>
      </c>
      <c r="M11" s="179">
        <f>_xlfn.XLOOKUP($C11,'Site Level Financials - ''23 ''24'!$C$2:$C$1577,'Site Level Financials - ''23 ''24'!Y$2:Y$1577)</f>
        <v>4</v>
      </c>
      <c r="N11" s="179">
        <f>_xlfn.XLOOKUP($C11,'Site Level Financials - ''23 ''24'!$C$2:$C$1577,'Site Level Financials - ''23 ''24'!Z$2:Z$1577)</f>
        <v>5</v>
      </c>
      <c r="O11" s="179">
        <f>_xlfn.XLOOKUP($C11,'Site Level Financials - ''23 ''24'!$C$2:$C$1577,'Site Level Financials - ''23 ''24'!AA$2:AA$1577)</f>
        <v>5</v>
      </c>
      <c r="P11" s="179">
        <f>_xlfn.XLOOKUP($C11,'Site Level Financials - ''23 ''24'!$C$2:$C$1577,'Site Level Financials - ''23 ''24'!AB$2:AB$1577)</f>
        <v>5</v>
      </c>
      <c r="Q11" s="179">
        <f>_xlfn.XLOOKUP($C11,'Site Level Financials - ''23 ''24'!$C$2:$C$1577,'Site Level Financials - ''23 ''24'!AC$2:AC$1577)</f>
        <v>5</v>
      </c>
      <c r="R11" s="179">
        <f>_xlfn.XLOOKUP($C11,'Site Level Financials - ''23 ''24'!$C$2:$C$1577,'Site Level Financials - ''23 ''24'!AD$2:AD$1577)</f>
        <v>4</v>
      </c>
      <c r="S11" s="178">
        <f>R11+_xlfn.XLOOKUP($R11,'Budget Assumption Driver'!$A$7:$A$11,'Budget Assumption Driver'!E$7:E$11)</f>
        <v>4</v>
      </c>
      <c r="T11" s="179">
        <f>S11+_xlfn.XLOOKUP($R11,'Budget Assumption Driver'!$A$7:$A$11,'Budget Assumption Driver'!F$7:F$11)</f>
        <v>4</v>
      </c>
      <c r="U11" s="179">
        <f>T11+_xlfn.XLOOKUP($R11,'Budget Assumption Driver'!$A$7:$A$11,'Budget Assumption Driver'!G$7:G$11)</f>
        <v>4</v>
      </c>
      <c r="V11" s="179">
        <f>U11+_xlfn.XLOOKUP($R11,'Budget Assumption Driver'!$A$7:$A$11,'Budget Assumption Driver'!H$7:H$11)</f>
        <v>4</v>
      </c>
      <c r="W11" s="179">
        <f>V11+_xlfn.XLOOKUP($R11,'Budget Assumption Driver'!$A$7:$A$11,'Budget Assumption Driver'!I$7:I$11)</f>
        <v>4</v>
      </c>
      <c r="X11" s="179">
        <f>W11+_xlfn.XLOOKUP($R11,'Budget Assumption Driver'!$A$7:$A$11,'Budget Assumption Driver'!J$7:J$11)</f>
        <v>4</v>
      </c>
      <c r="Y11" s="179">
        <f>X11+_xlfn.XLOOKUP($R11,'Budget Assumption Driver'!$A$7:$A$11,'Budget Assumption Driver'!K$7:K$11)</f>
        <v>4</v>
      </c>
      <c r="Z11" s="179">
        <f>Y11+_xlfn.XLOOKUP($R11,'Budget Assumption Driver'!$A$7:$A$11,'Budget Assumption Driver'!L$7:L$11)</f>
        <v>4</v>
      </c>
      <c r="AA11" s="179">
        <f>Z11+_xlfn.XLOOKUP($R11,'Budget Assumption Driver'!$A$7:$A$11,'Budget Assumption Driver'!M$7:M$11)</f>
        <v>4</v>
      </c>
      <c r="AB11" s="179">
        <f>AA11+_xlfn.XLOOKUP($R11,'Budget Assumption Driver'!$A$7:$A$11,'Budget Assumption Driver'!N$7:N$11)</f>
        <v>4</v>
      </c>
      <c r="AC11" s="179">
        <f>AB11+_xlfn.XLOOKUP($R11,'Budget Assumption Driver'!$A$7:$A$11,'Budget Assumption Driver'!O$7:O$11)</f>
        <v>4</v>
      </c>
      <c r="AD11" s="290">
        <f>AC11+_xlfn.XLOOKUP($R11,'Budget Assumption Driver'!$A$7:$A$11,'Budget Assumption Driver'!P$7:P$11)</f>
        <v>4</v>
      </c>
      <c r="AE11" s="15"/>
      <c r="AF11" s="229">
        <f>_xlfn.XLOOKUP($C11,'Site Level Financials - ''23 ''24'!$C$2:$C$1577,'Site Level Financials - ''23 ''24'!$AF$2:$AF$1577)</f>
        <v>4.5873605947955394</v>
      </c>
      <c r="AG11" s="91">
        <f t="shared" ref="AG11:AH11" si="1">AG13/AG12</f>
        <v>4.1635687732342008</v>
      </c>
      <c r="AH11" s="91">
        <f t="shared" si="1"/>
        <v>4</v>
      </c>
    </row>
    <row r="12" spans="2:35" x14ac:dyDescent="0.2">
      <c r="B12" s="9">
        <f>G5</f>
        <v>1</v>
      </c>
      <c r="C12" s="9" t="str">
        <f t="shared" ref="C12:C48" si="2">B12&amp;" - "&amp;F12</f>
        <v>1 - Workdays in Month / Year</v>
      </c>
      <c r="D12" s="9" t="s">
        <v>56</v>
      </c>
      <c r="F12" s="7" t="s">
        <v>54</v>
      </c>
      <c r="G12" s="178">
        <f>_xlfn.XLOOKUP($C12,'Site Level Financials - ''23 ''24'!$C$2:$C$1577,'Site Level Financials - ''23 ''24'!S$2:S$1577)</f>
        <v>23</v>
      </c>
      <c r="H12" s="235">
        <f>_xlfn.XLOOKUP($C12,'Site Level Financials - ''23 ''24'!$C$2:$C$1577,'Site Level Financials - ''23 ''24'!T$2:T$1577)</f>
        <v>22</v>
      </c>
      <c r="I12" s="235">
        <f>_xlfn.XLOOKUP($C12,'Site Level Financials - ''23 ''24'!$C$2:$C$1577,'Site Level Financials - ''23 ''24'!U$2:U$1577)</f>
        <v>22</v>
      </c>
      <c r="J12" s="179">
        <f>_xlfn.XLOOKUP($C12,'Site Level Financials - ''23 ''24'!$C$2:$C$1577,'Site Level Financials - ''23 ''24'!V$2:V$1577)</f>
        <v>22</v>
      </c>
      <c r="K12" s="179">
        <f>_xlfn.XLOOKUP($C12,'Site Level Financials - ''23 ''24'!$C$2:$C$1577,'Site Level Financials - ''23 ''24'!W$2:W$1577)</f>
        <v>24</v>
      </c>
      <c r="L12" s="179">
        <f>_xlfn.XLOOKUP($C12,'Site Level Financials - ''23 ''24'!$C$2:$C$1577,'Site Level Financials - ''23 ''24'!X$2:X$1577)</f>
        <v>21</v>
      </c>
      <c r="M12" s="179">
        <f>_xlfn.XLOOKUP($C12,'Site Level Financials - ''23 ''24'!$C$2:$C$1577,'Site Level Financials - ''23 ''24'!Y$2:Y$1577)</f>
        <v>23</v>
      </c>
      <c r="N12" s="179">
        <f>_xlfn.XLOOKUP($C12,'Site Level Financials - ''23 ''24'!$C$2:$C$1577,'Site Level Financials - ''23 ''24'!Z$2:Z$1577)</f>
        <v>23</v>
      </c>
      <c r="O12" s="179">
        <f>_xlfn.XLOOKUP($C12,'Site Level Financials - ''23 ''24'!$C$2:$C$1577,'Site Level Financials - ''23 ''24'!AA$2:AA$1577)</f>
        <v>21</v>
      </c>
      <c r="P12" s="179">
        <f>_xlfn.XLOOKUP($C12,'Site Level Financials - ''23 ''24'!$C$2:$C$1577,'Site Level Financials - ''23 ''24'!AB$2:AB$1577)</f>
        <v>24</v>
      </c>
      <c r="Q12" s="179">
        <f>_xlfn.XLOOKUP($C12,'Site Level Financials - ''23 ''24'!$C$2:$C$1577,'Site Level Financials - ''23 ''24'!AC$2:AC$1577)</f>
        <v>22</v>
      </c>
      <c r="R12" s="179">
        <f>_xlfn.XLOOKUP($C12,'Site Level Financials - ''23 ''24'!$C$2:$C$1577,'Site Level Financials - ''23 ''24'!AD$2:AD$1577)</f>
        <v>22</v>
      </c>
      <c r="S12" s="155">
        <f>NETWORKDAYS(R9,S9)</f>
        <v>23</v>
      </c>
      <c r="T12" s="154">
        <f t="shared" ref="T12:AD12" si="3">NETWORKDAYS(S9,T9)</f>
        <v>22</v>
      </c>
      <c r="U12" s="154">
        <f t="shared" si="3"/>
        <v>22</v>
      </c>
      <c r="V12" s="154">
        <f t="shared" si="3"/>
        <v>22</v>
      </c>
      <c r="W12" s="154">
        <f t="shared" si="3"/>
        <v>24</v>
      </c>
      <c r="X12" s="154">
        <f t="shared" si="3"/>
        <v>21</v>
      </c>
      <c r="Y12" s="154">
        <f t="shared" si="3"/>
        <v>23</v>
      </c>
      <c r="Z12" s="154">
        <f t="shared" si="3"/>
        <v>23</v>
      </c>
      <c r="AA12" s="154">
        <f t="shared" si="3"/>
        <v>21</v>
      </c>
      <c r="AB12" s="154">
        <f t="shared" si="3"/>
        <v>24</v>
      </c>
      <c r="AC12" s="154">
        <f t="shared" si="3"/>
        <v>22</v>
      </c>
      <c r="AD12" s="156">
        <f t="shared" si="3"/>
        <v>22</v>
      </c>
      <c r="AE12" s="15"/>
      <c r="AF12" s="115">
        <f>_xlfn.XLOOKUP($C12,'Site Level Financials - ''23 ''24'!$C$2:$C$1577,'Site Level Financials - ''23 ''24'!$AF$2:$AF$1577)</f>
        <v>269</v>
      </c>
      <c r="AG12" s="93">
        <f>SUM(G12:R12)</f>
        <v>269</v>
      </c>
      <c r="AH12" s="93">
        <f>SUM(S12:AD12)</f>
        <v>269</v>
      </c>
    </row>
    <row r="13" spans="2:35" ht="12.75" customHeight="1" x14ac:dyDescent="0.2">
      <c r="B13" s="9">
        <f>G5</f>
        <v>1</v>
      </c>
      <c r="C13" s="9" t="str">
        <f t="shared" si="2"/>
        <v>1 - Total Vet Days</v>
      </c>
      <c r="D13" s="9" t="s">
        <v>56</v>
      </c>
      <c r="F13" s="8" t="s">
        <v>51</v>
      </c>
      <c r="G13" s="236">
        <f>_xlfn.XLOOKUP($C13,'Site Level Financials - ''23 ''24'!$C$2:$C$1577,'Site Level Financials - ''23 ''24'!S$2:S$1577)</f>
        <v>92</v>
      </c>
      <c r="H13" s="237">
        <f>_xlfn.XLOOKUP($C13,'Site Level Financials - ''23 ''24'!$C$2:$C$1577,'Site Level Financials - ''23 ''24'!T$2:T$1577)</f>
        <v>88</v>
      </c>
      <c r="I13" s="237">
        <f>_xlfn.XLOOKUP($C13,'Site Level Financials - ''23 ''24'!$C$2:$C$1577,'Site Level Financials - ''23 ''24'!U$2:U$1577)</f>
        <v>88</v>
      </c>
      <c r="J13" s="238">
        <f>_xlfn.XLOOKUP($C13,'Site Level Financials - ''23 ''24'!$C$2:$C$1577,'Site Level Financials - ''23 ''24'!V$2:V$1577)</f>
        <v>66</v>
      </c>
      <c r="K13" s="238">
        <f>_xlfn.XLOOKUP($C13,'Site Level Financials - ''23 ''24'!$C$2:$C$1577,'Site Level Financials - ''23 ''24'!W$2:W$1577)</f>
        <v>72</v>
      </c>
      <c r="L13" s="238">
        <f>_xlfn.XLOOKUP($C13,'Site Level Financials - ''23 ''24'!$C$2:$C$1577,'Site Level Financials - ''23 ''24'!X$2:X$1577)</f>
        <v>84</v>
      </c>
      <c r="M13" s="238">
        <f>_xlfn.XLOOKUP($C13,'Site Level Financials - ''23 ''24'!$C$2:$C$1577,'Site Level Financials - ''23 ''24'!Y$2:Y$1577)</f>
        <v>92</v>
      </c>
      <c r="N13" s="238">
        <f>_xlfn.XLOOKUP($C13,'Site Level Financials - ''23 ''24'!$C$2:$C$1577,'Site Level Financials - ''23 ''24'!Z$2:Z$1577)</f>
        <v>115</v>
      </c>
      <c r="O13" s="238">
        <f>_xlfn.XLOOKUP($C13,'Site Level Financials - ''23 ''24'!$C$2:$C$1577,'Site Level Financials - ''23 ''24'!AA$2:AA$1577)</f>
        <v>105</v>
      </c>
      <c r="P13" s="238">
        <f>_xlfn.XLOOKUP($C13,'Site Level Financials - ''23 ''24'!$C$2:$C$1577,'Site Level Financials - ''23 ''24'!AB$2:AB$1577)</f>
        <v>120</v>
      </c>
      <c r="Q13" s="238">
        <f>_xlfn.XLOOKUP($C13,'Site Level Financials - ''23 ''24'!$C$2:$C$1577,'Site Level Financials - ''23 ''24'!AC$2:AC$1577)</f>
        <v>110</v>
      </c>
      <c r="R13" s="238">
        <f>_xlfn.XLOOKUP($C13,'Site Level Financials - ''23 ''24'!$C$2:$C$1577,'Site Level Financials - ''23 ''24'!AD$2:AD$1577)</f>
        <v>88</v>
      </c>
      <c r="S13" s="125">
        <f t="shared" ref="S13:AD13" si="4">S11*S12</f>
        <v>92</v>
      </c>
      <c r="T13" s="127">
        <f t="shared" si="4"/>
        <v>88</v>
      </c>
      <c r="U13" s="127">
        <f t="shared" si="4"/>
        <v>88</v>
      </c>
      <c r="V13" s="127">
        <f t="shared" si="4"/>
        <v>88</v>
      </c>
      <c r="W13" s="127">
        <f t="shared" si="4"/>
        <v>96</v>
      </c>
      <c r="X13" s="127">
        <f t="shared" si="4"/>
        <v>84</v>
      </c>
      <c r="Y13" s="127">
        <f t="shared" si="4"/>
        <v>92</v>
      </c>
      <c r="Z13" s="127">
        <f t="shared" si="4"/>
        <v>92</v>
      </c>
      <c r="AA13" s="127">
        <f t="shared" si="4"/>
        <v>84</v>
      </c>
      <c r="AB13" s="127">
        <f t="shared" si="4"/>
        <v>96</v>
      </c>
      <c r="AC13" s="127">
        <f t="shared" si="4"/>
        <v>88</v>
      </c>
      <c r="AD13" s="128">
        <f t="shared" si="4"/>
        <v>88</v>
      </c>
      <c r="AF13" s="112">
        <f>_xlfn.XLOOKUP($C13,'Site Level Financials - ''23 ''24'!$C$2:$C$1577,'Site Level Financials - ''23 ''24'!$AF$2:$AF$1577)</f>
        <v>1234</v>
      </c>
      <c r="AG13" s="120">
        <f>SUM(G13:R13)</f>
        <v>1120</v>
      </c>
      <c r="AH13" s="120">
        <f t="shared" ref="AH13:AH17" si="5">SUM(S13:AD13)</f>
        <v>1076</v>
      </c>
    </row>
    <row r="14" spans="2:35" x14ac:dyDescent="0.2">
      <c r="B14" s="9">
        <f>G5</f>
        <v>1</v>
      </c>
      <c r="C14" s="9" t="str">
        <f t="shared" si="2"/>
        <v>1 - Production per Vet Workday</v>
      </c>
      <c r="D14" s="9" t="s">
        <v>56</v>
      </c>
      <c r="F14" s="7" t="s">
        <v>50</v>
      </c>
      <c r="G14" s="239">
        <f>_xlfn.XLOOKUP($C14,'Site Level Financials - ''23 ''24'!$C$2:$C$1577,'Site Level Financials - ''23 ''24'!S$2:S$1577)</f>
        <v>4.73713429249021</v>
      </c>
      <c r="H14" s="240">
        <f>_xlfn.XLOOKUP($C14,'Site Level Financials - ''23 ''24'!$C$2:$C$1577,'Site Level Financials - ''23 ''24'!T$2:T$1577)</f>
        <v>4.8160244060927386</v>
      </c>
      <c r="I14" s="240">
        <f>_xlfn.XLOOKUP($C14,'Site Level Financials - ''23 ''24'!$C$2:$C$1577,'Site Level Financials - ''23 ''24'!U$2:U$1577)</f>
        <v>5.1871467867651893</v>
      </c>
      <c r="J14" s="240">
        <f>_xlfn.XLOOKUP($C14,'Site Level Financials - ''23 ''24'!$C$2:$C$1577,'Site Level Financials - ''23 ''24'!V$2:V$1577)</f>
        <v>5.9249640237352228</v>
      </c>
      <c r="K14" s="240">
        <f>_xlfn.XLOOKUP($C14,'Site Level Financials - ''23 ''24'!$C$2:$C$1577,'Site Level Financials - ''23 ''24'!W$2:W$1577)</f>
        <v>5.7445991864455763</v>
      </c>
      <c r="L14" s="240">
        <f>_xlfn.XLOOKUP($C14,'Site Level Financials - ''23 ''24'!$C$2:$C$1577,'Site Level Financials - ''23 ''24'!X$2:X$1577)</f>
        <v>4.9005212008164412</v>
      </c>
      <c r="M14" s="240">
        <f>_xlfn.XLOOKUP($C14,'Site Level Financials - ''23 ''24'!$C$2:$C$1577,'Site Level Financials - ''23 ''24'!Y$2:Y$1577)</f>
        <v>4.7825475742776886</v>
      </c>
      <c r="N14" s="240">
        <f>_xlfn.XLOOKUP($C14,'Site Level Financials - ''23 ''24'!$C$2:$C$1577,'Site Level Financials - ''23 ''24'!Z$2:Z$1577)</f>
        <v>4.1464776145075799</v>
      </c>
      <c r="O14" s="240">
        <f>_xlfn.XLOOKUP($C14,'Site Level Financials - ''23 ''24'!$C$2:$C$1577,'Site Level Financials - ''23 ''24'!AA$2:AA$1577)</f>
        <v>4.090287359072069</v>
      </c>
      <c r="P14" s="240">
        <f>_xlfn.XLOOKUP($C14,'Site Level Financials - ''23 ''24'!$C$2:$C$1577,'Site Level Financials - ''23 ''24'!AB$2:AB$1577)</f>
        <v>4.0705877219749302</v>
      </c>
      <c r="Q14" s="240">
        <f>_xlfn.XLOOKUP($C14,'Site Level Financials - ''23 ''24'!$C$2:$C$1577,'Site Level Financials - ''23 ''24'!AC$2:AC$1577)</f>
        <v>3.6258351223385863</v>
      </c>
      <c r="R14" s="240">
        <f>_xlfn.XLOOKUP($C14,'Site Level Financials - ''23 ''24'!$C$2:$C$1577,'Site Level Financials - ''23 ''24'!AD$2:AD$1577)</f>
        <v>2.6331003298836642</v>
      </c>
      <c r="S14" s="239">
        <f>R14*(1+_xlfn.XLOOKUP($R11,'Budget Assumption Driver'!$A$15:$A$19,'Budget Assumption Driver'!E$15:E$19))</f>
        <v>3.7253333834975213</v>
      </c>
      <c r="T14" s="240">
        <f>S14*(1+_xlfn.XLOOKUP($R11,'Budget Assumption Driver'!$A$15:$A$19,'Budget Assumption Driver'!F$15:F$19))</f>
        <v>4.0328448676051503</v>
      </c>
      <c r="U14" s="240">
        <f>T14*(1+_xlfn.XLOOKUP($R11,'Budget Assumption Driver'!$A$15:$A$19,'Budget Assumption Driver'!G$15:G$19))</f>
        <v>4.3304254020069548</v>
      </c>
      <c r="V14" s="240">
        <f>U14*(1+_xlfn.XLOOKUP($R11,'Budget Assumption Driver'!$A$15:$A$19,'Budget Assumption Driver'!H$15:H$19))</f>
        <v>4.6385851521664065</v>
      </c>
      <c r="W14" s="240">
        <f>V14*(1+_xlfn.XLOOKUP($R11,'Budget Assumption Driver'!$A$15:$A$19,'Budget Assumption Driver'!I$15:I$19))</f>
        <v>5.0535949397513935</v>
      </c>
      <c r="X14" s="240">
        <f>W14*(1+_xlfn.XLOOKUP($R11,'Budget Assumption Driver'!$A$15:$A$19,'Budget Assumption Driver'!J$15:J$19))</f>
        <v>4.8500000157609566</v>
      </c>
      <c r="Y14" s="240">
        <f>X14*(1+_xlfn.XLOOKUP($R11,'Budget Assumption Driver'!$A$15:$A$19,'Budget Assumption Driver'!K$15:K$19))</f>
        <v>4.4611945350519324</v>
      </c>
      <c r="Z14" s="240">
        <f>Y14*(1+_xlfn.XLOOKUP($R11,'Budget Assumption Driver'!$A$15:$A$19,'Budget Assumption Driver'!L$15:L$19))</f>
        <v>3.8254334093108984</v>
      </c>
      <c r="AA14" s="240">
        <f>Z14*(1+_xlfn.XLOOKUP($R11,'Budget Assumption Driver'!$A$15:$A$19,'Budget Assumption Driver'!M$15:M$19))</f>
        <v>3.8413275116544381</v>
      </c>
      <c r="AB14" s="240">
        <f>AA14*(1+_xlfn.XLOOKUP($R11,'Budget Assumption Driver'!$A$15:$A$19,'Budget Assumption Driver'!N$15:N$19))</f>
        <v>3.8602696680098814</v>
      </c>
      <c r="AC14" s="240">
        <f>AB14*(1+_xlfn.XLOOKUP($R11,'Budget Assumption Driver'!$A$15:$A$19,'Budget Assumption Driver'!O$15:O$19))</f>
        <v>3.3288254745712984</v>
      </c>
      <c r="AD14" s="291">
        <f>AC14*(1+_xlfn.XLOOKUP($R11,'Budget Assumption Driver'!$A$15:$A$19,'Budget Assumption Driver'!P$15:P$19))</f>
        <v>2.7170291380318701</v>
      </c>
      <c r="AE14" s="15"/>
      <c r="AF14" s="230">
        <f>_xlfn.XLOOKUP($C14,'Site Level Financials - ''23 ''24'!$C$2:$C$1577,'Site Level Financials - ''23 ''24'!$AF$2:$AF$1577)</f>
        <v>4.4853100993199568</v>
      </c>
      <c r="AG14" s="101">
        <f>AG15/AG13</f>
        <v>4.4622702339895257</v>
      </c>
      <c r="AH14" s="101">
        <f>AH15/AH13</f>
        <v>4.0586444608147918</v>
      </c>
    </row>
    <row r="15" spans="2:35" x14ac:dyDescent="0.2">
      <c r="B15" s="9">
        <f>G5</f>
        <v>1</v>
      </c>
      <c r="C15" s="9" t="str">
        <f t="shared" si="2"/>
        <v>1 - Total Production</v>
      </c>
      <c r="D15" s="9" t="s">
        <v>56</v>
      </c>
      <c r="F15" s="8" t="s">
        <v>1</v>
      </c>
      <c r="G15" s="241">
        <f>_xlfn.XLOOKUP($C15,'Site Level Financials - ''23 ''24'!$C$2:$C$1577,'Site Level Financials - ''23 ''24'!S$2:S$1577)</f>
        <v>435.81635490909935</v>
      </c>
      <c r="H15" s="242">
        <f>_xlfn.XLOOKUP($C15,'Site Level Financials - ''23 ''24'!$C$2:$C$1577,'Site Level Financials - ''23 ''24'!T$2:T$1577)</f>
        <v>423.81014773616101</v>
      </c>
      <c r="I15" s="242">
        <f>_xlfn.XLOOKUP($C15,'Site Level Financials - ''23 ''24'!$C$2:$C$1577,'Site Level Financials - ''23 ''24'!U$2:U$1577)</f>
        <v>456.46891723533668</v>
      </c>
      <c r="J15" s="242">
        <f>_xlfn.XLOOKUP($C15,'Site Level Financials - ''23 ''24'!$C$2:$C$1577,'Site Level Financials - ''23 ''24'!V$2:V$1577)</f>
        <v>391.04762556652469</v>
      </c>
      <c r="K15" s="242">
        <f>_xlfn.XLOOKUP($C15,'Site Level Financials - ''23 ''24'!$C$2:$C$1577,'Site Level Financials - ''23 ''24'!W$2:W$1577)</f>
        <v>413.6111414240815</v>
      </c>
      <c r="L15" s="242">
        <f>_xlfn.XLOOKUP($C15,'Site Level Financials - ''23 ''24'!$C$2:$C$1577,'Site Level Financials - ''23 ''24'!X$2:X$1577)</f>
        <v>411.64378086858108</v>
      </c>
      <c r="M15" s="242">
        <f>_xlfn.XLOOKUP($C15,'Site Level Financials - ''23 ''24'!$C$2:$C$1577,'Site Level Financials - ''23 ''24'!Y$2:Y$1577)</f>
        <v>439.99437683354734</v>
      </c>
      <c r="N15" s="242">
        <f>_xlfn.XLOOKUP($C15,'Site Level Financials - ''23 ''24'!$C$2:$C$1577,'Site Level Financials - ''23 ''24'!Z$2:Z$1577)</f>
        <v>476.84492566837167</v>
      </c>
      <c r="O15" s="242">
        <f>_xlfn.XLOOKUP($C15,'Site Level Financials - ''23 ''24'!$C$2:$C$1577,'Site Level Financials - ''23 ''24'!AA$2:AA$1577)</f>
        <v>429.48017270256724</v>
      </c>
      <c r="P15" s="242">
        <f>_xlfn.XLOOKUP($C15,'Site Level Financials - ''23 ''24'!$C$2:$C$1577,'Site Level Financials - ''23 ''24'!AB$2:AB$1577)</f>
        <v>488.47052663699162</v>
      </c>
      <c r="Q15" s="242">
        <f>_xlfn.XLOOKUP($C15,'Site Level Financials - ''23 ''24'!$C$2:$C$1577,'Site Level Financials - ''23 ''24'!AC$2:AC$1577)</f>
        <v>398.84186345724447</v>
      </c>
      <c r="R15" s="242">
        <f>_xlfn.XLOOKUP($C15,'Site Level Financials - ''23 ''24'!$C$2:$C$1577,'Site Level Financials - ''23 ''24'!AD$2:AD$1577)</f>
        <v>231.71282902976245</v>
      </c>
      <c r="S15" s="134">
        <f t="shared" ref="S15:AD15" si="6">S14*S13</f>
        <v>342.73067128177195</v>
      </c>
      <c r="T15" s="135">
        <f t="shared" si="6"/>
        <v>354.8903483492532</v>
      </c>
      <c r="U15" s="135">
        <f t="shared" si="6"/>
        <v>381.07743537661202</v>
      </c>
      <c r="V15" s="135">
        <f t="shared" si="6"/>
        <v>408.19549339064378</v>
      </c>
      <c r="W15" s="135">
        <f t="shared" si="6"/>
        <v>485.14511421613378</v>
      </c>
      <c r="X15" s="135">
        <f t="shared" si="6"/>
        <v>407.40000132392038</v>
      </c>
      <c r="Y15" s="135">
        <f t="shared" si="6"/>
        <v>410.42989722477779</v>
      </c>
      <c r="Z15" s="135">
        <f t="shared" si="6"/>
        <v>351.93987365660263</v>
      </c>
      <c r="AA15" s="135">
        <f t="shared" si="6"/>
        <v>322.67151097897278</v>
      </c>
      <c r="AB15" s="135">
        <f t="shared" si="6"/>
        <v>370.58588812894862</v>
      </c>
      <c r="AC15" s="135">
        <f t="shared" si="6"/>
        <v>292.93664176227423</v>
      </c>
      <c r="AD15" s="136">
        <f t="shared" si="6"/>
        <v>239.09856414680456</v>
      </c>
      <c r="AE15" s="15"/>
      <c r="AF15" s="113">
        <f>_xlfn.XLOOKUP($C15,'Site Level Financials - ''23 ''24'!$C$2:$C$1577,'Site Level Financials - ''23 ''24'!$AF$2:$AF$1577)</f>
        <v>5534.8726625608269</v>
      </c>
      <c r="AG15" s="95">
        <f>SUM(G15:R15)</f>
        <v>4997.7426620682691</v>
      </c>
      <c r="AH15" s="95">
        <f t="shared" si="5"/>
        <v>4367.1014398367161</v>
      </c>
    </row>
    <row r="16" spans="2:35" x14ac:dyDescent="0.2">
      <c r="B16" s="9">
        <f>G5</f>
        <v>1</v>
      </c>
      <c r="C16" s="9" t="str">
        <f t="shared" si="2"/>
        <v>1 - Revenue as a % of Production</v>
      </c>
      <c r="D16" s="9" t="s">
        <v>56</v>
      </c>
      <c r="F16" s="7" t="s">
        <v>2</v>
      </c>
      <c r="G16" s="243">
        <f>_xlfn.XLOOKUP($C16,'Site Level Financials - ''23 ''24'!$C$2:$C$1577,'Site Level Financials - ''23 ''24'!S$2:S$1577)</f>
        <v>0.9785631729931672</v>
      </c>
      <c r="H16" s="244">
        <f>_xlfn.XLOOKUP($C16,'Site Level Financials - ''23 ''24'!$C$2:$C$1577,'Site Level Financials - ''23 ''24'!T$2:T$1577)</f>
        <v>0.9785631729931672</v>
      </c>
      <c r="I16" s="244">
        <f>_xlfn.XLOOKUP($C16,'Site Level Financials - ''23 ''24'!$C$2:$C$1577,'Site Level Financials - ''23 ''24'!U$2:U$1577)</f>
        <v>0.9785631729931672</v>
      </c>
      <c r="J16" s="244">
        <f>_xlfn.XLOOKUP($C16,'Site Level Financials - ''23 ''24'!$C$2:$C$1577,'Site Level Financials - ''23 ''24'!V$2:V$1577)</f>
        <v>0.9785631729931672</v>
      </c>
      <c r="K16" s="244">
        <f>_xlfn.XLOOKUP($C16,'Site Level Financials - ''23 ''24'!$C$2:$C$1577,'Site Level Financials - ''23 ''24'!W$2:W$1577)</f>
        <v>0.9785631729931672</v>
      </c>
      <c r="L16" s="244">
        <f>_xlfn.XLOOKUP($C16,'Site Level Financials - ''23 ''24'!$C$2:$C$1577,'Site Level Financials - ''23 ''24'!X$2:X$1577)</f>
        <v>0.9785631729931672</v>
      </c>
      <c r="M16" s="244">
        <f>_xlfn.XLOOKUP($C16,'Site Level Financials - ''23 ''24'!$C$2:$C$1577,'Site Level Financials - ''23 ''24'!Y$2:Y$1577)</f>
        <v>0.9785631729931672</v>
      </c>
      <c r="N16" s="244">
        <f>_xlfn.XLOOKUP($C16,'Site Level Financials - ''23 ''24'!$C$2:$C$1577,'Site Level Financials - ''23 ''24'!Z$2:Z$1577)</f>
        <v>0.9785631729931672</v>
      </c>
      <c r="O16" s="244">
        <f>_xlfn.XLOOKUP($C16,'Site Level Financials - ''23 ''24'!$C$2:$C$1577,'Site Level Financials - ''23 ''24'!AA$2:AA$1577)</f>
        <v>0.9785631729931672</v>
      </c>
      <c r="P16" s="244">
        <f>_xlfn.XLOOKUP($C16,'Site Level Financials - ''23 ''24'!$C$2:$C$1577,'Site Level Financials - ''23 ''24'!AB$2:AB$1577)</f>
        <v>0.9785631729931672</v>
      </c>
      <c r="Q16" s="244">
        <f>_xlfn.XLOOKUP($C16,'Site Level Financials - ''23 ''24'!$C$2:$C$1577,'Site Level Financials - ''23 ''24'!AC$2:AC$1577)</f>
        <v>0.9785631729931672</v>
      </c>
      <c r="R16" s="244">
        <f>_xlfn.XLOOKUP($C16,'Site Level Financials - ''23 ''24'!$C$2:$C$1577,'Site Level Financials - ''23 ''24'!AD$2:AD$1577)</f>
        <v>0.9785631729931672</v>
      </c>
      <c r="S16" s="292">
        <f>SUM(G45:R45)/SUM(G15:R15)</f>
        <v>0.98241067317533892</v>
      </c>
      <c r="T16" s="203">
        <f>S16</f>
        <v>0.98241067317533892</v>
      </c>
      <c r="U16" s="203">
        <f t="shared" ref="U16:AD16" si="7">T16</f>
        <v>0.98241067317533892</v>
      </c>
      <c r="V16" s="203">
        <f t="shared" si="7"/>
        <v>0.98241067317533892</v>
      </c>
      <c r="W16" s="203">
        <f t="shared" si="7"/>
        <v>0.98241067317533892</v>
      </c>
      <c r="X16" s="203">
        <f t="shared" si="7"/>
        <v>0.98241067317533892</v>
      </c>
      <c r="Y16" s="203">
        <f t="shared" si="7"/>
        <v>0.98241067317533892</v>
      </c>
      <c r="Z16" s="203">
        <f t="shared" si="7"/>
        <v>0.98241067317533892</v>
      </c>
      <c r="AA16" s="203">
        <f t="shared" si="7"/>
        <v>0.98241067317533892</v>
      </c>
      <c r="AB16" s="203">
        <f t="shared" si="7"/>
        <v>0.98241067317533892</v>
      </c>
      <c r="AC16" s="203">
        <f t="shared" si="7"/>
        <v>0.98241067317533892</v>
      </c>
      <c r="AD16" s="204">
        <f t="shared" si="7"/>
        <v>0.98241067317533892</v>
      </c>
      <c r="AE16" s="15"/>
      <c r="AF16" s="231">
        <f>_xlfn.XLOOKUP($C16,'Site Level Financials - ''23 ''24'!$C$2:$C$1577,'Site Level Financials - ''23 ''24'!$AF$2:$AF$1577)</f>
        <v>0.9836429553839332</v>
      </c>
      <c r="AG16" s="103">
        <f>AG17/AG15</f>
        <v>0.97856317299316731</v>
      </c>
      <c r="AH16" s="103">
        <f>AH17/AH15</f>
        <v>0.98241067317533892</v>
      </c>
    </row>
    <row r="17" spans="2:34" x14ac:dyDescent="0.2">
      <c r="B17" s="9">
        <f>G5</f>
        <v>1</v>
      </c>
      <c r="C17" s="9" t="str">
        <f t="shared" si="2"/>
        <v>1 - Total Revenue</v>
      </c>
      <c r="D17" s="9" t="s">
        <v>56</v>
      </c>
      <c r="F17" s="8" t="s">
        <v>3</v>
      </c>
      <c r="G17" s="241">
        <f>_xlfn.XLOOKUP($C17,'Site Level Financials - ''23 ''24'!$C$2:$C$1577,'Site Level Financials - ''23 ''24'!S$2:S$1577)</f>
        <v>426.47383510216451</v>
      </c>
      <c r="H17" s="242">
        <f>_xlfn.XLOOKUP($C17,'Site Level Financials - ''23 ''24'!$C$2:$C$1577,'Site Level Financials - ''23 ''24'!T$2:T$1577)</f>
        <v>414.72500291540069</v>
      </c>
      <c r="I17" s="242">
        <f>_xlfn.XLOOKUP($C17,'Site Level Financials - ''23 ''24'!$C$2:$C$1577,'Site Level Financials - ''23 ''24'!U$2:U$1577)</f>
        <v>446.6836720225665</v>
      </c>
      <c r="J17" s="242">
        <f>_xlfn.XLOOKUP($C17,'Site Level Financials - ''23 ''24'!$C$2:$C$1577,'Site Level Financials - ''23 ''24'!V$2:V$1577)</f>
        <v>382.66480526582239</v>
      </c>
      <c r="K17" s="242">
        <f>_xlfn.XLOOKUP($C17,'Site Level Financials - ''23 ''24'!$C$2:$C$1577,'Site Level Financials - ''23 ''24'!W$2:W$1577)</f>
        <v>404.74463093727479</v>
      </c>
      <c r="L17" s="242">
        <f>_xlfn.XLOOKUP($C17,'Site Level Financials - ''23 ''24'!$C$2:$C$1577,'Site Level Financials - ''23 ''24'!X$2:X$1577)</f>
        <v>402.81944434966272</v>
      </c>
      <c r="M17" s="242">
        <f>_xlfn.XLOOKUP($C17,'Site Level Financials - ''23 ''24'!$C$2:$C$1577,'Site Level Financials - ''23 ''24'!Y$2:Y$1577)</f>
        <v>430.56229349338736</v>
      </c>
      <c r="N17" s="242">
        <f>_xlfn.XLOOKUP($C17,'Site Level Financials - ''23 ''24'!$C$2:$C$1577,'Site Level Financials - ''23 ''24'!Z$2:Z$1577)</f>
        <v>466.62288348773274</v>
      </c>
      <c r="O17" s="242">
        <f>_xlfn.XLOOKUP($C17,'Site Level Financials - ''23 ''24'!$C$2:$C$1577,'Site Level Financials - ''23 ''24'!AA$2:AA$1577)</f>
        <v>420.27348053747761</v>
      </c>
      <c r="P17" s="242">
        <f>_xlfn.XLOOKUP($C17,'Site Level Financials - ''23 ''24'!$C$2:$C$1577,'Site Level Financials - ''23 ''24'!AB$2:AB$1577)</f>
        <v>477.99926845953792</v>
      </c>
      <c r="Q17" s="242">
        <f>_xlfn.XLOOKUP($C17,'Site Level Financials - ''23 ''24'!$C$2:$C$1577,'Site Level Financials - ''23 ''24'!AC$2:AC$1577)</f>
        <v>390.29195942722868</v>
      </c>
      <c r="R17" s="242">
        <f>_xlfn.XLOOKUP($C17,'Site Level Financials - ''23 ''24'!$C$2:$C$1577,'Site Level Financials - ''23 ''24'!AD$2:AD$1577)</f>
        <v>226.74564119858761</v>
      </c>
      <c r="S17" s="134">
        <f t="shared" ref="S17:AD17" si="8">S16*S15</f>
        <v>336.7022694917614</v>
      </c>
      <c r="T17" s="135">
        <f t="shared" si="8"/>
        <v>348.64806602522037</v>
      </c>
      <c r="U17" s="135">
        <f t="shared" si="8"/>
        <v>374.37453982026915</v>
      </c>
      <c r="V17" s="135">
        <f t="shared" si="8"/>
        <v>401.01560944904196</v>
      </c>
      <c r="W17" s="135">
        <f t="shared" si="8"/>
        <v>476.61173824479869</v>
      </c>
      <c r="X17" s="135">
        <f t="shared" si="8"/>
        <v>400.2341095522666</v>
      </c>
      <c r="Y17" s="135">
        <f t="shared" si="8"/>
        <v>403.21071162387909</v>
      </c>
      <c r="Z17" s="135">
        <f t="shared" si="8"/>
        <v>345.74948819622671</v>
      </c>
      <c r="AA17" s="135">
        <f t="shared" si="8"/>
        <v>316.9959363153564</v>
      </c>
      <c r="AB17" s="135">
        <f t="shared" si="8"/>
        <v>364.06753182604126</v>
      </c>
      <c r="AC17" s="135">
        <f t="shared" si="8"/>
        <v>287.78408343139893</v>
      </c>
      <c r="AD17" s="136">
        <f t="shared" si="8"/>
        <v>234.89298135871923</v>
      </c>
      <c r="AE17" s="15"/>
      <c r="AF17" s="113">
        <f>_xlfn.XLOOKUP($C17,'Site Level Financials - ''23 ''24'!$C$2:$C$1577,'Site Level Financials - ''23 ''24'!$AF$2:$AF$1577)</f>
        <v>5444.3385034750709</v>
      </c>
      <c r="AG17" s="95">
        <f>SUM(G17:R17)</f>
        <v>4890.6069171968438</v>
      </c>
      <c r="AH17" s="95">
        <f t="shared" si="5"/>
        <v>4290.2870653349801</v>
      </c>
    </row>
    <row r="18" spans="2:34" x14ac:dyDescent="0.2">
      <c r="B18" s="9">
        <f>G5</f>
        <v>1</v>
      </c>
      <c r="C18" s="9" t="str">
        <f t="shared" si="2"/>
        <v>1 - % YoY Revenue Growth</v>
      </c>
      <c r="D18" s="9" t="s">
        <v>56</v>
      </c>
      <c r="F18" s="16" t="s">
        <v>174</v>
      </c>
      <c r="G18" s="245">
        <f>_xlfn.XLOOKUP($C18,'Site Level Financials - ''23 ''24'!$C$2:$C$1577,'Site Level Financials - ''23 ''24'!S$2:S$1577)</f>
        <v>0.14914250362868264</v>
      </c>
      <c r="H18" s="246">
        <f>_xlfn.XLOOKUP($C18,'Site Level Financials - ''23 ''24'!$C$2:$C$1577,'Site Level Financials - ''23 ''24'!T$2:T$1577)</f>
        <v>0.10233060741153155</v>
      </c>
      <c r="I18" s="246">
        <f>_xlfn.XLOOKUP($C18,'Site Level Financials - ''23 ''24'!$C$2:$C$1577,'Site Level Financials - ''23 ''24'!U$2:U$1577)</f>
        <v>-5.2123494363847556E-2</v>
      </c>
      <c r="J18" s="246">
        <f>_xlfn.XLOOKUP($C18,'Site Level Financials - ''23 ''24'!$C$2:$C$1577,'Site Level Financials - ''23 ''24'!V$2:V$1577)</f>
        <v>-0.12381793923569262</v>
      </c>
      <c r="K18" s="246">
        <f>_xlfn.XLOOKUP($C18,'Site Level Financials - ''23 ''24'!$C$2:$C$1577,'Site Level Financials - ''23 ''24'!W$2:W$1577)</f>
        <v>-0.19976752021164168</v>
      </c>
      <c r="L18" s="246">
        <f>_xlfn.XLOOKUP($C18,'Site Level Financials - ''23 ''24'!$C$2:$C$1577,'Site Level Financials - ''23 ''24'!X$2:X$1577)</f>
        <v>-0.2699285861716797</v>
      </c>
      <c r="M18" s="246">
        <f>_xlfn.XLOOKUP($C18,'Site Level Financials - ''23 ''24'!$C$2:$C$1577,'Site Level Financials - ''23 ''24'!Y$2:Y$1577)</f>
        <v>-0.13356457267723154</v>
      </c>
      <c r="N18" s="246">
        <f>_xlfn.XLOOKUP($C18,'Site Level Financials - ''23 ''24'!$C$2:$C$1577,'Site Level Financials - ''23 ''24'!Z$2:Z$1577)</f>
        <v>-5.5032549293642985E-2</v>
      </c>
      <c r="O18" s="246">
        <f>_xlfn.XLOOKUP($C18,'Site Level Financials - ''23 ''24'!$C$2:$C$1577,'Site Level Financials - ''23 ''24'!AA$2:AA$1577)</f>
        <v>-8.283130539470307E-2</v>
      </c>
      <c r="P18" s="246">
        <f>_xlfn.XLOOKUP($C18,'Site Level Financials - ''23 ''24'!$C$2:$C$1577,'Site Level Financials - ''23 ''24'!AB$2:AB$1577)</f>
        <v>1.2451937937945079E-3</v>
      </c>
      <c r="Q18" s="246">
        <f>_xlfn.XLOOKUP($C18,'Site Level Financials - ''23 ''24'!$C$2:$C$1577,'Site Level Financials - ''23 ''24'!AC$2:AC$1577)</f>
        <v>-0.12053423147532694</v>
      </c>
      <c r="R18" s="246">
        <f>_xlfn.XLOOKUP($C18,'Site Level Financials - ''23 ''24'!$C$2:$C$1577,'Site Level Financials - ''23 ''24'!AD$2:AD$1577)</f>
        <v>-0.37244172599060044</v>
      </c>
      <c r="S18" s="148">
        <f>S17/G17-1</f>
        <v>-0.21049724091255861</v>
      </c>
      <c r="T18" s="149">
        <f t="shared" ref="T18:AD18" si="9">T17/H17-1</f>
        <v>-0.15932711176244008</v>
      </c>
      <c r="U18" s="149">
        <f t="shared" si="9"/>
        <v>-0.16187995382702125</v>
      </c>
      <c r="V18" s="149">
        <f t="shared" si="9"/>
        <v>4.7955296464936126E-2</v>
      </c>
      <c r="W18" s="149">
        <f t="shared" si="9"/>
        <v>0.17756160752793648</v>
      </c>
      <c r="X18" s="149">
        <f t="shared" si="9"/>
        <v>-6.4180983159093374E-3</v>
      </c>
      <c r="Y18" s="149">
        <f t="shared" si="9"/>
        <v>-6.3525260532198313E-2</v>
      </c>
      <c r="Z18" s="149">
        <f t="shared" si="9"/>
        <v>-0.25903872177902676</v>
      </c>
      <c r="AA18" s="149">
        <f t="shared" si="9"/>
        <v>-0.24573890336844961</v>
      </c>
      <c r="AB18" s="149">
        <f t="shared" si="9"/>
        <v>-0.23835127823661273</v>
      </c>
      <c r="AC18" s="149">
        <f t="shared" si="9"/>
        <v>-0.26264408866189493</v>
      </c>
      <c r="AD18" s="150">
        <f t="shared" si="9"/>
        <v>3.5931628573164343E-2</v>
      </c>
      <c r="AE18" s="15"/>
      <c r="AF18" s="11"/>
      <c r="AG18" s="97">
        <f>AG17/AF17-1</f>
        <v>-0.10170778064677377</v>
      </c>
      <c r="AH18" s="97">
        <f>AH17/AG17-1</f>
        <v>-0.12274956094936984</v>
      </c>
    </row>
    <row r="19" spans="2:34" ht="6" customHeight="1" x14ac:dyDescent="0.2">
      <c r="B19" s="9">
        <f>G5</f>
        <v>1</v>
      </c>
      <c r="C19" s="9" t="str">
        <f t="shared" si="2"/>
        <v xml:space="preserve">1 - </v>
      </c>
      <c r="D19" s="9" t="s">
        <v>56</v>
      </c>
      <c r="G19" s="80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80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81"/>
      <c r="AE19" s="15"/>
      <c r="AF19" s="11"/>
      <c r="AG19" s="15"/>
      <c r="AH19" s="15"/>
    </row>
    <row r="20" spans="2:34" x14ac:dyDescent="0.2">
      <c r="B20" s="9">
        <f>G5</f>
        <v>1</v>
      </c>
      <c r="C20" s="9" t="str">
        <f t="shared" si="2"/>
        <v>1 - Doctor Compensation</v>
      </c>
      <c r="D20" s="9" t="s">
        <v>56</v>
      </c>
      <c r="F20" t="s">
        <v>4</v>
      </c>
      <c r="G20" s="178">
        <f>_xlfn.XLOOKUP($C20,'Site Level Financials - ''23 ''24'!$C$2:$C$1577,'Site Level Financials - ''23 ''24'!S$2:S$1577)</f>
        <v>-135.67340467583452</v>
      </c>
      <c r="H20" s="179">
        <f>_xlfn.XLOOKUP($C20,'Site Level Financials - ''23 ''24'!$C$2:$C$1577,'Site Level Financials - ''23 ''24'!T$2:T$1577)</f>
        <v>-136.66238401287569</v>
      </c>
      <c r="I20" s="179">
        <f>_xlfn.XLOOKUP($C20,'Site Level Financials - ''23 ''24'!$C$2:$C$1577,'Site Level Financials - ''23 ''24'!U$2:U$1577)</f>
        <v>-156.48907891413424</v>
      </c>
      <c r="J20" s="179">
        <f>_xlfn.XLOOKUP($C20,'Site Level Financials - ''23 ''24'!$C$2:$C$1577,'Site Level Financials - ''23 ''24'!V$2:V$1577)</f>
        <v>-166.13691345369526</v>
      </c>
      <c r="K20" s="179">
        <f>_xlfn.XLOOKUP($C20,'Site Level Financials - ''23 ''24'!$C$2:$C$1577,'Site Level Financials - ''23 ''24'!W$2:W$1577)</f>
        <v>-184.63855846179345</v>
      </c>
      <c r="L20" s="179">
        <f>_xlfn.XLOOKUP($C20,'Site Level Financials - ''23 ''24'!$C$2:$C$1577,'Site Level Financials - ''23 ''24'!X$2:X$1577)</f>
        <v>-143.79696471200157</v>
      </c>
      <c r="M20" s="179">
        <f>_xlfn.XLOOKUP($C20,'Site Level Financials - ''23 ''24'!$C$2:$C$1577,'Site Level Financials - ''23 ''24'!Y$2:Y$1577)</f>
        <v>-155.96362016602598</v>
      </c>
      <c r="N20" s="179">
        <f>_xlfn.XLOOKUP($C20,'Site Level Financials - ''23 ''24'!$C$2:$C$1577,'Site Level Financials - ''23 ''24'!Z$2:Z$1577)</f>
        <v>-129.38144349096953</v>
      </c>
      <c r="O20" s="179">
        <f>_xlfn.XLOOKUP($C20,'Site Level Financials - ''23 ''24'!$C$2:$C$1577,'Site Level Financials - ''23 ''24'!AA$2:AA$1577)</f>
        <v>-120.31213467493328</v>
      </c>
      <c r="P20" s="179">
        <f>_xlfn.XLOOKUP($C20,'Site Level Financials - ''23 ''24'!$C$2:$C$1577,'Site Level Financials - ''23 ''24'!AB$2:AB$1577)</f>
        <v>-148.49686341648126</v>
      </c>
      <c r="Q20" s="179">
        <f>_xlfn.XLOOKUP($C20,'Site Level Financials - ''23 ''24'!$C$2:$C$1577,'Site Level Financials - ''23 ''24'!AC$2:AC$1577)</f>
        <v>-116.99113237958782</v>
      </c>
      <c r="R20" s="179">
        <f>_xlfn.XLOOKUP($C20,'Site Level Financials - ''23 ''24'!$C$2:$C$1577,'Site Level Financials - ''23 ''24'!AD$2:AD$1577)</f>
        <v>-90.458233163207183</v>
      </c>
      <c r="S20" s="155">
        <f>S21*S17</f>
        <v>-107.11452732635831</v>
      </c>
      <c r="T20" s="154">
        <f t="shared" ref="T20:AD20" si="10">T21*T17</f>
        <v>-114.88836108153475</v>
      </c>
      <c r="U20" s="154">
        <f t="shared" si="10"/>
        <v>-131.15663404508112</v>
      </c>
      <c r="V20" s="154">
        <f t="shared" si="10"/>
        <v>-174.10405839213666</v>
      </c>
      <c r="W20" s="154">
        <f t="shared" si="10"/>
        <v>-217.42327771391038</v>
      </c>
      <c r="X20" s="154">
        <f t="shared" si="10"/>
        <v>-142.87406165495059</v>
      </c>
      <c r="Y20" s="154">
        <f t="shared" si="10"/>
        <v>-146.05599056143436</v>
      </c>
      <c r="Z20" s="154">
        <f t="shared" si="10"/>
        <v>-95.866639747143395</v>
      </c>
      <c r="AA20" s="154">
        <f t="shared" si="10"/>
        <v>-90.746762637997946</v>
      </c>
      <c r="AB20" s="154">
        <f t="shared" si="10"/>
        <v>-113.10244620703526</v>
      </c>
      <c r="AC20" s="154">
        <f t="shared" si="10"/>
        <v>-86.264103034227873</v>
      </c>
      <c r="AD20" s="156">
        <f t="shared" si="10"/>
        <v>-93.708544798612223</v>
      </c>
      <c r="AE20" s="15"/>
      <c r="AF20" s="115">
        <f>_xlfn.XLOOKUP($C20,'Site Level Financials - ''23 ''24'!$C$2:$C$1577,'Site Level Financials - ''23 ''24'!$AF$2:$AF$1577)</f>
        <v>-1670.380819068321</v>
      </c>
      <c r="AG20" s="93">
        <f>SUM(G20:R20)</f>
        <v>-1685.0007315215398</v>
      </c>
      <c r="AH20" s="93">
        <f t="shared" ref="AH20" si="11">SUM(S20:AD20)</f>
        <v>-1513.3054072004229</v>
      </c>
    </row>
    <row r="21" spans="2:34" x14ac:dyDescent="0.2">
      <c r="B21" s="9">
        <f>G5</f>
        <v>1</v>
      </c>
      <c r="C21" s="9" t="str">
        <f t="shared" si="2"/>
        <v>1 - % of Revenue - Doctor Compensation</v>
      </c>
      <c r="D21" s="9" t="s">
        <v>56</v>
      </c>
      <c r="F21" s="16" t="str">
        <f>"% of Revenue - "&amp;F20</f>
        <v>% of Revenue - Doctor Compensation</v>
      </c>
      <c r="G21" s="148">
        <f>G20/G17</f>
        <v>-0.31812831997848845</v>
      </c>
      <c r="H21" s="149">
        <f t="shared" ref="H21:R21" si="12">H20/H17</f>
        <v>-0.32952530725704354</v>
      </c>
      <c r="I21" s="149">
        <f t="shared" si="12"/>
        <v>-0.35033534627661161</v>
      </c>
      <c r="J21" s="149">
        <f t="shared" si="12"/>
        <v>-0.43415780904723233</v>
      </c>
      <c r="K21" s="149">
        <f t="shared" si="12"/>
        <v>-0.45618531871373424</v>
      </c>
      <c r="L21" s="149">
        <f t="shared" si="12"/>
        <v>-0.35697622527670309</v>
      </c>
      <c r="M21" s="149">
        <f t="shared" si="12"/>
        <v>-0.36223241682546753</v>
      </c>
      <c r="N21" s="149">
        <f t="shared" si="12"/>
        <v>-0.27727196429784801</v>
      </c>
      <c r="O21" s="149">
        <f t="shared" si="12"/>
        <v>-0.28627105978961365</v>
      </c>
      <c r="P21" s="149">
        <f t="shared" si="12"/>
        <v>-0.31066336962197955</v>
      </c>
      <c r="Q21" s="149">
        <f t="shared" si="12"/>
        <v>-0.29975286334691004</v>
      </c>
      <c r="R21" s="149">
        <f t="shared" si="12"/>
        <v>-0.39894144242438756</v>
      </c>
      <c r="S21" s="245">
        <f>_xlfn.XLOOKUP($F21,'Budget Assumption Driver'!$A$33:$A$39,'Budget Assumption Driver'!E$33:E$39)+G21</f>
        <v>-0.31812831997848845</v>
      </c>
      <c r="T21" s="246">
        <f>_xlfn.XLOOKUP($F21,'Budget Assumption Driver'!$A$33:$A$39,'Budget Assumption Driver'!F$33:F$39)+H21</f>
        <v>-0.32952530725704354</v>
      </c>
      <c r="U21" s="246">
        <f>_xlfn.XLOOKUP($F21,'Budget Assumption Driver'!$A$33:$A$39,'Budget Assumption Driver'!G$33:G$39)+I21</f>
        <v>-0.35033534627661161</v>
      </c>
      <c r="V21" s="246">
        <f>_xlfn.XLOOKUP($F21,'Budget Assumption Driver'!$A$33:$A$39,'Budget Assumption Driver'!H$33:H$39)+J21</f>
        <v>-0.43415780904723233</v>
      </c>
      <c r="W21" s="246">
        <f>_xlfn.XLOOKUP($F21,'Budget Assumption Driver'!$A$33:$A$39,'Budget Assumption Driver'!I$33:I$39)+K21</f>
        <v>-0.45618531871373424</v>
      </c>
      <c r="X21" s="246">
        <f>_xlfn.XLOOKUP($F21,'Budget Assumption Driver'!$A$33:$A$39,'Budget Assumption Driver'!J$33:J$39)+L21</f>
        <v>-0.35697622527670309</v>
      </c>
      <c r="Y21" s="246">
        <f>_xlfn.XLOOKUP($F21,'Budget Assumption Driver'!$A$33:$A$39,'Budget Assumption Driver'!K$33:K$39)+M21</f>
        <v>-0.36223241682546753</v>
      </c>
      <c r="Z21" s="246">
        <f>_xlfn.XLOOKUP($F21,'Budget Assumption Driver'!$A$33:$A$39,'Budget Assumption Driver'!L$33:L$39)+N21</f>
        <v>-0.27727196429784801</v>
      </c>
      <c r="AA21" s="246">
        <f>_xlfn.XLOOKUP($F21,'Budget Assumption Driver'!$A$33:$A$39,'Budget Assumption Driver'!M$33:M$39)+O21</f>
        <v>-0.28627105978961365</v>
      </c>
      <c r="AB21" s="246">
        <f>_xlfn.XLOOKUP($F21,'Budget Assumption Driver'!$A$33:$A$39,'Budget Assumption Driver'!N$33:N$39)+P21</f>
        <v>-0.31066336962197955</v>
      </c>
      <c r="AC21" s="246">
        <f>_xlfn.XLOOKUP($F21,'Budget Assumption Driver'!$A$33:$A$39,'Budget Assumption Driver'!O$33:O$39)+Q21</f>
        <v>-0.29975286334691004</v>
      </c>
      <c r="AD21" s="296">
        <f>_xlfn.XLOOKUP($F21,'Budget Assumption Driver'!$A$33:$A$39,'Budget Assumption Driver'!P$33:P$39)+R21</f>
        <v>-0.39894144242438756</v>
      </c>
      <c r="AE21" s="15"/>
      <c r="AF21" s="232">
        <f>_xlfn.XLOOKUP($C21,'Site Level Financials - ''23 ''24'!$C$2:$C$1577,'Site Level Financials - ''23 ''24'!$AF$2:$AF$1577)</f>
        <v>-0.30681061032522727</v>
      </c>
      <c r="AG21" s="97">
        <f t="shared" ref="AG21" si="13">AG20/AG17</f>
        <v>-0.3445381647002892</v>
      </c>
      <c r="AH21" s="97">
        <f t="shared" ref="AH21" si="14">AH20/AH17</f>
        <v>-0.35272824036129291</v>
      </c>
    </row>
    <row r="22" spans="2:34" ht="3" customHeight="1" x14ac:dyDescent="0.2">
      <c r="B22" s="9">
        <f>G5</f>
        <v>1</v>
      </c>
      <c r="C22" s="9" t="str">
        <f t="shared" si="2"/>
        <v xml:space="preserve">1 - </v>
      </c>
      <c r="D22" s="9" t="s">
        <v>56</v>
      </c>
      <c r="F22" s="16"/>
      <c r="G22" s="84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4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6"/>
      <c r="AE22" s="15"/>
      <c r="AF22" s="36"/>
      <c r="AG22" s="38"/>
      <c r="AH22" s="38"/>
    </row>
    <row r="23" spans="2:34" x14ac:dyDescent="0.2">
      <c r="B23" s="9">
        <f>G5</f>
        <v>1</v>
      </c>
      <c r="C23" s="9" t="str">
        <f t="shared" si="2"/>
        <v>1 - Administrative Staff Compensation</v>
      </c>
      <c r="D23" s="9" t="s">
        <v>56</v>
      </c>
      <c r="F23" t="s">
        <v>5</v>
      </c>
      <c r="G23" s="178">
        <f>_xlfn.XLOOKUP($C23,'Site Level Financials - ''23 ''24'!$C$2:$C$1577,'Site Level Financials - ''23 ''24'!S$2:S$1577)</f>
        <v>-71.662216487821397</v>
      </c>
      <c r="H23" s="179">
        <f>_xlfn.XLOOKUP($C23,'Site Level Financials - ''23 ''24'!$C$2:$C$1577,'Site Level Financials - ''23 ''24'!T$2:T$1577)</f>
        <v>-70.741312372626453</v>
      </c>
      <c r="I23" s="179">
        <f>_xlfn.XLOOKUP($C23,'Site Level Financials - ''23 ''24'!$C$2:$C$1577,'Site Level Financials - ''23 ''24'!U$2:U$1577)</f>
        <v>-83.643635389975472</v>
      </c>
      <c r="J23" s="179">
        <f>_xlfn.XLOOKUP($C23,'Site Level Financials - ''23 ''24'!$C$2:$C$1577,'Site Level Financials - ''23 ''24'!V$2:V$1577)</f>
        <v>-93.399863823865942</v>
      </c>
      <c r="K23" s="179">
        <f>_xlfn.XLOOKUP($C23,'Site Level Financials - ''23 ''24'!$C$2:$C$1577,'Site Level Financials - ''23 ''24'!W$2:W$1577)</f>
        <v>-99.535279078298785</v>
      </c>
      <c r="L23" s="179">
        <f>_xlfn.XLOOKUP($C23,'Site Level Financials - ''23 ''24'!$C$2:$C$1577,'Site Level Financials - ''23 ''24'!X$2:X$1577)</f>
        <v>-79.219325472608332</v>
      </c>
      <c r="M23" s="179">
        <f>_xlfn.XLOOKUP($C23,'Site Level Financials - ''23 ''24'!$C$2:$C$1577,'Site Level Financials - ''23 ''24'!Y$2:Y$1577)</f>
        <v>-90.295168567774084</v>
      </c>
      <c r="N23" s="179">
        <f>_xlfn.XLOOKUP($C23,'Site Level Financials - ''23 ''24'!$C$2:$C$1577,'Site Level Financials - ''23 ''24'!Z$2:Z$1577)</f>
        <v>-75.944162962239702</v>
      </c>
      <c r="O23" s="179">
        <f>_xlfn.XLOOKUP($C23,'Site Level Financials - ''23 ''24'!$C$2:$C$1577,'Site Level Financials - ''23 ''24'!AA$2:AA$1577)</f>
        <v>-71.517706682629523</v>
      </c>
      <c r="P23" s="179">
        <f>_xlfn.XLOOKUP($C23,'Site Level Financials - ''23 ''24'!$C$2:$C$1577,'Site Level Financials - ''23 ''24'!AB$2:AB$1577)</f>
        <v>-89.383477614072561</v>
      </c>
      <c r="Q23" s="179">
        <f>_xlfn.XLOOKUP($C23,'Site Level Financials - ''23 ''24'!$C$2:$C$1577,'Site Level Financials - ''23 ''24'!AC$2:AC$1577)</f>
        <v>-66.69838798857559</v>
      </c>
      <c r="R23" s="179">
        <f>_xlfn.XLOOKUP($C23,'Site Level Financials - ''23 ''24'!$C$2:$C$1577,'Site Level Financials - ''23 ''24'!AD$2:AD$1577)</f>
        <v>-48.935851159549451</v>
      </c>
      <c r="S23" s="155">
        <f>S24*S17</f>
        <v>-56.577517639456531</v>
      </c>
      <c r="T23" s="154">
        <f t="shared" ref="T23:AD23" si="15">T24*T17</f>
        <v>-59.470303390011317</v>
      </c>
      <c r="U23" s="154">
        <f t="shared" si="15"/>
        <v>-70.103407555122047</v>
      </c>
      <c r="V23" s="154">
        <f t="shared" si="15"/>
        <v>-97.878881983324092</v>
      </c>
      <c r="W23" s="154">
        <f t="shared" si="15"/>
        <v>-117.2089232371833</v>
      </c>
      <c r="X23" s="154">
        <f t="shared" si="15"/>
        <v>-78.71088805320511</v>
      </c>
      <c r="Y23" s="154">
        <f t="shared" si="15"/>
        <v>-84.559144459707468</v>
      </c>
      <c r="Z23" s="154">
        <f t="shared" si="15"/>
        <v>-56.271684061923025</v>
      </c>
      <c r="AA23" s="154">
        <f t="shared" si="15"/>
        <v>-53.943023871013708</v>
      </c>
      <c r="AB23" s="154">
        <f t="shared" si="15"/>
        <v>-68.078811471524716</v>
      </c>
      <c r="AC23" s="154">
        <f t="shared" si="15"/>
        <v>-49.180450660098671</v>
      </c>
      <c r="AD23" s="156">
        <f t="shared" si="15"/>
        <v>-50.694195987326026</v>
      </c>
      <c r="AE23" s="15"/>
      <c r="AF23" s="115">
        <f>_xlfn.XLOOKUP($C23,'Site Level Financials - ''23 ''24'!$C$2:$C$1577,'Site Level Financials - ''23 ''24'!$AF$2:$AF$1577)</f>
        <v>-910.83507373616067</v>
      </c>
      <c r="AG23" s="93">
        <f>SUM(G23:R23)</f>
        <v>-940.97638760003736</v>
      </c>
      <c r="AH23" s="93">
        <f t="shared" ref="AH23" si="16">SUM(S23:AD23)</f>
        <v>-842.67723236989605</v>
      </c>
    </row>
    <row r="24" spans="2:34" x14ac:dyDescent="0.2">
      <c r="B24" s="9">
        <f>G5</f>
        <v>1</v>
      </c>
      <c r="C24" s="9" t="str">
        <f t="shared" si="2"/>
        <v>1 - % of Revenue - Administrative Staff Compensation</v>
      </c>
      <c r="D24" s="9" t="s">
        <v>56</v>
      </c>
      <c r="F24" s="16" t="str">
        <f>"% of Revenue - "&amp;F23</f>
        <v>% of Revenue - Administrative Staff Compensation</v>
      </c>
      <c r="G24" s="148">
        <f>G23/G17</f>
        <v>-0.16803426280689474</v>
      </c>
      <c r="H24" s="149">
        <f t="shared" ref="H24:R24" si="17">H23/H17</f>
        <v>-0.17057402345008096</v>
      </c>
      <c r="I24" s="149">
        <f t="shared" si="17"/>
        <v>-0.18725474117117447</v>
      </c>
      <c r="J24" s="149">
        <f t="shared" si="17"/>
        <v>-0.24407748645445634</v>
      </c>
      <c r="K24" s="149">
        <f t="shared" si="17"/>
        <v>-0.245921184544939</v>
      </c>
      <c r="L24" s="149">
        <f t="shared" si="17"/>
        <v>-0.19666211893148564</v>
      </c>
      <c r="M24" s="149">
        <f t="shared" si="17"/>
        <v>-0.20971452895970058</v>
      </c>
      <c r="N24" s="149">
        <f t="shared" si="17"/>
        <v>-0.1627527617047016</v>
      </c>
      <c r="O24" s="149">
        <f t="shared" si="17"/>
        <v>-0.17016944916716434</v>
      </c>
      <c r="P24" s="149">
        <f t="shared" si="17"/>
        <v>-0.18699500922277829</v>
      </c>
      <c r="Q24" s="149">
        <f t="shared" si="17"/>
        <v>-0.17089357435510208</v>
      </c>
      <c r="R24" s="149">
        <f t="shared" si="17"/>
        <v>-0.21581826623379549</v>
      </c>
      <c r="S24" s="245">
        <f>_xlfn.XLOOKUP($F24,'Budget Assumption Driver'!$A$33:$A$39,'Budget Assumption Driver'!E$33:E$39)+G24</f>
        <v>-0.16803426280689474</v>
      </c>
      <c r="T24" s="246">
        <f>_xlfn.XLOOKUP($F24,'Budget Assumption Driver'!$A$33:$A$39,'Budget Assumption Driver'!F$33:F$39)+H24</f>
        <v>-0.17057402345008096</v>
      </c>
      <c r="U24" s="246">
        <f>_xlfn.XLOOKUP($F24,'Budget Assumption Driver'!$A$33:$A$39,'Budget Assumption Driver'!G$33:G$39)+I24</f>
        <v>-0.18725474117117447</v>
      </c>
      <c r="V24" s="246">
        <f>_xlfn.XLOOKUP($F24,'Budget Assumption Driver'!$A$33:$A$39,'Budget Assumption Driver'!H$33:H$39)+J24</f>
        <v>-0.24407748645445634</v>
      </c>
      <c r="W24" s="246">
        <f>_xlfn.XLOOKUP($F24,'Budget Assumption Driver'!$A$33:$A$39,'Budget Assumption Driver'!I$33:I$39)+K24</f>
        <v>-0.245921184544939</v>
      </c>
      <c r="X24" s="246">
        <f>_xlfn.XLOOKUP($F24,'Budget Assumption Driver'!$A$33:$A$39,'Budget Assumption Driver'!J$33:J$39)+L24</f>
        <v>-0.19666211893148564</v>
      </c>
      <c r="Y24" s="246">
        <f>_xlfn.XLOOKUP($F24,'Budget Assumption Driver'!$A$33:$A$39,'Budget Assumption Driver'!K$33:K$39)+M24</f>
        <v>-0.20971452895970058</v>
      </c>
      <c r="Z24" s="246">
        <f>_xlfn.XLOOKUP($F24,'Budget Assumption Driver'!$A$33:$A$39,'Budget Assumption Driver'!L$33:L$39)+N24</f>
        <v>-0.1627527617047016</v>
      </c>
      <c r="AA24" s="246">
        <f>_xlfn.XLOOKUP($F24,'Budget Assumption Driver'!$A$33:$A$39,'Budget Assumption Driver'!M$33:M$39)+O24</f>
        <v>-0.17016944916716434</v>
      </c>
      <c r="AB24" s="246">
        <f>_xlfn.XLOOKUP($F24,'Budget Assumption Driver'!$A$33:$A$39,'Budget Assumption Driver'!N$33:N$39)+P24</f>
        <v>-0.18699500922277829</v>
      </c>
      <c r="AC24" s="246">
        <f>_xlfn.XLOOKUP($F24,'Budget Assumption Driver'!$A$33:$A$39,'Budget Assumption Driver'!O$33:O$39)+Q24</f>
        <v>-0.17089357435510208</v>
      </c>
      <c r="AD24" s="296">
        <f>_xlfn.XLOOKUP($F24,'Budget Assumption Driver'!$A$33:$A$39,'Budget Assumption Driver'!P$33:P$39)+R24</f>
        <v>-0.21581826623379549</v>
      </c>
      <c r="AE24" s="15"/>
      <c r="AF24" s="232">
        <f>_xlfn.XLOOKUP($C24,'Site Level Financials - ''23 ''24'!$C$2:$C$1577,'Site Level Financials - ''23 ''24'!$AF$2:$AF$1577)</f>
        <v>-0.16729949343796002</v>
      </c>
      <c r="AG24" s="97">
        <f t="shared" ref="AG24" si="18">AG23/AG17</f>
        <v>-0.19240482899807007</v>
      </c>
      <c r="AH24" s="97">
        <f t="shared" ref="AH24" si="19">AH23/AH17</f>
        <v>-0.19641511617687077</v>
      </c>
    </row>
    <row r="25" spans="2:34" ht="3" customHeight="1" x14ac:dyDescent="0.2">
      <c r="B25" s="9">
        <f>G5</f>
        <v>1</v>
      </c>
      <c r="C25" s="9" t="str">
        <f t="shared" si="2"/>
        <v xml:space="preserve">1 - </v>
      </c>
      <c r="D25" s="9" t="s">
        <v>56</v>
      </c>
      <c r="F25" s="16"/>
      <c r="G25" s="84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4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6"/>
      <c r="AE25" s="15"/>
      <c r="AF25" s="36"/>
      <c r="AG25" s="38"/>
      <c r="AH25" s="38"/>
    </row>
    <row r="26" spans="2:34" x14ac:dyDescent="0.2">
      <c r="B26" s="9">
        <f>G5</f>
        <v>1</v>
      </c>
      <c r="C26" s="9" t="str">
        <f t="shared" si="2"/>
        <v>1 - Office Supplies</v>
      </c>
      <c r="D26" s="9" t="s">
        <v>56</v>
      </c>
      <c r="F26" t="s">
        <v>6</v>
      </c>
      <c r="G26" s="178">
        <f>_xlfn.XLOOKUP($C26,'Site Level Financials - ''23 ''24'!$C$2:$C$1577,'Site Level Financials - ''23 ''24'!S$2:S$1577)</f>
        <v>-39.117157404884232</v>
      </c>
      <c r="H26" s="179">
        <f>_xlfn.XLOOKUP($C26,'Site Level Financials - ''23 ''24'!$C$2:$C$1577,'Site Level Financials - ''23 ''24'!T$2:T$1577)</f>
        <v>-38.116145549465777</v>
      </c>
      <c r="I26" s="179">
        <f>_xlfn.XLOOKUP($C26,'Site Level Financials - ''23 ''24'!$C$2:$C$1577,'Site Level Financials - ''23 ''24'!U$2:U$1577)</f>
        <v>-45.756335057857974</v>
      </c>
      <c r="J26" s="179">
        <f>_xlfn.XLOOKUP($C26,'Site Level Financials - ''23 ''24'!$C$2:$C$1577,'Site Level Financials - ''23 ''24'!V$2:V$1577)</f>
        <v>-49.367418568517479</v>
      </c>
      <c r="K26" s="179">
        <f>_xlfn.XLOOKUP($C26,'Site Level Financials - ''23 ''24'!$C$2:$C$1577,'Site Level Financials - ''23 ''24'!W$2:W$1577)</f>
        <v>-53.790407732127697</v>
      </c>
      <c r="L26" s="179">
        <f>_xlfn.XLOOKUP($C26,'Site Level Financials - ''23 ''24'!$C$2:$C$1577,'Site Level Financials - ''23 ''24'!X$2:X$1577)</f>
        <v>-41.751224379109196</v>
      </c>
      <c r="M26" s="179">
        <f>_xlfn.XLOOKUP($C26,'Site Level Financials - ''23 ''24'!$C$2:$C$1577,'Site Level Financials - ''23 ''24'!Y$2:Y$1577)</f>
        <v>-46.102047183473481</v>
      </c>
      <c r="N26" s="179">
        <f>_xlfn.XLOOKUP($C26,'Site Level Financials - ''23 ''24'!$C$2:$C$1577,'Site Level Financials - ''23 ''24'!Z$2:Z$1577)</f>
        <v>-37.265388564005541</v>
      </c>
      <c r="O26" s="179">
        <f>_xlfn.XLOOKUP($C26,'Site Level Financials - ''23 ''24'!$C$2:$C$1577,'Site Level Financials - ''23 ''24'!AA$2:AA$1577)</f>
        <v>-32.315579369665421</v>
      </c>
      <c r="P26" s="179">
        <f>_xlfn.XLOOKUP($C26,'Site Level Financials - ''23 ''24'!$C$2:$C$1577,'Site Level Financials - ''23 ''24'!AB$2:AB$1577)</f>
        <v>-38.052407224160085</v>
      </c>
      <c r="Q26" s="179">
        <f>_xlfn.XLOOKUP($C26,'Site Level Financials - ''23 ''24'!$C$2:$C$1577,'Site Level Financials - ''23 ''24'!AC$2:AC$1577)</f>
        <v>-30.975522739566291</v>
      </c>
      <c r="R26" s="179">
        <f>_xlfn.XLOOKUP($C26,'Site Level Financials - ''23 ''24'!$C$2:$C$1577,'Site Level Financials - ''23 ''24'!AD$2:AD$1577)</f>
        <v>-23.45187404139844</v>
      </c>
      <c r="S26" s="155">
        <f>S27*S17</f>
        <v>-30.883103698813841</v>
      </c>
      <c r="T26" s="154">
        <f t="shared" ref="T26:AD26" si="20">T27*T17</f>
        <v>-32.043210167552616</v>
      </c>
      <c r="U26" s="154">
        <f t="shared" si="20"/>
        <v>-38.349301651398214</v>
      </c>
      <c r="V26" s="154">
        <f t="shared" si="20"/>
        <v>-51.734847761679326</v>
      </c>
      <c r="W26" s="154">
        <f t="shared" si="20"/>
        <v>-63.341518998627436</v>
      </c>
      <c r="X26" s="154">
        <f t="shared" si="20"/>
        <v>-41.483260916234478</v>
      </c>
      <c r="Y26" s="154">
        <f t="shared" si="20"/>
        <v>-43.173402625075624</v>
      </c>
      <c r="Z26" s="154">
        <f t="shared" si="20"/>
        <v>-27.612209943786784</v>
      </c>
      <c r="AA26" s="154">
        <f t="shared" si="20"/>
        <v>-24.374384333647747</v>
      </c>
      <c r="AB26" s="154">
        <f t="shared" si="20"/>
        <v>-28.982567322301414</v>
      </c>
      <c r="AC26" s="154">
        <f t="shared" si="20"/>
        <v>-22.839984798807098</v>
      </c>
      <c r="AD26" s="156">
        <f t="shared" si="20"/>
        <v>-24.294538068798602</v>
      </c>
      <c r="AE26" s="15"/>
      <c r="AF26" s="115">
        <f>_xlfn.XLOOKUP($C26,'Site Level Financials - ''23 ''24'!$C$2:$C$1577,'Site Level Financials - ''23 ''24'!$AF$2:$AF$1577)</f>
        <v>-432.22357420414318</v>
      </c>
      <c r="AG26" s="93">
        <f>SUM(G26:R26)</f>
        <v>-476.06150781423173</v>
      </c>
      <c r="AH26" s="93">
        <f t="shared" ref="AH26" si="21">SUM(S26:AD26)</f>
        <v>-429.11233028672319</v>
      </c>
    </row>
    <row r="27" spans="2:34" x14ac:dyDescent="0.2">
      <c r="B27" s="9">
        <f>G5</f>
        <v>1</v>
      </c>
      <c r="C27" s="9" t="str">
        <f t="shared" si="2"/>
        <v>1 - % of Revenue - Office Supplies</v>
      </c>
      <c r="D27" s="9" t="s">
        <v>56</v>
      </c>
      <c r="F27" s="16" t="str">
        <f>"% of Revenue - "&amp;F26</f>
        <v>% of Revenue - Office Supplies</v>
      </c>
      <c r="G27" s="148">
        <f>G26/G17</f>
        <v>-9.172229146370367E-2</v>
      </c>
      <c r="H27" s="149">
        <f t="shared" ref="H27:R27" si="22">H26/H17</f>
        <v>-9.1907035460895639E-2</v>
      </c>
      <c r="I27" s="149">
        <f t="shared" si="22"/>
        <v>-0.10243565620089727</v>
      </c>
      <c r="J27" s="149">
        <f t="shared" si="22"/>
        <v>-0.12900956108107159</v>
      </c>
      <c r="K27" s="149">
        <f t="shared" si="22"/>
        <v>-0.13289962020636131</v>
      </c>
      <c r="L27" s="149">
        <f t="shared" si="22"/>
        <v>-0.10364749012182126</v>
      </c>
      <c r="M27" s="149">
        <f t="shared" si="22"/>
        <v>-0.10707404684563146</v>
      </c>
      <c r="N27" s="149">
        <f t="shared" si="22"/>
        <v>-7.9861896796549259E-2</v>
      </c>
      <c r="O27" s="149">
        <f t="shared" si="22"/>
        <v>-7.6891788005128969E-2</v>
      </c>
      <c r="P27" s="149">
        <f t="shared" si="22"/>
        <v>-7.9607668327176903E-2</v>
      </c>
      <c r="Q27" s="149">
        <f t="shared" si="22"/>
        <v>-7.936500353485193E-2</v>
      </c>
      <c r="R27" s="149">
        <f t="shared" si="22"/>
        <v>-0.10342811406398282</v>
      </c>
      <c r="S27" s="245">
        <f>_xlfn.XLOOKUP($F27,'Budget Assumption Driver'!$A$33:$A$39,'Budget Assumption Driver'!E$33:E$39)+G27</f>
        <v>-9.172229146370367E-2</v>
      </c>
      <c r="T27" s="246">
        <f>_xlfn.XLOOKUP($F27,'Budget Assumption Driver'!$A$33:$A$39,'Budget Assumption Driver'!F$33:F$39)+H27</f>
        <v>-9.1907035460895639E-2</v>
      </c>
      <c r="U27" s="246">
        <f>_xlfn.XLOOKUP($F27,'Budget Assumption Driver'!$A$33:$A$39,'Budget Assumption Driver'!G$33:G$39)+I27</f>
        <v>-0.10243565620089727</v>
      </c>
      <c r="V27" s="246">
        <f>_xlfn.XLOOKUP($F27,'Budget Assumption Driver'!$A$33:$A$39,'Budget Assumption Driver'!H$33:H$39)+J27</f>
        <v>-0.12900956108107159</v>
      </c>
      <c r="W27" s="246">
        <f>_xlfn.XLOOKUP($F27,'Budget Assumption Driver'!$A$33:$A$39,'Budget Assumption Driver'!I$33:I$39)+K27</f>
        <v>-0.13289962020636131</v>
      </c>
      <c r="X27" s="246">
        <f>_xlfn.XLOOKUP($F27,'Budget Assumption Driver'!$A$33:$A$39,'Budget Assumption Driver'!J$33:J$39)+L27</f>
        <v>-0.10364749012182126</v>
      </c>
      <c r="Y27" s="246">
        <f>_xlfn.XLOOKUP($F27,'Budget Assumption Driver'!$A$33:$A$39,'Budget Assumption Driver'!K$33:K$39)+M27</f>
        <v>-0.10707404684563146</v>
      </c>
      <c r="Z27" s="246">
        <f>_xlfn.XLOOKUP($F27,'Budget Assumption Driver'!$A$33:$A$39,'Budget Assumption Driver'!L$33:L$39)+N27</f>
        <v>-7.9861896796549259E-2</v>
      </c>
      <c r="AA27" s="246">
        <f>_xlfn.XLOOKUP($F27,'Budget Assumption Driver'!$A$33:$A$39,'Budget Assumption Driver'!M$33:M$39)+O27</f>
        <v>-7.6891788005128969E-2</v>
      </c>
      <c r="AB27" s="246">
        <f>_xlfn.XLOOKUP($F27,'Budget Assumption Driver'!$A$33:$A$39,'Budget Assumption Driver'!N$33:N$39)+P27</f>
        <v>-7.9607668327176903E-2</v>
      </c>
      <c r="AC27" s="246">
        <f>_xlfn.XLOOKUP($F27,'Budget Assumption Driver'!$A$33:$A$39,'Budget Assumption Driver'!O$33:O$39)+Q27</f>
        <v>-7.936500353485193E-2</v>
      </c>
      <c r="AD27" s="296">
        <f>_xlfn.XLOOKUP($F27,'Budget Assumption Driver'!$A$33:$A$39,'Budget Assumption Driver'!P$33:P$39)+R27</f>
        <v>-0.10342811406398282</v>
      </c>
      <c r="AE27" s="15"/>
      <c r="AF27" s="232">
        <f>_xlfn.XLOOKUP($C27,'Site Level Financials - ''23 ''24'!$C$2:$C$1577,'Site Level Financials - ''23 ''24'!$AF$2:$AF$1577)</f>
        <v>-7.9389548230378928E-2</v>
      </c>
      <c r="AG27" s="97">
        <f t="shared" ref="AG27" si="23">AG26/AG17</f>
        <v>-9.7342010076552341E-2</v>
      </c>
      <c r="AH27" s="97">
        <f t="shared" ref="AH27" si="24">AH26/AH17</f>
        <v>-0.10001949141210173</v>
      </c>
    </row>
    <row r="28" spans="2:34" ht="6" customHeight="1" x14ac:dyDescent="0.2">
      <c r="B28" s="9">
        <f>G5</f>
        <v>1</v>
      </c>
      <c r="C28" s="9" t="str">
        <f t="shared" si="2"/>
        <v xml:space="preserve">1 - </v>
      </c>
      <c r="D28" s="9" t="s">
        <v>56</v>
      </c>
      <c r="F28" s="16"/>
      <c r="G28" s="80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80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81"/>
      <c r="AE28" s="15"/>
      <c r="AF28" s="11"/>
      <c r="AG28" s="15"/>
      <c r="AH28" s="15"/>
    </row>
    <row r="29" spans="2:34" x14ac:dyDescent="0.2">
      <c r="B29" s="9">
        <f>G5</f>
        <v>1</v>
      </c>
      <c r="C29" s="9" t="str">
        <f t="shared" si="2"/>
        <v>1 - Office Gross Profit</v>
      </c>
      <c r="D29" s="9" t="s">
        <v>56</v>
      </c>
      <c r="F29" s="8" t="s">
        <v>11</v>
      </c>
      <c r="G29" s="241">
        <f>_xlfn.XLOOKUP($C29,'Site Level Financials - ''23 ''24'!$C$2:$C$1577,'Site Level Financials - ''23 ''24'!S$2:S$1577)</f>
        <v>180.02105653362432</v>
      </c>
      <c r="H29" s="242">
        <f>_xlfn.XLOOKUP($C29,'Site Level Financials - ''23 ''24'!$C$2:$C$1577,'Site Level Financials - ''23 ''24'!T$2:T$1577)</f>
        <v>169.20516098043277</v>
      </c>
      <c r="I29" s="242">
        <f>_xlfn.XLOOKUP($C29,'Site Level Financials - ''23 ''24'!$C$2:$C$1577,'Site Level Financials - ''23 ''24'!U$2:U$1577)</f>
        <v>160.79462266059883</v>
      </c>
      <c r="J29" s="242">
        <f>_xlfn.XLOOKUP($C29,'Site Level Financials - ''23 ''24'!$C$2:$C$1577,'Site Level Financials - ''23 ''24'!V$2:V$1577)</f>
        <v>73.760609419743716</v>
      </c>
      <c r="K29" s="242">
        <f>_xlfn.XLOOKUP($C29,'Site Level Financials - ''23 ''24'!$C$2:$C$1577,'Site Level Financials - ''23 ''24'!W$2:W$1577)</f>
        <v>66.780385665054865</v>
      </c>
      <c r="L29" s="242">
        <f>_xlfn.XLOOKUP($C29,'Site Level Financials - ''23 ''24'!$C$2:$C$1577,'Site Level Financials - ''23 ''24'!X$2:X$1577)</f>
        <v>138.05192978594363</v>
      </c>
      <c r="M29" s="242">
        <f>_xlfn.XLOOKUP($C29,'Site Level Financials - ''23 ''24'!$C$2:$C$1577,'Site Level Financials - ''23 ''24'!Y$2:Y$1577)</f>
        <v>138.20145757611382</v>
      </c>
      <c r="N29" s="242">
        <f>_xlfn.XLOOKUP($C29,'Site Level Financials - ''23 ''24'!$C$2:$C$1577,'Site Level Financials - ''23 ''24'!Z$2:Z$1577)</f>
        <v>224.03188847051797</v>
      </c>
      <c r="O29" s="242">
        <f>_xlfn.XLOOKUP($C29,'Site Level Financials - ''23 ''24'!$C$2:$C$1577,'Site Level Financials - ''23 ''24'!AA$2:AA$1577)</f>
        <v>196.12805981024943</v>
      </c>
      <c r="P29" s="242">
        <f>_xlfn.XLOOKUP($C29,'Site Level Financials - ''23 ''24'!$C$2:$C$1577,'Site Level Financials - ''23 ''24'!AB$2:AB$1577)</f>
        <v>202.06652020482406</v>
      </c>
      <c r="Q29" s="242">
        <f>_xlfn.XLOOKUP($C29,'Site Level Financials - ''23 ''24'!$C$2:$C$1577,'Site Level Financials - ''23 ''24'!AC$2:AC$1577)</f>
        <v>175.62691631949897</v>
      </c>
      <c r="R29" s="242">
        <f>_xlfn.XLOOKUP($C29,'Site Level Financials - ''23 ''24'!$C$2:$C$1577,'Site Level Financials - ''23 ''24'!AD$2:AD$1577)</f>
        <v>63.899682834432525</v>
      </c>
      <c r="S29" s="134">
        <f t="shared" ref="S29:AD29" si="25">S17+S20+S23+S26</f>
        <v>142.12712082713273</v>
      </c>
      <c r="T29" s="135">
        <f t="shared" si="25"/>
        <v>142.24619138612169</v>
      </c>
      <c r="U29" s="135">
        <f t="shared" si="25"/>
        <v>134.76519656866776</v>
      </c>
      <c r="V29" s="135">
        <f t="shared" si="25"/>
        <v>77.297821311901856</v>
      </c>
      <c r="W29" s="135">
        <f t="shared" si="25"/>
        <v>78.638018295077558</v>
      </c>
      <c r="X29" s="135">
        <f t="shared" si="25"/>
        <v>137.16589892787641</v>
      </c>
      <c r="Y29" s="135">
        <f t="shared" si="25"/>
        <v>129.42217397766169</v>
      </c>
      <c r="Z29" s="135">
        <f t="shared" si="25"/>
        <v>165.99895444337352</v>
      </c>
      <c r="AA29" s="135">
        <f t="shared" si="25"/>
        <v>147.93176547269698</v>
      </c>
      <c r="AB29" s="135">
        <f t="shared" si="25"/>
        <v>153.90370682517988</v>
      </c>
      <c r="AC29" s="135">
        <f t="shared" si="25"/>
        <v>129.49954493826527</v>
      </c>
      <c r="AD29" s="136">
        <f t="shared" si="25"/>
        <v>66.195702503982375</v>
      </c>
      <c r="AE29" s="15"/>
      <c r="AF29" s="114">
        <f>_xlfn.XLOOKUP($C29,'Site Level Financials - ''23 ''24'!$C$2:$C$1577,'Site Level Financials - ''23 ''24'!$AF$2:$AF$1577)</f>
        <v>2430.8990364664455</v>
      </c>
      <c r="AG29" s="95">
        <f>SUM(G29:R29)</f>
        <v>1788.5682902610349</v>
      </c>
      <c r="AH29" s="95">
        <f t="shared" ref="AH29" si="26">SUM(S29:AD29)</f>
        <v>1505.1920954779378</v>
      </c>
    </row>
    <row r="30" spans="2:34" x14ac:dyDescent="0.2">
      <c r="B30" s="9">
        <f>G5</f>
        <v>1</v>
      </c>
      <c r="C30" s="9" t="str">
        <f t="shared" si="2"/>
        <v>1 - % of Revenue - Office Gross Profit</v>
      </c>
      <c r="D30" s="9" t="s">
        <v>56</v>
      </c>
      <c r="F30" s="16" t="str">
        <f>"% of Revenue - "&amp;F29</f>
        <v>% of Revenue - Office Gross Profit</v>
      </c>
      <c r="G30" s="148">
        <f>G29/G17</f>
        <v>0.42211512575091303</v>
      </c>
      <c r="H30" s="149">
        <f t="shared" ref="H30:AD30" si="27">H29/H17</f>
        <v>0.40799363383197984</v>
      </c>
      <c r="I30" s="149">
        <f t="shared" si="27"/>
        <v>0.35997425635131675</v>
      </c>
      <c r="J30" s="149">
        <f t="shared" si="27"/>
        <v>0.19275514341723976</v>
      </c>
      <c r="K30" s="149">
        <f t="shared" si="27"/>
        <v>0.16499387653496542</v>
      </c>
      <c r="L30" s="149">
        <f t="shared" si="27"/>
        <v>0.34271416566999002</v>
      </c>
      <c r="M30" s="149">
        <f t="shared" si="27"/>
        <v>0.32097900736920043</v>
      </c>
      <c r="N30" s="149">
        <f t="shared" si="27"/>
        <v>0.48011337720090114</v>
      </c>
      <c r="O30" s="149">
        <f t="shared" si="27"/>
        <v>0.46666770303809313</v>
      </c>
      <c r="P30" s="149">
        <f t="shared" si="27"/>
        <v>0.42273395282806536</v>
      </c>
      <c r="Q30" s="149">
        <f t="shared" si="27"/>
        <v>0.44998855876313598</v>
      </c>
      <c r="R30" s="149">
        <f t="shared" si="27"/>
        <v>0.28181217727783409</v>
      </c>
      <c r="S30" s="148">
        <f t="shared" si="27"/>
        <v>0.4221151257509132</v>
      </c>
      <c r="T30" s="149">
        <f t="shared" si="27"/>
        <v>0.40799363383197984</v>
      </c>
      <c r="U30" s="149">
        <f t="shared" si="27"/>
        <v>0.35997425635131663</v>
      </c>
      <c r="V30" s="149">
        <f t="shared" si="27"/>
        <v>0.19275514341723968</v>
      </c>
      <c r="W30" s="149">
        <f t="shared" si="27"/>
        <v>0.16499387653496539</v>
      </c>
      <c r="X30" s="149">
        <f t="shared" si="27"/>
        <v>0.34271416566998997</v>
      </c>
      <c r="Y30" s="149">
        <f t="shared" si="27"/>
        <v>0.32097900736920054</v>
      </c>
      <c r="Z30" s="149">
        <f t="shared" si="27"/>
        <v>0.48011337720090119</v>
      </c>
      <c r="AA30" s="149">
        <f t="shared" si="27"/>
        <v>0.46666770303809302</v>
      </c>
      <c r="AB30" s="149">
        <f t="shared" si="27"/>
        <v>0.42273395282806531</v>
      </c>
      <c r="AC30" s="149">
        <f t="shared" si="27"/>
        <v>0.44998855876313593</v>
      </c>
      <c r="AD30" s="150">
        <f t="shared" si="27"/>
        <v>0.28181217727783414</v>
      </c>
      <c r="AE30" s="15"/>
      <c r="AF30" s="233">
        <f>_xlfn.XLOOKUP($C30,'Site Level Financials - ''23 ''24'!$C$2:$C$1577,'Site Level Financials - ''23 ''24'!$AF$2:$AF$1577)</f>
        <v>0.44650034800643368</v>
      </c>
      <c r="AG30" s="97">
        <f t="shared" ref="AG30" si="28">AG29/AG17</f>
        <v>0.36571499622508841</v>
      </c>
      <c r="AH30" s="97">
        <f t="shared" ref="AH30" si="29">AH29/AH17</f>
        <v>0.35083715204973454</v>
      </c>
    </row>
    <row r="31" spans="2:34" ht="6" customHeight="1" x14ac:dyDescent="0.2">
      <c r="B31" s="9">
        <f>G5</f>
        <v>1</v>
      </c>
      <c r="C31" s="9" t="str">
        <f t="shared" si="2"/>
        <v xml:space="preserve">1 - </v>
      </c>
      <c r="D31" s="9" t="s">
        <v>56</v>
      </c>
      <c r="F31" s="16"/>
      <c r="G31" s="80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80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81"/>
      <c r="AE31" s="15"/>
      <c r="AF31" s="11"/>
      <c r="AG31" s="15"/>
      <c r="AH31" s="15"/>
    </row>
    <row r="32" spans="2:34" x14ac:dyDescent="0.2">
      <c r="B32" s="9">
        <f>G5</f>
        <v>1</v>
      </c>
      <c r="C32" s="9" t="str">
        <f t="shared" si="2"/>
        <v>1 - General and Administrative Expense</v>
      </c>
      <c r="D32" s="9" t="s">
        <v>56</v>
      </c>
      <c r="F32" t="s">
        <v>10</v>
      </c>
      <c r="G32" s="178">
        <f>_xlfn.XLOOKUP($C32,'Site Level Financials - ''23 ''24'!$C$2:$C$1577,'Site Level Financials - ''23 ''24'!S$2:S$1577)</f>
        <v>-26.153611943183805</v>
      </c>
      <c r="H32" s="179">
        <f>_xlfn.XLOOKUP($C32,'Site Level Financials - ''23 ''24'!$C$2:$C$1577,'Site Level Financials - ''23 ''24'!T$2:T$1577)</f>
        <v>-26.879656671745504</v>
      </c>
      <c r="I32" s="179">
        <f>_xlfn.XLOOKUP($C32,'Site Level Financials - ''23 ''24'!$C$2:$C$1577,'Site Level Financials - ''23 ''24'!U$2:U$1577)</f>
        <v>-31.963287776421808</v>
      </c>
      <c r="J32" s="179">
        <f>_xlfn.XLOOKUP($C32,'Site Level Financials - ''23 ''24'!$C$2:$C$1577,'Site Level Financials - ''23 ''24'!V$2:V$1577)</f>
        <v>-33.530066004546001</v>
      </c>
      <c r="K32" s="179">
        <f>_xlfn.XLOOKUP($C32,'Site Level Financials - ''23 ''24'!$C$2:$C$1577,'Site Level Financials - ''23 ''24'!W$2:W$1577)</f>
        <v>-39.912042280936852</v>
      </c>
      <c r="L32" s="179">
        <f>_xlfn.XLOOKUP($C32,'Site Level Financials - ''23 ''24'!$C$2:$C$1577,'Site Level Financials - ''23 ''24'!X$2:X$1577)</f>
        <v>-31.063624222224895</v>
      </c>
      <c r="M32" s="179">
        <f>_xlfn.XLOOKUP($C32,'Site Level Financials - ''23 ''24'!$C$2:$C$1577,'Site Level Financials - ''23 ''24'!Y$2:Y$1577)</f>
        <v>-36.377021911435506</v>
      </c>
      <c r="N32" s="179">
        <f>_xlfn.XLOOKUP($C32,'Site Level Financials - ''23 ''24'!$C$2:$C$1577,'Site Level Financials - ''23 ''24'!Z$2:Z$1577)</f>
        <v>-29.210481069057742</v>
      </c>
      <c r="O32" s="179">
        <f>_xlfn.XLOOKUP($C32,'Site Level Financials - ''23 ''24'!$C$2:$C$1577,'Site Level Financials - ''23 ''24'!AA$2:AA$1577)</f>
        <v>-27.219607396760352</v>
      </c>
      <c r="P32" s="179">
        <f>_xlfn.XLOOKUP($C32,'Site Level Financials - ''23 ''24'!$C$2:$C$1577,'Site Level Financials - ''23 ''24'!AB$2:AB$1577)</f>
        <v>-31.294737432652656</v>
      </c>
      <c r="Q32" s="179">
        <f>_xlfn.XLOOKUP($C32,'Site Level Financials - ''23 ''24'!$C$2:$C$1577,'Site Level Financials - ''23 ''24'!AC$2:AC$1577)</f>
        <v>-24.860211257932018</v>
      </c>
      <c r="R32" s="179">
        <f>_xlfn.XLOOKUP($C32,'Site Level Financials - ''23 ''24'!$C$2:$C$1577,'Site Level Financials - ''23 ''24'!AD$2:AD$1577)</f>
        <v>-17.606031356436798</v>
      </c>
      <c r="S32" s="155">
        <f>S33*S17</f>
        <v>-20.648348789245876</v>
      </c>
      <c r="T32" s="154">
        <f t="shared" ref="T32:AD32" si="30">T33*T17</f>
        <v>-22.596998609070294</v>
      </c>
      <c r="U32" s="154">
        <f t="shared" si="30"/>
        <v>-26.789072227014856</v>
      </c>
      <c r="V32" s="154">
        <f t="shared" si="30"/>
        <v>-35.138010260282883</v>
      </c>
      <c r="W32" s="154">
        <f t="shared" si="30"/>
        <v>-46.998888668062968</v>
      </c>
      <c r="X32" s="154">
        <f t="shared" si="30"/>
        <v>-30.864254827918192</v>
      </c>
      <c r="Y32" s="154">
        <f t="shared" si="30"/>
        <v>-34.066162117126076</v>
      </c>
      <c r="Z32" s="154">
        <f t="shared" si="30"/>
        <v>-21.643835390378566</v>
      </c>
      <c r="AA32" s="154">
        <f t="shared" si="30"/>
        <v>-20.530690924960723</v>
      </c>
      <c r="AB32" s="154">
        <f t="shared" si="30"/>
        <v>-23.835596763500721</v>
      </c>
      <c r="AC32" s="154">
        <f t="shared" si="30"/>
        <v>-18.330823728150285</v>
      </c>
      <c r="AD32" s="156">
        <f t="shared" si="30"/>
        <v>-18.238644735783765</v>
      </c>
      <c r="AE32" s="15"/>
      <c r="AF32" s="115">
        <f>_xlfn.XLOOKUP($C32,'Site Level Financials - ''23 ''24'!$C$2:$C$1577,'Site Level Financials - ''23 ''24'!$AF$2:$AF$1577)</f>
        <v>-334.52873734130083</v>
      </c>
      <c r="AG32" s="93">
        <f>SUM(G32:R32)</f>
        <v>-356.0703793233339</v>
      </c>
      <c r="AH32" s="93">
        <f t="shared" ref="AH32" si="31">SUM(S32:AD32)</f>
        <v>-319.68132704149525</v>
      </c>
    </row>
    <row r="33" spans="2:34" x14ac:dyDescent="0.2">
      <c r="B33" s="9">
        <f>G5</f>
        <v>1</v>
      </c>
      <c r="C33" s="9" t="str">
        <f t="shared" si="2"/>
        <v>1 - % of Revenue - General and Administrative Expense</v>
      </c>
      <c r="D33" s="9" t="s">
        <v>56</v>
      </c>
      <c r="F33" s="16" t="str">
        <f>"% of Revenue - "&amp;F32</f>
        <v>% of Revenue - General and Administrative Expense</v>
      </c>
      <c r="G33" s="148">
        <f>G32/G17</f>
        <v>-6.1325243873210984E-2</v>
      </c>
      <c r="H33" s="149">
        <f t="shared" ref="H33:R33" si="32">H32/H17</f>
        <v>-6.4813205094433765E-2</v>
      </c>
      <c r="I33" s="149">
        <f t="shared" si="32"/>
        <v>-7.1556875208116003E-2</v>
      </c>
      <c r="J33" s="149">
        <f t="shared" si="32"/>
        <v>-8.7622549926570759E-2</v>
      </c>
      <c r="K33" s="149">
        <f t="shared" si="32"/>
        <v>-9.8610430454659226E-2</v>
      </c>
      <c r="L33" s="149">
        <f t="shared" si="32"/>
        <v>-7.7115503379872788E-2</v>
      </c>
      <c r="M33" s="149">
        <f t="shared" si="32"/>
        <v>-8.4487244845081147E-2</v>
      </c>
      <c r="N33" s="149">
        <f t="shared" si="32"/>
        <v>-6.2599761183434702E-2</v>
      </c>
      <c r="O33" s="149">
        <f t="shared" si="32"/>
        <v>-6.4766416767362653E-2</v>
      </c>
      <c r="P33" s="149">
        <f t="shared" si="32"/>
        <v>-6.5470262189955039E-2</v>
      </c>
      <c r="Q33" s="149">
        <f t="shared" si="32"/>
        <v>-6.3696447383685587E-2</v>
      </c>
      <c r="R33" s="149">
        <f t="shared" si="32"/>
        <v>-7.764661434447219E-2</v>
      </c>
      <c r="S33" s="245">
        <f>_xlfn.XLOOKUP($F33,'Budget Assumption Driver'!$A$33:$A$39,'Budget Assumption Driver'!E$33:E$39)+G33</f>
        <v>-6.1325243873210984E-2</v>
      </c>
      <c r="T33" s="246">
        <f>_xlfn.XLOOKUP($F33,'Budget Assumption Driver'!$A$33:$A$39,'Budget Assumption Driver'!F$33:F$39)+H33</f>
        <v>-6.4813205094433765E-2</v>
      </c>
      <c r="U33" s="246">
        <f>_xlfn.XLOOKUP($F33,'Budget Assumption Driver'!$A$33:$A$39,'Budget Assumption Driver'!G$33:G$39)+I33</f>
        <v>-7.1556875208116003E-2</v>
      </c>
      <c r="V33" s="246">
        <f>_xlfn.XLOOKUP($F33,'Budget Assumption Driver'!$A$33:$A$39,'Budget Assumption Driver'!H$33:H$39)+J33</f>
        <v>-8.7622549926570759E-2</v>
      </c>
      <c r="W33" s="246">
        <f>_xlfn.XLOOKUP($F33,'Budget Assumption Driver'!$A$33:$A$39,'Budget Assumption Driver'!I$33:I$39)+K33</f>
        <v>-9.8610430454659226E-2</v>
      </c>
      <c r="X33" s="246">
        <f>_xlfn.XLOOKUP($F33,'Budget Assumption Driver'!$A$33:$A$39,'Budget Assumption Driver'!J$33:J$39)+L33</f>
        <v>-7.7115503379872788E-2</v>
      </c>
      <c r="Y33" s="246">
        <f>_xlfn.XLOOKUP($F33,'Budget Assumption Driver'!$A$33:$A$39,'Budget Assumption Driver'!K$33:K$39)+M33</f>
        <v>-8.4487244845081147E-2</v>
      </c>
      <c r="Z33" s="246">
        <f>_xlfn.XLOOKUP($F33,'Budget Assumption Driver'!$A$33:$A$39,'Budget Assumption Driver'!L$33:L$39)+N33</f>
        <v>-6.2599761183434702E-2</v>
      </c>
      <c r="AA33" s="246">
        <f>_xlfn.XLOOKUP($F33,'Budget Assumption Driver'!$A$33:$A$39,'Budget Assumption Driver'!M$33:M$39)+O33</f>
        <v>-6.4766416767362653E-2</v>
      </c>
      <c r="AB33" s="246">
        <f>_xlfn.XLOOKUP($F33,'Budget Assumption Driver'!$A$33:$A$39,'Budget Assumption Driver'!N$33:N$39)+P33</f>
        <v>-6.5470262189955039E-2</v>
      </c>
      <c r="AC33" s="246">
        <f>_xlfn.XLOOKUP($F33,'Budget Assumption Driver'!$A$33:$A$39,'Budget Assumption Driver'!O$33:O$39)+Q33</f>
        <v>-6.3696447383685587E-2</v>
      </c>
      <c r="AD33" s="296">
        <f>_xlfn.XLOOKUP($F33,'Budget Assumption Driver'!$A$33:$A$39,'Budget Assumption Driver'!P$33:P$39)+R33</f>
        <v>-7.764661434447219E-2</v>
      </c>
      <c r="AE33" s="15"/>
      <c r="AF33" s="232">
        <f>_xlfn.XLOOKUP($C33,'Site Level Financials - ''23 ''24'!$C$2:$C$1577,'Site Level Financials - ''23 ''24'!$AF$2:$AF$1577)</f>
        <v>-6.1445249432557185E-2</v>
      </c>
      <c r="AG33" s="97">
        <f t="shared" ref="AG33" si="33">AG32/AG17</f>
        <v>-7.2806992128376422E-2</v>
      </c>
      <c r="AH33" s="97">
        <f t="shared" ref="AH33" si="34">AH32/AH17</f>
        <v>-7.4512805827023354E-2</v>
      </c>
    </row>
    <row r="34" spans="2:34" ht="3" customHeight="1" x14ac:dyDescent="0.2">
      <c r="B34" s="9">
        <f>G5</f>
        <v>1</v>
      </c>
      <c r="C34" s="9" t="str">
        <f t="shared" si="2"/>
        <v xml:space="preserve">1 - </v>
      </c>
      <c r="D34" s="9" t="s">
        <v>56</v>
      </c>
      <c r="F34" s="16"/>
      <c r="G34" s="84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4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6"/>
      <c r="AE34" s="15"/>
      <c r="AF34" s="36"/>
      <c r="AG34" s="38"/>
      <c r="AH34" s="38"/>
    </row>
    <row r="35" spans="2:34" x14ac:dyDescent="0.2">
      <c r="B35" s="9">
        <f>G5</f>
        <v>1</v>
      </c>
      <c r="C35" s="9" t="str">
        <f t="shared" si="2"/>
        <v>1 - Marketing</v>
      </c>
      <c r="D35" s="9" t="s">
        <v>56</v>
      </c>
      <c r="F35" t="s">
        <v>7</v>
      </c>
      <c r="G35" s="178">
        <f>_xlfn.XLOOKUP($C35,'Site Level Financials - ''23 ''24'!$C$2:$C$1577,'Site Level Financials - ''23 ''24'!S$2:S$1577)</f>
        <v>-22.508831122458947</v>
      </c>
      <c r="H35" s="179">
        <f>_xlfn.XLOOKUP($C35,'Site Level Financials - ''23 ''24'!$C$2:$C$1577,'Site Level Financials - ''23 ''24'!T$2:T$1577)</f>
        <v>-23.552363510093414</v>
      </c>
      <c r="I35" s="179">
        <f>_xlfn.XLOOKUP($C35,'Site Level Financials - ''23 ''24'!$C$2:$C$1577,'Site Level Financials - ''23 ''24'!U$2:U$1577)</f>
        <v>-28.326141023716563</v>
      </c>
      <c r="J35" s="179">
        <f>_xlfn.XLOOKUP($C35,'Site Level Financials - ''23 ''24'!$C$2:$C$1577,'Site Level Financials - ''23 ''24'!V$2:V$1577)</f>
        <v>-30.584046335344393</v>
      </c>
      <c r="K35" s="179">
        <f>_xlfn.XLOOKUP($C35,'Site Level Financials - ''23 ''24'!$C$2:$C$1577,'Site Level Financials - ''23 ''24'!W$2:W$1577)</f>
        <v>-33.584182253814099</v>
      </c>
      <c r="L35" s="179">
        <f>_xlfn.XLOOKUP($C35,'Site Level Financials - ''23 ''24'!$C$2:$C$1577,'Site Level Financials - ''23 ''24'!X$2:X$1577)</f>
        <v>-26.859613520978101</v>
      </c>
      <c r="M35" s="179">
        <f>_xlfn.XLOOKUP($C35,'Site Level Financials - ''23 ''24'!$C$2:$C$1577,'Site Level Financials - ''23 ''24'!Y$2:Y$1577)</f>
        <v>-31.103692010609745</v>
      </c>
      <c r="N35" s="179">
        <f>_xlfn.XLOOKUP($C35,'Site Level Financials - ''23 ''24'!$C$2:$C$1577,'Site Level Financials - ''23 ''24'!Z$2:Z$1577)</f>
        <v>-26.438497470499502</v>
      </c>
      <c r="O35" s="179">
        <f>_xlfn.XLOOKUP($C35,'Site Level Financials - ''23 ''24'!$C$2:$C$1577,'Site Level Financials - ''23 ''24'!AA$2:AA$1577)</f>
        <v>-22.978164470709384</v>
      </c>
      <c r="P35" s="179">
        <f>_xlfn.XLOOKUP($C35,'Site Level Financials - ''23 ''24'!$C$2:$C$1577,'Site Level Financials - ''23 ''24'!AB$2:AB$1577)</f>
        <v>-26.992335827545819</v>
      </c>
      <c r="Q35" s="179">
        <f>_xlfn.XLOOKUP($C35,'Site Level Financials - ''23 ''24'!$C$2:$C$1577,'Site Level Financials - ''23 ''24'!AC$2:AC$1577)</f>
        <v>-22.277109374471486</v>
      </c>
      <c r="R35" s="179">
        <f>_xlfn.XLOOKUP($C35,'Site Level Financials - ''23 ''24'!$C$2:$C$1577,'Site Level Financials - ''23 ''24'!AD$2:AD$1577)</f>
        <v>-16.235661184467684</v>
      </c>
      <c r="S35" s="155">
        <f>S36*S17</f>
        <v>-17.770784275014609</v>
      </c>
      <c r="T35" s="154">
        <f t="shared" ref="T35:AD35" si="35">T36*T17</f>
        <v>-19.799833456851147</v>
      </c>
      <c r="U35" s="154">
        <f t="shared" si="35"/>
        <v>-23.740706622699637</v>
      </c>
      <c r="V35" s="154">
        <f t="shared" si="35"/>
        <v>-32.050713344453172</v>
      </c>
      <c r="W35" s="154">
        <f t="shared" si="35"/>
        <v>-39.547443642312523</v>
      </c>
      <c r="X35" s="154">
        <f t="shared" si="35"/>
        <v>-26.687225880673136</v>
      </c>
      <c r="Y35" s="154">
        <f t="shared" si="35"/>
        <v>-29.127821872122507</v>
      </c>
      <c r="Z35" s="154">
        <f t="shared" si="35"/>
        <v>-19.589902879983278</v>
      </c>
      <c r="AA35" s="154">
        <f t="shared" si="35"/>
        <v>-17.331535532257387</v>
      </c>
      <c r="AB35" s="154">
        <f t="shared" si="35"/>
        <v>-20.558678080458357</v>
      </c>
      <c r="AC35" s="154">
        <f t="shared" si="35"/>
        <v>-16.426158284792066</v>
      </c>
      <c r="AD35" s="156">
        <f t="shared" si="35"/>
        <v>-16.819034931787716</v>
      </c>
      <c r="AE35" s="15"/>
      <c r="AF35" s="115">
        <f>_xlfn.XLOOKUP($C35,'Site Level Financials - ''23 ''24'!$C$2:$C$1577,'Site Level Financials - ''23 ''24'!$AF$2:$AF$1577)</f>
        <v>-282.45252925373359</v>
      </c>
      <c r="AG35" s="93">
        <f>SUM(G35:R35)</f>
        <v>-311.44063810470914</v>
      </c>
      <c r="AH35" s="93">
        <f t="shared" ref="AH35" si="36">SUM(S35:AD35)</f>
        <v>-279.4498388034055</v>
      </c>
    </row>
    <row r="36" spans="2:34" x14ac:dyDescent="0.2">
      <c r="B36" s="9">
        <f>G5</f>
        <v>1</v>
      </c>
      <c r="C36" s="9" t="str">
        <f t="shared" si="2"/>
        <v>1 - % of Revenue - Marketing</v>
      </c>
      <c r="D36" s="9" t="s">
        <v>56</v>
      </c>
      <c r="F36" s="16" t="str">
        <f>"% of Revenue - "&amp;F35</f>
        <v>% of Revenue - Marketing</v>
      </c>
      <c r="G36" s="148">
        <f>G35/G17</f>
        <v>-5.2778926325144457E-2</v>
      </c>
      <c r="H36" s="149">
        <f t="shared" ref="H36:R36" si="37">H35/H17</f>
        <v>-5.6790314894271846E-2</v>
      </c>
      <c r="I36" s="149">
        <f t="shared" si="37"/>
        <v>-6.3414319344732004E-2</v>
      </c>
      <c r="J36" s="149">
        <f t="shared" si="37"/>
        <v>-7.9923854805771438E-2</v>
      </c>
      <c r="K36" s="149">
        <f t="shared" si="37"/>
        <v>-8.2976226703841804E-2</v>
      </c>
      <c r="L36" s="149">
        <f t="shared" si="37"/>
        <v>-6.6679039201650178E-2</v>
      </c>
      <c r="M36" s="149">
        <f t="shared" si="37"/>
        <v>-7.2239702548610285E-2</v>
      </c>
      <c r="N36" s="149">
        <f t="shared" si="37"/>
        <v>-5.6659238983067482E-2</v>
      </c>
      <c r="O36" s="149">
        <f t="shared" si="37"/>
        <v>-5.4674314547097203E-2</v>
      </c>
      <c r="P36" s="149">
        <f t="shared" si="37"/>
        <v>-5.6469408236825974E-2</v>
      </c>
      <c r="Q36" s="149">
        <f t="shared" si="37"/>
        <v>-5.7078063834992053E-2</v>
      </c>
      <c r="R36" s="149">
        <f t="shared" si="37"/>
        <v>-7.160296929478005E-2</v>
      </c>
      <c r="S36" s="245">
        <f>_xlfn.XLOOKUP($F36,'Budget Assumption Driver'!$A$33:$A$39,'Budget Assumption Driver'!E$33:E$39)+G36</f>
        <v>-5.2778926325144457E-2</v>
      </c>
      <c r="T36" s="246">
        <f>_xlfn.XLOOKUP($F36,'Budget Assumption Driver'!$A$33:$A$39,'Budget Assumption Driver'!F$33:F$39)+H36</f>
        <v>-5.6790314894271846E-2</v>
      </c>
      <c r="U36" s="246">
        <f>_xlfn.XLOOKUP($F36,'Budget Assumption Driver'!$A$33:$A$39,'Budget Assumption Driver'!G$33:G$39)+I36</f>
        <v>-6.3414319344732004E-2</v>
      </c>
      <c r="V36" s="246">
        <f>_xlfn.XLOOKUP($F36,'Budget Assumption Driver'!$A$33:$A$39,'Budget Assumption Driver'!H$33:H$39)+J36</f>
        <v>-7.9923854805771438E-2</v>
      </c>
      <c r="W36" s="246">
        <f>_xlfn.XLOOKUP($F36,'Budget Assumption Driver'!$A$33:$A$39,'Budget Assumption Driver'!I$33:I$39)+K36</f>
        <v>-8.2976226703841804E-2</v>
      </c>
      <c r="X36" s="246">
        <f>_xlfn.XLOOKUP($F36,'Budget Assumption Driver'!$A$33:$A$39,'Budget Assumption Driver'!J$33:J$39)+L36</f>
        <v>-6.6679039201650178E-2</v>
      </c>
      <c r="Y36" s="246">
        <f>_xlfn.XLOOKUP($F36,'Budget Assumption Driver'!$A$33:$A$39,'Budget Assumption Driver'!K$33:K$39)+M36</f>
        <v>-7.2239702548610285E-2</v>
      </c>
      <c r="Z36" s="246">
        <f>_xlfn.XLOOKUP($F36,'Budget Assumption Driver'!$A$33:$A$39,'Budget Assumption Driver'!L$33:L$39)+N36</f>
        <v>-5.6659238983067482E-2</v>
      </c>
      <c r="AA36" s="246">
        <f>_xlfn.XLOOKUP($F36,'Budget Assumption Driver'!$A$33:$A$39,'Budget Assumption Driver'!M$33:M$39)+O36</f>
        <v>-5.4674314547097203E-2</v>
      </c>
      <c r="AB36" s="246">
        <f>_xlfn.XLOOKUP($F36,'Budget Assumption Driver'!$A$33:$A$39,'Budget Assumption Driver'!N$33:N$39)+P36</f>
        <v>-5.6469408236825974E-2</v>
      </c>
      <c r="AC36" s="246">
        <f>_xlfn.XLOOKUP($F36,'Budget Assumption Driver'!$A$33:$A$39,'Budget Assumption Driver'!O$33:O$39)+Q36</f>
        <v>-5.7078063834992053E-2</v>
      </c>
      <c r="AD36" s="296">
        <f>_xlfn.XLOOKUP($F36,'Budget Assumption Driver'!$A$33:$A$39,'Budget Assumption Driver'!P$33:P$39)+R36</f>
        <v>-7.160296929478005E-2</v>
      </c>
      <c r="AE36" s="15"/>
      <c r="AF36" s="232">
        <f>_xlfn.XLOOKUP($C36,'Site Level Financials - ''23 ''24'!$C$2:$C$1577,'Site Level Financials - ''23 ''24'!$AF$2:$AF$1577)</f>
        <v>-5.1880045495600019E-2</v>
      </c>
      <c r="AG36" s="97">
        <f t="shared" ref="AG36" si="38">AG35/AG17</f>
        <v>-6.3681388297552655E-2</v>
      </c>
      <c r="AH36" s="97">
        <f t="shared" ref="AH36" si="39">AH35/AH17</f>
        <v>-6.5135464025549164E-2</v>
      </c>
    </row>
    <row r="37" spans="2:34" ht="3" customHeight="1" x14ac:dyDescent="0.2">
      <c r="B37" s="9">
        <f>G5</f>
        <v>1</v>
      </c>
      <c r="C37" s="9" t="str">
        <f t="shared" si="2"/>
        <v xml:space="preserve">1 - </v>
      </c>
      <c r="D37" s="9" t="s">
        <v>56</v>
      </c>
      <c r="F37" s="16"/>
      <c r="G37" s="84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4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6"/>
      <c r="AE37" s="15"/>
      <c r="AF37" s="36"/>
      <c r="AG37" s="38"/>
      <c r="AH37" s="38"/>
    </row>
    <row r="38" spans="2:34" x14ac:dyDescent="0.2">
      <c r="B38" s="9">
        <f>G5</f>
        <v>1</v>
      </c>
      <c r="C38" s="9" t="str">
        <f t="shared" si="2"/>
        <v>1 - Office Rent</v>
      </c>
      <c r="D38" s="9" t="s">
        <v>56</v>
      </c>
      <c r="F38" t="s">
        <v>162</v>
      </c>
      <c r="G38" s="178">
        <f>_xlfn.XLOOKUP($C38,'Site Level Financials - ''23 ''24'!$C$2:$C$1577,'Site Level Financials - ''23 ''24'!S$2:S$1577)</f>
        <v>-31.991039689572641</v>
      </c>
      <c r="H38" s="179">
        <f>_xlfn.XLOOKUP($C38,'Site Level Financials - ''23 ''24'!$C$2:$C$1577,'Site Level Financials - ''23 ''24'!T$2:T$1577)</f>
        <v>-31.991039689572641</v>
      </c>
      <c r="I38" s="179">
        <f>_xlfn.XLOOKUP($C38,'Site Level Financials - ''23 ''24'!$C$2:$C$1577,'Site Level Financials - ''23 ''24'!U$2:U$1577)</f>
        <v>-31.991039689572641</v>
      </c>
      <c r="J38" s="179">
        <f>_xlfn.XLOOKUP($C38,'Site Level Financials - ''23 ''24'!$C$2:$C$1577,'Site Level Financials - ''23 ''24'!V$2:V$1577)</f>
        <v>-31.991039689572641</v>
      </c>
      <c r="K38" s="179">
        <f>_xlfn.XLOOKUP($C38,'Site Level Financials - ''23 ''24'!$C$2:$C$1577,'Site Level Financials - ''23 ''24'!W$2:W$1577)</f>
        <v>-31.991039689572641</v>
      </c>
      <c r="L38" s="179">
        <f>_xlfn.XLOOKUP($C38,'Site Level Financials - ''23 ''24'!$C$2:$C$1577,'Site Level Financials - ''23 ''24'!X$2:X$1577)</f>
        <v>-31.991039689572641</v>
      </c>
      <c r="M38" s="179">
        <f>_xlfn.XLOOKUP($C38,'Site Level Financials - ''23 ''24'!$C$2:$C$1577,'Site Level Financials - ''23 ''24'!Y$2:Y$1577)</f>
        <v>-31.991039689572641</v>
      </c>
      <c r="N38" s="179">
        <f>_xlfn.XLOOKUP($C38,'Site Level Financials - ''23 ''24'!$C$2:$C$1577,'Site Level Financials - ''23 ''24'!Z$2:Z$1577)</f>
        <v>-31.991039689572641</v>
      </c>
      <c r="O38" s="179">
        <f>_xlfn.XLOOKUP($C38,'Site Level Financials - ''23 ''24'!$C$2:$C$1577,'Site Level Financials - ''23 ''24'!AA$2:AA$1577)</f>
        <v>-31.991039689572641</v>
      </c>
      <c r="P38" s="179">
        <f>_xlfn.XLOOKUP($C38,'Site Level Financials - ''23 ''24'!$C$2:$C$1577,'Site Level Financials - ''23 ''24'!AB$2:AB$1577)</f>
        <v>-32.950770880259824</v>
      </c>
      <c r="Q38" s="179">
        <f>_xlfn.XLOOKUP($C38,'Site Level Financials - ''23 ''24'!$C$2:$C$1577,'Site Level Financials - ''23 ''24'!AC$2:AC$1577)</f>
        <v>-32.950770880259824</v>
      </c>
      <c r="R38" s="179">
        <f>_xlfn.XLOOKUP($C38,'Site Level Financials - ''23 ''24'!$C$2:$C$1577,'Site Level Financials - ''23 ''24'!AD$2:AD$1577)</f>
        <v>-32.950770880259824</v>
      </c>
      <c r="S38" s="155">
        <f>G38*(1+S39)</f>
        <v>-32.950770880259824</v>
      </c>
      <c r="T38" s="154">
        <f t="shared" ref="T38:AD38" si="40">H38*(1+T39)</f>
        <v>-32.950770880259824</v>
      </c>
      <c r="U38" s="154">
        <f t="shared" si="40"/>
        <v>-32.950770880259824</v>
      </c>
      <c r="V38" s="154">
        <f t="shared" si="40"/>
        <v>-32.950770880259824</v>
      </c>
      <c r="W38" s="154">
        <f t="shared" si="40"/>
        <v>-32.950770880259824</v>
      </c>
      <c r="X38" s="154">
        <f t="shared" si="40"/>
        <v>-32.950770880259824</v>
      </c>
      <c r="Y38" s="154">
        <f t="shared" si="40"/>
        <v>-32.950770880259824</v>
      </c>
      <c r="Z38" s="154">
        <f t="shared" si="40"/>
        <v>-32.950770880259824</v>
      </c>
      <c r="AA38" s="154">
        <f t="shared" si="40"/>
        <v>-32.950770880259824</v>
      </c>
      <c r="AB38" s="154">
        <f t="shared" si="40"/>
        <v>-33.939294006667623</v>
      </c>
      <c r="AC38" s="154">
        <f t="shared" si="40"/>
        <v>-33.939294006667623</v>
      </c>
      <c r="AD38" s="156">
        <f t="shared" si="40"/>
        <v>-33.939294006667623</v>
      </c>
      <c r="AE38" s="15"/>
      <c r="AF38" s="115">
        <f>_xlfn.XLOOKUP($C38,'Site Level Financials - ''23 ''24'!$C$2:$C$1577,'Site Level Financials - ''23 ''24'!$AF$2:$AF$1577)</f>
        <v>-375.50856520660983</v>
      </c>
      <c r="AG38" s="93">
        <f>SUM(G38:R38)</f>
        <v>-386.77166984693321</v>
      </c>
      <c r="AH38" s="93">
        <f t="shared" ref="AH38" si="41">SUM(S38:AD38)</f>
        <v>-398.37481994234133</v>
      </c>
    </row>
    <row r="39" spans="2:34" x14ac:dyDescent="0.2">
      <c r="B39" s="9">
        <f>G5</f>
        <v>1</v>
      </c>
      <c r="C39" s="9" t="str">
        <f t="shared" si="2"/>
        <v>1 - % YoY Growth</v>
      </c>
      <c r="D39" s="9" t="s">
        <v>56</v>
      </c>
      <c r="F39" s="16" t="s">
        <v>8</v>
      </c>
      <c r="G39" s="245">
        <f>_xlfn.XLOOKUP($C39,'Site Level Financials - ''23 ''24'!$C$2:$C$1577,'Site Level Financials - ''23 ''24'!S$2:S$1577)</f>
        <v>2.9994268264230461E-2</v>
      </c>
      <c r="H39" s="246">
        <f>_xlfn.XLOOKUP($C39,'Site Level Financials - ''23 ''24'!$C$2:$C$1577,'Site Level Financials - ''23 ''24'!T$2:T$1577)</f>
        <v>2.9994268264230461E-2</v>
      </c>
      <c r="I39" s="246">
        <f>_xlfn.XLOOKUP($C39,'Site Level Financials - ''23 ''24'!$C$2:$C$1577,'Site Level Financials - ''23 ''24'!U$2:U$1577)</f>
        <v>2.9994268264230461E-2</v>
      </c>
      <c r="J39" s="246">
        <f>_xlfn.XLOOKUP($C39,'Site Level Financials - ''23 ''24'!$C$2:$C$1577,'Site Level Financials - ''23 ''24'!V$2:V$1577)</f>
        <v>2.9994268264230461E-2</v>
      </c>
      <c r="K39" s="246">
        <f>_xlfn.XLOOKUP($C39,'Site Level Financials - ''23 ''24'!$C$2:$C$1577,'Site Level Financials - ''23 ''24'!W$2:W$1577)</f>
        <v>2.9994268264230461E-2</v>
      </c>
      <c r="L39" s="246">
        <f>_xlfn.XLOOKUP($C39,'Site Level Financials - ''23 ''24'!$C$2:$C$1577,'Site Level Financials - ''23 ''24'!X$2:X$1577)</f>
        <v>2.9994268264230461E-2</v>
      </c>
      <c r="M39" s="246">
        <f>_xlfn.XLOOKUP($C39,'Site Level Financials - ''23 ''24'!$C$2:$C$1577,'Site Level Financials - ''23 ''24'!Y$2:Y$1577)</f>
        <v>2.9994268264230461E-2</v>
      </c>
      <c r="N39" s="246">
        <f>_xlfn.XLOOKUP($C39,'Site Level Financials - ''23 ''24'!$C$2:$C$1577,'Site Level Financials - ''23 ''24'!Z$2:Z$1577)</f>
        <v>2.9994268264230461E-2</v>
      </c>
      <c r="O39" s="246">
        <f>_xlfn.XLOOKUP($C39,'Site Level Financials - ''23 ''24'!$C$2:$C$1577,'Site Level Financials - ''23 ''24'!AA$2:AA$1577)</f>
        <v>2.9994268264230461E-2</v>
      </c>
      <c r="P39" s="246">
        <f>_xlfn.XLOOKUP($C39,'Site Level Financials - ''23 ''24'!$C$2:$C$1577,'Site Level Financials - ''23 ''24'!AB$2:AB$1577)</f>
        <v>2.9994268264230683E-2</v>
      </c>
      <c r="Q39" s="246">
        <f>_xlfn.XLOOKUP($C39,'Site Level Financials - ''23 ''24'!$C$2:$C$1577,'Site Level Financials - ''23 ''24'!AC$2:AC$1577)</f>
        <v>2.9994268264230683E-2</v>
      </c>
      <c r="R39" s="246">
        <f>_xlfn.XLOOKUP($C39,'Site Level Financials - ''23 ''24'!$C$2:$C$1577,'Site Level Financials - ''23 ''24'!AD$2:AD$1577)</f>
        <v>2.9994268264230683E-2</v>
      </c>
      <c r="S39" s="245">
        <f>_xlfn.XLOOKUP($F39,'Budget Assumption Driver'!$A$33:$A$39,'Budget Assumption Driver'!E$33:E$39)</f>
        <v>0.03</v>
      </c>
      <c r="T39" s="246">
        <f>_xlfn.XLOOKUP($F39,'Budget Assumption Driver'!$A$33:$A$39,'Budget Assumption Driver'!F$33:F$39)</f>
        <v>0.03</v>
      </c>
      <c r="U39" s="246">
        <f>_xlfn.XLOOKUP($F39,'Budget Assumption Driver'!$A$33:$A$39,'Budget Assumption Driver'!G$33:G$39)</f>
        <v>0.03</v>
      </c>
      <c r="V39" s="246">
        <f>_xlfn.XLOOKUP($F39,'Budget Assumption Driver'!$A$33:$A$39,'Budget Assumption Driver'!H$33:H$39)</f>
        <v>0.03</v>
      </c>
      <c r="W39" s="246">
        <f>_xlfn.XLOOKUP($F39,'Budget Assumption Driver'!$A$33:$A$39,'Budget Assumption Driver'!I$33:I$39)</f>
        <v>0.03</v>
      </c>
      <c r="X39" s="246">
        <f>_xlfn.XLOOKUP($F39,'Budget Assumption Driver'!$A$33:$A$39,'Budget Assumption Driver'!J$33:J$39)</f>
        <v>0.03</v>
      </c>
      <c r="Y39" s="246">
        <f>_xlfn.XLOOKUP($F39,'Budget Assumption Driver'!$A$33:$A$39,'Budget Assumption Driver'!K$33:K$39)</f>
        <v>0.03</v>
      </c>
      <c r="Z39" s="246">
        <f>_xlfn.XLOOKUP($F39,'Budget Assumption Driver'!$A$33:$A$39,'Budget Assumption Driver'!L$33:L$39)</f>
        <v>0.03</v>
      </c>
      <c r="AA39" s="246">
        <f>_xlfn.XLOOKUP($F39,'Budget Assumption Driver'!$A$33:$A$39,'Budget Assumption Driver'!M$33:M$39)</f>
        <v>0.03</v>
      </c>
      <c r="AB39" s="246">
        <f>_xlfn.XLOOKUP($F39,'Budget Assumption Driver'!$A$33:$A$39,'Budget Assumption Driver'!N$33:N$39)</f>
        <v>0.03</v>
      </c>
      <c r="AC39" s="246">
        <f>_xlfn.XLOOKUP($F39,'Budget Assumption Driver'!$A$33:$A$39,'Budget Assumption Driver'!O$33:O$39)</f>
        <v>0.03</v>
      </c>
      <c r="AD39" s="296">
        <f>_xlfn.XLOOKUP($F39,'Budget Assumption Driver'!$A$33:$A$39,'Budget Assumption Driver'!P$33:P$39)</f>
        <v>0.03</v>
      </c>
      <c r="AE39" s="15"/>
      <c r="AF39" s="11"/>
      <c r="AG39" s="97">
        <f>AG38/AF38-1</f>
        <v>2.9994268264230683E-2</v>
      </c>
      <c r="AH39" s="97">
        <f>AH38/AG38-1</f>
        <v>3.0000000000000249E-2</v>
      </c>
    </row>
    <row r="40" spans="2:34" ht="6" customHeight="1" x14ac:dyDescent="0.2">
      <c r="B40" s="9">
        <f>G5</f>
        <v>1</v>
      </c>
      <c r="C40" s="9" t="str">
        <f t="shared" si="2"/>
        <v xml:space="preserve">1 - </v>
      </c>
      <c r="D40" s="9" t="s">
        <v>56</v>
      </c>
      <c r="F40" s="16"/>
      <c r="G40" s="80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80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81"/>
      <c r="AE40" s="15"/>
      <c r="AF40" s="11"/>
      <c r="AG40" s="15"/>
      <c r="AH40" s="15"/>
    </row>
    <row r="41" spans="2:34" x14ac:dyDescent="0.2">
      <c r="B41" s="9">
        <f>G5</f>
        <v>1</v>
      </c>
      <c r="C41" s="9" t="str">
        <f t="shared" si="2"/>
        <v>1 - Office EBITDA</v>
      </c>
      <c r="D41" s="9" t="s">
        <v>56</v>
      </c>
      <c r="F41" s="8" t="s">
        <v>12</v>
      </c>
      <c r="G41" s="241">
        <f>_xlfn.XLOOKUP($C41,'Site Level Financials - ''23 ''24'!$C$2:$C$1577,'Site Level Financials - ''23 ''24'!S$2:S$1577)</f>
        <v>99.367573778408925</v>
      </c>
      <c r="H41" s="242">
        <f>_xlfn.XLOOKUP($C41,'Site Level Financials - ''23 ''24'!$C$2:$C$1577,'Site Level Financials - ''23 ''24'!T$2:T$1577)</f>
        <v>86.782101109021212</v>
      </c>
      <c r="I41" s="242">
        <f>_xlfn.XLOOKUP($C41,'Site Level Financials - ''23 ''24'!$C$2:$C$1577,'Site Level Financials - ''23 ''24'!U$2:U$1577)</f>
        <v>68.514154170887807</v>
      </c>
      <c r="J41" s="242">
        <f>_xlfn.XLOOKUP($C41,'Site Level Financials - ''23 ''24'!$C$2:$C$1577,'Site Level Financials - ''23 ''24'!V$2:V$1577)</f>
        <v>-22.344542609719319</v>
      </c>
      <c r="K41" s="242">
        <f>_xlfn.XLOOKUP($C41,'Site Level Financials - ''23 ''24'!$C$2:$C$1577,'Site Level Financials - ''23 ''24'!W$2:W$1577)</f>
        <v>-38.706878559268731</v>
      </c>
      <c r="L41" s="242">
        <f>_xlfn.XLOOKUP($C41,'Site Level Financials - ''23 ''24'!$C$2:$C$1577,'Site Level Financials - ''23 ''24'!X$2:X$1577)</f>
        <v>48.137652353167994</v>
      </c>
      <c r="M41" s="242">
        <f>_xlfn.XLOOKUP($C41,'Site Level Financials - ''23 ''24'!$C$2:$C$1577,'Site Level Financials - ''23 ''24'!Y$2:Y$1577)</f>
        <v>38.729703964495926</v>
      </c>
      <c r="N41" s="242">
        <f>_xlfn.XLOOKUP($C41,'Site Level Financials - ''23 ''24'!$C$2:$C$1577,'Site Level Financials - ''23 ''24'!Z$2:Z$1577)</f>
        <v>136.39187024138809</v>
      </c>
      <c r="O41" s="242">
        <f>_xlfn.XLOOKUP($C41,'Site Level Financials - ''23 ''24'!$C$2:$C$1577,'Site Level Financials - ''23 ''24'!AA$2:AA$1577)</f>
        <v>113.93924825320705</v>
      </c>
      <c r="P41" s="242">
        <f>_xlfn.XLOOKUP($C41,'Site Level Financials - ''23 ''24'!$C$2:$C$1577,'Site Level Financials - ''23 ''24'!AB$2:AB$1577)</f>
        <v>110.82867606436577</v>
      </c>
      <c r="Q41" s="242">
        <f>_xlfn.XLOOKUP($C41,'Site Level Financials - ''23 ''24'!$C$2:$C$1577,'Site Level Financials - ''23 ''24'!AC$2:AC$1577)</f>
        <v>95.538824806835663</v>
      </c>
      <c r="R41" s="242">
        <f>_xlfn.XLOOKUP($C41,'Site Level Financials - ''23 ''24'!$C$2:$C$1577,'Site Level Financials - ''23 ''24'!AD$2:AD$1577)</f>
        <v>-2.8927805867317851</v>
      </c>
      <c r="S41" s="134">
        <f t="shared" ref="S41:AD41" si="42">S29+S32+S35+S38</f>
        <v>70.757216882612425</v>
      </c>
      <c r="T41" s="135">
        <f t="shared" si="42"/>
        <v>66.898588439940426</v>
      </c>
      <c r="U41" s="135">
        <f t="shared" si="42"/>
        <v>51.284646838693448</v>
      </c>
      <c r="V41" s="135">
        <f t="shared" si="42"/>
        <v>-22.841673173094023</v>
      </c>
      <c r="W41" s="135">
        <f t="shared" si="42"/>
        <v>-40.859084895557757</v>
      </c>
      <c r="X41" s="135">
        <f t="shared" si="42"/>
        <v>46.66364733902526</v>
      </c>
      <c r="Y41" s="135">
        <f t="shared" si="42"/>
        <v>33.277419108153268</v>
      </c>
      <c r="Z41" s="135">
        <f t="shared" si="42"/>
        <v>91.814445292751856</v>
      </c>
      <c r="AA41" s="135">
        <f t="shared" si="42"/>
        <v>77.118768135219042</v>
      </c>
      <c r="AB41" s="135">
        <f t="shared" si="42"/>
        <v>75.570137974553191</v>
      </c>
      <c r="AC41" s="135">
        <f t="shared" si="42"/>
        <v>60.803268918655306</v>
      </c>
      <c r="AD41" s="136">
        <f t="shared" si="42"/>
        <v>-2.8012711702567294</v>
      </c>
      <c r="AE41" s="15"/>
      <c r="AF41" s="113">
        <f>_xlfn.XLOOKUP($C41,'Site Level Financials - ''23 ''24'!$C$2:$C$1577,'Site Level Financials - ''23 ''24'!$AF$2:$AF$1577)</f>
        <v>1438.4092046648013</v>
      </c>
      <c r="AG41" s="95">
        <f>SUM(G41:R41)</f>
        <v>734.28560298605862</v>
      </c>
      <c r="AH41" s="95">
        <f t="shared" ref="AH41" si="43">SUM(S41:AD41)</f>
        <v>507.68610969069573</v>
      </c>
    </row>
    <row r="42" spans="2:34" x14ac:dyDescent="0.2">
      <c r="B42" s="9">
        <f>G5</f>
        <v>1</v>
      </c>
      <c r="C42" s="9" t="str">
        <f t="shared" si="2"/>
        <v>1 - % of Revenue - Office EBITDA</v>
      </c>
      <c r="D42" s="9" t="s">
        <v>56</v>
      </c>
      <c r="F42" s="16" t="str">
        <f>"% of Revenue - "&amp;F41</f>
        <v>% of Revenue - Office EBITDA</v>
      </c>
      <c r="G42" s="148">
        <f>G41/G17</f>
        <v>0.23299805427595527</v>
      </c>
      <c r="H42" s="149">
        <f t="shared" ref="H42:AD42" si="44">H41/H17</f>
        <v>0.20925215624562621</v>
      </c>
      <c r="I42" s="149">
        <f t="shared" si="44"/>
        <v>0.15338405780685546</v>
      </c>
      <c r="J42" s="149">
        <f t="shared" si="44"/>
        <v>-5.8391945907325951E-2</v>
      </c>
      <c r="K42" s="149">
        <f t="shared" si="44"/>
        <v>-9.5632840069143049E-2</v>
      </c>
      <c r="L42" s="149">
        <f t="shared" si="44"/>
        <v>0.11950180913159363</v>
      </c>
      <c r="M42" s="149">
        <f t="shared" si="44"/>
        <v>8.9951453134134565E-2</v>
      </c>
      <c r="N42" s="149">
        <f t="shared" si="44"/>
        <v>0.29229571687941824</v>
      </c>
      <c r="O42" s="149">
        <f t="shared" si="44"/>
        <v>0.27110739442206278</v>
      </c>
      <c r="P42" s="149">
        <f t="shared" si="44"/>
        <v>0.23185950978865835</v>
      </c>
      <c r="Q42" s="149">
        <f t="shared" si="44"/>
        <v>0.24478809388500666</v>
      </c>
      <c r="R42" s="149">
        <f t="shared" si="44"/>
        <v>-1.2757822251578541E-2</v>
      </c>
      <c r="S42" s="148">
        <f t="shared" si="44"/>
        <v>0.21014772781133198</v>
      </c>
      <c r="T42" s="149">
        <f t="shared" si="44"/>
        <v>0.19187999291842089</v>
      </c>
      <c r="U42" s="149">
        <f t="shared" si="44"/>
        <v>0.13698753890506105</v>
      </c>
      <c r="V42" s="149">
        <f t="shared" si="44"/>
        <v>-5.6959561261159759E-2</v>
      </c>
      <c r="W42" s="149">
        <f t="shared" si="44"/>
        <v>-8.5728238767320497E-2</v>
      </c>
      <c r="X42" s="149">
        <f t="shared" si="44"/>
        <v>0.11659088075033608</v>
      </c>
      <c r="Y42" s="149">
        <f t="shared" si="44"/>
        <v>8.2531088953794796E-2</v>
      </c>
      <c r="Z42" s="149">
        <f t="shared" si="44"/>
        <v>0.26555193406575189</v>
      </c>
      <c r="AA42" s="149">
        <f t="shared" si="44"/>
        <v>0.24327998974251563</v>
      </c>
      <c r="AB42" s="149">
        <f t="shared" si="44"/>
        <v>0.20757175899624608</v>
      </c>
      <c r="AC42" s="149">
        <f t="shared" si="44"/>
        <v>0.2112808609623798</v>
      </c>
      <c r="AD42" s="150">
        <f t="shared" si="44"/>
        <v>-1.1925733813130583E-2</v>
      </c>
      <c r="AE42" s="15"/>
      <c r="AF42" s="232">
        <f>_xlfn.XLOOKUP($C42,'Site Level Financials - ''23 ''24'!$C$2:$C$1577,'Site Level Financials - ''23 ''24'!$AF$2:$AF$1577)</f>
        <v>0.26420275002127036</v>
      </c>
      <c r="AG42" s="97">
        <f t="shared" ref="AG42" si="45">AG41/AG17</f>
        <v>0.15014202028874776</v>
      </c>
      <c r="AH42" s="97">
        <f t="shared" ref="AH42" si="46">AH41/AH17</f>
        <v>0.11833383220268415</v>
      </c>
    </row>
    <row r="43" spans="2:34" ht="6" customHeight="1" x14ac:dyDescent="0.2">
      <c r="B43" s="9">
        <f>G5</f>
        <v>1</v>
      </c>
      <c r="C43" s="9" t="str">
        <f t="shared" si="2"/>
        <v xml:space="preserve">1 - </v>
      </c>
      <c r="D43" s="9" t="s">
        <v>56</v>
      </c>
      <c r="G43" s="80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80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81"/>
      <c r="AE43" s="15"/>
      <c r="AF43" s="11"/>
      <c r="AG43" s="15"/>
      <c r="AH43" s="15"/>
    </row>
    <row r="44" spans="2:34" x14ac:dyDescent="0.2">
      <c r="B44" s="9">
        <f>G5</f>
        <v>1</v>
      </c>
      <c r="C44" s="9" t="str">
        <f t="shared" si="2"/>
        <v>1 - Memo:</v>
      </c>
      <c r="D44" s="9" t="s">
        <v>56</v>
      </c>
      <c r="F44" s="6" t="s">
        <v>13</v>
      </c>
      <c r="G44" s="80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80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81"/>
      <c r="AE44" s="15"/>
      <c r="AF44" s="11"/>
      <c r="AG44" s="15"/>
      <c r="AH44" s="15"/>
    </row>
    <row r="45" spans="2:34" s="24" customFormat="1" x14ac:dyDescent="0.2">
      <c r="B45" s="9">
        <f>G5</f>
        <v>1</v>
      </c>
      <c r="C45" s="9" t="str">
        <f t="shared" si="2"/>
        <v>1 - Collections</v>
      </c>
      <c r="D45" s="9" t="s">
        <v>56</v>
      </c>
      <c r="E45" s="49"/>
      <c r="F45" s="24" t="s">
        <v>15</v>
      </c>
      <c r="G45" s="247">
        <f>_xlfn.XLOOKUP($C45,'Site Level Financials - ''23 ''24'!$C$2:$C$1577,'Site Level Financials - ''23 ''24'!S$2:S$1577)</f>
        <v>422.94348744224442</v>
      </c>
      <c r="H45" s="248">
        <f>_xlfn.XLOOKUP($C45,'Site Level Financials - ''23 ''24'!$C$2:$C$1577,'Site Level Financials - ''23 ''24'!T$2:T$1577)</f>
        <v>407.12303219895921</v>
      </c>
      <c r="I45" s="248">
        <f>_xlfn.XLOOKUP($C45,'Site Level Financials - ''23 ''24'!$C$2:$C$1577,'Site Level Financials - ''23 ''24'!U$2:U$1577)</f>
        <v>455.89217044663826</v>
      </c>
      <c r="J45" s="248">
        <f>_xlfn.XLOOKUP($C45,'Site Level Financials - ''23 ''24'!$C$2:$C$1577,'Site Level Financials - ''23 ''24'!V$2:V$1577)</f>
        <v>380.45241542122091</v>
      </c>
      <c r="K45" s="248">
        <f>_xlfn.XLOOKUP($C45,'Site Level Financials - ''23 ''24'!$C$2:$C$1577,'Site Level Financials - ''23 ''24'!W$2:W$1577)</f>
        <v>403.47619616457581</v>
      </c>
      <c r="L45" s="248">
        <f>_xlfn.XLOOKUP($C45,'Site Level Financials - ''23 ''24'!$C$2:$C$1577,'Site Level Financials - ''23 ''24'!X$2:X$1577)</f>
        <v>407.86078659955439</v>
      </c>
      <c r="M45" s="248">
        <f>_xlfn.XLOOKUP($C45,'Site Level Financials - ''23 ''24'!$C$2:$C$1577,'Site Level Financials - ''23 ''24'!Y$2:Y$1577)</f>
        <v>437.52423585449623</v>
      </c>
      <c r="N45" s="248">
        <f>_xlfn.XLOOKUP($C45,'Site Level Financials - ''23 ''24'!$C$2:$C$1577,'Site Level Financials - ''23 ''24'!Z$2:Z$1577)</f>
        <v>476.14498420595186</v>
      </c>
      <c r="O45" s="248">
        <f>_xlfn.XLOOKUP($C45,'Site Level Financials - ''23 ''24'!$C$2:$C$1577,'Site Level Financials - ''23 ''24'!AA$2:AA$1577)</f>
        <v>418.73667142301861</v>
      </c>
      <c r="P45" s="248">
        <f>_xlfn.XLOOKUP($C45,'Site Level Financials - ''23 ''24'!$C$2:$C$1577,'Site Level Financials - ''23 ''24'!AB$2:AB$1577)</f>
        <v>479.83885764401998</v>
      </c>
      <c r="Q45" s="248">
        <f>_xlfn.XLOOKUP($C45,'Site Level Financials - ''23 ''24'!$C$2:$C$1577,'Site Level Financials - ''23 ''24'!AC$2:AC$1577)</f>
        <v>390.75276380778382</v>
      </c>
      <c r="R45" s="248">
        <f>_xlfn.XLOOKUP($C45,'Site Level Financials - ''23 ''24'!$C$2:$C$1577,'Site Level Financials - ''23 ''24'!AD$2:AD$1577)</f>
        <v>229.09013179113578</v>
      </c>
      <c r="S45" s="169">
        <f t="shared" ref="S45:AD45" si="47">S46*S15</f>
        <v>336.7022694917614</v>
      </c>
      <c r="T45" s="170">
        <f t="shared" si="47"/>
        <v>348.64806602522037</v>
      </c>
      <c r="U45" s="170">
        <f t="shared" si="47"/>
        <v>374.37453982026915</v>
      </c>
      <c r="V45" s="170">
        <f t="shared" si="47"/>
        <v>401.01560944904196</v>
      </c>
      <c r="W45" s="170">
        <f t="shared" si="47"/>
        <v>476.61173824479869</v>
      </c>
      <c r="X45" s="170">
        <f t="shared" si="47"/>
        <v>400.2341095522666</v>
      </c>
      <c r="Y45" s="170">
        <f t="shared" si="47"/>
        <v>403.21071162387909</v>
      </c>
      <c r="Z45" s="170">
        <f t="shared" si="47"/>
        <v>345.74948819622671</v>
      </c>
      <c r="AA45" s="170">
        <f t="shared" si="47"/>
        <v>316.9959363153564</v>
      </c>
      <c r="AB45" s="170">
        <f t="shared" si="47"/>
        <v>364.06753182604126</v>
      </c>
      <c r="AC45" s="170">
        <f t="shared" si="47"/>
        <v>287.78408343139893</v>
      </c>
      <c r="AD45" s="171">
        <f t="shared" si="47"/>
        <v>234.89298135871923</v>
      </c>
      <c r="AE45" s="26"/>
      <c r="AF45" s="234">
        <f>_xlfn.XLOOKUP($C45,'Site Level Financials - ''23 ''24'!$C$2:$C$1577,'Site Level Financials - ''23 ''24'!$AF$2:$AF$1577)</f>
        <v>5426.8483355635326</v>
      </c>
      <c r="AG45" s="99">
        <f>SUM(G45:R45)</f>
        <v>4909.8357329995988</v>
      </c>
      <c r="AH45" s="99">
        <f t="shared" ref="AH45" si="48">SUM(S45:AD45)</f>
        <v>4290.2870653349801</v>
      </c>
    </row>
    <row r="46" spans="2:34" x14ac:dyDescent="0.2">
      <c r="B46" s="9">
        <f>G5</f>
        <v>1</v>
      </c>
      <c r="C46" s="9" t="str">
        <f t="shared" si="2"/>
        <v>1 - Collections as a % of Production</v>
      </c>
      <c r="D46" s="9" t="s">
        <v>56</v>
      </c>
      <c r="F46" s="16" t="s">
        <v>17</v>
      </c>
      <c r="G46" s="245">
        <f>_xlfn.XLOOKUP($C46,'Site Level Financials - ''23 ''24'!$C$2:$C$1577,'Site Level Financials - ''23 ''24'!S$2:S$1577)</f>
        <v>0.97046263335037097</v>
      </c>
      <c r="H46" s="246">
        <f>_xlfn.XLOOKUP($C46,'Site Level Financials - ''23 ''24'!$C$2:$C$1577,'Site Level Financials - ''23 ''24'!T$2:T$1577)</f>
        <v>0.96062596512533205</v>
      </c>
      <c r="I46" s="246">
        <f>_xlfn.XLOOKUP($C46,'Site Level Financials - ''23 ''24'!$C$2:$C$1577,'Site Level Financials - ''23 ''24'!U$2:U$1577)</f>
        <v>0.99873650369845213</v>
      </c>
      <c r="J46" s="246">
        <f>_xlfn.XLOOKUP($C46,'Site Level Financials - ''23 ''24'!$C$2:$C$1577,'Site Level Financials - ''23 ''24'!V$2:V$1577)</f>
        <v>0.97290557606645967</v>
      </c>
      <c r="K46" s="246">
        <f>_xlfn.XLOOKUP($C46,'Site Level Financials - ''23 ''24'!$C$2:$C$1577,'Site Level Financials - ''23 ''24'!W$2:W$1577)</f>
        <v>0.97549644038937</v>
      </c>
      <c r="L46" s="246">
        <f>_xlfn.XLOOKUP($C46,'Site Level Financials - ''23 ''24'!$C$2:$C$1577,'Site Level Financials - ''23 ''24'!X$2:X$1577)</f>
        <v>0.99081002933885109</v>
      </c>
      <c r="M46" s="246">
        <f>_xlfn.XLOOKUP($C46,'Site Level Financials - ''23 ''24'!$C$2:$C$1577,'Site Level Financials - ''23 ''24'!Y$2:Y$1577)</f>
        <v>0.99438597148257291</v>
      </c>
      <c r="N46" s="246">
        <f>_xlfn.XLOOKUP($C46,'Site Level Financials - ''23 ''24'!$C$2:$C$1577,'Site Level Financials - ''23 ''24'!Z$2:Z$1577)</f>
        <v>0.99853214027298554</v>
      </c>
      <c r="O46" s="246">
        <f>_xlfn.XLOOKUP($C46,'Site Level Financials - ''23 ''24'!$C$2:$C$1577,'Site Level Financials - ''23 ''24'!AA$2:AA$1577)</f>
        <v>0.97498487249843557</v>
      </c>
      <c r="P46" s="246">
        <f>_xlfn.XLOOKUP($C46,'Site Level Financials - ''23 ''24'!$C$2:$C$1577,'Site Level Financials - ''23 ''24'!AB$2:AB$1577)</f>
        <v>0.98232919178891154</v>
      </c>
      <c r="Q46" s="246">
        <f>_xlfn.XLOOKUP($C46,'Site Level Financials - ''23 ''24'!$C$2:$C$1577,'Site Level Financials - ''23 ''24'!AC$2:AC$1577)</f>
        <v>0.97971852909485824</v>
      </c>
      <c r="R46" s="246">
        <f>_xlfn.XLOOKUP($C46,'Site Level Financials - ''23 ''24'!$C$2:$C$1577,'Site Level Financials - ''23 ''24'!AD$2:AD$1577)</f>
        <v>0.98868126012008684</v>
      </c>
      <c r="S46" s="148">
        <f>S16</f>
        <v>0.98241067317533892</v>
      </c>
      <c r="T46" s="149">
        <f t="shared" ref="T46:AD46" si="49">T16</f>
        <v>0.98241067317533892</v>
      </c>
      <c r="U46" s="149">
        <f t="shared" si="49"/>
        <v>0.98241067317533892</v>
      </c>
      <c r="V46" s="149">
        <f t="shared" si="49"/>
        <v>0.98241067317533892</v>
      </c>
      <c r="W46" s="149">
        <f t="shared" si="49"/>
        <v>0.98241067317533892</v>
      </c>
      <c r="X46" s="149">
        <f t="shared" si="49"/>
        <v>0.98241067317533892</v>
      </c>
      <c r="Y46" s="149">
        <f t="shared" si="49"/>
        <v>0.98241067317533892</v>
      </c>
      <c r="Z46" s="149">
        <f t="shared" si="49"/>
        <v>0.98241067317533892</v>
      </c>
      <c r="AA46" s="149">
        <f t="shared" si="49"/>
        <v>0.98241067317533892</v>
      </c>
      <c r="AB46" s="149">
        <f t="shared" si="49"/>
        <v>0.98241067317533892</v>
      </c>
      <c r="AC46" s="149">
        <f t="shared" si="49"/>
        <v>0.98241067317533892</v>
      </c>
      <c r="AD46" s="150">
        <f t="shared" si="49"/>
        <v>0.98241067317533892</v>
      </c>
      <c r="AE46" s="15"/>
      <c r="AF46" s="232">
        <f>_xlfn.XLOOKUP($C46,'Site Level Financials - ''23 ''24'!$C$2:$C$1577,'Site Level Financials - ''23 ''24'!$AF$2:$AF$1577)</f>
        <v>0.98048296075029939</v>
      </c>
      <c r="AG46" s="97">
        <f t="shared" ref="AG46" si="50">AG45/AG15</f>
        <v>0.98241067317533892</v>
      </c>
      <c r="AH46" s="97">
        <f t="shared" ref="AH46" si="51">AH45/AH15</f>
        <v>0.98241067317533892</v>
      </c>
    </row>
    <row r="47" spans="2:34" ht="6" customHeight="1" x14ac:dyDescent="0.2">
      <c r="B47" s="9">
        <f>G5</f>
        <v>1</v>
      </c>
      <c r="C47" s="9" t="str">
        <f t="shared" si="2"/>
        <v xml:space="preserve">1 - </v>
      </c>
      <c r="D47" s="9" t="s">
        <v>56</v>
      </c>
      <c r="F47" s="27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81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81"/>
      <c r="AE47" s="15"/>
      <c r="AF47" s="11"/>
      <c r="AH47" s="224"/>
    </row>
    <row r="48" spans="2:34" s="24" customFormat="1" x14ac:dyDescent="0.2">
      <c r="B48" s="9">
        <f>G5</f>
        <v>1</v>
      </c>
      <c r="C48" s="9" t="str">
        <f t="shared" si="2"/>
        <v>1 - Production per Vet Workday - YoY Change</v>
      </c>
      <c r="D48" s="9" t="s">
        <v>56</v>
      </c>
      <c r="E48" s="49"/>
      <c r="F48" s="24" t="s">
        <v>55</v>
      </c>
      <c r="G48" s="249">
        <f>_xlfn.XLOOKUP($C48,'Site Level Financials - ''23 ''24'!$C$2:$C$1577,'Site Level Financials - ''23 ''24'!S$2:S$1577)</f>
        <v>0.1048856968227394</v>
      </c>
      <c r="H48" s="250">
        <f>_xlfn.XLOOKUP($C48,'Site Level Financials - ''23 ''24'!$C$2:$C$1577,'Site Level Financials - ''23 ''24'!T$2:T$1577)</f>
        <v>5.7686834525181752E-2</v>
      </c>
      <c r="I48" s="250">
        <f>_xlfn.XLOOKUP($C48,'Site Level Financials - ''23 ''24'!$C$2:$C$1577,'Site Level Financials - ''23 ''24'!U$2:U$1577)</f>
        <v>3.941489995458558E-2</v>
      </c>
      <c r="J48" s="250">
        <f>_xlfn.XLOOKUP($C48,'Site Level Financials - ''23 ''24'!$C$2:$C$1577,'Site Level Financials - ''23 ''24'!V$2:V$1577)</f>
        <v>0.12092956999372939</v>
      </c>
      <c r="K48" s="250">
        <f>_xlfn.XLOOKUP($C48,'Site Level Financials - ''23 ''24'!$C$2:$C$1577,'Site Level Financials - ''23 ''24'!W$2:W$1577)</f>
        <v>2.7827241008656634E-2</v>
      </c>
      <c r="L48" s="250">
        <f>_xlfn.XLOOKUP($C48,'Site Level Financials - ''23 ''24'!$C$2:$C$1577,'Site Level Financials - ''23 ''24'!X$2:X$1577)</f>
        <v>4.6910107381417099E-3</v>
      </c>
      <c r="M48" s="250">
        <f>_xlfn.XLOOKUP($C48,'Site Level Financials - ''23 ''24'!$C$2:$C$1577,'Site Level Financials - ''23 ''24'!Y$2:Y$1577)</f>
        <v>4.1333111261757205E-2</v>
      </c>
      <c r="N48" s="250">
        <f>_xlfn.XLOOKUP($C48,'Site Level Financials - ''23 ''24'!$C$2:$C$1577,'Site Level Financials - ''23 ''24'!Z$2:Z$1577)</f>
        <v>-8.8283454505591052E-3</v>
      </c>
      <c r="O48" s="250">
        <f>_xlfn.XLOOKUP($C48,'Site Level Financials - ''23 ''24'!$C$2:$C$1577,'Site Level Financials - ''23 ''24'!AA$2:AA$1577)</f>
        <v>-3.4168807735629469E-2</v>
      </c>
      <c r="P48" s="250">
        <f>_xlfn.XLOOKUP($C48,'Site Level Financials - ''23 ''24'!$C$2:$C$1577,'Site Level Financials - ''23 ''24'!AB$2:AB$1577)</f>
        <v>-7.742750669644316E-2</v>
      </c>
      <c r="Q48" s="250">
        <f>_xlfn.XLOOKUP($C48,'Site Level Financials - ''23 ''24'!$C$2:$C$1577,'Site Level Financials - ''23 ''24'!AC$2:AC$1577)</f>
        <v>-7.5785636697375813E-2</v>
      </c>
      <c r="R48" s="251">
        <f>_xlfn.XLOOKUP($C48,'Site Level Financials - ''23 ''24'!$C$2:$C$1577,'Site Level Financials - ''23 ''24'!AD$2:AD$1577)</f>
        <v>-0.21148003987046116</v>
      </c>
      <c r="S48" s="151">
        <f>S14/G14-1</f>
        <v>-0.21358923908842931</v>
      </c>
      <c r="T48" s="152">
        <f t="shared" ref="T48:AD48" si="52">T14/H14-1</f>
        <v>-0.16261951195612512</v>
      </c>
      <c r="U48" s="152">
        <f t="shared" si="52"/>
        <v>-0.16516235610376917</v>
      </c>
      <c r="V48" s="152">
        <f t="shared" si="52"/>
        <v>-0.21711167636050144</v>
      </c>
      <c r="W48" s="152">
        <f t="shared" si="52"/>
        <v>-0.12028763439660206</v>
      </c>
      <c r="X48" s="152">
        <f t="shared" si="52"/>
        <v>-1.0309349349833963E-2</v>
      </c>
      <c r="Y48" s="152">
        <f t="shared" si="52"/>
        <v>-6.7192857830439934E-2</v>
      </c>
      <c r="Z48" s="152">
        <f t="shared" si="52"/>
        <v>-7.7425765925618673E-2</v>
      </c>
      <c r="AA48" s="152">
        <f t="shared" si="52"/>
        <v>-6.0866101953802709E-2</v>
      </c>
      <c r="AB48" s="152">
        <f t="shared" si="52"/>
        <v>-5.1667736535845665E-2</v>
      </c>
      <c r="AC48" s="152">
        <f t="shared" si="52"/>
        <v>-8.1914824515165185E-2</v>
      </c>
      <c r="AD48" s="153">
        <f t="shared" si="52"/>
        <v>3.1874519628317444E-2</v>
      </c>
      <c r="AF48" s="43"/>
      <c r="AG48" s="177">
        <f>AG14/AF14-1</f>
        <v>-5.1367385577029134E-3</v>
      </c>
      <c r="AH48" s="225">
        <f>AH14/AG14-1</f>
        <v>-9.0453009793149408E-2</v>
      </c>
    </row>
    <row r="49" spans="2:35" s="24" customFormat="1" ht="6" customHeight="1" x14ac:dyDescent="0.2">
      <c r="D49" s="9" t="s">
        <v>56</v>
      </c>
      <c r="E49" s="49"/>
      <c r="G49" s="28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29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29"/>
      <c r="AE49" s="25"/>
      <c r="AF49" s="28"/>
      <c r="AG49" s="30"/>
      <c r="AH49" s="226"/>
    </row>
    <row r="50" spans="2:35" ht="6" customHeight="1" x14ac:dyDescent="0.2">
      <c r="D50" s="9" t="s">
        <v>56</v>
      </c>
      <c r="F50" s="16"/>
    </row>
    <row r="51" spans="2:35" x14ac:dyDescent="0.2">
      <c r="D51" s="9" t="s">
        <v>56</v>
      </c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spans="2:35" ht="15.75" thickBot="1" x14ac:dyDescent="0.4">
      <c r="B52" s="35" t="s">
        <v>52</v>
      </c>
      <c r="C52" s="35"/>
      <c r="D52" s="9" t="s">
        <v>56</v>
      </c>
      <c r="E52" s="48" t="s">
        <v>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3"/>
      <c r="AH52" s="3">
        <f ca="1">TODAY()</f>
        <v>45999</v>
      </c>
      <c r="AI52" s="1"/>
    </row>
    <row r="53" spans="2:35" x14ac:dyDescent="0.2">
      <c r="B53" s="9">
        <f>G55</f>
        <v>2</v>
      </c>
      <c r="C53" s="9"/>
      <c r="D53" s="9" t="s">
        <v>56</v>
      </c>
      <c r="F53" t="s">
        <v>159</v>
      </c>
      <c r="AG53" s="6"/>
      <c r="AH53" s="6" t="s">
        <v>16</v>
      </c>
    </row>
    <row r="54" spans="2:35" x14ac:dyDescent="0.2">
      <c r="B54" s="9"/>
      <c r="C54" s="9"/>
      <c r="D54" s="9" t="s">
        <v>56</v>
      </c>
      <c r="AG54" s="6"/>
      <c r="AH54" s="6"/>
    </row>
    <row r="55" spans="2:35" x14ac:dyDescent="0.2">
      <c r="B55" s="9">
        <f>G55</f>
        <v>2</v>
      </c>
      <c r="C55" s="9"/>
      <c r="D55" s="9" t="s">
        <v>56</v>
      </c>
      <c r="F55" s="40" t="s">
        <v>53</v>
      </c>
      <c r="G55" s="42">
        <v>2</v>
      </c>
    </row>
    <row r="56" spans="2:35" x14ac:dyDescent="0.2">
      <c r="B56" s="9">
        <f>G55</f>
        <v>2</v>
      </c>
      <c r="C56" s="9"/>
      <c r="D56" s="9" t="s">
        <v>56</v>
      </c>
      <c r="F56" s="39" t="s">
        <v>19</v>
      </c>
      <c r="G56" s="41"/>
      <c r="H56" s="11"/>
    </row>
    <row r="57" spans="2:35" x14ac:dyDescent="0.2">
      <c r="B57" s="9">
        <f>G55</f>
        <v>2</v>
      </c>
      <c r="C57" s="9"/>
      <c r="D57" s="9" t="s">
        <v>56</v>
      </c>
      <c r="G57" s="23"/>
    </row>
    <row r="58" spans="2:35" x14ac:dyDescent="0.2">
      <c r="B58" s="9">
        <f>G55</f>
        <v>2</v>
      </c>
      <c r="C58" s="9"/>
      <c r="D58" s="9" t="s">
        <v>56</v>
      </c>
      <c r="G58" s="208" t="s">
        <v>229</v>
      </c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10"/>
      <c r="S58" s="266" t="s">
        <v>230</v>
      </c>
      <c r="T58" s="267"/>
      <c r="U58" s="267"/>
      <c r="V58" s="267"/>
      <c r="W58" s="267"/>
      <c r="X58" s="267"/>
      <c r="Y58" s="267"/>
      <c r="Z58" s="267"/>
      <c r="AA58" s="267"/>
      <c r="AB58" s="267"/>
      <c r="AC58" s="267"/>
      <c r="AD58" s="268"/>
      <c r="AF58" s="17" t="s">
        <v>231</v>
      </c>
      <c r="AG58" s="50"/>
      <c r="AH58" s="269" t="s">
        <v>232</v>
      </c>
    </row>
    <row r="59" spans="2:35" ht="15" customHeight="1" x14ac:dyDescent="0.35">
      <c r="B59" s="116">
        <f>G55</f>
        <v>2</v>
      </c>
      <c r="C59" s="116"/>
      <c r="D59" s="9" t="s">
        <v>56</v>
      </c>
      <c r="E59" s="163"/>
      <c r="F59" s="164"/>
      <c r="G59" s="211">
        <v>44957</v>
      </c>
      <c r="H59" s="212">
        <f>EOMONTH(G59,1)</f>
        <v>44985</v>
      </c>
      <c r="I59" s="212">
        <f t="shared" ref="I59" si="53">EOMONTH(H59,1)</f>
        <v>45016</v>
      </c>
      <c r="J59" s="212">
        <f t="shared" ref="J59" si="54">EOMONTH(I59,1)</f>
        <v>45046</v>
      </c>
      <c r="K59" s="212">
        <f t="shared" ref="K59" si="55">EOMONTH(J59,1)</f>
        <v>45077</v>
      </c>
      <c r="L59" s="212">
        <f t="shared" ref="L59" si="56">EOMONTH(K59,1)</f>
        <v>45107</v>
      </c>
      <c r="M59" s="212">
        <f t="shared" ref="M59" si="57">EOMONTH(L59,1)</f>
        <v>45138</v>
      </c>
      <c r="N59" s="212">
        <f t="shared" ref="N59" si="58">EOMONTH(M59,1)</f>
        <v>45169</v>
      </c>
      <c r="O59" s="212">
        <f t="shared" ref="O59" si="59">EOMONTH(N59,1)</f>
        <v>45199</v>
      </c>
      <c r="P59" s="212">
        <f t="shared" ref="P59" si="60">EOMONTH(O59,1)</f>
        <v>45230</v>
      </c>
      <c r="Q59" s="212">
        <f t="shared" ref="Q59" si="61">EOMONTH(P59,1)</f>
        <v>45260</v>
      </c>
      <c r="R59" s="213">
        <f t="shared" ref="R59" si="62">EOMONTH(Q59,1)</f>
        <v>45291</v>
      </c>
      <c r="S59" s="4">
        <f t="shared" ref="S59" si="63">EOMONTH(R59,1)</f>
        <v>45322</v>
      </c>
      <c r="T59" s="19">
        <f t="shared" ref="T59" si="64">EOMONTH(S59,1)</f>
        <v>45351</v>
      </c>
      <c r="U59" s="19">
        <f t="shared" ref="U59" si="65">EOMONTH(T59,1)</f>
        <v>45382</v>
      </c>
      <c r="V59" s="19">
        <f t="shared" ref="V59" si="66">EOMONTH(U59,1)</f>
        <v>45412</v>
      </c>
      <c r="W59" s="19">
        <f t="shared" ref="W59" si="67">EOMONTH(V59,1)</f>
        <v>45443</v>
      </c>
      <c r="X59" s="19">
        <f t="shared" ref="X59" si="68">EOMONTH(W59,1)</f>
        <v>45473</v>
      </c>
      <c r="Y59" s="19">
        <f t="shared" ref="Y59" si="69">EOMONTH(X59,1)</f>
        <v>45504</v>
      </c>
      <c r="Z59" s="19">
        <f t="shared" ref="Z59" si="70">EOMONTH(Y59,1)</f>
        <v>45535</v>
      </c>
      <c r="AA59" s="19">
        <f t="shared" ref="AA59" si="71">EOMONTH(Z59,1)</f>
        <v>45565</v>
      </c>
      <c r="AB59" s="19">
        <f t="shared" ref="AB59" si="72">EOMONTH(AA59,1)</f>
        <v>45596</v>
      </c>
      <c r="AC59" s="19">
        <f t="shared" ref="AC59" si="73">EOMONTH(AB59,1)</f>
        <v>45626</v>
      </c>
      <c r="AD59" s="5">
        <f t="shared" ref="AD59" si="74">EOMONTH(AC59,1)</f>
        <v>45657</v>
      </c>
      <c r="AE59" s="168"/>
      <c r="AF59" s="13">
        <v>45291</v>
      </c>
      <c r="AG59" s="14">
        <v>45657</v>
      </c>
      <c r="AH59" s="14">
        <v>46022</v>
      </c>
      <c r="AI59" s="164"/>
    </row>
    <row r="60" spans="2:35" ht="0.95" customHeight="1" x14ac:dyDescent="0.2">
      <c r="B60" s="9">
        <f>G55</f>
        <v>2</v>
      </c>
      <c r="C60" s="9"/>
      <c r="D60" s="9" t="s">
        <v>56</v>
      </c>
      <c r="G60" s="11"/>
      <c r="S60" s="11"/>
      <c r="AD60" s="15"/>
      <c r="AE60" s="15"/>
      <c r="AF60" s="11"/>
      <c r="AG60" s="15"/>
      <c r="AH60" s="15"/>
    </row>
    <row r="61" spans="2:35" x14ac:dyDescent="0.2">
      <c r="B61" s="9">
        <f>G55</f>
        <v>2</v>
      </c>
      <c r="C61" s="9" t="str">
        <f>B61&amp;" - "&amp;F61</f>
        <v>2 - Employed Vets</v>
      </c>
      <c r="D61" s="9" t="s">
        <v>56</v>
      </c>
      <c r="F61" s="7" t="s">
        <v>160</v>
      </c>
      <c r="G61" s="178">
        <f>_xlfn.XLOOKUP($C61,'Site Level Financials - ''23 ''24'!$C$2:$C$1577,'Site Level Financials - ''23 ''24'!S$2:S$1577)</f>
        <v>4</v>
      </c>
      <c r="H61" s="179">
        <f>_xlfn.XLOOKUP($C61,'Site Level Financials - ''23 ''24'!$C$2:$C$1577,'Site Level Financials - ''23 ''24'!T$2:T$1577)</f>
        <v>3</v>
      </c>
      <c r="I61" s="179">
        <f>_xlfn.XLOOKUP($C61,'Site Level Financials - ''23 ''24'!$C$2:$C$1577,'Site Level Financials - ''23 ''24'!U$2:U$1577)</f>
        <v>3</v>
      </c>
      <c r="J61" s="179">
        <f>_xlfn.XLOOKUP($C61,'Site Level Financials - ''23 ''24'!$C$2:$C$1577,'Site Level Financials - ''23 ''24'!V$2:V$1577)</f>
        <v>3</v>
      </c>
      <c r="K61" s="179">
        <f>_xlfn.XLOOKUP($C61,'Site Level Financials - ''23 ''24'!$C$2:$C$1577,'Site Level Financials - ''23 ''24'!W$2:W$1577)</f>
        <v>2</v>
      </c>
      <c r="L61" s="179">
        <f>_xlfn.XLOOKUP($C61,'Site Level Financials - ''23 ''24'!$C$2:$C$1577,'Site Level Financials - ''23 ''24'!X$2:X$1577)</f>
        <v>2</v>
      </c>
      <c r="M61" s="179">
        <f>_xlfn.XLOOKUP($C61,'Site Level Financials - ''23 ''24'!$C$2:$C$1577,'Site Level Financials - ''23 ''24'!Y$2:Y$1577)</f>
        <v>3</v>
      </c>
      <c r="N61" s="179">
        <f>_xlfn.XLOOKUP($C61,'Site Level Financials - ''23 ''24'!$C$2:$C$1577,'Site Level Financials - ''23 ''24'!Z$2:Z$1577)</f>
        <v>4</v>
      </c>
      <c r="O61" s="179">
        <f>_xlfn.XLOOKUP($C61,'Site Level Financials - ''23 ''24'!$C$2:$C$1577,'Site Level Financials - ''23 ''24'!AA$2:AA$1577)</f>
        <v>4</v>
      </c>
      <c r="P61" s="179">
        <f>_xlfn.XLOOKUP($C61,'Site Level Financials - ''23 ''24'!$C$2:$C$1577,'Site Level Financials - ''23 ''24'!AB$2:AB$1577)</f>
        <v>4</v>
      </c>
      <c r="Q61" s="179">
        <f>_xlfn.XLOOKUP($C61,'Site Level Financials - ''23 ''24'!$C$2:$C$1577,'Site Level Financials - ''23 ''24'!AC$2:AC$1577)</f>
        <v>4</v>
      </c>
      <c r="R61" s="179">
        <f>_xlfn.XLOOKUP($C61,'Site Level Financials - ''23 ''24'!$C$2:$C$1577,'Site Level Financials - ''23 ''24'!AD$2:AD$1577)</f>
        <v>3</v>
      </c>
      <c r="S61" s="178">
        <f>R61+_xlfn.XLOOKUP($R61,'Budget Assumption Driver'!$A$7:$A$11,'Budget Assumption Driver'!E$7:E$11)</f>
        <v>3</v>
      </c>
      <c r="T61" s="179">
        <f>S61+_xlfn.XLOOKUP($R61,'Budget Assumption Driver'!$A$7:$A$11,'Budget Assumption Driver'!F$7:F$11)</f>
        <v>3</v>
      </c>
      <c r="U61" s="179">
        <f>T61+_xlfn.XLOOKUP($R61,'Budget Assumption Driver'!$A$7:$A$11,'Budget Assumption Driver'!G$7:G$11)</f>
        <v>3</v>
      </c>
      <c r="V61" s="179">
        <f>U61+_xlfn.XLOOKUP($R61,'Budget Assumption Driver'!$A$7:$A$11,'Budget Assumption Driver'!H$7:H$11)</f>
        <v>3</v>
      </c>
      <c r="W61" s="179">
        <f>V61+_xlfn.XLOOKUP($R61,'Budget Assumption Driver'!$A$7:$A$11,'Budget Assumption Driver'!I$7:I$11)</f>
        <v>3</v>
      </c>
      <c r="X61" s="179">
        <f>W61+_xlfn.XLOOKUP($R61,'Budget Assumption Driver'!$A$7:$A$11,'Budget Assumption Driver'!J$7:J$11)</f>
        <v>3</v>
      </c>
      <c r="Y61" s="179">
        <f>X61+_xlfn.XLOOKUP($R61,'Budget Assumption Driver'!$A$7:$A$11,'Budget Assumption Driver'!K$7:K$11)</f>
        <v>4</v>
      </c>
      <c r="Z61" s="179">
        <f>Y61+_xlfn.XLOOKUP($R61,'Budget Assumption Driver'!$A$7:$A$11,'Budget Assumption Driver'!L$7:L$11)</f>
        <v>4</v>
      </c>
      <c r="AA61" s="179">
        <f>Z61+_xlfn.XLOOKUP($R61,'Budget Assumption Driver'!$A$7:$A$11,'Budget Assumption Driver'!M$7:M$11)</f>
        <v>4</v>
      </c>
      <c r="AB61" s="179">
        <f>AA61+_xlfn.XLOOKUP($R61,'Budget Assumption Driver'!$A$7:$A$11,'Budget Assumption Driver'!N$7:N$11)</f>
        <v>4</v>
      </c>
      <c r="AC61" s="179">
        <f>AB61+_xlfn.XLOOKUP($R61,'Budget Assumption Driver'!$A$7:$A$11,'Budget Assumption Driver'!O$7:O$11)</f>
        <v>4</v>
      </c>
      <c r="AD61" s="290">
        <f>AC61+_xlfn.XLOOKUP($R61,'Budget Assumption Driver'!$A$7:$A$11,'Budget Assumption Driver'!P$7:P$11)</f>
        <v>4</v>
      </c>
      <c r="AE61" s="15"/>
      <c r="AF61" s="229">
        <f>_xlfn.XLOOKUP($C61,'Site Level Financials - ''23 ''24'!$C$2:$C$1577,'Site Level Financials - ''23 ''24'!$AF$2:$AF$1577)</f>
        <v>2.1666666666666665</v>
      </c>
      <c r="AG61" s="91">
        <f t="shared" ref="AG61:AH61" si="75">AG63/AG62</f>
        <v>3.2527881040892193</v>
      </c>
      <c r="AH61" s="91">
        <f t="shared" si="75"/>
        <v>3.5018587360594795</v>
      </c>
    </row>
    <row r="62" spans="2:35" x14ac:dyDescent="0.2">
      <c r="B62" s="9">
        <f>G55</f>
        <v>2</v>
      </c>
      <c r="C62" s="9" t="str">
        <f t="shared" ref="C62:C98" si="76">B62&amp;" - "&amp;F62</f>
        <v>2 - Workdays in Month / Year</v>
      </c>
      <c r="D62" s="9" t="s">
        <v>56</v>
      </c>
      <c r="F62" s="7" t="s">
        <v>54</v>
      </c>
      <c r="G62" s="178">
        <f>_xlfn.XLOOKUP($C62,'Site Level Financials - ''23 ''24'!$C$2:$C$1577,'Site Level Financials - ''23 ''24'!S$2:S$1577)</f>
        <v>23</v>
      </c>
      <c r="H62" s="235">
        <f>_xlfn.XLOOKUP($C62,'Site Level Financials - ''23 ''24'!$C$2:$C$1577,'Site Level Financials - ''23 ''24'!T$2:T$1577)</f>
        <v>22</v>
      </c>
      <c r="I62" s="235">
        <f>_xlfn.XLOOKUP($C62,'Site Level Financials - ''23 ''24'!$C$2:$C$1577,'Site Level Financials - ''23 ''24'!U$2:U$1577)</f>
        <v>22</v>
      </c>
      <c r="J62" s="179">
        <f>_xlfn.XLOOKUP($C62,'Site Level Financials - ''23 ''24'!$C$2:$C$1577,'Site Level Financials - ''23 ''24'!V$2:V$1577)</f>
        <v>22</v>
      </c>
      <c r="K62" s="179">
        <f>_xlfn.XLOOKUP($C62,'Site Level Financials - ''23 ''24'!$C$2:$C$1577,'Site Level Financials - ''23 ''24'!W$2:W$1577)</f>
        <v>24</v>
      </c>
      <c r="L62" s="179">
        <f>_xlfn.XLOOKUP($C62,'Site Level Financials - ''23 ''24'!$C$2:$C$1577,'Site Level Financials - ''23 ''24'!X$2:X$1577)</f>
        <v>21</v>
      </c>
      <c r="M62" s="179">
        <f>_xlfn.XLOOKUP($C62,'Site Level Financials - ''23 ''24'!$C$2:$C$1577,'Site Level Financials - ''23 ''24'!Y$2:Y$1577)</f>
        <v>23</v>
      </c>
      <c r="N62" s="179">
        <f>_xlfn.XLOOKUP($C62,'Site Level Financials - ''23 ''24'!$C$2:$C$1577,'Site Level Financials - ''23 ''24'!Z$2:Z$1577)</f>
        <v>23</v>
      </c>
      <c r="O62" s="179">
        <f>_xlfn.XLOOKUP($C62,'Site Level Financials - ''23 ''24'!$C$2:$C$1577,'Site Level Financials - ''23 ''24'!AA$2:AA$1577)</f>
        <v>21</v>
      </c>
      <c r="P62" s="179">
        <f>_xlfn.XLOOKUP($C62,'Site Level Financials - ''23 ''24'!$C$2:$C$1577,'Site Level Financials - ''23 ''24'!AB$2:AB$1577)</f>
        <v>24</v>
      </c>
      <c r="Q62" s="179">
        <f>_xlfn.XLOOKUP($C62,'Site Level Financials - ''23 ''24'!$C$2:$C$1577,'Site Level Financials - ''23 ''24'!AC$2:AC$1577)</f>
        <v>22</v>
      </c>
      <c r="R62" s="179">
        <f>_xlfn.XLOOKUP($C62,'Site Level Financials - ''23 ''24'!$C$2:$C$1577,'Site Level Financials - ''23 ''24'!AD$2:AD$1577)</f>
        <v>22</v>
      </c>
      <c r="S62" s="155">
        <f>NETWORKDAYS(R59,S59)</f>
        <v>23</v>
      </c>
      <c r="T62" s="154">
        <f t="shared" ref="T62:AD62" si="77">NETWORKDAYS(S59,T59)</f>
        <v>22</v>
      </c>
      <c r="U62" s="154">
        <f t="shared" si="77"/>
        <v>22</v>
      </c>
      <c r="V62" s="154">
        <f t="shared" si="77"/>
        <v>22</v>
      </c>
      <c r="W62" s="154">
        <f t="shared" si="77"/>
        <v>24</v>
      </c>
      <c r="X62" s="154">
        <f t="shared" si="77"/>
        <v>21</v>
      </c>
      <c r="Y62" s="154">
        <f t="shared" si="77"/>
        <v>23</v>
      </c>
      <c r="Z62" s="154">
        <f t="shared" si="77"/>
        <v>23</v>
      </c>
      <c r="AA62" s="154">
        <f t="shared" si="77"/>
        <v>21</v>
      </c>
      <c r="AB62" s="154">
        <f t="shared" si="77"/>
        <v>24</v>
      </c>
      <c r="AC62" s="154">
        <f t="shared" si="77"/>
        <v>22</v>
      </c>
      <c r="AD62" s="156">
        <f t="shared" si="77"/>
        <v>22</v>
      </c>
      <c r="AE62" s="15"/>
      <c r="AF62" s="115">
        <f>_xlfn.XLOOKUP($C62,'Site Level Financials - ''23 ''24'!$C$2:$C$1577,'Site Level Financials - ''23 ''24'!$AF$2:$AF$1577)</f>
        <v>269</v>
      </c>
      <c r="AG62" s="93">
        <f>SUM(G62:R62)</f>
        <v>269</v>
      </c>
      <c r="AH62" s="93">
        <f>SUM(S62:AD62)</f>
        <v>269</v>
      </c>
    </row>
    <row r="63" spans="2:35" ht="12.75" customHeight="1" x14ac:dyDescent="0.2">
      <c r="B63" s="9">
        <f>G55</f>
        <v>2</v>
      </c>
      <c r="C63" s="9" t="str">
        <f t="shared" si="76"/>
        <v>2 - Total Vet Days</v>
      </c>
      <c r="D63" s="9" t="s">
        <v>56</v>
      </c>
      <c r="F63" s="8" t="s">
        <v>51</v>
      </c>
      <c r="G63" s="236">
        <f>_xlfn.XLOOKUP($C63,'Site Level Financials - ''23 ''24'!$C$2:$C$1577,'Site Level Financials - ''23 ''24'!S$2:S$1577)</f>
        <v>92</v>
      </c>
      <c r="H63" s="237">
        <f>_xlfn.XLOOKUP($C63,'Site Level Financials - ''23 ''24'!$C$2:$C$1577,'Site Level Financials - ''23 ''24'!T$2:T$1577)</f>
        <v>66</v>
      </c>
      <c r="I63" s="237">
        <f>_xlfn.XLOOKUP($C63,'Site Level Financials - ''23 ''24'!$C$2:$C$1577,'Site Level Financials - ''23 ''24'!U$2:U$1577)</f>
        <v>66</v>
      </c>
      <c r="J63" s="238">
        <f>_xlfn.XLOOKUP($C63,'Site Level Financials - ''23 ''24'!$C$2:$C$1577,'Site Level Financials - ''23 ''24'!V$2:V$1577)</f>
        <v>66</v>
      </c>
      <c r="K63" s="238">
        <f>_xlfn.XLOOKUP($C63,'Site Level Financials - ''23 ''24'!$C$2:$C$1577,'Site Level Financials - ''23 ''24'!W$2:W$1577)</f>
        <v>48</v>
      </c>
      <c r="L63" s="238">
        <f>_xlfn.XLOOKUP($C63,'Site Level Financials - ''23 ''24'!$C$2:$C$1577,'Site Level Financials - ''23 ''24'!X$2:X$1577)</f>
        <v>42</v>
      </c>
      <c r="M63" s="238">
        <f>_xlfn.XLOOKUP($C63,'Site Level Financials - ''23 ''24'!$C$2:$C$1577,'Site Level Financials - ''23 ''24'!Y$2:Y$1577)</f>
        <v>69</v>
      </c>
      <c r="N63" s="238">
        <f>_xlfn.XLOOKUP($C63,'Site Level Financials - ''23 ''24'!$C$2:$C$1577,'Site Level Financials - ''23 ''24'!Z$2:Z$1577)</f>
        <v>92</v>
      </c>
      <c r="O63" s="238">
        <f>_xlfn.XLOOKUP($C63,'Site Level Financials - ''23 ''24'!$C$2:$C$1577,'Site Level Financials - ''23 ''24'!AA$2:AA$1577)</f>
        <v>84</v>
      </c>
      <c r="P63" s="238">
        <f>_xlfn.XLOOKUP($C63,'Site Level Financials - ''23 ''24'!$C$2:$C$1577,'Site Level Financials - ''23 ''24'!AB$2:AB$1577)</f>
        <v>96</v>
      </c>
      <c r="Q63" s="238">
        <f>_xlfn.XLOOKUP($C63,'Site Level Financials - ''23 ''24'!$C$2:$C$1577,'Site Level Financials - ''23 ''24'!AC$2:AC$1577)</f>
        <v>88</v>
      </c>
      <c r="R63" s="238">
        <f>_xlfn.XLOOKUP($C63,'Site Level Financials - ''23 ''24'!$C$2:$C$1577,'Site Level Financials - ''23 ''24'!AD$2:AD$1577)</f>
        <v>66</v>
      </c>
      <c r="S63" s="125">
        <f t="shared" ref="S63:AD63" si="78">S61*S62</f>
        <v>69</v>
      </c>
      <c r="T63" s="127">
        <f t="shared" si="78"/>
        <v>66</v>
      </c>
      <c r="U63" s="127">
        <f t="shared" si="78"/>
        <v>66</v>
      </c>
      <c r="V63" s="127">
        <f t="shared" si="78"/>
        <v>66</v>
      </c>
      <c r="W63" s="127">
        <f t="shared" si="78"/>
        <v>72</v>
      </c>
      <c r="X63" s="127">
        <f t="shared" si="78"/>
        <v>63</v>
      </c>
      <c r="Y63" s="127">
        <f t="shared" si="78"/>
        <v>92</v>
      </c>
      <c r="Z63" s="127">
        <f t="shared" si="78"/>
        <v>92</v>
      </c>
      <c r="AA63" s="127">
        <f t="shared" si="78"/>
        <v>84</v>
      </c>
      <c r="AB63" s="127">
        <f t="shared" si="78"/>
        <v>96</v>
      </c>
      <c r="AC63" s="127">
        <f t="shared" si="78"/>
        <v>88</v>
      </c>
      <c r="AD63" s="128">
        <f t="shared" si="78"/>
        <v>88</v>
      </c>
      <c r="AF63" s="112">
        <f>_xlfn.XLOOKUP($C63,'Site Level Financials - ''23 ''24'!$C$2:$C$1577,'Site Level Financials - ''23 ''24'!$AF$2:$AF$1577)</f>
        <v>584</v>
      </c>
      <c r="AG63" s="120">
        <f>SUM(G63:R63)</f>
        <v>875</v>
      </c>
      <c r="AH63" s="120">
        <f t="shared" ref="AH63" si="79">SUM(S63:AD63)</f>
        <v>942</v>
      </c>
    </row>
    <row r="64" spans="2:35" x14ac:dyDescent="0.2">
      <c r="B64" s="9">
        <f>G55</f>
        <v>2</v>
      </c>
      <c r="C64" s="9" t="str">
        <f t="shared" si="76"/>
        <v>2 - Production per Vet Workday</v>
      </c>
      <c r="D64" s="9" t="s">
        <v>56</v>
      </c>
      <c r="F64" s="7" t="s">
        <v>50</v>
      </c>
      <c r="G64" s="239">
        <f>_xlfn.XLOOKUP($C64,'Site Level Financials - ''23 ''24'!$C$2:$C$1577,'Site Level Financials - ''23 ''24'!S$2:S$1577)</f>
        <v>6.1358020031352813</v>
      </c>
      <c r="H64" s="240">
        <f>_xlfn.XLOOKUP($C64,'Site Level Financials - ''23 ''24'!$C$2:$C$1577,'Site Level Financials - ''23 ''24'!T$2:T$1577)</f>
        <v>7.0517745138669161</v>
      </c>
      <c r="I64" s="240">
        <f>_xlfn.XLOOKUP($C64,'Site Level Financials - ''23 ''24'!$C$2:$C$1577,'Site Level Financials - ''23 ''24'!U$2:U$1577)</f>
        <v>7.5467398046801328</v>
      </c>
      <c r="J64" s="240">
        <f>_xlfn.XLOOKUP($C64,'Site Level Financials - ''23 ''24'!$C$2:$C$1577,'Site Level Financials - ''23 ''24'!V$2:V$1577)</f>
        <v>7.7678368513988287</v>
      </c>
      <c r="K64" s="240">
        <f>_xlfn.XLOOKUP($C64,'Site Level Financials - ''23 ''24'!$C$2:$C$1577,'Site Level Financials - ''23 ''24'!W$2:W$1577)</f>
        <v>8.6661667498863491</v>
      </c>
      <c r="L64" s="240">
        <f>_xlfn.XLOOKUP($C64,'Site Level Financials - ''23 ''24'!$C$2:$C$1577,'Site Level Financials - ''23 ''24'!X$2:X$1577)</f>
        <v>9.4009747387965508</v>
      </c>
      <c r="M64" s="240">
        <f>_xlfn.XLOOKUP($C64,'Site Level Financials - ''23 ''24'!$C$2:$C$1577,'Site Level Financials - ''23 ''24'!Y$2:Y$1577)</f>
        <v>7.1963111800209365</v>
      </c>
      <c r="N64" s="240">
        <f>_xlfn.XLOOKUP($C64,'Site Level Financials - ''23 ''24'!$C$2:$C$1577,'Site Level Financials - ''23 ''24'!Z$2:Z$1577)</f>
        <v>6.2061327046936565</v>
      </c>
      <c r="O64" s="240">
        <f>_xlfn.XLOOKUP($C64,'Site Level Financials - ''23 ''24'!$C$2:$C$1577,'Site Level Financials - ''23 ''24'!AA$2:AA$1577)</f>
        <v>6.1450592067017817</v>
      </c>
      <c r="P64" s="240">
        <f>_xlfn.XLOOKUP($C64,'Site Level Financials - ''23 ''24'!$C$2:$C$1577,'Site Level Financials - ''23 ''24'!AB$2:AB$1577)</f>
        <v>5.8557165368706894</v>
      </c>
      <c r="Q64" s="240">
        <f>_xlfn.XLOOKUP($C64,'Site Level Financials - ''23 ''24'!$C$2:$C$1577,'Site Level Financials - ''23 ''24'!AC$2:AC$1577)</f>
        <v>5.7959903941946331</v>
      </c>
      <c r="R64" s="240">
        <f>_xlfn.XLOOKUP($C64,'Site Level Financials - ''23 ''24'!$C$2:$C$1577,'Site Level Financials - ''23 ''24'!AD$2:AD$1577)</f>
        <v>4.7969624708751057</v>
      </c>
      <c r="S64" s="239">
        <f>R64*(1+_xlfn.XLOOKUP($R61,'Budget Assumption Driver'!$A$15:$A$19,'Budget Assumption Driver'!E$15:E$19))</f>
        <v>6.7867844720240242</v>
      </c>
      <c r="T64" s="240">
        <f>S64*(1+_xlfn.XLOOKUP($R61,'Budget Assumption Driver'!$A$15:$A$19,'Budget Assumption Driver'!F$15:F$19))</f>
        <v>7.3470065918900671</v>
      </c>
      <c r="U64" s="240">
        <f>T64*(1+_xlfn.XLOOKUP($R61,'Budget Assumption Driver'!$A$15:$A$19,'Budget Assumption Driver'!G$15:G$19))</f>
        <v>7.8891365819202921</v>
      </c>
      <c r="V64" s="240">
        <f>U64*(1+_xlfn.XLOOKUP($R61,'Budget Assumption Driver'!$A$15:$A$19,'Budget Assumption Driver'!H$15:H$19))</f>
        <v>8.4505397080269411</v>
      </c>
      <c r="W64" s="240">
        <f>V64*(1+_xlfn.XLOOKUP($R61,'Budget Assumption Driver'!$A$15:$A$19,'Budget Assumption Driver'!I$15:I$19))</f>
        <v>9.2066014324880783</v>
      </c>
      <c r="X64" s="240">
        <f>W64*(1+_xlfn.XLOOKUP($R61,'Budget Assumption Driver'!$A$15:$A$19,'Budget Assumption Driver'!J$15:J$19))</f>
        <v>8.8356937239747655</v>
      </c>
      <c r="Y64" s="240">
        <f>X64*(1+_xlfn.XLOOKUP($R61,'Budget Assumption Driver'!$A$15:$A$19,'Budget Assumption Driver'!K$15:K$19))</f>
        <v>7.2438014372300996</v>
      </c>
      <c r="Z64" s="240">
        <f>Y64*(1+_xlfn.XLOOKUP($R61,'Budget Assumption Driver'!$A$15:$A$19,'Budget Assumption Driver'!L$15:L$19))</f>
        <v>6.2114933143285906</v>
      </c>
      <c r="AA64" s="240">
        <f>Z64*(1+_xlfn.XLOOKUP($R61,'Budget Assumption Driver'!$A$15:$A$19,'Budget Assumption Driver'!M$15:M$19))</f>
        <v>6.2373011378823495</v>
      </c>
      <c r="AB64" s="240">
        <f>AA64*(1+_xlfn.XLOOKUP($R61,'Budget Assumption Driver'!$A$15:$A$19,'Budget Assumption Driver'!N$15:N$19))</f>
        <v>6.2680581959648212</v>
      </c>
      <c r="AC64" s="240">
        <f>AB64*(1+_xlfn.XLOOKUP($R61,'Budget Assumption Driver'!$A$15:$A$19,'Budget Assumption Driver'!O$15:O$19))</f>
        <v>5.4051332143279955</v>
      </c>
      <c r="AD64" s="291">
        <f>AC64*(1+_xlfn.XLOOKUP($R61,'Budget Assumption Driver'!$A$15:$A$19,'Budget Assumption Driver'!P$15:P$19))</f>
        <v>4.4117375784515538</v>
      </c>
      <c r="AE64" s="15"/>
      <c r="AF64" s="230">
        <f>_xlfn.XLOOKUP($C64,'Site Level Financials - ''23 ''24'!$C$2:$C$1577,'Site Level Financials - ''23 ''24'!$AF$2:$AF$1577)</f>
        <v>7.7292134571585498</v>
      </c>
      <c r="AG64" s="101">
        <f>AG65/AG63</f>
        <v>6.6559771696589198</v>
      </c>
      <c r="AH64" s="101">
        <f>AH65/AH63</f>
        <v>6.877464793867528</v>
      </c>
    </row>
    <row r="65" spans="2:34" x14ac:dyDescent="0.2">
      <c r="B65" s="9">
        <f>G55</f>
        <v>2</v>
      </c>
      <c r="C65" s="9" t="str">
        <f t="shared" si="76"/>
        <v>2 - Total Production</v>
      </c>
      <c r="D65" s="9" t="s">
        <v>56</v>
      </c>
      <c r="F65" s="8" t="s">
        <v>1</v>
      </c>
      <c r="G65" s="241">
        <f>_xlfn.XLOOKUP($C65,'Site Level Financials - ''23 ''24'!$C$2:$C$1577,'Site Level Financials - ''23 ''24'!S$2:S$1577)</f>
        <v>564.49378428844591</v>
      </c>
      <c r="H65" s="242">
        <f>_xlfn.XLOOKUP($C65,'Site Level Financials - ''23 ''24'!$C$2:$C$1577,'Site Level Financials - ''23 ''24'!T$2:T$1577)</f>
        <v>465.41711791521647</v>
      </c>
      <c r="I65" s="242">
        <f>_xlfn.XLOOKUP($C65,'Site Level Financials - ''23 ''24'!$C$2:$C$1577,'Site Level Financials - ''23 ''24'!U$2:U$1577)</f>
        <v>498.08482710888876</v>
      </c>
      <c r="J65" s="242">
        <f>_xlfn.XLOOKUP($C65,'Site Level Financials - ''23 ''24'!$C$2:$C$1577,'Site Level Financials - ''23 ''24'!V$2:V$1577)</f>
        <v>512.67723219232266</v>
      </c>
      <c r="K65" s="242">
        <f>_xlfn.XLOOKUP($C65,'Site Level Financials - ''23 ''24'!$C$2:$C$1577,'Site Level Financials - ''23 ''24'!W$2:W$1577)</f>
        <v>415.97600399454473</v>
      </c>
      <c r="L65" s="242">
        <f>_xlfn.XLOOKUP($C65,'Site Level Financials - ''23 ''24'!$C$2:$C$1577,'Site Level Financials - ''23 ''24'!X$2:X$1577)</f>
        <v>394.84093902945511</v>
      </c>
      <c r="M65" s="242">
        <f>_xlfn.XLOOKUP($C65,'Site Level Financials - ''23 ''24'!$C$2:$C$1577,'Site Level Financials - ''23 ''24'!Y$2:Y$1577)</f>
        <v>496.54547142144463</v>
      </c>
      <c r="N65" s="242">
        <f>_xlfn.XLOOKUP($C65,'Site Level Financials - ''23 ''24'!$C$2:$C$1577,'Site Level Financials - ''23 ''24'!Z$2:Z$1577)</f>
        <v>570.96420883181645</v>
      </c>
      <c r="O65" s="242">
        <f>_xlfn.XLOOKUP($C65,'Site Level Financials - ''23 ''24'!$C$2:$C$1577,'Site Level Financials - ''23 ''24'!AA$2:AA$1577)</f>
        <v>516.18497336294968</v>
      </c>
      <c r="P65" s="242">
        <f>_xlfn.XLOOKUP($C65,'Site Level Financials - ''23 ''24'!$C$2:$C$1577,'Site Level Financials - ''23 ''24'!AB$2:AB$1577)</f>
        <v>562.14878753958624</v>
      </c>
      <c r="Q65" s="242">
        <f>_xlfn.XLOOKUP($C65,'Site Level Financials - ''23 ''24'!$C$2:$C$1577,'Site Level Financials - ''23 ''24'!AC$2:AC$1577)</f>
        <v>510.04715468912769</v>
      </c>
      <c r="R65" s="242">
        <f>_xlfn.XLOOKUP($C65,'Site Level Financials - ''23 ''24'!$C$2:$C$1577,'Site Level Financials - ''23 ''24'!AD$2:AD$1577)</f>
        <v>316.599523077757</v>
      </c>
      <c r="S65" s="134">
        <f t="shared" ref="S65:AD65" si="80">S64*S63</f>
        <v>468.28812856965766</v>
      </c>
      <c r="T65" s="135">
        <f t="shared" si="80"/>
        <v>484.90243506474445</v>
      </c>
      <c r="U65" s="135">
        <f t="shared" si="80"/>
        <v>520.68301440673929</v>
      </c>
      <c r="V65" s="135">
        <f t="shared" si="80"/>
        <v>557.73562072977813</v>
      </c>
      <c r="W65" s="135">
        <f t="shared" si="80"/>
        <v>662.87530313914158</v>
      </c>
      <c r="X65" s="135">
        <f t="shared" si="80"/>
        <v>556.64870461041028</v>
      </c>
      <c r="Y65" s="135">
        <f t="shared" si="80"/>
        <v>666.42973222516912</v>
      </c>
      <c r="Z65" s="135">
        <f t="shared" si="80"/>
        <v>571.45738491823033</v>
      </c>
      <c r="AA65" s="135">
        <f t="shared" si="80"/>
        <v>523.93329558211735</v>
      </c>
      <c r="AB65" s="135">
        <f t="shared" si="80"/>
        <v>601.73358681262289</v>
      </c>
      <c r="AC65" s="135">
        <f t="shared" si="80"/>
        <v>475.65172286086363</v>
      </c>
      <c r="AD65" s="136">
        <f t="shared" si="80"/>
        <v>388.23290690373676</v>
      </c>
      <c r="AE65" s="15"/>
      <c r="AF65" s="113">
        <f>_xlfn.XLOOKUP($C65,'Site Level Financials - ''23 ''24'!$C$2:$C$1577,'Site Level Financials - ''23 ''24'!$AF$2:$AF$1577)</f>
        <v>4097.4259727010121</v>
      </c>
      <c r="AG65" s="95">
        <f>SUM(G65:R65)</f>
        <v>5823.9800234515551</v>
      </c>
      <c r="AH65" s="95">
        <f t="shared" ref="AH65" si="81">SUM(S65:AD65)</f>
        <v>6478.5718358232116</v>
      </c>
    </row>
    <row r="66" spans="2:34" x14ac:dyDescent="0.2">
      <c r="B66" s="9">
        <f>G55</f>
        <v>2</v>
      </c>
      <c r="C66" s="9" t="str">
        <f t="shared" si="76"/>
        <v>2 - Revenue as a % of Production</v>
      </c>
      <c r="D66" s="9" t="s">
        <v>56</v>
      </c>
      <c r="F66" s="7" t="s">
        <v>2</v>
      </c>
      <c r="G66" s="243">
        <f>_xlfn.XLOOKUP($C66,'Site Level Financials - ''23 ''24'!$C$2:$C$1577,'Site Level Financials - ''23 ''24'!S$2:S$1577)</f>
        <v>0.98521086410161607</v>
      </c>
      <c r="H66" s="244">
        <f>_xlfn.XLOOKUP($C66,'Site Level Financials - ''23 ''24'!$C$2:$C$1577,'Site Level Financials - ''23 ''24'!T$2:T$1577)</f>
        <v>0.98521086410161607</v>
      </c>
      <c r="I66" s="244">
        <f>_xlfn.XLOOKUP($C66,'Site Level Financials - ''23 ''24'!$C$2:$C$1577,'Site Level Financials - ''23 ''24'!U$2:U$1577)</f>
        <v>0.98521086410161607</v>
      </c>
      <c r="J66" s="244">
        <f>_xlfn.XLOOKUP($C66,'Site Level Financials - ''23 ''24'!$C$2:$C$1577,'Site Level Financials - ''23 ''24'!V$2:V$1577)</f>
        <v>0.98521086410161607</v>
      </c>
      <c r="K66" s="244">
        <f>_xlfn.XLOOKUP($C66,'Site Level Financials - ''23 ''24'!$C$2:$C$1577,'Site Level Financials - ''23 ''24'!W$2:W$1577)</f>
        <v>0.98521086410161607</v>
      </c>
      <c r="L66" s="244">
        <f>_xlfn.XLOOKUP($C66,'Site Level Financials - ''23 ''24'!$C$2:$C$1577,'Site Level Financials - ''23 ''24'!X$2:X$1577)</f>
        <v>0.98521086410161607</v>
      </c>
      <c r="M66" s="244">
        <f>_xlfn.XLOOKUP($C66,'Site Level Financials - ''23 ''24'!$C$2:$C$1577,'Site Level Financials - ''23 ''24'!Y$2:Y$1577)</f>
        <v>0.98521086410161607</v>
      </c>
      <c r="N66" s="244">
        <f>_xlfn.XLOOKUP($C66,'Site Level Financials - ''23 ''24'!$C$2:$C$1577,'Site Level Financials - ''23 ''24'!Z$2:Z$1577)</f>
        <v>0.98521086410161607</v>
      </c>
      <c r="O66" s="244">
        <f>_xlfn.XLOOKUP($C66,'Site Level Financials - ''23 ''24'!$C$2:$C$1577,'Site Level Financials - ''23 ''24'!AA$2:AA$1577)</f>
        <v>0.98521086410161607</v>
      </c>
      <c r="P66" s="244">
        <f>_xlfn.XLOOKUP($C66,'Site Level Financials - ''23 ''24'!$C$2:$C$1577,'Site Level Financials - ''23 ''24'!AB$2:AB$1577)</f>
        <v>0.98521086410161607</v>
      </c>
      <c r="Q66" s="244">
        <f>_xlfn.XLOOKUP($C66,'Site Level Financials - ''23 ''24'!$C$2:$C$1577,'Site Level Financials - ''23 ''24'!AC$2:AC$1577)</f>
        <v>0.98521086410161607</v>
      </c>
      <c r="R66" s="244">
        <f>_xlfn.XLOOKUP($C66,'Site Level Financials - ''23 ''24'!$C$2:$C$1577,'Site Level Financials - ''23 ''24'!AD$2:AD$1577)</f>
        <v>0.98521086410161607</v>
      </c>
      <c r="S66" s="292">
        <f>SUM(G95:R95)/SUM(G65:R65)</f>
        <v>0.97740173219733295</v>
      </c>
      <c r="T66" s="203">
        <f>S66</f>
        <v>0.97740173219733295</v>
      </c>
      <c r="U66" s="203">
        <f t="shared" ref="U66:AD66" si="82">T66</f>
        <v>0.97740173219733295</v>
      </c>
      <c r="V66" s="203">
        <f t="shared" si="82"/>
        <v>0.97740173219733295</v>
      </c>
      <c r="W66" s="203">
        <f t="shared" si="82"/>
        <v>0.97740173219733295</v>
      </c>
      <c r="X66" s="203">
        <f t="shared" si="82"/>
        <v>0.97740173219733295</v>
      </c>
      <c r="Y66" s="203">
        <f t="shared" si="82"/>
        <v>0.97740173219733295</v>
      </c>
      <c r="Z66" s="203">
        <f t="shared" si="82"/>
        <v>0.97740173219733295</v>
      </c>
      <c r="AA66" s="203">
        <f t="shared" si="82"/>
        <v>0.97740173219733295</v>
      </c>
      <c r="AB66" s="203">
        <f t="shared" si="82"/>
        <v>0.97740173219733295</v>
      </c>
      <c r="AC66" s="203">
        <f t="shared" si="82"/>
        <v>0.97740173219733295</v>
      </c>
      <c r="AD66" s="204">
        <f t="shared" si="82"/>
        <v>0.97740173219733295</v>
      </c>
      <c r="AE66" s="15"/>
      <c r="AF66" s="231">
        <f>_xlfn.XLOOKUP($C66,'Site Level Financials - ''23 ''24'!$C$2:$C$1577,'Site Level Financials - ''23 ''24'!$AF$2:$AF$1577)</f>
        <v>0.98156385862474793</v>
      </c>
      <c r="AG66" s="103">
        <f>AG67/AG65</f>
        <v>0.98521086410161618</v>
      </c>
      <c r="AH66" s="103">
        <f>AH67/AH65</f>
        <v>0.97740173219733306</v>
      </c>
    </row>
    <row r="67" spans="2:34" x14ac:dyDescent="0.2">
      <c r="B67" s="9">
        <f>G55</f>
        <v>2</v>
      </c>
      <c r="C67" s="9" t="str">
        <f t="shared" si="76"/>
        <v>2 - Total Revenue</v>
      </c>
      <c r="D67" s="9" t="s">
        <v>56</v>
      </c>
      <c r="F67" s="8" t="s">
        <v>3</v>
      </c>
      <c r="G67" s="241">
        <f>_xlfn.XLOOKUP($C67,'Site Level Financials - ''23 ''24'!$C$2:$C$1577,'Site Level Financials - ''23 ''24'!S$2:S$1577)</f>
        <v>556.14540899881104</v>
      </c>
      <c r="H67" s="242">
        <f>_xlfn.XLOOKUP($C67,'Site Level Financials - ''23 ''24'!$C$2:$C$1577,'Site Level Financials - ''23 ''24'!T$2:T$1577)</f>
        <v>458.53400090893416</v>
      </c>
      <c r="I67" s="242">
        <f>_xlfn.XLOOKUP($C67,'Site Level Financials - ''23 ''24'!$C$2:$C$1577,'Site Level Financials - ''23 ''24'!U$2:U$1577)</f>
        <v>490.71858291185237</v>
      </c>
      <c r="J67" s="242">
        <f>_xlfn.XLOOKUP($C67,'Site Level Financials - ''23 ''24'!$C$2:$C$1577,'Site Level Financials - ''23 ''24'!V$2:V$1577)</f>
        <v>505.09517893342309</v>
      </c>
      <c r="K67" s="242">
        <f>_xlfn.XLOOKUP($C67,'Site Level Financials - ''23 ''24'!$C$2:$C$1577,'Site Level Financials - ''23 ''24'!W$2:W$1577)</f>
        <v>409.82407834100269</v>
      </c>
      <c r="L67" s="242">
        <f>_xlfn.XLOOKUP($C67,'Site Level Financials - ''23 ''24'!$C$2:$C$1577,'Site Level Financials - ''23 ''24'!X$2:X$1577)</f>
        <v>389.00158272390297</v>
      </c>
      <c r="M67" s="242">
        <f>_xlfn.XLOOKUP($C67,'Site Level Financials - ''23 ''24'!$C$2:$C$1577,'Site Level Financials - ''23 ''24'!Y$2:Y$1577)</f>
        <v>489.20199296486578</v>
      </c>
      <c r="N67" s="242">
        <f>_xlfn.XLOOKUP($C67,'Site Level Financials - ''23 ''24'!$C$2:$C$1577,'Site Level Financials - ''23 ''24'!Z$2:Z$1577)</f>
        <v>562.52014155428947</v>
      </c>
      <c r="O67" s="242">
        <f>_xlfn.XLOOKUP($C67,'Site Level Financials - ''23 ''24'!$C$2:$C$1577,'Site Level Financials - ''23 ''24'!AA$2:AA$1577)</f>
        <v>508.55104364318134</v>
      </c>
      <c r="P67" s="242">
        <f>_xlfn.XLOOKUP($C67,'Site Level Financials - ''23 ''24'!$C$2:$C$1577,'Site Level Financials - ''23 ''24'!AB$2:AB$1577)</f>
        <v>553.83509272555159</v>
      </c>
      <c r="Q67" s="242">
        <f>_xlfn.XLOOKUP($C67,'Site Level Financials - ''23 ''24'!$C$2:$C$1577,'Site Level Financials - ''23 ''24'!AC$2:AC$1577)</f>
        <v>502.50399800384611</v>
      </c>
      <c r="R67" s="242">
        <f>_xlfn.XLOOKUP($C67,'Site Level Financials - ''23 ''24'!$C$2:$C$1577,'Site Level Financials - ''23 ''24'!AD$2:AD$1577)</f>
        <v>311.91728970559649</v>
      </c>
      <c r="S67" s="134">
        <f t="shared" ref="S67:AD67" si="83">S66*S65</f>
        <v>457.70562803143076</v>
      </c>
      <c r="T67" s="135">
        <f t="shared" si="83"/>
        <v>473.94447997898601</v>
      </c>
      <c r="U67" s="135">
        <f t="shared" si="83"/>
        <v>508.91648020687586</v>
      </c>
      <c r="V67" s="135">
        <f t="shared" si="83"/>
        <v>545.13176180943992</v>
      </c>
      <c r="W67" s="135">
        <f t="shared" si="83"/>
        <v>647.89546951902912</v>
      </c>
      <c r="X67" s="135">
        <f t="shared" si="83"/>
        <v>544.06940811161655</v>
      </c>
      <c r="Y67" s="135">
        <f t="shared" si="83"/>
        <v>651.36957466468505</v>
      </c>
      <c r="Z67" s="135">
        <f t="shared" si="83"/>
        <v>558.54343789603638</v>
      </c>
      <c r="AA67" s="135">
        <f t="shared" si="83"/>
        <v>512.09331065781873</v>
      </c>
      <c r="AB67" s="135">
        <f t="shared" si="83"/>
        <v>588.13545007197183</v>
      </c>
      <c r="AC67" s="135">
        <f t="shared" si="83"/>
        <v>464.90281784685385</v>
      </c>
      <c r="AD67" s="136">
        <f t="shared" si="83"/>
        <v>379.45951570371824</v>
      </c>
      <c r="AE67" s="15"/>
      <c r="AF67" s="113">
        <f>_xlfn.XLOOKUP($C67,'Site Level Financials - ''23 ''24'!$C$2:$C$1577,'Site Level Financials - ''23 ''24'!$AF$2:$AF$1577)</f>
        <v>4021.8852481936669</v>
      </c>
      <c r="AG67" s="95">
        <f>SUM(G67:R67)</f>
        <v>5737.8483914152575</v>
      </c>
      <c r="AH67" s="95">
        <f t="shared" ref="AH67" si="84">SUM(S67:AD67)</f>
        <v>6332.1673344984629</v>
      </c>
    </row>
    <row r="68" spans="2:34" x14ac:dyDescent="0.2">
      <c r="B68" s="9">
        <f>G55</f>
        <v>2</v>
      </c>
      <c r="C68" s="9" t="str">
        <f t="shared" si="76"/>
        <v>2 - % YoY Revenue Growth</v>
      </c>
      <c r="D68" s="9" t="s">
        <v>56</v>
      </c>
      <c r="F68" s="16" t="s">
        <v>174</v>
      </c>
      <c r="G68" s="245">
        <f>_xlfn.XLOOKUP($C68,'Site Level Financials - ''23 ''24'!$C$2:$C$1577,'Site Level Financials - ''23 ''24'!S$2:S$1577)</f>
        <v>2.7791732084713821</v>
      </c>
      <c r="H68" s="246">
        <f>_xlfn.XLOOKUP($C68,'Site Level Financials - ''23 ''24'!$C$2:$C$1577,'Site Level Financials - ''23 ''24'!T$2:T$1577)</f>
        <v>2.0296499586626013</v>
      </c>
      <c r="I68" s="246">
        <f>_xlfn.XLOOKUP($C68,'Site Level Financials - ''23 ''24'!$C$2:$C$1577,'Site Level Financials - ''23 ''24'!U$2:U$1577)</f>
        <v>1.5184772695247148</v>
      </c>
      <c r="J68" s="246">
        <f>_xlfn.XLOOKUP($C68,'Site Level Financials - ''23 ''24'!$C$2:$C$1577,'Site Level Financials - ''23 ''24'!V$2:V$1577)</f>
        <v>1.7544982954888253</v>
      </c>
      <c r="K68" s="246">
        <f>_xlfn.XLOOKUP($C68,'Site Level Financials - ''23 ''24'!$C$2:$C$1577,'Site Level Financials - ''23 ''24'!W$2:W$1577)</f>
        <v>0.76670819824150915</v>
      </c>
      <c r="L68" s="246">
        <f>_xlfn.XLOOKUP($C68,'Site Level Financials - ''23 ''24'!$C$2:$C$1577,'Site Level Financials - ''23 ''24'!X$2:X$1577)</f>
        <v>0.76699365818084875</v>
      </c>
      <c r="M68" s="246">
        <f>_xlfn.XLOOKUP($C68,'Site Level Financials - ''23 ''24'!$C$2:$C$1577,'Site Level Financials - ''23 ''24'!Y$2:Y$1577)</f>
        <v>0.36435827396922948</v>
      </c>
      <c r="N68" s="246">
        <f>_xlfn.XLOOKUP($C68,'Site Level Financials - ''23 ''24'!$C$2:$C$1577,'Site Level Financials - ''23 ''24'!Z$2:Z$1577)</f>
        <v>9.6948032827690156E-2</v>
      </c>
      <c r="O68" s="246">
        <f>_xlfn.XLOOKUP($C68,'Site Level Financials - ''23 ''24'!$C$2:$C$1577,'Site Level Financials - ''23 ''24'!AA$2:AA$1577)</f>
        <v>3.1894975193961894E-2</v>
      </c>
      <c r="P68" s="246">
        <f>_xlfn.XLOOKUP($C68,'Site Level Financials - ''23 ''24'!$C$2:$C$1577,'Site Level Financials - ''23 ''24'!AB$2:AB$1577)</f>
        <v>0.14772636843318443</v>
      </c>
      <c r="Q68" s="246">
        <f>_xlfn.XLOOKUP($C68,'Site Level Financials - ''23 ''24'!$C$2:$C$1577,'Site Level Financials - ''23 ''24'!AC$2:AC$1577)</f>
        <v>-8.234115838494882E-2</v>
      </c>
      <c r="R68" s="246">
        <f>_xlfn.XLOOKUP($C68,'Site Level Financials - ''23 ''24'!$C$2:$C$1577,'Site Level Financials - ''23 ''24'!AD$2:AD$1577)</f>
        <v>-0.37453886963224425</v>
      </c>
      <c r="S68" s="148">
        <f>S67/G67-1</f>
        <v>-0.17700367453287869</v>
      </c>
      <c r="T68" s="149">
        <f t="shared" ref="T68" si="85">T67/H67-1</f>
        <v>3.3608149100184947E-2</v>
      </c>
      <c r="U68" s="149">
        <f t="shared" ref="U68" si="86">U67/I67-1</f>
        <v>3.7084182113177544E-2</v>
      </c>
      <c r="V68" s="149">
        <f t="shared" ref="V68" si="87">V67/J67-1</f>
        <v>7.9265422727968771E-2</v>
      </c>
      <c r="W68" s="149">
        <f t="shared" ref="W68" si="88">W67/K67-1</f>
        <v>0.58091118545732234</v>
      </c>
      <c r="X68" s="149">
        <f t="shared" ref="X68" si="89">X67/L67-1</f>
        <v>0.39863031996395293</v>
      </c>
      <c r="Y68" s="149">
        <f t="shared" ref="Y68" si="90">Y67/M67-1</f>
        <v>0.3314941149707582</v>
      </c>
      <c r="Z68" s="149">
        <f t="shared" ref="Z68" si="91">Z67/N67-1</f>
        <v>-7.069442255463243E-3</v>
      </c>
      <c r="AA68" s="149">
        <f t="shared" ref="AA68" si="92">AA67/O67-1</f>
        <v>6.9654109630001848E-3</v>
      </c>
      <c r="AB68" s="149">
        <f t="shared" ref="AB68" si="93">AB67/P67-1</f>
        <v>6.1932437646051275E-2</v>
      </c>
      <c r="AC68" s="149">
        <f t="shared" ref="AC68" si="94">AC67/Q67-1</f>
        <v>-7.4827623872366633E-2</v>
      </c>
      <c r="AD68" s="150">
        <f t="shared" ref="AD68" si="95">AD67/R67-1</f>
        <v>0.21653889741691312</v>
      </c>
      <c r="AE68" s="15"/>
      <c r="AF68" s="11"/>
      <c r="AG68" s="97">
        <f>AG67/AF67-1</f>
        <v>0.42665641541918031</v>
      </c>
      <c r="AH68" s="97">
        <f>AH67/AG67-1</f>
        <v>0.10357871148572029</v>
      </c>
    </row>
    <row r="69" spans="2:34" ht="6" customHeight="1" x14ac:dyDescent="0.2">
      <c r="B69" s="9">
        <f>G55</f>
        <v>2</v>
      </c>
      <c r="C69" s="9" t="str">
        <f t="shared" si="76"/>
        <v xml:space="preserve">2 - </v>
      </c>
      <c r="D69" s="9" t="s">
        <v>56</v>
      </c>
      <c r="G69" s="80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80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81"/>
      <c r="AE69" s="15"/>
      <c r="AF69" s="11"/>
      <c r="AG69" s="15"/>
      <c r="AH69" s="15"/>
    </row>
    <row r="70" spans="2:34" x14ac:dyDescent="0.2">
      <c r="B70" s="9">
        <f>G55</f>
        <v>2</v>
      </c>
      <c r="C70" s="9" t="str">
        <f t="shared" si="76"/>
        <v>2 - Doctor Compensation</v>
      </c>
      <c r="D70" s="9" t="s">
        <v>56</v>
      </c>
      <c r="F70" t="s">
        <v>4</v>
      </c>
      <c r="G70" s="178">
        <f>_xlfn.XLOOKUP($C70,'Site Level Financials - ''23 ''24'!$C$2:$C$1577,'Site Level Financials - ''23 ''24'!S$2:S$1577)</f>
        <v>-91.878959778140143</v>
      </c>
      <c r="H70" s="179">
        <f>_xlfn.XLOOKUP($C70,'Site Level Financials - ''23 ''24'!$C$2:$C$1577,'Site Level Financials - ''23 ''24'!T$2:T$1577)</f>
        <v>-120.07230489714682</v>
      </c>
      <c r="I70" s="179">
        <f>_xlfn.XLOOKUP($C70,'Site Level Financials - ''23 ''24'!$C$2:$C$1577,'Site Level Financials - ''23 ''24'!U$2:U$1577)</f>
        <v>-126.41341134740341</v>
      </c>
      <c r="J70" s="179">
        <f>_xlfn.XLOOKUP($C70,'Site Level Financials - ''23 ''24'!$C$2:$C$1577,'Site Level Financials - ''23 ''24'!V$2:V$1577)</f>
        <v>-106.40046634430618</v>
      </c>
      <c r="K70" s="179">
        <f>_xlfn.XLOOKUP($C70,'Site Level Financials - ''23 ''24'!$C$2:$C$1577,'Site Level Financials - ''23 ''24'!W$2:W$1577)</f>
        <v>-126.71038145314728</v>
      </c>
      <c r="L70" s="179">
        <f>_xlfn.XLOOKUP($C70,'Site Level Financials - ''23 ''24'!$C$2:$C$1577,'Site Level Financials - ''23 ''24'!X$2:X$1577)</f>
        <v>-120.98996955752602</v>
      </c>
      <c r="M70" s="179">
        <f>_xlfn.XLOOKUP($C70,'Site Level Financials - ''23 ''24'!$C$2:$C$1577,'Site Level Financials - ''23 ''24'!Y$2:Y$1577)</f>
        <v>-132.9003773731209</v>
      </c>
      <c r="N70" s="179">
        <f>_xlfn.XLOOKUP($C70,'Site Level Financials - ''23 ''24'!$C$2:$C$1577,'Site Level Financials - ''23 ''24'!Z$2:Z$1577)</f>
        <v>-142.61027805690395</v>
      </c>
      <c r="O70" s="179">
        <f>_xlfn.XLOOKUP($C70,'Site Level Financials - ''23 ''24'!$C$2:$C$1577,'Site Level Financials - ''23 ''24'!AA$2:AA$1577)</f>
        <v>-129.19315344296061</v>
      </c>
      <c r="P70" s="179">
        <f>_xlfn.XLOOKUP($C70,'Site Level Financials - ''23 ''24'!$C$2:$C$1577,'Site Level Financials - ''23 ''24'!AB$2:AB$1577)</f>
        <v>-144.55018306234825</v>
      </c>
      <c r="Q70" s="179">
        <f>_xlfn.XLOOKUP($C70,'Site Level Financials - ''23 ''24'!$C$2:$C$1577,'Site Level Financials - ''23 ''24'!AC$2:AC$1577)</f>
        <v>-115.97414856048266</v>
      </c>
      <c r="R70" s="179">
        <f>_xlfn.XLOOKUP($C70,'Site Level Financials - ''23 ''24'!$C$2:$C$1577,'Site Level Financials - ''23 ''24'!AD$2:AD$1577)</f>
        <v>-96.371517786880872</v>
      </c>
      <c r="S70" s="155">
        <f>S71*S67</f>
        <v>-75.616046285150773</v>
      </c>
      <c r="T70" s="154">
        <f t="shared" ref="T70" si="96">T71*T67</f>
        <v>-124.10771282293302</v>
      </c>
      <c r="U70" s="154">
        <f t="shared" ref="U70" si="97">U71*U67</f>
        <v>-131.10134931535853</v>
      </c>
      <c r="V70" s="154">
        <f t="shared" ref="V70" si="98">V71*V67</f>
        <v>-114.83434428754063</v>
      </c>
      <c r="W70" s="154">
        <f t="shared" ref="W70" si="99">W71*W67</f>
        <v>-200.31785935284458</v>
      </c>
      <c r="X70" s="154">
        <f t="shared" ref="X70" si="100">X71*X67</f>
        <v>-169.22023983467156</v>
      </c>
      <c r="Y70" s="154">
        <f t="shared" ref="Y70" si="101">Y71*Y67</f>
        <v>-176.9560703497034</v>
      </c>
      <c r="Z70" s="154">
        <f t="shared" ref="Z70" si="102">Z71*Z67</f>
        <v>-141.60210293114511</v>
      </c>
      <c r="AA70" s="154">
        <f t="shared" ref="AA70" si="103">AA71*AA67</f>
        <v>-130.09303685029676</v>
      </c>
      <c r="AB70" s="154">
        <f t="shared" ref="AB70" si="104">AB71*AB67</f>
        <v>-153.50252826158243</v>
      </c>
      <c r="AC70" s="154">
        <f t="shared" ref="AC70" si="105">AC71*AC67</f>
        <v>-107.29607859308091</v>
      </c>
      <c r="AD70" s="156">
        <f t="shared" ref="AD70" si="106">AD71*AD67</f>
        <v>-117.23969999084649</v>
      </c>
      <c r="AE70" s="15"/>
      <c r="AF70" s="115">
        <f>_xlfn.XLOOKUP($C70,'Site Level Financials - ''23 ''24'!$C$2:$C$1577,'Site Level Financials - ''23 ''24'!$AF$2:$AF$1577)</f>
        <v>-924.91045517290729</v>
      </c>
      <c r="AG70" s="93">
        <f>SUM(G70:R70)</f>
        <v>-1454.0651516603671</v>
      </c>
      <c r="AH70" s="93">
        <f t="shared" ref="AH70" si="107">SUM(S70:AD70)</f>
        <v>-1641.8870688751542</v>
      </c>
    </row>
    <row r="71" spans="2:34" x14ac:dyDescent="0.2">
      <c r="B71" s="9">
        <f>G55</f>
        <v>2</v>
      </c>
      <c r="C71" s="9" t="str">
        <f t="shared" si="76"/>
        <v>2 - % of Revenue - Doctor Compensation</v>
      </c>
      <c r="D71" s="9" t="s">
        <v>56</v>
      </c>
      <c r="F71" s="16" t="str">
        <f>"% of Revenue - "&amp;F70</f>
        <v>% of Revenue - Doctor Compensation</v>
      </c>
      <c r="G71" s="148">
        <f>G70/G67</f>
        <v>-0.1652067216441529</v>
      </c>
      <c r="H71" s="149">
        <f t="shared" ref="H71:R71" si="108">H70/H67</f>
        <v>-0.26186128980431583</v>
      </c>
      <c r="I71" s="149">
        <f t="shared" si="108"/>
        <v>-0.25760877160445955</v>
      </c>
      <c r="J71" s="149">
        <f t="shared" si="108"/>
        <v>-0.21065429008644507</v>
      </c>
      <c r="K71" s="149">
        <f t="shared" si="108"/>
        <v>-0.30918237397392562</v>
      </c>
      <c r="L71" s="149">
        <f t="shared" si="108"/>
        <v>-0.31102693390170505</v>
      </c>
      <c r="M71" s="149">
        <f t="shared" si="108"/>
        <v>-0.27166769409025227</v>
      </c>
      <c r="N71" s="149">
        <f t="shared" si="108"/>
        <v>-0.25352030535806241</v>
      </c>
      <c r="O71" s="149">
        <f t="shared" si="108"/>
        <v>-0.25404166417089769</v>
      </c>
      <c r="P71" s="149">
        <f t="shared" si="108"/>
        <v>-0.26099859860989144</v>
      </c>
      <c r="Q71" s="149">
        <f t="shared" si="108"/>
        <v>-0.23079248925616511</v>
      </c>
      <c r="R71" s="149">
        <f t="shared" si="108"/>
        <v>-0.30896497554797697</v>
      </c>
      <c r="S71" s="245">
        <f>_xlfn.XLOOKUP($F71,'Budget Assumption Driver'!$A$33:$A$39,'Budget Assumption Driver'!E$33:E$39)+G71</f>
        <v>-0.1652067216441529</v>
      </c>
      <c r="T71" s="246">
        <f>_xlfn.XLOOKUP($F71,'Budget Assumption Driver'!$A$33:$A$39,'Budget Assumption Driver'!F$33:F$39)+H71</f>
        <v>-0.26186128980431583</v>
      </c>
      <c r="U71" s="246">
        <f>_xlfn.XLOOKUP($F71,'Budget Assumption Driver'!$A$33:$A$39,'Budget Assumption Driver'!G$33:G$39)+I71</f>
        <v>-0.25760877160445955</v>
      </c>
      <c r="V71" s="246">
        <f>_xlfn.XLOOKUP($F71,'Budget Assumption Driver'!$A$33:$A$39,'Budget Assumption Driver'!H$33:H$39)+J71</f>
        <v>-0.21065429008644507</v>
      </c>
      <c r="W71" s="246">
        <f>_xlfn.XLOOKUP($F71,'Budget Assumption Driver'!$A$33:$A$39,'Budget Assumption Driver'!I$33:I$39)+K71</f>
        <v>-0.30918237397392562</v>
      </c>
      <c r="X71" s="246">
        <f>_xlfn.XLOOKUP($F71,'Budget Assumption Driver'!$A$33:$A$39,'Budget Assumption Driver'!J$33:J$39)+L71</f>
        <v>-0.31102693390170505</v>
      </c>
      <c r="Y71" s="246">
        <f>_xlfn.XLOOKUP($F71,'Budget Assumption Driver'!$A$33:$A$39,'Budget Assumption Driver'!K$33:K$39)+M71</f>
        <v>-0.27166769409025227</v>
      </c>
      <c r="Z71" s="246">
        <f>_xlfn.XLOOKUP($F71,'Budget Assumption Driver'!$A$33:$A$39,'Budget Assumption Driver'!L$33:L$39)+N71</f>
        <v>-0.25352030535806241</v>
      </c>
      <c r="AA71" s="246">
        <f>_xlfn.XLOOKUP($F71,'Budget Assumption Driver'!$A$33:$A$39,'Budget Assumption Driver'!M$33:M$39)+O71</f>
        <v>-0.25404166417089769</v>
      </c>
      <c r="AB71" s="246">
        <f>_xlfn.XLOOKUP($F71,'Budget Assumption Driver'!$A$33:$A$39,'Budget Assumption Driver'!N$33:N$39)+P71</f>
        <v>-0.26099859860989144</v>
      </c>
      <c r="AC71" s="246">
        <f>_xlfn.XLOOKUP($F71,'Budget Assumption Driver'!$A$33:$A$39,'Budget Assumption Driver'!O$33:O$39)+Q71</f>
        <v>-0.23079248925616511</v>
      </c>
      <c r="AD71" s="296">
        <f>_xlfn.XLOOKUP($F71,'Budget Assumption Driver'!$A$33:$A$39,'Budget Assumption Driver'!P$33:P$39)+R71</f>
        <v>-0.30896497554797697</v>
      </c>
      <c r="AE71" s="15"/>
      <c r="AF71" s="232">
        <f>_xlfn.XLOOKUP($C71,'Site Level Financials - ''23 ''24'!$C$2:$C$1577,'Site Level Financials - ''23 ''24'!$AF$2:$AF$1577)</f>
        <v>-0.22996937955609464</v>
      </c>
      <c r="AG71" s="97">
        <f t="shared" ref="AG71:AH71" si="109">AG70/AG67</f>
        <v>-0.25341644680537079</v>
      </c>
      <c r="AH71" s="97">
        <f t="shared" si="109"/>
        <v>-0.25929306383454875</v>
      </c>
    </row>
    <row r="72" spans="2:34" ht="3" customHeight="1" x14ac:dyDescent="0.2">
      <c r="B72" s="9">
        <f>G55</f>
        <v>2</v>
      </c>
      <c r="C72" s="9" t="str">
        <f t="shared" si="76"/>
        <v xml:space="preserve">2 - </v>
      </c>
      <c r="D72" s="9" t="s">
        <v>56</v>
      </c>
      <c r="F72" s="16"/>
      <c r="G72" s="84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4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6"/>
      <c r="AE72" s="15"/>
      <c r="AF72" s="36"/>
      <c r="AG72" s="38"/>
      <c r="AH72" s="38"/>
    </row>
    <row r="73" spans="2:34" x14ac:dyDescent="0.2">
      <c r="B73" s="9">
        <f>G55</f>
        <v>2</v>
      </c>
      <c r="C73" s="9" t="str">
        <f t="shared" si="76"/>
        <v>2 - Administrative Staff Compensation</v>
      </c>
      <c r="D73" s="9" t="s">
        <v>56</v>
      </c>
      <c r="F73" t="s">
        <v>5</v>
      </c>
      <c r="G73" s="178">
        <f>_xlfn.XLOOKUP($C73,'Site Level Financials - ''23 ''24'!$C$2:$C$1577,'Site Level Financials - ''23 ''24'!S$2:S$1577)</f>
        <v>-55.327627979209502</v>
      </c>
      <c r="H73" s="179">
        <f>_xlfn.XLOOKUP($C73,'Site Level Financials - ''23 ''24'!$C$2:$C$1577,'Site Level Financials - ''23 ''24'!T$2:T$1577)</f>
        <v>-52.981192420526597</v>
      </c>
      <c r="I73" s="179">
        <f>_xlfn.XLOOKUP($C73,'Site Level Financials - ''23 ''24'!$C$2:$C$1577,'Site Level Financials - ''23 ''24'!U$2:U$1577)</f>
        <v>-57.161149989458345</v>
      </c>
      <c r="J73" s="179">
        <f>_xlfn.XLOOKUP($C73,'Site Level Financials - ''23 ''24'!$C$2:$C$1577,'Site Level Financials - ''23 ''24'!V$2:V$1577)</f>
        <v>-61.260980802870414</v>
      </c>
      <c r="K73" s="179">
        <f>_xlfn.XLOOKUP($C73,'Site Level Financials - ''23 ''24'!$C$2:$C$1577,'Site Level Financials - ''23 ''24'!W$2:W$1577)</f>
        <v>-72.771924561371762</v>
      </c>
      <c r="L73" s="179">
        <f>_xlfn.XLOOKUP($C73,'Site Level Financials - ''23 ''24'!$C$2:$C$1577,'Site Level Financials - ''23 ''24'!X$2:X$1577)</f>
        <v>-72.025328986874285</v>
      </c>
      <c r="M73" s="179">
        <f>_xlfn.XLOOKUP($C73,'Site Level Financials - ''23 ''24'!$C$2:$C$1577,'Site Level Financials - ''23 ''24'!Y$2:Y$1577)</f>
        <v>-60.145438591414774</v>
      </c>
      <c r="N73" s="179">
        <f>_xlfn.XLOOKUP($C73,'Site Level Financials - ''23 ''24'!$C$2:$C$1577,'Site Level Financials - ''23 ''24'!Z$2:Z$1577)</f>
        <v>-49.770814371335497</v>
      </c>
      <c r="O73" s="179">
        <f>_xlfn.XLOOKUP($C73,'Site Level Financials - ''23 ''24'!$C$2:$C$1577,'Site Level Financials - ''23 ''24'!AA$2:AA$1577)</f>
        <v>-50.997830260344379</v>
      </c>
      <c r="P73" s="179">
        <f>_xlfn.XLOOKUP($C73,'Site Level Financials - ''23 ''24'!$C$2:$C$1577,'Site Level Financials - ''23 ''24'!AB$2:AB$1577)</f>
        <v>-69.695372308909285</v>
      </c>
      <c r="Q73" s="179">
        <f>_xlfn.XLOOKUP($C73,'Site Level Financials - ''23 ''24'!$C$2:$C$1577,'Site Level Financials - ''23 ''24'!AC$2:AC$1577)</f>
        <v>-59.585915479488833</v>
      </c>
      <c r="R73" s="179">
        <f>_xlfn.XLOOKUP($C73,'Site Level Financials - ''23 ''24'!$C$2:$C$1577,'Site Level Financials - ''23 ''24'!AD$2:AD$1577)</f>
        <v>-50.435623624406915</v>
      </c>
      <c r="S73" s="155">
        <f>S74*S67</f>
        <v>-45.534434523701307</v>
      </c>
      <c r="T73" s="154">
        <f t="shared" ref="T73" si="110">T74*T67</f>
        <v>-54.76179223490125</v>
      </c>
      <c r="U73" s="154">
        <f t="shared" ref="U73" si="111">U74*U67</f>
        <v>-59.280924485466066</v>
      </c>
      <c r="V73" s="154">
        <f t="shared" ref="V73" si="112">V74*V67</f>
        <v>-66.116858342939921</v>
      </c>
      <c r="W73" s="154">
        <f t="shared" ref="W73" si="113">W74*W67</f>
        <v>-115.04594952632907</v>
      </c>
      <c r="X73" s="154">
        <f t="shared" ref="X73" si="114">X74*X67</f>
        <v>-100.73680892642096</v>
      </c>
      <c r="Y73" s="154">
        <f t="shared" ref="Y73" si="115">Y74*Y67</f>
        <v>-80.083297526803904</v>
      </c>
      <c r="Z73" s="154">
        <f t="shared" ref="Z73" si="116">Z74*Z67</f>
        <v>-49.418962473129959</v>
      </c>
      <c r="AA73" s="154">
        <f t="shared" ref="AA73" si="117">AA74*AA67</f>
        <v>-51.353051106328998</v>
      </c>
      <c r="AB73" s="154">
        <f t="shared" ref="AB73" si="118">AB74*AB67</f>
        <v>-74.011776608649129</v>
      </c>
      <c r="AC73" s="154">
        <f t="shared" ref="AC73" si="119">AC74*AC67</f>
        <v>-55.127243007899018</v>
      </c>
      <c r="AD73" s="156">
        <f t="shared" ref="AD73" si="120">AD74*AD67</f>
        <v>-61.356897954570407</v>
      </c>
      <c r="AE73" s="15"/>
      <c r="AF73" s="115">
        <f>_xlfn.XLOOKUP($C73,'Site Level Financials - ''23 ''24'!$C$2:$C$1577,'Site Level Financials - ''23 ''24'!$AF$2:$AF$1577)</f>
        <v>-430.20319198510214</v>
      </c>
      <c r="AG73" s="93">
        <f>SUM(G73:R73)</f>
        <v>-712.15919937621061</v>
      </c>
      <c r="AH73" s="93">
        <f t="shared" ref="AH73" si="121">SUM(S73:AD73)</f>
        <v>-812.82799671713997</v>
      </c>
    </row>
    <row r="74" spans="2:34" x14ac:dyDescent="0.2">
      <c r="B74" s="9">
        <f>G55</f>
        <v>2</v>
      </c>
      <c r="C74" s="9" t="str">
        <f t="shared" si="76"/>
        <v>2 - % of Revenue - Administrative Staff Compensation</v>
      </c>
      <c r="D74" s="9" t="s">
        <v>56</v>
      </c>
      <c r="F74" s="16" t="str">
        <f>"% of Revenue - "&amp;F73</f>
        <v>% of Revenue - Administrative Staff Compensation</v>
      </c>
      <c r="G74" s="148">
        <f>G73/G67</f>
        <v>-9.9484104487730804E-2</v>
      </c>
      <c r="H74" s="149">
        <f t="shared" ref="H74:R74" si="122">H73/H67</f>
        <v>-0.11554474109990542</v>
      </c>
      <c r="I74" s="149">
        <f t="shared" si="122"/>
        <v>-0.11648458399572405</v>
      </c>
      <c r="J74" s="149">
        <f t="shared" si="122"/>
        <v>-0.12128601372167376</v>
      </c>
      <c r="K74" s="149">
        <f t="shared" si="122"/>
        <v>-0.17756868960935077</v>
      </c>
      <c r="L74" s="149">
        <f t="shared" si="122"/>
        <v>-0.18515433403260687</v>
      </c>
      <c r="M74" s="149">
        <f t="shared" si="122"/>
        <v>-0.12294602118625135</v>
      </c>
      <c r="N74" s="149">
        <f t="shared" si="122"/>
        <v>-8.8478279611134705E-2</v>
      </c>
      <c r="O74" s="149">
        <f t="shared" si="122"/>
        <v>-0.1002806520560921</v>
      </c>
      <c r="P74" s="149">
        <f t="shared" si="122"/>
        <v>-0.12584137990592489</v>
      </c>
      <c r="Q74" s="149">
        <f t="shared" si="122"/>
        <v>-0.11857799284421369</v>
      </c>
      <c r="R74" s="149">
        <f t="shared" si="122"/>
        <v>-0.16169550483081793</v>
      </c>
      <c r="S74" s="245">
        <f>_xlfn.XLOOKUP($F74,'Budget Assumption Driver'!$A$33:$A$39,'Budget Assumption Driver'!E$33:E$39)+G74</f>
        <v>-9.9484104487730804E-2</v>
      </c>
      <c r="T74" s="246">
        <f>_xlfn.XLOOKUP($F74,'Budget Assumption Driver'!$A$33:$A$39,'Budget Assumption Driver'!F$33:F$39)+H74</f>
        <v>-0.11554474109990542</v>
      </c>
      <c r="U74" s="246">
        <f>_xlfn.XLOOKUP($F74,'Budget Assumption Driver'!$A$33:$A$39,'Budget Assumption Driver'!G$33:G$39)+I74</f>
        <v>-0.11648458399572405</v>
      </c>
      <c r="V74" s="246">
        <f>_xlfn.XLOOKUP($F74,'Budget Assumption Driver'!$A$33:$A$39,'Budget Assumption Driver'!H$33:H$39)+J74</f>
        <v>-0.12128601372167376</v>
      </c>
      <c r="W74" s="246">
        <f>_xlfn.XLOOKUP($F74,'Budget Assumption Driver'!$A$33:$A$39,'Budget Assumption Driver'!I$33:I$39)+K74</f>
        <v>-0.17756868960935077</v>
      </c>
      <c r="X74" s="246">
        <f>_xlfn.XLOOKUP($F74,'Budget Assumption Driver'!$A$33:$A$39,'Budget Assumption Driver'!J$33:J$39)+L74</f>
        <v>-0.18515433403260687</v>
      </c>
      <c r="Y74" s="246">
        <f>_xlfn.XLOOKUP($F74,'Budget Assumption Driver'!$A$33:$A$39,'Budget Assumption Driver'!K$33:K$39)+M74</f>
        <v>-0.12294602118625135</v>
      </c>
      <c r="Z74" s="246">
        <f>_xlfn.XLOOKUP($F74,'Budget Assumption Driver'!$A$33:$A$39,'Budget Assumption Driver'!L$33:L$39)+N74</f>
        <v>-8.8478279611134705E-2</v>
      </c>
      <c r="AA74" s="246">
        <f>_xlfn.XLOOKUP($F74,'Budget Assumption Driver'!$A$33:$A$39,'Budget Assumption Driver'!M$33:M$39)+O74</f>
        <v>-0.1002806520560921</v>
      </c>
      <c r="AB74" s="246">
        <f>_xlfn.XLOOKUP($F74,'Budget Assumption Driver'!$A$33:$A$39,'Budget Assumption Driver'!N$33:N$39)+P74</f>
        <v>-0.12584137990592489</v>
      </c>
      <c r="AC74" s="246">
        <f>_xlfn.XLOOKUP($F74,'Budget Assumption Driver'!$A$33:$A$39,'Budget Assumption Driver'!O$33:O$39)+Q74</f>
        <v>-0.11857799284421369</v>
      </c>
      <c r="AD74" s="296">
        <f>_xlfn.XLOOKUP($F74,'Budget Assumption Driver'!$A$33:$A$39,'Budget Assumption Driver'!P$33:P$39)+R74</f>
        <v>-0.16169550483081793</v>
      </c>
      <c r="AE74" s="15"/>
      <c r="AF74" s="232">
        <f>_xlfn.XLOOKUP($C74,'Site Level Financials - ''23 ''24'!$C$2:$C$1577,'Site Level Financials - ''23 ''24'!$AF$2:$AF$1577)</f>
        <v>-0.10696555606063539</v>
      </c>
      <c r="AG74" s="97">
        <f t="shared" ref="AG74:AH74" si="123">AG73/AG67</f>
        <v>-0.12411607118126633</v>
      </c>
      <c r="AH74" s="97">
        <f t="shared" si="123"/>
        <v>-0.12836489526875711</v>
      </c>
    </row>
    <row r="75" spans="2:34" ht="3" customHeight="1" x14ac:dyDescent="0.2">
      <c r="B75" s="9">
        <f>G55</f>
        <v>2</v>
      </c>
      <c r="C75" s="9" t="str">
        <f t="shared" si="76"/>
        <v xml:space="preserve">2 - </v>
      </c>
      <c r="D75" s="9" t="s">
        <v>56</v>
      </c>
      <c r="F75" s="16"/>
      <c r="G75" s="84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4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6"/>
      <c r="AE75" s="15"/>
      <c r="AF75" s="36"/>
      <c r="AG75" s="38"/>
      <c r="AH75" s="38"/>
    </row>
    <row r="76" spans="2:34" x14ac:dyDescent="0.2">
      <c r="B76" s="9">
        <f>G55</f>
        <v>2</v>
      </c>
      <c r="C76" s="9" t="str">
        <f t="shared" si="76"/>
        <v>2 - Office Supplies</v>
      </c>
      <c r="D76" s="9" t="s">
        <v>56</v>
      </c>
      <c r="F76" t="s">
        <v>6</v>
      </c>
      <c r="G76" s="178">
        <f>_xlfn.XLOOKUP($C76,'Site Level Financials - ''23 ''24'!$C$2:$C$1577,'Site Level Financials - ''23 ''24'!S$2:S$1577)</f>
        <v>-11.896386572188066</v>
      </c>
      <c r="H76" s="179">
        <f>_xlfn.XLOOKUP($C76,'Site Level Financials - ''23 ''24'!$C$2:$C$1577,'Site Level Financials - ''23 ''24'!T$2:T$1577)</f>
        <v>-12.221992304491875</v>
      </c>
      <c r="I76" s="179">
        <f>_xlfn.XLOOKUP($C76,'Site Level Financials - ''23 ''24'!$C$2:$C$1577,'Site Level Financials - ''23 ''24'!U$2:U$1577)</f>
        <v>-13.432747314391323</v>
      </c>
      <c r="J76" s="179">
        <f>_xlfn.XLOOKUP($C76,'Site Level Financials - ''23 ''24'!$C$2:$C$1577,'Site Level Financials - ''23 ''24'!V$2:V$1577)</f>
        <v>-13.623182775938568</v>
      </c>
      <c r="K76" s="179">
        <f>_xlfn.XLOOKUP($C76,'Site Level Financials - ''23 ''24'!$C$2:$C$1577,'Site Level Financials - ''23 ''24'!W$2:W$1577)</f>
        <v>-16.700416333963943</v>
      </c>
      <c r="L76" s="179">
        <f>_xlfn.XLOOKUP($C76,'Site Level Financials - ''23 ''24'!$C$2:$C$1577,'Site Level Financials - ''23 ''24'!X$2:X$1577)</f>
        <v>-17.009541299436254</v>
      </c>
      <c r="M76" s="179">
        <f>_xlfn.XLOOKUP($C76,'Site Level Financials - ''23 ''24'!$C$2:$C$1577,'Site Level Financials - ''23 ''24'!Y$2:Y$1577)</f>
        <v>-14.033907282169492</v>
      </c>
      <c r="N76" s="179">
        <f>_xlfn.XLOOKUP($C76,'Site Level Financials - ''23 ''24'!$C$2:$C$1577,'Site Level Financials - ''23 ''24'!Z$2:Z$1577)</f>
        <v>-11.282312202380441</v>
      </c>
      <c r="O76" s="179">
        <f>_xlfn.XLOOKUP($C76,'Site Level Financials - ''23 ''24'!$C$2:$C$1577,'Site Level Financials - ''23 ''24'!AA$2:AA$1577)</f>
        <v>-11.444751841390909</v>
      </c>
      <c r="P76" s="179">
        <f>_xlfn.XLOOKUP($C76,'Site Level Financials - ''23 ''24'!$C$2:$C$1577,'Site Level Financials - ''23 ''24'!AB$2:AB$1577)</f>
        <v>-12.323355834883786</v>
      </c>
      <c r="Q76" s="179">
        <f>_xlfn.XLOOKUP($C76,'Site Level Financials - ''23 ''24'!$C$2:$C$1577,'Site Level Financials - ''23 ''24'!AC$2:AC$1577)</f>
        <v>-10.412950708073334</v>
      </c>
      <c r="R76" s="179">
        <f>_xlfn.XLOOKUP($C76,'Site Level Financials - ''23 ''24'!$C$2:$C$1577,'Site Level Financials - ''23 ''24'!AD$2:AD$1577)</f>
        <v>-9.0373056066791033</v>
      </c>
      <c r="S76" s="155">
        <f>S77*S67</f>
        <v>-9.7906824352471808</v>
      </c>
      <c r="T76" s="154">
        <f t="shared" ref="T76" si="124">T77*T67</f>
        <v>-12.632750844162553</v>
      </c>
      <c r="U76" s="154">
        <f t="shared" ref="U76" si="125">U77*U67</f>
        <v>-13.930889762078506</v>
      </c>
      <c r="V76" s="154">
        <f t="shared" ref="V76" si="126">V77*V67</f>
        <v>-14.703030117573723</v>
      </c>
      <c r="W76" s="154">
        <f t="shared" ref="W76" si="127">W77*W67</f>
        <v>-26.401874984157764</v>
      </c>
      <c r="X76" s="154">
        <f t="shared" ref="X76" si="128">X77*X67</f>
        <v>-23.790060190070601</v>
      </c>
      <c r="Y76" s="154">
        <f t="shared" ref="Y76" si="129">Y77*Y67</f>
        <v>-18.686064956253947</v>
      </c>
      <c r="Z76" s="154">
        <f t="shared" ref="Z76" si="130">Z77*Z67</f>
        <v>-11.202552547757604</v>
      </c>
      <c r="AA76" s="154">
        <f t="shared" ref="AA76" si="131">AA77*AA67</f>
        <v>-11.524469241335749</v>
      </c>
      <c r="AB76" s="154">
        <f t="shared" ref="AB76" si="132">AB77*AB67</f>
        <v>-13.086571301717829</v>
      </c>
      <c r="AC76" s="154">
        <f t="shared" ref="AC76" si="133">AC77*AC67</f>
        <v>-9.6337743490881298</v>
      </c>
      <c r="AD76" s="156">
        <f t="shared" ref="AD76" si="134">AD77*AD67</f>
        <v>-10.994233798369084</v>
      </c>
      <c r="AE76" s="15"/>
      <c r="AF76" s="115">
        <f>_xlfn.XLOOKUP($C76,'Site Level Financials - ''23 ''24'!$C$2:$C$1577,'Site Level Financials - ''23 ''24'!$AF$2:$AF$1577)</f>
        <v>-142.09965911733082</v>
      </c>
      <c r="AG76" s="93">
        <f>SUM(G76:R76)</f>
        <v>-153.41885007598711</v>
      </c>
      <c r="AH76" s="93">
        <f t="shared" ref="AH76" si="135">SUM(S76:AD76)</f>
        <v>-176.37695452781267</v>
      </c>
    </row>
    <row r="77" spans="2:34" x14ac:dyDescent="0.2">
      <c r="B77" s="9">
        <f>G55</f>
        <v>2</v>
      </c>
      <c r="C77" s="9" t="str">
        <f t="shared" si="76"/>
        <v>2 - % of Revenue - Office Supplies</v>
      </c>
      <c r="D77" s="9" t="s">
        <v>56</v>
      </c>
      <c r="F77" s="16" t="str">
        <f>"% of Revenue - "&amp;F76</f>
        <v>% of Revenue - Office Supplies</v>
      </c>
      <c r="G77" s="148">
        <f>G76/G67</f>
        <v>-2.1390784459776956E-2</v>
      </c>
      <c r="H77" s="149">
        <f t="shared" ref="H77:R77" si="136">H76/H67</f>
        <v>-2.6654495152518012E-2</v>
      </c>
      <c r="I77" s="149">
        <f t="shared" si="136"/>
        <v>-2.7373626722435013E-2</v>
      </c>
      <c r="J77" s="149">
        <f t="shared" si="136"/>
        <v>-2.6971516150096235E-2</v>
      </c>
      <c r="K77" s="149">
        <f t="shared" si="136"/>
        <v>-4.0750207751502614E-2</v>
      </c>
      <c r="L77" s="149">
        <f t="shared" si="136"/>
        <v>-4.3726149339368921E-2</v>
      </c>
      <c r="M77" s="149">
        <f t="shared" si="136"/>
        <v>-2.8687346911886763E-2</v>
      </c>
      <c r="N77" s="149">
        <f t="shared" si="136"/>
        <v>-2.0056725740000142E-2</v>
      </c>
      <c r="O77" s="149">
        <f t="shared" si="136"/>
        <v>-2.2504627577602573E-2</v>
      </c>
      <c r="P77" s="149">
        <f t="shared" si="136"/>
        <v>-2.2250947974852369E-2</v>
      </c>
      <c r="Q77" s="149">
        <f t="shared" si="136"/>
        <v>-2.0722125096393033E-2</v>
      </c>
      <c r="R77" s="149">
        <f t="shared" si="136"/>
        <v>-2.8973403863597862E-2</v>
      </c>
      <c r="S77" s="245">
        <f>_xlfn.XLOOKUP($F77,'Budget Assumption Driver'!$A$33:$A$39,'Budget Assumption Driver'!E$33:E$39)+G77</f>
        <v>-2.1390784459776956E-2</v>
      </c>
      <c r="T77" s="246">
        <f>_xlfn.XLOOKUP($F77,'Budget Assumption Driver'!$A$33:$A$39,'Budget Assumption Driver'!F$33:F$39)+H77</f>
        <v>-2.6654495152518012E-2</v>
      </c>
      <c r="U77" s="246">
        <f>_xlfn.XLOOKUP($F77,'Budget Assumption Driver'!$A$33:$A$39,'Budget Assumption Driver'!G$33:G$39)+I77</f>
        <v>-2.7373626722435013E-2</v>
      </c>
      <c r="V77" s="246">
        <f>_xlfn.XLOOKUP($F77,'Budget Assumption Driver'!$A$33:$A$39,'Budget Assumption Driver'!H$33:H$39)+J77</f>
        <v>-2.6971516150096235E-2</v>
      </c>
      <c r="W77" s="246">
        <f>_xlfn.XLOOKUP($F77,'Budget Assumption Driver'!$A$33:$A$39,'Budget Assumption Driver'!I$33:I$39)+K77</f>
        <v>-4.0750207751502614E-2</v>
      </c>
      <c r="X77" s="246">
        <f>_xlfn.XLOOKUP($F77,'Budget Assumption Driver'!$A$33:$A$39,'Budget Assumption Driver'!J$33:J$39)+L77</f>
        <v>-4.3726149339368921E-2</v>
      </c>
      <c r="Y77" s="246">
        <f>_xlfn.XLOOKUP($F77,'Budget Assumption Driver'!$A$33:$A$39,'Budget Assumption Driver'!K$33:K$39)+M77</f>
        <v>-2.8687346911886763E-2</v>
      </c>
      <c r="Z77" s="246">
        <f>_xlfn.XLOOKUP($F77,'Budget Assumption Driver'!$A$33:$A$39,'Budget Assumption Driver'!L$33:L$39)+N77</f>
        <v>-2.0056725740000142E-2</v>
      </c>
      <c r="AA77" s="246">
        <f>_xlfn.XLOOKUP($F77,'Budget Assumption Driver'!$A$33:$A$39,'Budget Assumption Driver'!M$33:M$39)+O77</f>
        <v>-2.2504627577602573E-2</v>
      </c>
      <c r="AB77" s="246">
        <f>_xlfn.XLOOKUP($F77,'Budget Assumption Driver'!$A$33:$A$39,'Budget Assumption Driver'!N$33:N$39)+P77</f>
        <v>-2.2250947974852369E-2</v>
      </c>
      <c r="AC77" s="246">
        <f>_xlfn.XLOOKUP($F77,'Budget Assumption Driver'!$A$33:$A$39,'Budget Assumption Driver'!O$33:O$39)+Q77</f>
        <v>-2.0722125096393033E-2</v>
      </c>
      <c r="AD77" s="296">
        <f>_xlfn.XLOOKUP($F77,'Budget Assumption Driver'!$A$33:$A$39,'Budget Assumption Driver'!P$33:P$39)+R77</f>
        <v>-2.8973403863597862E-2</v>
      </c>
      <c r="AE77" s="15"/>
      <c r="AF77" s="232">
        <f>_xlfn.XLOOKUP($C77,'Site Level Financials - ''23 ''24'!$C$2:$C$1577,'Site Level Financials - ''23 ''24'!$AF$2:$AF$1577)</f>
        <v>-3.5331604545691966E-2</v>
      </c>
      <c r="AG77" s="97">
        <f t="shared" ref="AG77:AH77" si="137">AG76/AG67</f>
        <v>-2.6738045275913239E-2</v>
      </c>
      <c r="AH77" s="97">
        <f t="shared" si="137"/>
        <v>-2.7854120905315992E-2</v>
      </c>
    </row>
    <row r="78" spans="2:34" ht="6" customHeight="1" x14ac:dyDescent="0.2">
      <c r="B78" s="9">
        <f>G55</f>
        <v>2</v>
      </c>
      <c r="C78" s="9" t="str">
        <f t="shared" si="76"/>
        <v xml:space="preserve">2 - </v>
      </c>
      <c r="D78" s="9" t="s">
        <v>56</v>
      </c>
      <c r="F78" s="16"/>
      <c r="G78" s="80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80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81"/>
      <c r="AE78" s="15"/>
      <c r="AF78" s="11"/>
      <c r="AG78" s="15"/>
      <c r="AH78" s="15"/>
    </row>
    <row r="79" spans="2:34" x14ac:dyDescent="0.2">
      <c r="B79" s="9">
        <f>G55</f>
        <v>2</v>
      </c>
      <c r="C79" s="9" t="str">
        <f t="shared" si="76"/>
        <v>2 - Office Gross Profit</v>
      </c>
      <c r="D79" s="9" t="s">
        <v>56</v>
      </c>
      <c r="F79" s="8" t="s">
        <v>11</v>
      </c>
      <c r="G79" s="241">
        <f>_xlfn.XLOOKUP($C79,'Site Level Financials - ''23 ''24'!$C$2:$C$1577,'Site Level Financials - ''23 ''24'!S$2:S$1577)</f>
        <v>397.04243466927329</v>
      </c>
      <c r="H79" s="242">
        <f>_xlfn.XLOOKUP($C79,'Site Level Financials - ''23 ''24'!$C$2:$C$1577,'Site Level Financials - ''23 ''24'!T$2:T$1577)</f>
        <v>273.25851128676885</v>
      </c>
      <c r="I79" s="242">
        <f>_xlfn.XLOOKUP($C79,'Site Level Financials - ''23 ''24'!$C$2:$C$1577,'Site Level Financials - ''23 ''24'!U$2:U$1577)</f>
        <v>293.71127426059928</v>
      </c>
      <c r="J79" s="242">
        <f>_xlfn.XLOOKUP($C79,'Site Level Financials - ''23 ''24'!$C$2:$C$1577,'Site Level Financials - ''23 ''24'!V$2:V$1577)</f>
        <v>323.81054901030791</v>
      </c>
      <c r="K79" s="242">
        <f>_xlfn.XLOOKUP($C79,'Site Level Financials - ''23 ''24'!$C$2:$C$1577,'Site Level Financials - ''23 ''24'!W$2:W$1577)</f>
        <v>193.64135599251975</v>
      </c>
      <c r="L79" s="242">
        <f>_xlfn.XLOOKUP($C79,'Site Level Financials - ''23 ''24'!$C$2:$C$1577,'Site Level Financials - ''23 ''24'!X$2:X$1577)</f>
        <v>178.97674288006641</v>
      </c>
      <c r="M79" s="242">
        <f>_xlfn.XLOOKUP($C79,'Site Level Financials - ''23 ''24'!$C$2:$C$1577,'Site Level Financials - ''23 ''24'!Y$2:Y$1577)</f>
        <v>282.12226971816062</v>
      </c>
      <c r="N79" s="242">
        <f>_xlfn.XLOOKUP($C79,'Site Level Financials - ''23 ''24'!$C$2:$C$1577,'Site Level Financials - ''23 ''24'!Z$2:Z$1577)</f>
        <v>358.85673692366953</v>
      </c>
      <c r="O79" s="242">
        <f>_xlfn.XLOOKUP($C79,'Site Level Financials - ''23 ''24'!$C$2:$C$1577,'Site Level Financials - ''23 ''24'!AA$2:AA$1577)</f>
        <v>316.91530809848547</v>
      </c>
      <c r="P79" s="242">
        <f>_xlfn.XLOOKUP($C79,'Site Level Financials - ''23 ''24'!$C$2:$C$1577,'Site Level Financials - ''23 ''24'!AB$2:AB$1577)</f>
        <v>327.26618151941028</v>
      </c>
      <c r="Q79" s="242">
        <f>_xlfn.XLOOKUP($C79,'Site Level Financials - ''23 ''24'!$C$2:$C$1577,'Site Level Financials - ''23 ''24'!AC$2:AC$1577)</f>
        <v>316.53098325580129</v>
      </c>
      <c r="R79" s="242">
        <f>_xlfn.XLOOKUP($C79,'Site Level Financials - ''23 ''24'!$C$2:$C$1577,'Site Level Financials - ''23 ''24'!AD$2:AD$1577)</f>
        <v>156.07284268762962</v>
      </c>
      <c r="S79" s="134">
        <f t="shared" ref="S79:AD79" si="138">S67+S70+S73+S76</f>
        <v>326.76446478733152</v>
      </c>
      <c r="T79" s="135">
        <f t="shared" si="138"/>
        <v>282.44222407698919</v>
      </c>
      <c r="U79" s="135">
        <f t="shared" si="138"/>
        <v>304.60331664397279</v>
      </c>
      <c r="V79" s="135">
        <f t="shared" si="138"/>
        <v>349.47752906138567</v>
      </c>
      <c r="W79" s="135">
        <f t="shared" si="138"/>
        <v>306.12978565569767</v>
      </c>
      <c r="X79" s="135">
        <f t="shared" si="138"/>
        <v>250.32229916045341</v>
      </c>
      <c r="Y79" s="135">
        <f t="shared" si="138"/>
        <v>375.64414183192378</v>
      </c>
      <c r="Z79" s="135">
        <f t="shared" si="138"/>
        <v>356.31981994400371</v>
      </c>
      <c r="AA79" s="135">
        <f t="shared" si="138"/>
        <v>319.12275345985722</v>
      </c>
      <c r="AB79" s="135">
        <f t="shared" si="138"/>
        <v>347.53457390002245</v>
      </c>
      <c r="AC79" s="135">
        <f t="shared" si="138"/>
        <v>292.84572189678579</v>
      </c>
      <c r="AD79" s="136">
        <f t="shared" si="138"/>
        <v>189.86868395993227</v>
      </c>
      <c r="AE79" s="15"/>
      <c r="AF79" s="114">
        <f>_xlfn.XLOOKUP($C79,'Site Level Financials - ''23 ''24'!$C$2:$C$1577,'Site Level Financials - ''23 ''24'!$AF$2:$AF$1577)</f>
        <v>2524.6719419183264</v>
      </c>
      <c r="AG79" s="95">
        <f>SUM(G79:R79)</f>
        <v>3418.2051903026922</v>
      </c>
      <c r="AH79" s="95">
        <f t="shared" ref="AH79" si="139">SUM(S79:AD79)</f>
        <v>3701.0753143783559</v>
      </c>
    </row>
    <row r="80" spans="2:34" x14ac:dyDescent="0.2">
      <c r="B80" s="9">
        <f>G55</f>
        <v>2</v>
      </c>
      <c r="C80" s="9" t="str">
        <f t="shared" si="76"/>
        <v>2 - % of Revenue - Office Gross Profit</v>
      </c>
      <c r="D80" s="9" t="s">
        <v>56</v>
      </c>
      <c r="F80" s="16" t="str">
        <f>"% of Revenue - "&amp;F79</f>
        <v>% of Revenue - Office Gross Profit</v>
      </c>
      <c r="G80" s="148">
        <f>G79/G67</f>
        <v>0.71391838940833929</v>
      </c>
      <c r="H80" s="149">
        <f t="shared" ref="H80:AD80" si="140">H79/H67</f>
        <v>0.59593947394326074</v>
      </c>
      <c r="I80" s="149">
        <f t="shared" si="140"/>
        <v>0.59853301767738143</v>
      </c>
      <c r="J80" s="149">
        <f t="shared" si="140"/>
        <v>0.64108818004178492</v>
      </c>
      <c r="K80" s="149">
        <f t="shared" si="140"/>
        <v>0.47249872866522113</v>
      </c>
      <c r="L80" s="149">
        <f t="shared" si="140"/>
        <v>0.46009258272631914</v>
      </c>
      <c r="M80" s="149">
        <f t="shared" si="140"/>
        <v>0.57669893781160964</v>
      </c>
      <c r="N80" s="149">
        <f t="shared" si="140"/>
        <v>0.63794468929080272</v>
      </c>
      <c r="O80" s="149">
        <f t="shared" si="140"/>
        <v>0.62317305619540764</v>
      </c>
      <c r="P80" s="149">
        <f t="shared" si="140"/>
        <v>0.59090907350933131</v>
      </c>
      <c r="Q80" s="149">
        <f t="shared" si="140"/>
        <v>0.62990739280322816</v>
      </c>
      <c r="R80" s="149">
        <f t="shared" si="140"/>
        <v>0.50036611575760725</v>
      </c>
      <c r="S80" s="148">
        <f t="shared" si="140"/>
        <v>0.7139183894083394</v>
      </c>
      <c r="T80" s="149">
        <f t="shared" si="140"/>
        <v>0.59593947394326074</v>
      </c>
      <c r="U80" s="149">
        <f t="shared" si="140"/>
        <v>0.59853301767738143</v>
      </c>
      <c r="V80" s="149">
        <f t="shared" si="140"/>
        <v>0.64108818004178503</v>
      </c>
      <c r="W80" s="149">
        <f t="shared" si="140"/>
        <v>0.47249872866522097</v>
      </c>
      <c r="X80" s="149">
        <f t="shared" si="140"/>
        <v>0.46009258272631909</v>
      </c>
      <c r="Y80" s="149">
        <f t="shared" si="140"/>
        <v>0.57669893781160952</v>
      </c>
      <c r="Z80" s="149">
        <f t="shared" si="140"/>
        <v>0.63794468929080272</v>
      </c>
      <c r="AA80" s="149">
        <f t="shared" si="140"/>
        <v>0.62317305619540764</v>
      </c>
      <c r="AB80" s="149">
        <f t="shared" si="140"/>
        <v>0.59090907350933131</v>
      </c>
      <c r="AC80" s="149">
        <f t="shared" si="140"/>
        <v>0.62990739280322816</v>
      </c>
      <c r="AD80" s="150">
        <f t="shared" si="140"/>
        <v>0.50036611575760725</v>
      </c>
      <c r="AE80" s="15"/>
      <c r="AF80" s="233">
        <f>_xlfn.XLOOKUP($C80,'Site Level Financials - ''23 ''24'!$C$2:$C$1577,'Site Level Financials - ''23 ''24'!$AF$2:$AF$1577)</f>
        <v>0.62773345983757789</v>
      </c>
      <c r="AG80" s="97">
        <f t="shared" ref="AG80:AH80" si="141">AG79/AG67</f>
        <v>0.59572943673744949</v>
      </c>
      <c r="AH80" s="97">
        <f t="shared" si="141"/>
        <v>0.58448791999137817</v>
      </c>
    </row>
    <row r="81" spans="2:37" ht="6" customHeight="1" x14ac:dyDescent="0.2">
      <c r="B81" s="9">
        <f>G55</f>
        <v>2</v>
      </c>
      <c r="C81" s="9" t="str">
        <f t="shared" si="76"/>
        <v xml:space="preserve">2 - </v>
      </c>
      <c r="D81" s="9" t="s">
        <v>56</v>
      </c>
      <c r="F81" s="16"/>
      <c r="G81" s="80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80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81"/>
      <c r="AE81" s="15"/>
      <c r="AF81" s="11"/>
      <c r="AG81" s="15"/>
      <c r="AH81" s="15"/>
    </row>
    <row r="82" spans="2:37" x14ac:dyDescent="0.2">
      <c r="B82" s="9">
        <f>G55</f>
        <v>2</v>
      </c>
      <c r="C82" s="9" t="str">
        <f t="shared" si="76"/>
        <v>2 - General and Administrative Expense</v>
      </c>
      <c r="D82" s="9" t="s">
        <v>56</v>
      </c>
      <c r="F82" t="s">
        <v>10</v>
      </c>
      <c r="G82" s="178">
        <f>_xlfn.XLOOKUP($C82,'Site Level Financials - ''23 ''24'!$C$2:$C$1577,'Site Level Financials - ''23 ''24'!S$2:S$1577)</f>
        <v>-3.0132316468146727</v>
      </c>
      <c r="H82" s="179">
        <f>_xlfn.XLOOKUP($C82,'Site Level Financials - ''23 ''24'!$C$2:$C$1577,'Site Level Financials - ''23 ''24'!T$2:T$1577)</f>
        <v>-2.9805501206716913</v>
      </c>
      <c r="I82" s="179">
        <f>_xlfn.XLOOKUP($C82,'Site Level Financials - ''23 ''24'!$C$2:$C$1577,'Site Level Financials - ''23 ''24'!U$2:U$1577)</f>
        <v>-3.3981807482637185</v>
      </c>
      <c r="J82" s="179">
        <f>_xlfn.XLOOKUP($C82,'Site Level Financials - ''23 ''24'!$C$2:$C$1577,'Site Level Financials - ''23 ''24'!V$2:V$1577)</f>
        <v>-4.3278925319106678</v>
      </c>
      <c r="K82" s="179">
        <f>_xlfn.XLOOKUP($C82,'Site Level Financials - ''23 ''24'!$C$2:$C$1577,'Site Level Financials - ''23 ''24'!W$2:W$1577)</f>
        <v>-5.8090934578893307</v>
      </c>
      <c r="L82" s="179">
        <f>_xlfn.XLOOKUP($C82,'Site Level Financials - ''23 ''24'!$C$2:$C$1577,'Site Level Financials - ''23 ''24'!X$2:X$1577)</f>
        <v>-6.3137860251541849</v>
      </c>
      <c r="M82" s="179">
        <f>_xlfn.XLOOKUP($C82,'Site Level Financials - ''23 ''24'!$C$2:$C$1577,'Site Level Financials - ''23 ''24'!Y$2:Y$1577)</f>
        <v>-5.6733855206976012</v>
      </c>
      <c r="N82" s="179">
        <f>_xlfn.XLOOKUP($C82,'Site Level Financials - ''23 ''24'!$C$2:$C$1577,'Site Level Financials - ''23 ''24'!Z$2:Z$1577)</f>
        <v>-5.2912866730466703</v>
      </c>
      <c r="O82" s="179">
        <f>_xlfn.XLOOKUP($C82,'Site Level Financials - ''23 ''24'!$C$2:$C$1577,'Site Level Financials - ''23 ''24'!AA$2:AA$1577)</f>
        <v>-5.7407422989562411</v>
      </c>
      <c r="P82" s="179">
        <f>_xlfn.XLOOKUP($C82,'Site Level Financials - ''23 ''24'!$C$2:$C$1577,'Site Level Financials - ''23 ''24'!AB$2:AB$1577)</f>
        <v>-5.6800432531779306</v>
      </c>
      <c r="Q82" s="179">
        <f>_xlfn.XLOOKUP($C82,'Site Level Financials - ''23 ''24'!$C$2:$C$1577,'Site Level Financials - ''23 ''24'!AC$2:AC$1577)</f>
        <v>-4.5544866900838237</v>
      </c>
      <c r="R82" s="179">
        <f>_xlfn.XLOOKUP($C82,'Site Level Financials - ''23 ''24'!$C$2:$C$1577,'Site Level Financials - ''23 ''24'!AD$2:AD$1577)</f>
        <v>-3.281692041420361</v>
      </c>
      <c r="S82" s="155">
        <f>S83*S67</f>
        <v>-2.4798785731097182</v>
      </c>
      <c r="T82" s="154">
        <f t="shared" ref="T82" si="142">T83*T67</f>
        <v>-3.0807208935278001</v>
      </c>
      <c r="U82" s="154">
        <f t="shared" ref="U82" si="143">U83*U67</f>
        <v>-3.5241995019858239</v>
      </c>
      <c r="V82" s="154">
        <f t="shared" ref="V82" si="144">V83*V67</f>
        <v>-4.6709447629737859</v>
      </c>
      <c r="W82" s="154">
        <f t="shared" ref="W82" si="145">W83*W67</f>
        <v>-9.183660824944198</v>
      </c>
      <c r="X82" s="154">
        <f t="shared" ref="X82" si="146">X83*X67</f>
        <v>-8.8306525685453341</v>
      </c>
      <c r="Y82" s="154">
        <f t="shared" ref="Y82" si="147">Y83*Y67</f>
        <v>-7.5540794327691669</v>
      </c>
      <c r="Z82" s="154">
        <f t="shared" ref="Z82" si="148">Z83*Z67</f>
        <v>-5.2538802274544647</v>
      </c>
      <c r="AA82" s="154">
        <f t="shared" ref="AA82" si="149">AA83*AA67</f>
        <v>-5.7807289283011496</v>
      </c>
      <c r="AB82" s="154">
        <f t="shared" ref="AB82" si="150">AB83*AB67</f>
        <v>-6.0318221777822467</v>
      </c>
      <c r="AC82" s="154">
        <f t="shared" ref="AC82" si="151">AC83*AC67</f>
        <v>-4.2136852731065311</v>
      </c>
      <c r="AD82" s="156">
        <f t="shared" ref="AD82" si="152">AD83*AD67</f>
        <v>-3.9923060177313849</v>
      </c>
      <c r="AE82" s="15"/>
      <c r="AF82" s="115">
        <f>_xlfn.XLOOKUP($C82,'Site Level Financials - ''23 ''24'!$C$2:$C$1577,'Site Level Financials - ''23 ''24'!$AF$2:$AF$1577)</f>
        <v>-43.023100835725394</v>
      </c>
      <c r="AG82" s="93">
        <f>SUM(G82:R82)</f>
        <v>-56.064371008086901</v>
      </c>
      <c r="AH82" s="93">
        <f t="shared" ref="AH82" si="153">SUM(S82:AD82)</f>
        <v>-64.596559182231601</v>
      </c>
    </row>
    <row r="83" spans="2:37" x14ac:dyDescent="0.2">
      <c r="B83" s="9">
        <f>G55</f>
        <v>2</v>
      </c>
      <c r="C83" s="9" t="str">
        <f t="shared" si="76"/>
        <v>2 - % of Revenue - General and Administrative Expense</v>
      </c>
      <c r="D83" s="9" t="s">
        <v>56</v>
      </c>
      <c r="F83" s="16" t="str">
        <f>"% of Revenue - "&amp;F82</f>
        <v>% of Revenue - General and Administrative Expense</v>
      </c>
      <c r="G83" s="148">
        <f>G82/G67</f>
        <v>-5.4180644091608686E-3</v>
      </c>
      <c r="H83" s="149">
        <f t="shared" ref="H83:R83" si="154">H82/H67</f>
        <v>-6.5001725384888848E-3</v>
      </c>
      <c r="I83" s="149">
        <f t="shared" si="154"/>
        <v>-6.9249074043607854E-3</v>
      </c>
      <c r="J83" s="149">
        <f t="shared" si="154"/>
        <v>-8.5684692953308314E-3</v>
      </c>
      <c r="K83" s="149">
        <f t="shared" si="154"/>
        <v>-1.4174602628047036E-2</v>
      </c>
      <c r="L83" s="149">
        <f t="shared" si="154"/>
        <v>-1.6230746365974161E-2</v>
      </c>
      <c r="M83" s="149">
        <f t="shared" si="154"/>
        <v>-1.1597224872927001E-2</v>
      </c>
      <c r="N83" s="149">
        <f t="shared" si="154"/>
        <v>-9.4063950464536427E-3</v>
      </c>
      <c r="O83" s="149">
        <f t="shared" si="154"/>
        <v>-1.1288428901512909E-2</v>
      </c>
      <c r="P83" s="149">
        <f t="shared" si="154"/>
        <v>-1.0255838475718673E-2</v>
      </c>
      <c r="Q83" s="149">
        <f t="shared" si="154"/>
        <v>-9.0635829927246947E-3</v>
      </c>
      <c r="R83" s="149">
        <f t="shared" si="154"/>
        <v>-1.0521032817763292E-2</v>
      </c>
      <c r="S83" s="245">
        <f>_xlfn.XLOOKUP($F83,'Budget Assumption Driver'!$A$33:$A$39,'Budget Assumption Driver'!E$33:E$39)+G83</f>
        <v>-5.4180644091608686E-3</v>
      </c>
      <c r="T83" s="246">
        <f>_xlfn.XLOOKUP($F83,'Budget Assumption Driver'!$A$33:$A$39,'Budget Assumption Driver'!F$33:F$39)+H83</f>
        <v>-6.5001725384888848E-3</v>
      </c>
      <c r="U83" s="246">
        <f>_xlfn.XLOOKUP($F83,'Budget Assumption Driver'!$A$33:$A$39,'Budget Assumption Driver'!G$33:G$39)+I83</f>
        <v>-6.9249074043607854E-3</v>
      </c>
      <c r="V83" s="246">
        <f>_xlfn.XLOOKUP($F83,'Budget Assumption Driver'!$A$33:$A$39,'Budget Assumption Driver'!H$33:H$39)+J83</f>
        <v>-8.5684692953308314E-3</v>
      </c>
      <c r="W83" s="246">
        <f>_xlfn.XLOOKUP($F83,'Budget Assumption Driver'!$A$33:$A$39,'Budget Assumption Driver'!I$33:I$39)+K83</f>
        <v>-1.4174602628047036E-2</v>
      </c>
      <c r="X83" s="246">
        <f>_xlfn.XLOOKUP($F83,'Budget Assumption Driver'!$A$33:$A$39,'Budget Assumption Driver'!J$33:J$39)+L83</f>
        <v>-1.6230746365974161E-2</v>
      </c>
      <c r="Y83" s="246">
        <f>_xlfn.XLOOKUP($F83,'Budget Assumption Driver'!$A$33:$A$39,'Budget Assumption Driver'!K$33:K$39)+M83</f>
        <v>-1.1597224872927001E-2</v>
      </c>
      <c r="Z83" s="246">
        <f>_xlfn.XLOOKUP($F83,'Budget Assumption Driver'!$A$33:$A$39,'Budget Assumption Driver'!L$33:L$39)+N83</f>
        <v>-9.4063950464536427E-3</v>
      </c>
      <c r="AA83" s="246">
        <f>_xlfn.XLOOKUP($F83,'Budget Assumption Driver'!$A$33:$A$39,'Budget Assumption Driver'!M$33:M$39)+O83</f>
        <v>-1.1288428901512909E-2</v>
      </c>
      <c r="AB83" s="246">
        <f>_xlfn.XLOOKUP($F83,'Budget Assumption Driver'!$A$33:$A$39,'Budget Assumption Driver'!N$33:N$39)+P83</f>
        <v>-1.0255838475718673E-2</v>
      </c>
      <c r="AC83" s="246">
        <f>_xlfn.XLOOKUP($F83,'Budget Assumption Driver'!$A$33:$A$39,'Budget Assumption Driver'!O$33:O$39)+Q83</f>
        <v>-9.0635829927246947E-3</v>
      </c>
      <c r="AD83" s="296">
        <f>_xlfn.XLOOKUP($F83,'Budget Assumption Driver'!$A$33:$A$39,'Budget Assumption Driver'!P$33:P$39)+R83</f>
        <v>-1.0521032817763292E-2</v>
      </c>
      <c r="AE83" s="15"/>
      <c r="AF83" s="232">
        <f>_xlfn.XLOOKUP($C83,'Site Level Financials - ''23 ''24'!$C$2:$C$1577,'Site Level Financials - ''23 ''24'!$AF$2:$AF$1577)</f>
        <v>-1.0697247231270008E-2</v>
      </c>
      <c r="AG83" s="97">
        <f t="shared" ref="AG83:AH83" si="155">AG82/AG67</f>
        <v>-9.7709746203765505E-3</v>
      </c>
      <c r="AH83" s="97">
        <f t="shared" si="155"/>
        <v>-1.0201334830540759E-2</v>
      </c>
    </row>
    <row r="84" spans="2:37" ht="3" customHeight="1" x14ac:dyDescent="0.2">
      <c r="B84" s="9">
        <f>G55</f>
        <v>2</v>
      </c>
      <c r="C84" s="9" t="str">
        <f t="shared" si="76"/>
        <v xml:space="preserve">2 - </v>
      </c>
      <c r="D84" s="9" t="s">
        <v>56</v>
      </c>
      <c r="F84" s="16"/>
      <c r="G84" s="84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4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6"/>
      <c r="AE84" s="15"/>
      <c r="AF84" s="36"/>
      <c r="AG84" s="38"/>
      <c r="AH84" s="38"/>
    </row>
    <row r="85" spans="2:37" x14ac:dyDescent="0.2">
      <c r="B85" s="9">
        <f>G55</f>
        <v>2</v>
      </c>
      <c r="C85" s="9" t="str">
        <f t="shared" si="76"/>
        <v>2 - Marketing</v>
      </c>
      <c r="D85" s="9" t="s">
        <v>56</v>
      </c>
      <c r="F85" t="s">
        <v>7</v>
      </c>
      <c r="G85" s="178">
        <f>_xlfn.XLOOKUP($C85,'Site Level Financials - ''23 ''24'!$C$2:$C$1577,'Site Level Financials - ''23 ''24'!S$2:S$1577)</f>
        <v>-3.2023967682465906</v>
      </c>
      <c r="H85" s="179">
        <f>_xlfn.XLOOKUP($C85,'Site Level Financials - ''23 ''24'!$C$2:$C$1577,'Site Level Financials - ''23 ''24'!T$2:T$1577)</f>
        <v>-3.1428718567534397</v>
      </c>
      <c r="I85" s="179">
        <f>_xlfn.XLOOKUP($C85,'Site Level Financials - ''23 ''24'!$C$2:$C$1577,'Site Level Financials - ''23 ''24'!U$2:U$1577)</f>
        <v>-3.5143258813669278</v>
      </c>
      <c r="J85" s="179">
        <f>_xlfn.XLOOKUP($C85,'Site Level Financials - ''23 ''24'!$C$2:$C$1577,'Site Level Financials - ''23 ''24'!V$2:V$1577)</f>
        <v>-3.5343478043284406</v>
      </c>
      <c r="K85" s="179">
        <f>_xlfn.XLOOKUP($C85,'Site Level Financials - ''23 ''24'!$C$2:$C$1577,'Site Level Financials - ''23 ''24'!W$2:W$1577)</f>
        <v>-3.3114646497729683</v>
      </c>
      <c r="L85" s="179">
        <f>_xlfn.XLOOKUP($C85,'Site Level Financials - ''23 ''24'!$C$2:$C$1577,'Site Level Financials - ''23 ''24'!X$2:X$1577)</f>
        <v>-2.8806230202816048</v>
      </c>
      <c r="M85" s="179">
        <f>_xlfn.XLOOKUP($C85,'Site Level Financials - ''23 ''24'!$C$2:$C$1577,'Site Level Financials - ''23 ''24'!Y$2:Y$1577)</f>
        <v>-2.1294592316671705</v>
      </c>
      <c r="N85" s="179">
        <f>_xlfn.XLOOKUP($C85,'Site Level Financials - ''23 ''24'!$C$2:$C$1577,'Site Level Financials - ''23 ''24'!Z$2:Z$1577)</f>
        <v>-1.4063003538857237</v>
      </c>
      <c r="O85" s="179">
        <f>_xlfn.XLOOKUP($C85,'Site Level Financials - ''23 ''24'!$C$2:$C$1577,'Site Level Financials - ''23 ''24'!AA$2:AA$1577)</f>
        <v>-1.7871600527257816</v>
      </c>
      <c r="P85" s="179">
        <f>_xlfn.XLOOKUP($C85,'Site Level Financials - ''23 ''24'!$C$2:$C$1577,'Site Level Financials - ''23 ''24'!AB$2:AB$1577)</f>
        <v>-2.6419679299254968</v>
      </c>
      <c r="Q85" s="179">
        <f>_xlfn.XLOOKUP($C85,'Site Level Financials - ''23 ''24'!$C$2:$C$1577,'Site Level Financials - ''23 ''24'!AC$2:AC$1577)</f>
        <v>-1.5583651952453397</v>
      </c>
      <c r="R85" s="179">
        <f>_xlfn.XLOOKUP($C85,'Site Level Financials - ''23 ''24'!$C$2:$C$1577,'Site Level Financials - ''23 ''24'!AD$2:AD$1577)</f>
        <v>-1.1708359932998014</v>
      </c>
      <c r="S85" s="155">
        <f>S86*S67</f>
        <v>-2.6355607729547281</v>
      </c>
      <c r="T85" s="154">
        <f t="shared" ref="T85" si="156">T86*T67</f>
        <v>-3.2484979627179849</v>
      </c>
      <c r="U85" s="154">
        <f t="shared" ref="U85" si="157">U86*U67</f>
        <v>-3.644651782356592</v>
      </c>
      <c r="V85" s="154">
        <f t="shared" ref="V85" si="158">V86*V67</f>
        <v>-3.8144993771062028</v>
      </c>
      <c r="W85" s="154">
        <f t="shared" ref="W85" si="159">W86*W67</f>
        <v>-5.2351315050726006</v>
      </c>
      <c r="X85" s="154">
        <f t="shared" ref="X85" si="160">X86*X67</f>
        <v>-4.0289266965519897</v>
      </c>
      <c r="Y85" s="154">
        <f t="shared" ref="Y85" si="161">Y86*Y67</f>
        <v>-2.8353624350349897</v>
      </c>
      <c r="Z85" s="154">
        <f t="shared" ref="Z85" si="162">Z86*Z67</f>
        <v>-1.3963585947400909</v>
      </c>
      <c r="AA85" s="154">
        <f t="shared" ref="AA85" si="163">AA86*AA67</f>
        <v>-1.7996083569496737</v>
      </c>
      <c r="AB85" s="154">
        <f t="shared" ref="AB85" si="164">AB86*AB67</f>
        <v>-2.805591444008475</v>
      </c>
      <c r="AC85" s="154">
        <f t="shared" ref="AC85" si="165">AC86*AC67</f>
        <v>-1.4417564305597343</v>
      </c>
      <c r="AD85" s="156">
        <f t="shared" ref="AD85" si="166">AD86*AD67</f>
        <v>-1.4243675283449766</v>
      </c>
      <c r="AE85" s="15"/>
      <c r="AF85" s="115">
        <f>_xlfn.XLOOKUP($C85,'Site Level Financials - ''23 ''24'!$C$2:$C$1577,'Site Level Financials - ''23 ''24'!$AF$2:$AF$1577)</f>
        <v>-45.555260378199876</v>
      </c>
      <c r="AG85" s="93">
        <f>SUM(G85:R85)</f>
        <v>-30.280118737499279</v>
      </c>
      <c r="AH85" s="93">
        <f t="shared" ref="AH85" si="167">SUM(S85:AD85)</f>
        <v>-34.310312886398037</v>
      </c>
    </row>
    <row r="86" spans="2:37" x14ac:dyDescent="0.2">
      <c r="B86" s="9">
        <f>G55</f>
        <v>2</v>
      </c>
      <c r="C86" s="9" t="str">
        <f t="shared" si="76"/>
        <v>2 - % of Revenue - Marketing</v>
      </c>
      <c r="D86" s="9" t="s">
        <v>56</v>
      </c>
      <c r="F86" s="16" t="str">
        <f>"% of Revenue - "&amp;F85</f>
        <v>% of Revenue - Marketing</v>
      </c>
      <c r="G86" s="148">
        <f>G85/G67</f>
        <v>-5.7582004929459677E-3</v>
      </c>
      <c r="H86" s="149">
        <f t="shared" ref="H86:R86" si="168">H85/H67</f>
        <v>-6.8541740645697959E-3</v>
      </c>
      <c r="I86" s="149">
        <f t="shared" si="168"/>
        <v>-7.1615911924782462E-3</v>
      </c>
      <c r="J86" s="149">
        <f t="shared" si="168"/>
        <v>-6.9973897034449921E-3</v>
      </c>
      <c r="K86" s="149">
        <f t="shared" si="168"/>
        <v>-8.0802100822821715E-3</v>
      </c>
      <c r="L86" s="149">
        <f t="shared" si="168"/>
        <v>-7.4051704368672203E-3</v>
      </c>
      <c r="M86" s="149">
        <f t="shared" si="168"/>
        <v>-4.3529242772731448E-3</v>
      </c>
      <c r="N86" s="149">
        <f t="shared" si="168"/>
        <v>-2.5000000000000001E-3</v>
      </c>
      <c r="O86" s="149">
        <f t="shared" si="168"/>
        <v>-3.5142196148548674E-3</v>
      </c>
      <c r="P86" s="149">
        <f t="shared" si="168"/>
        <v>-4.7703151436716603E-3</v>
      </c>
      <c r="Q86" s="149">
        <f t="shared" si="168"/>
        <v>-3.1011995952983686E-3</v>
      </c>
      <c r="R86" s="149">
        <f t="shared" si="168"/>
        <v>-3.7536745539335004E-3</v>
      </c>
      <c r="S86" s="245">
        <f>_xlfn.XLOOKUP($F86,'Budget Assumption Driver'!$A$33:$A$39,'Budget Assumption Driver'!E$33:E$39)+G86</f>
        <v>-5.7582004929459677E-3</v>
      </c>
      <c r="T86" s="246">
        <f>_xlfn.XLOOKUP($F86,'Budget Assumption Driver'!$A$33:$A$39,'Budget Assumption Driver'!F$33:F$39)+H86</f>
        <v>-6.8541740645697959E-3</v>
      </c>
      <c r="U86" s="246">
        <f>_xlfn.XLOOKUP($F86,'Budget Assumption Driver'!$A$33:$A$39,'Budget Assumption Driver'!G$33:G$39)+I86</f>
        <v>-7.1615911924782462E-3</v>
      </c>
      <c r="V86" s="246">
        <f>_xlfn.XLOOKUP($F86,'Budget Assumption Driver'!$A$33:$A$39,'Budget Assumption Driver'!H$33:H$39)+J86</f>
        <v>-6.9973897034449921E-3</v>
      </c>
      <c r="W86" s="246">
        <f>_xlfn.XLOOKUP($F86,'Budget Assumption Driver'!$A$33:$A$39,'Budget Assumption Driver'!I$33:I$39)+K86</f>
        <v>-8.0802100822821715E-3</v>
      </c>
      <c r="X86" s="246">
        <f>_xlfn.XLOOKUP($F86,'Budget Assumption Driver'!$A$33:$A$39,'Budget Assumption Driver'!J$33:J$39)+L86</f>
        <v>-7.4051704368672203E-3</v>
      </c>
      <c r="Y86" s="246">
        <f>_xlfn.XLOOKUP($F86,'Budget Assumption Driver'!$A$33:$A$39,'Budget Assumption Driver'!K$33:K$39)+M86</f>
        <v>-4.3529242772731448E-3</v>
      </c>
      <c r="Z86" s="246">
        <f>_xlfn.XLOOKUP($F86,'Budget Assumption Driver'!$A$33:$A$39,'Budget Assumption Driver'!L$33:L$39)+N86</f>
        <v>-2.5000000000000001E-3</v>
      </c>
      <c r="AA86" s="246">
        <f>_xlfn.XLOOKUP($F86,'Budget Assumption Driver'!$A$33:$A$39,'Budget Assumption Driver'!M$33:M$39)+O86</f>
        <v>-3.5142196148548674E-3</v>
      </c>
      <c r="AB86" s="246">
        <f>_xlfn.XLOOKUP($F86,'Budget Assumption Driver'!$A$33:$A$39,'Budget Assumption Driver'!N$33:N$39)+P86</f>
        <v>-4.7703151436716603E-3</v>
      </c>
      <c r="AC86" s="246">
        <f>_xlfn.XLOOKUP($F86,'Budget Assumption Driver'!$A$33:$A$39,'Budget Assumption Driver'!O$33:O$39)+Q86</f>
        <v>-3.1011995952983686E-3</v>
      </c>
      <c r="AD86" s="296">
        <f>_xlfn.XLOOKUP($F86,'Budget Assumption Driver'!$A$33:$A$39,'Budget Assumption Driver'!P$33:P$39)+R86</f>
        <v>-3.7536745539335004E-3</v>
      </c>
      <c r="AE86" s="15"/>
      <c r="AF86" s="232">
        <f>_xlfn.XLOOKUP($C86,'Site Level Financials - ''23 ''24'!$C$2:$C$1577,'Site Level Financials - ''23 ''24'!$AF$2:$AF$1577)</f>
        <v>-1.1326842405227728E-2</v>
      </c>
      <c r="AG86" s="97">
        <f t="shared" ref="AG86:AH86" si="169">AG85/AG67</f>
        <v>-5.2772601630261262E-3</v>
      </c>
      <c r="AH86" s="97">
        <f t="shared" si="169"/>
        <v>-5.4184153819610914E-3</v>
      </c>
    </row>
    <row r="87" spans="2:37" ht="3" customHeight="1" x14ac:dyDescent="0.2">
      <c r="B87" s="9">
        <f>G55</f>
        <v>2</v>
      </c>
      <c r="C87" s="9" t="str">
        <f t="shared" si="76"/>
        <v xml:space="preserve">2 - </v>
      </c>
      <c r="D87" s="9" t="s">
        <v>56</v>
      </c>
      <c r="F87" s="16"/>
      <c r="G87" s="84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4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6"/>
      <c r="AE87" s="15"/>
      <c r="AF87" s="36"/>
      <c r="AG87" s="38"/>
      <c r="AH87" s="38"/>
    </row>
    <row r="88" spans="2:37" x14ac:dyDescent="0.2">
      <c r="B88" s="9">
        <f>G55</f>
        <v>2</v>
      </c>
      <c r="C88" s="9" t="str">
        <f t="shared" si="76"/>
        <v>2 - Office Rent</v>
      </c>
      <c r="D88" s="9" t="s">
        <v>56</v>
      </c>
      <c r="F88" t="s">
        <v>162</v>
      </c>
      <c r="G88" s="178">
        <f>_xlfn.XLOOKUP($C88,'Site Level Financials - ''23 ''24'!$C$2:$C$1577,'Site Level Financials - ''23 ''24'!S$2:S$1577)</f>
        <v>-17.208037697884983</v>
      </c>
      <c r="H88" s="179">
        <f>_xlfn.XLOOKUP($C88,'Site Level Financials - ''23 ''24'!$C$2:$C$1577,'Site Level Financials - ''23 ''24'!T$2:T$1577)</f>
        <v>-17.208037697884983</v>
      </c>
      <c r="I88" s="179">
        <f>_xlfn.XLOOKUP($C88,'Site Level Financials - ''23 ''24'!$C$2:$C$1577,'Site Level Financials - ''23 ''24'!U$2:U$1577)</f>
        <v>-17.208037697884983</v>
      </c>
      <c r="J88" s="179">
        <f>_xlfn.XLOOKUP($C88,'Site Level Financials - ''23 ''24'!$C$2:$C$1577,'Site Level Financials - ''23 ''24'!V$2:V$1577)</f>
        <v>-17.208037697884983</v>
      </c>
      <c r="K88" s="179">
        <f>_xlfn.XLOOKUP($C88,'Site Level Financials - ''23 ''24'!$C$2:$C$1577,'Site Level Financials - ''23 ''24'!W$2:W$1577)</f>
        <v>-17.208037697884983</v>
      </c>
      <c r="L88" s="179">
        <f>_xlfn.XLOOKUP($C88,'Site Level Financials - ''23 ''24'!$C$2:$C$1577,'Site Level Financials - ''23 ''24'!X$2:X$1577)</f>
        <v>-17.208037697884983</v>
      </c>
      <c r="M88" s="179">
        <f>_xlfn.XLOOKUP($C88,'Site Level Financials - ''23 ''24'!$C$2:$C$1577,'Site Level Financials - ''23 ''24'!Y$2:Y$1577)</f>
        <v>-17.724278828821532</v>
      </c>
      <c r="N88" s="179">
        <f>_xlfn.XLOOKUP($C88,'Site Level Financials - ''23 ''24'!$C$2:$C$1577,'Site Level Financials - ''23 ''24'!Z$2:Z$1577)</f>
        <v>-17.724278828821532</v>
      </c>
      <c r="O88" s="179">
        <f>_xlfn.XLOOKUP($C88,'Site Level Financials - ''23 ''24'!$C$2:$C$1577,'Site Level Financials - ''23 ''24'!AA$2:AA$1577)</f>
        <v>-17.724278828821532</v>
      </c>
      <c r="P88" s="179">
        <f>_xlfn.XLOOKUP($C88,'Site Level Financials - ''23 ''24'!$C$2:$C$1577,'Site Level Financials - ''23 ''24'!AB$2:AB$1577)</f>
        <v>-17.724278828821532</v>
      </c>
      <c r="Q88" s="179">
        <f>_xlfn.XLOOKUP($C88,'Site Level Financials - ''23 ''24'!$C$2:$C$1577,'Site Level Financials - ''23 ''24'!AC$2:AC$1577)</f>
        <v>-17.724278828821532</v>
      </c>
      <c r="R88" s="179">
        <f>_xlfn.XLOOKUP($C88,'Site Level Financials - ''23 ''24'!$C$2:$C$1577,'Site Level Financials - ''23 ''24'!AD$2:AD$1577)</f>
        <v>-17.724278828821532</v>
      </c>
      <c r="S88" s="155">
        <f>G88*(1+S89)</f>
        <v>-17.724278828821532</v>
      </c>
      <c r="T88" s="154">
        <f t="shared" ref="T88" si="170">H88*(1+T89)</f>
        <v>-17.724278828821532</v>
      </c>
      <c r="U88" s="154">
        <f t="shared" ref="U88" si="171">I88*(1+U89)</f>
        <v>-17.724278828821532</v>
      </c>
      <c r="V88" s="154">
        <f t="shared" ref="V88" si="172">J88*(1+V89)</f>
        <v>-17.724278828821532</v>
      </c>
      <c r="W88" s="154">
        <f t="shared" ref="W88" si="173">K88*(1+W89)</f>
        <v>-17.724278828821532</v>
      </c>
      <c r="X88" s="154">
        <f t="shared" ref="X88" si="174">L88*(1+X89)</f>
        <v>-17.724278828821532</v>
      </c>
      <c r="Y88" s="154">
        <f t="shared" ref="Y88" si="175">M88*(1+Y89)</f>
        <v>-18.25600719368618</v>
      </c>
      <c r="Z88" s="154">
        <f t="shared" ref="Z88" si="176">N88*(1+Z89)</f>
        <v>-18.25600719368618</v>
      </c>
      <c r="AA88" s="154">
        <f t="shared" ref="AA88" si="177">O88*(1+AA89)</f>
        <v>-18.25600719368618</v>
      </c>
      <c r="AB88" s="154">
        <f t="shared" ref="AB88" si="178">P88*(1+AB89)</f>
        <v>-18.25600719368618</v>
      </c>
      <c r="AC88" s="154">
        <f t="shared" ref="AC88" si="179">Q88*(1+AC89)</f>
        <v>-18.25600719368618</v>
      </c>
      <c r="AD88" s="156">
        <f t="shared" ref="AD88" si="180">R88*(1+AD89)</f>
        <v>-18.25600719368618</v>
      </c>
      <c r="AE88" s="15"/>
      <c r="AF88" s="115">
        <f>_xlfn.XLOOKUP($C88,'Site Level Financials - ''23 ''24'!$C$2:$C$1577,'Site Level Financials - ''23 ''24'!$AF$2:$AF$1577)</f>
        <v>-203.48798013574932</v>
      </c>
      <c r="AG88" s="93">
        <f>SUM(G88:R88)</f>
        <v>-209.59389916023903</v>
      </c>
      <c r="AH88" s="93">
        <f t="shared" ref="AH88" si="181">SUM(S88:AD88)</f>
        <v>-215.88171613504622</v>
      </c>
    </row>
    <row r="89" spans="2:37" x14ac:dyDescent="0.2">
      <c r="B89" s="9">
        <f>G55</f>
        <v>2</v>
      </c>
      <c r="C89" s="9" t="str">
        <f t="shared" si="76"/>
        <v>2 - % YoY Growth</v>
      </c>
      <c r="D89" s="9" t="s">
        <v>56</v>
      </c>
      <c r="F89" s="16" t="s">
        <v>8</v>
      </c>
      <c r="G89" s="245">
        <f>_xlfn.XLOOKUP($C89,'Site Level Financials - ''23 ''24'!$C$2:$C$1577,'Site Level Financials - ''23 ''24'!S$2:S$1577)</f>
        <v>3.0006288432449013E-2</v>
      </c>
      <c r="H89" s="246">
        <f>_xlfn.XLOOKUP($C89,'Site Level Financials - ''23 ''24'!$C$2:$C$1577,'Site Level Financials - ''23 ''24'!T$2:T$1577)</f>
        <v>3.0006288432449013E-2</v>
      </c>
      <c r="I89" s="246">
        <f>_xlfn.XLOOKUP($C89,'Site Level Financials - ''23 ''24'!$C$2:$C$1577,'Site Level Financials - ''23 ''24'!U$2:U$1577)</f>
        <v>3.0006288432449013E-2</v>
      </c>
      <c r="J89" s="246">
        <f>_xlfn.XLOOKUP($C89,'Site Level Financials - ''23 ''24'!$C$2:$C$1577,'Site Level Financials - ''23 ''24'!V$2:V$1577)</f>
        <v>3.0006288432449013E-2</v>
      </c>
      <c r="K89" s="246">
        <f>_xlfn.XLOOKUP($C89,'Site Level Financials - ''23 ''24'!$C$2:$C$1577,'Site Level Financials - ''23 ''24'!W$2:W$1577)</f>
        <v>3.0006288432449013E-2</v>
      </c>
      <c r="L89" s="246">
        <f>_xlfn.XLOOKUP($C89,'Site Level Financials - ''23 ''24'!$C$2:$C$1577,'Site Level Financials - ''23 ''24'!X$2:X$1577)</f>
        <v>3.0006288432449013E-2</v>
      </c>
      <c r="M89" s="246">
        <f>_xlfn.XLOOKUP($C89,'Site Level Financials - ''23 ''24'!$C$2:$C$1577,'Site Level Financials - ''23 ''24'!Y$2:Y$1577)</f>
        <v>3.0006288432449013E-2</v>
      </c>
      <c r="N89" s="246">
        <f>_xlfn.XLOOKUP($C89,'Site Level Financials - ''23 ''24'!$C$2:$C$1577,'Site Level Financials - ''23 ''24'!Z$2:Z$1577)</f>
        <v>3.0006288432449013E-2</v>
      </c>
      <c r="O89" s="246">
        <f>_xlfn.XLOOKUP($C89,'Site Level Financials - ''23 ''24'!$C$2:$C$1577,'Site Level Financials - ''23 ''24'!AA$2:AA$1577)</f>
        <v>3.0006288432449013E-2</v>
      </c>
      <c r="P89" s="246">
        <f>_xlfn.XLOOKUP($C89,'Site Level Financials - ''23 ''24'!$C$2:$C$1577,'Site Level Financials - ''23 ''24'!AB$2:AB$1577)</f>
        <v>3.0006288432449013E-2</v>
      </c>
      <c r="Q89" s="246">
        <f>_xlfn.XLOOKUP($C89,'Site Level Financials - ''23 ''24'!$C$2:$C$1577,'Site Level Financials - ''23 ''24'!AC$2:AC$1577)</f>
        <v>3.0006288432449013E-2</v>
      </c>
      <c r="R89" s="246">
        <f>_xlfn.XLOOKUP($C89,'Site Level Financials - ''23 ''24'!$C$2:$C$1577,'Site Level Financials - ''23 ''24'!AD$2:AD$1577)</f>
        <v>3.0006288432449013E-2</v>
      </c>
      <c r="S89" s="245">
        <f>_xlfn.XLOOKUP($F89,'Budget Assumption Driver'!$A$33:$A$39,'Budget Assumption Driver'!E$33:E$39)</f>
        <v>0.03</v>
      </c>
      <c r="T89" s="246">
        <f>_xlfn.XLOOKUP($F89,'Budget Assumption Driver'!$A$33:$A$39,'Budget Assumption Driver'!F$33:F$39)</f>
        <v>0.03</v>
      </c>
      <c r="U89" s="246">
        <f>_xlfn.XLOOKUP($F89,'Budget Assumption Driver'!$A$33:$A$39,'Budget Assumption Driver'!G$33:G$39)</f>
        <v>0.03</v>
      </c>
      <c r="V89" s="246">
        <f>_xlfn.XLOOKUP($F89,'Budget Assumption Driver'!$A$33:$A$39,'Budget Assumption Driver'!H$33:H$39)</f>
        <v>0.03</v>
      </c>
      <c r="W89" s="246">
        <f>_xlfn.XLOOKUP($F89,'Budget Assumption Driver'!$A$33:$A$39,'Budget Assumption Driver'!I$33:I$39)</f>
        <v>0.03</v>
      </c>
      <c r="X89" s="246">
        <f>_xlfn.XLOOKUP($F89,'Budget Assumption Driver'!$A$33:$A$39,'Budget Assumption Driver'!J$33:J$39)</f>
        <v>0.03</v>
      </c>
      <c r="Y89" s="246">
        <f>_xlfn.XLOOKUP($F89,'Budget Assumption Driver'!$A$33:$A$39,'Budget Assumption Driver'!K$33:K$39)</f>
        <v>0.03</v>
      </c>
      <c r="Z89" s="246">
        <f>_xlfn.XLOOKUP($F89,'Budget Assumption Driver'!$A$33:$A$39,'Budget Assumption Driver'!L$33:L$39)</f>
        <v>0.03</v>
      </c>
      <c r="AA89" s="246">
        <f>_xlfn.XLOOKUP($F89,'Budget Assumption Driver'!$A$33:$A$39,'Budget Assumption Driver'!M$33:M$39)</f>
        <v>0.03</v>
      </c>
      <c r="AB89" s="246">
        <f>_xlfn.XLOOKUP($F89,'Budget Assumption Driver'!$A$33:$A$39,'Budget Assumption Driver'!N$33:N$39)</f>
        <v>0.03</v>
      </c>
      <c r="AC89" s="246">
        <f>_xlfn.XLOOKUP($F89,'Budget Assumption Driver'!$A$33:$A$39,'Budget Assumption Driver'!O$33:O$39)</f>
        <v>0.03</v>
      </c>
      <c r="AD89" s="296">
        <f>_xlfn.XLOOKUP($F89,'Budget Assumption Driver'!$A$33:$A$39,'Budget Assumption Driver'!P$33:P$39)</f>
        <v>0.03</v>
      </c>
      <c r="AE89" s="15"/>
      <c r="AF89" s="11"/>
      <c r="AG89" s="97">
        <f>AG88/AF88-1</f>
        <v>3.0006288432448791E-2</v>
      </c>
      <c r="AH89" s="97">
        <f>AH88/AG88-1</f>
        <v>3.0000000000000027E-2</v>
      </c>
    </row>
    <row r="90" spans="2:37" ht="6" customHeight="1" x14ac:dyDescent="0.2">
      <c r="B90" s="9">
        <f>G55</f>
        <v>2</v>
      </c>
      <c r="C90" s="9" t="str">
        <f t="shared" si="76"/>
        <v xml:space="preserve">2 - </v>
      </c>
      <c r="D90" s="9" t="s">
        <v>56</v>
      </c>
      <c r="F90" s="16"/>
      <c r="G90" s="80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80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81"/>
      <c r="AE90" s="15"/>
      <c r="AF90" s="11"/>
      <c r="AG90" s="15"/>
      <c r="AH90" s="15"/>
    </row>
    <row r="91" spans="2:37" x14ac:dyDescent="0.2">
      <c r="B91" s="9">
        <f>G55</f>
        <v>2</v>
      </c>
      <c r="C91" s="9" t="str">
        <f t="shared" si="76"/>
        <v>2 - Office EBITDA</v>
      </c>
      <c r="D91" s="9" t="s">
        <v>56</v>
      </c>
      <c r="F91" s="8" t="s">
        <v>12</v>
      </c>
      <c r="G91" s="241">
        <f>_xlfn.XLOOKUP($C91,'Site Level Financials - ''23 ''24'!$C$2:$C$1577,'Site Level Financials - ''23 ''24'!S$2:S$1577)</f>
        <v>373.61876855632698</v>
      </c>
      <c r="H91" s="242">
        <f>_xlfn.XLOOKUP($C91,'Site Level Financials - ''23 ''24'!$C$2:$C$1577,'Site Level Financials - ''23 ''24'!T$2:T$1577)</f>
        <v>249.92705161145872</v>
      </c>
      <c r="I91" s="242">
        <f>_xlfn.XLOOKUP($C91,'Site Level Financials - ''23 ''24'!$C$2:$C$1577,'Site Level Financials - ''23 ''24'!U$2:U$1577)</f>
        <v>269.59072993308365</v>
      </c>
      <c r="J91" s="242">
        <f>_xlfn.XLOOKUP($C91,'Site Level Financials - ''23 ''24'!$C$2:$C$1577,'Site Level Financials - ''23 ''24'!V$2:V$1577)</f>
        <v>298.74027097618381</v>
      </c>
      <c r="K91" s="242">
        <f>_xlfn.XLOOKUP($C91,'Site Level Financials - ''23 ''24'!$C$2:$C$1577,'Site Level Financials - ''23 ''24'!W$2:W$1577)</f>
        <v>167.31276018697247</v>
      </c>
      <c r="L91" s="242">
        <f>_xlfn.XLOOKUP($C91,'Site Level Financials - ''23 ''24'!$C$2:$C$1577,'Site Level Financials - ''23 ''24'!X$2:X$1577)</f>
        <v>152.57429613674566</v>
      </c>
      <c r="M91" s="242">
        <f>_xlfn.XLOOKUP($C91,'Site Level Financials - ''23 ''24'!$C$2:$C$1577,'Site Level Financials - ''23 ''24'!Y$2:Y$1577)</f>
        <v>256.59514613697434</v>
      </c>
      <c r="N91" s="242">
        <f>_xlfn.XLOOKUP($C91,'Site Level Financials - ''23 ''24'!$C$2:$C$1577,'Site Level Financials - ''23 ''24'!Z$2:Z$1577)</f>
        <v>334.43487106791559</v>
      </c>
      <c r="O91" s="242">
        <f>_xlfn.XLOOKUP($C91,'Site Level Financials - ''23 ''24'!$C$2:$C$1577,'Site Level Financials - ''23 ''24'!AA$2:AA$1577)</f>
        <v>291.66312691798191</v>
      </c>
      <c r="P91" s="242">
        <f>_xlfn.XLOOKUP($C91,'Site Level Financials - ''23 ''24'!$C$2:$C$1577,'Site Level Financials - ''23 ''24'!AB$2:AB$1577)</f>
        <v>301.21989150748533</v>
      </c>
      <c r="Q91" s="242">
        <f>_xlfn.XLOOKUP($C91,'Site Level Financials - ''23 ''24'!$C$2:$C$1577,'Site Level Financials - ''23 ''24'!AC$2:AC$1577)</f>
        <v>292.69385254165059</v>
      </c>
      <c r="R91" s="242">
        <f>_xlfn.XLOOKUP($C91,'Site Level Financials - ''23 ''24'!$C$2:$C$1577,'Site Level Financials - ''23 ''24'!AD$2:AD$1577)</f>
        <v>133.89603582408793</v>
      </c>
      <c r="S91" s="134">
        <f t="shared" ref="S91:AD91" si="182">S79+S82+S85+S88</f>
        <v>303.92474661244557</v>
      </c>
      <c r="T91" s="135">
        <f t="shared" si="182"/>
        <v>258.38872639192186</v>
      </c>
      <c r="U91" s="135">
        <f t="shared" si="182"/>
        <v>279.71018653080881</v>
      </c>
      <c r="V91" s="135">
        <f t="shared" si="182"/>
        <v>323.26780609248419</v>
      </c>
      <c r="W91" s="135">
        <f t="shared" si="182"/>
        <v>273.98671449685935</v>
      </c>
      <c r="X91" s="135">
        <f t="shared" si="182"/>
        <v>219.73844106653456</v>
      </c>
      <c r="Y91" s="135">
        <f t="shared" si="182"/>
        <v>346.99869277043342</v>
      </c>
      <c r="Z91" s="135">
        <f t="shared" si="182"/>
        <v>331.41357392812296</v>
      </c>
      <c r="AA91" s="135">
        <f t="shared" si="182"/>
        <v>293.28640898092027</v>
      </c>
      <c r="AB91" s="135">
        <f t="shared" si="182"/>
        <v>320.44115308454553</v>
      </c>
      <c r="AC91" s="135">
        <f t="shared" si="182"/>
        <v>268.93427299943335</v>
      </c>
      <c r="AD91" s="136">
        <f t="shared" si="182"/>
        <v>166.19600322016973</v>
      </c>
      <c r="AE91" s="15"/>
      <c r="AF91" s="113">
        <f>_xlfn.XLOOKUP($C91,'Site Level Financials - ''23 ''24'!$C$2:$C$1577,'Site Level Financials - ''23 ''24'!$AF$2:$AF$1577)</f>
        <v>2232.6056005686519</v>
      </c>
      <c r="AG91" s="95">
        <f>SUM(G91:R91)</f>
        <v>3122.2668013968673</v>
      </c>
      <c r="AH91" s="95">
        <f t="shared" ref="AH91" si="183">SUM(S91:AD91)</f>
        <v>3386.2867261746792</v>
      </c>
    </row>
    <row r="92" spans="2:37" x14ac:dyDescent="0.2">
      <c r="B92" s="9">
        <f>G55</f>
        <v>2</v>
      </c>
      <c r="C92" s="9" t="str">
        <f t="shared" si="76"/>
        <v>2 - % of Revenue - Office EBITDA</v>
      </c>
      <c r="D92" s="9" t="s">
        <v>56</v>
      </c>
      <c r="F92" s="16" t="str">
        <f>"% of Revenue - "&amp;F91</f>
        <v>% of Revenue - Office EBITDA</v>
      </c>
      <c r="G92" s="148">
        <f>G91/G67</f>
        <v>0.67180050848379069</v>
      </c>
      <c r="H92" s="149">
        <f t="shared" ref="H92:AD92" si="184">H91/H67</f>
        <v>0.54505674849855845</v>
      </c>
      <c r="I92" s="149">
        <f t="shared" si="184"/>
        <v>0.54937950043255268</v>
      </c>
      <c r="J92" s="149">
        <f t="shared" si="184"/>
        <v>0.59145341994159273</v>
      </c>
      <c r="K92" s="149">
        <f t="shared" si="184"/>
        <v>0.4082550758468525</v>
      </c>
      <c r="L92" s="149">
        <f t="shared" si="184"/>
        <v>0.39222024514238674</v>
      </c>
      <c r="M92" s="149">
        <f t="shared" si="184"/>
        <v>0.52451778575522456</v>
      </c>
      <c r="N92" s="149">
        <f t="shared" si="184"/>
        <v>0.5945295934539242</v>
      </c>
      <c r="O92" s="149">
        <f t="shared" si="184"/>
        <v>0.57351790063894514</v>
      </c>
      <c r="P92" s="149">
        <f t="shared" si="184"/>
        <v>0.54388011063927355</v>
      </c>
      <c r="Q92" s="149">
        <f t="shared" si="184"/>
        <v>0.58247069417228858</v>
      </c>
      <c r="R92" s="149">
        <f t="shared" si="184"/>
        <v>0.42926775861147637</v>
      </c>
      <c r="S92" s="148">
        <f t="shared" si="184"/>
        <v>0.66401793641824081</v>
      </c>
      <c r="T92" s="149">
        <f t="shared" si="184"/>
        <v>0.54518775364443206</v>
      </c>
      <c r="U92" s="149">
        <f t="shared" si="184"/>
        <v>0.54961903850530813</v>
      </c>
      <c r="V92" s="149">
        <f t="shared" si="184"/>
        <v>0.59300856919338329</v>
      </c>
      <c r="W92" s="149">
        <f t="shared" si="184"/>
        <v>0.42288722083557057</v>
      </c>
      <c r="X92" s="149">
        <f t="shared" si="184"/>
        <v>0.40387942749660155</v>
      </c>
      <c r="Y92" s="149">
        <f t="shared" si="184"/>
        <v>0.5327216779338565</v>
      </c>
      <c r="Z92" s="149">
        <f t="shared" si="184"/>
        <v>0.59335326752117368</v>
      </c>
      <c r="AA92" s="149">
        <f t="shared" si="184"/>
        <v>0.57272064070544859</v>
      </c>
      <c r="AB92" s="149">
        <f t="shared" si="184"/>
        <v>0.54484243900844986</v>
      </c>
      <c r="AC92" s="149">
        <f t="shared" si="184"/>
        <v>0.57847417282814673</v>
      </c>
      <c r="AD92" s="150">
        <f t="shared" si="184"/>
        <v>0.43798085524869396</v>
      </c>
      <c r="AE92" s="15"/>
      <c r="AF92" s="232">
        <f>_xlfn.XLOOKUP($C92,'Site Level Financials - ''23 ''24'!$C$2:$C$1577,'Site Level Financials - ''23 ''24'!$AF$2:$AF$1577)</f>
        <v>0.555114197147065</v>
      </c>
      <c r="AG92" s="97">
        <f t="shared" ref="AG92:AH92" si="185">AG91/AG67</f>
        <v>0.54415289293252844</v>
      </c>
      <c r="AH92" s="97">
        <f t="shared" si="185"/>
        <v>0.53477530635138981</v>
      </c>
    </row>
    <row r="93" spans="2:37" ht="6" customHeight="1" x14ac:dyDescent="0.2">
      <c r="B93" s="9">
        <f>G55</f>
        <v>2</v>
      </c>
      <c r="C93" s="9" t="str">
        <f t="shared" si="76"/>
        <v xml:space="preserve">2 - </v>
      </c>
      <c r="D93" s="9" t="s">
        <v>56</v>
      </c>
      <c r="G93" s="80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80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81"/>
      <c r="AE93" s="15"/>
      <c r="AF93" s="11"/>
      <c r="AG93" s="15"/>
      <c r="AH93" s="15"/>
    </row>
    <row r="94" spans="2:37" x14ac:dyDescent="0.2">
      <c r="B94" s="9">
        <f>G55</f>
        <v>2</v>
      </c>
      <c r="C94" s="9" t="str">
        <f t="shared" si="76"/>
        <v>2 - Memo:</v>
      </c>
      <c r="D94" s="9" t="s">
        <v>56</v>
      </c>
      <c r="F94" s="6" t="s">
        <v>13</v>
      </c>
      <c r="G94" s="80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80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81"/>
      <c r="AE94" s="15"/>
      <c r="AF94" s="11"/>
      <c r="AG94" s="15"/>
      <c r="AH94" s="15"/>
    </row>
    <row r="95" spans="2:37" s="24" customFormat="1" x14ac:dyDescent="0.2">
      <c r="B95" s="9">
        <f>G55</f>
        <v>2</v>
      </c>
      <c r="C95" s="9" t="str">
        <f t="shared" si="76"/>
        <v>2 - Collections</v>
      </c>
      <c r="D95" s="9" t="s">
        <v>56</v>
      </c>
      <c r="E95" s="49"/>
      <c r="F95" s="24" t="s">
        <v>15</v>
      </c>
      <c r="G95" s="247">
        <f>_xlfn.XLOOKUP($C95,'Site Level Financials - ''23 ''24'!$C$2:$C$1577,'Site Level Financials - ''23 ''24'!S$2:S$1577)</f>
        <v>546.65016020170856</v>
      </c>
      <c r="H95" s="248">
        <f>_xlfn.XLOOKUP($C95,'Site Level Financials - ''23 ''24'!$C$2:$C$1577,'Site Level Financials - ''23 ''24'!T$2:T$1577)</f>
        <v>458.24193391390838</v>
      </c>
      <c r="I95" s="248">
        <f>_xlfn.XLOOKUP($C95,'Site Level Financials - ''23 ''24'!$C$2:$C$1577,'Site Level Financials - ''23 ''24'!U$2:U$1577)</f>
        <v>478.67152359421965</v>
      </c>
      <c r="J95" s="248">
        <f>_xlfn.XLOOKUP($C95,'Site Level Financials - ''23 ''24'!$C$2:$C$1577,'Site Level Financials - ''23 ''24'!V$2:V$1577)</f>
        <v>508.47678668648973</v>
      </c>
      <c r="K95" s="248">
        <f>_xlfn.XLOOKUP($C95,'Site Level Financials - ''23 ''24'!$C$2:$C$1577,'Site Level Financials - ''23 ''24'!W$2:W$1577)</f>
        <v>405.27331947020906</v>
      </c>
      <c r="L95" s="248">
        <f>_xlfn.XLOOKUP($C95,'Site Level Financials - ''23 ''24'!$C$2:$C$1577,'Site Level Financials - ''23 ''24'!X$2:X$1577)</f>
        <v>392.47458576760454</v>
      </c>
      <c r="M95" s="248">
        <f>_xlfn.XLOOKUP($C95,'Site Level Financials - ''23 ''24'!$C$2:$C$1577,'Site Level Financials - ''23 ''24'!Y$2:Y$1577)</f>
        <v>479.48451536995532</v>
      </c>
      <c r="N95" s="248">
        <f>_xlfn.XLOOKUP($C95,'Site Level Financials - ''23 ''24'!$C$2:$C$1577,'Site Level Financials - ''23 ''24'!Z$2:Z$1577)</f>
        <v>558.93702378711805</v>
      </c>
      <c r="O95" s="248">
        <f>_xlfn.XLOOKUP($C95,'Site Level Financials - ''23 ''24'!$C$2:$C$1577,'Site Level Financials - ''23 ''24'!AA$2:AA$1577)</f>
        <v>499.32266338272615</v>
      </c>
      <c r="P95" s="248">
        <f>_xlfn.XLOOKUP($C95,'Site Level Financials - ''23 ''24'!$C$2:$C$1577,'Site Level Financials - ''23 ''24'!AB$2:AB$1577)</f>
        <v>550.32279679734449</v>
      </c>
      <c r="Q95" s="248">
        <f>_xlfn.XLOOKUP($C95,'Site Level Financials - ''23 ''24'!$C$2:$C$1577,'Site Level Financials - ''23 ''24'!AC$2:AC$1577)</f>
        <v>499.67902546785683</v>
      </c>
      <c r="R95" s="248">
        <f>_xlfn.XLOOKUP($C95,'Site Level Financials - ''23 ''24'!$C$2:$C$1577,'Site Level Financials - ''23 ''24'!AD$2:AD$1577)</f>
        <v>314.83382876507295</v>
      </c>
      <c r="S95" s="169">
        <f t="shared" ref="S95:AD95" si="186">S96*S65</f>
        <v>457.70562803143076</v>
      </c>
      <c r="T95" s="170">
        <f t="shared" si="186"/>
        <v>473.94447997898601</v>
      </c>
      <c r="U95" s="170">
        <f t="shared" si="186"/>
        <v>508.91648020687586</v>
      </c>
      <c r="V95" s="170">
        <f t="shared" si="186"/>
        <v>545.13176180943992</v>
      </c>
      <c r="W95" s="170">
        <f t="shared" si="186"/>
        <v>647.89546951902912</v>
      </c>
      <c r="X95" s="170">
        <f t="shared" si="186"/>
        <v>544.06940811161655</v>
      </c>
      <c r="Y95" s="170">
        <f t="shared" si="186"/>
        <v>651.36957466468505</v>
      </c>
      <c r="Z95" s="170">
        <f t="shared" si="186"/>
        <v>558.54343789603638</v>
      </c>
      <c r="AA95" s="170">
        <f t="shared" si="186"/>
        <v>512.09331065781873</v>
      </c>
      <c r="AB95" s="170">
        <f t="shared" si="186"/>
        <v>588.13545007197183</v>
      </c>
      <c r="AC95" s="170">
        <f t="shared" si="186"/>
        <v>464.90281784685385</v>
      </c>
      <c r="AD95" s="171">
        <f t="shared" si="186"/>
        <v>379.45951570371824</v>
      </c>
      <c r="AE95" s="26"/>
      <c r="AF95" s="234">
        <f>_xlfn.XLOOKUP($C95,'Site Level Financials - ''23 ''24'!$C$2:$C$1577,'Site Level Financials - ''23 ''24'!$AF$2:$AF$1577)</f>
        <v>4031.0131901499171</v>
      </c>
      <c r="AG95" s="99">
        <f>SUM(G95:R95)</f>
        <v>5692.3681632042135</v>
      </c>
      <c r="AH95" s="99">
        <f t="shared" ref="AH95" si="187">SUM(S95:AD95)</f>
        <v>6332.1673344984629</v>
      </c>
    </row>
    <row r="96" spans="2:37" x14ac:dyDescent="0.2">
      <c r="B96" s="116">
        <f>G55</f>
        <v>2</v>
      </c>
      <c r="C96" s="9" t="str">
        <f t="shared" si="76"/>
        <v>2 - Collections as a % of Production</v>
      </c>
      <c r="D96" s="9" t="s">
        <v>56</v>
      </c>
      <c r="E96" s="163"/>
      <c r="F96" s="172" t="s">
        <v>17</v>
      </c>
      <c r="G96" s="245">
        <f>_xlfn.XLOOKUP($C96,'Site Level Financials - ''23 ''24'!$C$2:$C$1577,'Site Level Financials - ''23 ''24'!S$2:S$1577)</f>
        <v>0.96839004328589806</v>
      </c>
      <c r="H96" s="246">
        <f>_xlfn.XLOOKUP($C96,'Site Level Financials - ''23 ''24'!$C$2:$C$1577,'Site Level Financials - ''23 ''24'!T$2:T$1577)</f>
        <v>0.98458332595619069</v>
      </c>
      <c r="I96" s="246">
        <f>_xlfn.XLOOKUP($C96,'Site Level Financials - ''23 ''24'!$C$2:$C$1577,'Site Level Financials - ''23 ''24'!U$2:U$1577)</f>
        <v>0.96102410180339604</v>
      </c>
      <c r="J96" s="246">
        <f>_xlfn.XLOOKUP($C96,'Site Level Financials - ''23 ''24'!$C$2:$C$1577,'Site Level Financials - ''23 ''24'!V$2:V$1577)</f>
        <v>0.99180684211804981</v>
      </c>
      <c r="K96" s="246">
        <f>_xlfn.XLOOKUP($C96,'Site Level Financials - ''23 ''24'!$C$2:$C$1577,'Site Level Financials - ''23 ''24'!W$2:W$1577)</f>
        <v>0.97427090884676126</v>
      </c>
      <c r="L96" s="246">
        <f>_xlfn.XLOOKUP($C96,'Site Level Financials - ''23 ''24'!$C$2:$C$1577,'Site Level Financials - ''23 ''24'!X$2:X$1577)</f>
        <v>0.99400681887833808</v>
      </c>
      <c r="M96" s="246">
        <f>_xlfn.XLOOKUP($C96,'Site Level Financials - ''23 ''24'!$C$2:$C$1577,'Site Level Financials - ''23 ''24'!Y$2:Y$1577)</f>
        <v>0.96564069751225512</v>
      </c>
      <c r="N96" s="246">
        <f>_xlfn.XLOOKUP($C96,'Site Level Financials - ''23 ''24'!$C$2:$C$1577,'Site Level Financials - ''23 ''24'!Z$2:Z$1577)</f>
        <v>0.97893530827561703</v>
      </c>
      <c r="O96" s="246">
        <f>_xlfn.XLOOKUP($C96,'Site Level Financials - ''23 ''24'!$C$2:$C$1577,'Site Level Financials - ''23 ''24'!AA$2:AA$1577)</f>
        <v>0.96733281507525215</v>
      </c>
      <c r="P96" s="246">
        <f>_xlfn.XLOOKUP($C96,'Site Level Financials - ''23 ''24'!$C$2:$C$1577,'Site Level Financials - ''23 ''24'!AB$2:AB$1577)</f>
        <v>0.97896288135032417</v>
      </c>
      <c r="Q96" s="246">
        <f>_xlfn.XLOOKUP($C96,'Site Level Financials - ''23 ''24'!$C$2:$C$1577,'Site Level Financials - ''23 ''24'!AC$2:AC$1577)</f>
        <v>0.97967221437086494</v>
      </c>
      <c r="R96" s="246">
        <f>_xlfn.XLOOKUP($C96,'Site Level Financials - ''23 ''24'!$C$2:$C$1577,'Site Level Financials - ''23 ''24'!AD$2:AD$1577)</f>
        <v>0.99442294070591386</v>
      </c>
      <c r="S96" s="148">
        <f>S66</f>
        <v>0.97740173219733295</v>
      </c>
      <c r="T96" s="149">
        <f t="shared" ref="T96:AD96" si="188">T66</f>
        <v>0.97740173219733295</v>
      </c>
      <c r="U96" s="149">
        <f t="shared" si="188"/>
        <v>0.97740173219733295</v>
      </c>
      <c r="V96" s="149">
        <f t="shared" si="188"/>
        <v>0.97740173219733295</v>
      </c>
      <c r="W96" s="149">
        <f t="shared" si="188"/>
        <v>0.97740173219733295</v>
      </c>
      <c r="X96" s="149">
        <f t="shared" si="188"/>
        <v>0.97740173219733295</v>
      </c>
      <c r="Y96" s="149">
        <f t="shared" si="188"/>
        <v>0.97740173219733295</v>
      </c>
      <c r="Z96" s="149">
        <f t="shared" si="188"/>
        <v>0.97740173219733295</v>
      </c>
      <c r="AA96" s="149">
        <f t="shared" si="188"/>
        <v>0.97740173219733295</v>
      </c>
      <c r="AB96" s="149">
        <f t="shared" si="188"/>
        <v>0.97740173219733295</v>
      </c>
      <c r="AC96" s="149">
        <f t="shared" si="188"/>
        <v>0.97740173219733295</v>
      </c>
      <c r="AD96" s="150">
        <f t="shared" si="188"/>
        <v>0.97740173219733295</v>
      </c>
      <c r="AE96" s="173"/>
      <c r="AF96" s="232">
        <f>_xlfn.XLOOKUP($C96,'Site Level Financials - ''23 ''24'!$C$2:$C$1577,'Site Level Financials - ''23 ''24'!$AF$2:$AF$1577)</f>
        <v>0.98379158452316939</v>
      </c>
      <c r="AG96" s="97">
        <f t="shared" ref="AG96:AH96" si="189">AG95/AG65</f>
        <v>0.97740173219733295</v>
      </c>
      <c r="AH96" s="97">
        <f t="shared" si="189"/>
        <v>0.97740173219733306</v>
      </c>
      <c r="AI96" s="164"/>
      <c r="AJ96" s="164"/>
      <c r="AK96" s="164"/>
    </row>
    <row r="97" spans="2:35" ht="6" customHeight="1" x14ac:dyDescent="0.2">
      <c r="B97" s="9">
        <f>G55</f>
        <v>2</v>
      </c>
      <c r="C97" s="9" t="str">
        <f t="shared" si="76"/>
        <v xml:space="preserve">2 - </v>
      </c>
      <c r="D97" s="9" t="s">
        <v>56</v>
      </c>
      <c r="F97" s="27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81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81"/>
      <c r="AE97" s="15"/>
      <c r="AF97" s="11"/>
      <c r="AH97" s="224"/>
    </row>
    <row r="98" spans="2:35" s="24" customFormat="1" x14ac:dyDescent="0.2">
      <c r="B98" s="9">
        <f>G55</f>
        <v>2</v>
      </c>
      <c r="C98" s="9" t="str">
        <f t="shared" si="76"/>
        <v>2 - Production per Vet Workday - YoY Change</v>
      </c>
      <c r="D98" s="9" t="s">
        <v>56</v>
      </c>
      <c r="E98" s="49"/>
      <c r="F98" s="24" t="s">
        <v>55</v>
      </c>
      <c r="G98" s="249">
        <f>_xlfn.XLOOKUP($C98,'Site Level Financials - ''23 ''24'!$C$2:$C$1577,'Site Level Financials - ''23 ''24'!S$2:S$1577)</f>
        <v>-9.9629996836057666E-2</v>
      </c>
      <c r="H98" s="250">
        <f>_xlfn.XLOOKUP($C98,'Site Level Financials - ''23 ''24'!$C$2:$C$1577,'Site Level Financials - ''23 ''24'!T$2:T$1577)</f>
        <v>-3.9588880067628396E-2</v>
      </c>
      <c r="I98" s="250">
        <f>_xlfn.XLOOKUP($C98,'Site Level Financials - ''23 ''24'!$C$2:$C$1577,'Site Level Financials - ''23 ''24'!U$2:U$1577)</f>
        <v>-8.7580184245372505E-2</v>
      </c>
      <c r="J98" s="250">
        <f>_xlfn.XLOOKUP($C98,'Site Level Financials - ''23 ''24'!$C$2:$C$1577,'Site Level Financials - ''23 ''24'!V$2:V$1577)</f>
        <v>-0.12681305467050374</v>
      </c>
      <c r="K98" s="250">
        <f>_xlfn.XLOOKUP($C98,'Site Level Financials - ''23 ''24'!$C$2:$C$1577,'Site Level Financials - ''23 ''24'!W$2:W$1577)</f>
        <v>-0.15658603054149989</v>
      </c>
      <c r="L98" s="250">
        <f>_xlfn.XLOOKUP($C98,'Site Level Financials - ''23 ''24'!$C$2:$C$1577,'Site Level Financials - ''23 ''24'!X$2:X$1577)</f>
        <v>-3.5942575988702985E-2</v>
      </c>
      <c r="M98" s="250">
        <f>_xlfn.XLOOKUP($C98,'Site Level Financials - ''23 ''24'!$C$2:$C$1577,'Site Level Financials - ''23 ''24'!Y$2:Y$1577)</f>
        <v>-0.13319505215459126</v>
      </c>
      <c r="N98" s="250">
        <f>_xlfn.XLOOKUP($C98,'Site Level Financials - ''23 ''24'!$C$2:$C$1577,'Site Level Financials - ''23 ''24'!Z$2:Z$1577)</f>
        <v>-0.14469681413968072</v>
      </c>
      <c r="O98" s="250">
        <f>_xlfn.XLOOKUP($C98,'Site Level Financials - ''23 ''24'!$C$2:$C$1577,'Site Level Financials - ''23 ''24'!AA$2:AA$1577)</f>
        <v>-0.19222666255053955</v>
      </c>
      <c r="P98" s="250">
        <f>_xlfn.XLOOKUP($C98,'Site Level Financials - ''23 ''24'!$C$2:$C$1577,'Site Level Financials - ''23 ''24'!AB$2:AB$1577)</f>
        <v>-0.21385903243977111</v>
      </c>
      <c r="Q98" s="250">
        <f>_xlfn.XLOOKUP($C98,'Site Level Financials - ''23 ''24'!$C$2:$C$1577,'Site Level Financials - ''23 ''24'!AC$2:AC$1577)</f>
        <v>-4.418074413222095E-2</v>
      </c>
      <c r="R98" s="251">
        <f>_xlfn.XLOOKUP($C98,'Site Level Financials - ''23 ''24'!$C$2:$C$1577,'Site Level Financials - ''23 ''24'!AD$2:AD$1577)</f>
        <v>3.8576381485931899E-2</v>
      </c>
      <c r="S98" s="151">
        <f>S64/G64-1</f>
        <v>0.10609574242390862</v>
      </c>
      <c r="T98" s="152">
        <f t="shared" ref="T98" si="190">T64/H64-1</f>
        <v>4.1866352567370591E-2</v>
      </c>
      <c r="U98" s="152">
        <f t="shared" ref="U98" si="191">U64/I64-1</f>
        <v>4.537015798899291E-2</v>
      </c>
      <c r="V98" s="152">
        <f t="shared" ref="V98" si="192">V64/J64-1</f>
        <v>8.7888413426856715E-2</v>
      </c>
      <c r="W98" s="152">
        <f t="shared" ref="W98" si="193">W64/K64-1</f>
        <v>6.2361445169378582E-2</v>
      </c>
      <c r="X98" s="152">
        <f t="shared" ref="X98" si="194">X64/L64-1</f>
        <v>-6.0130042950647167E-2</v>
      </c>
      <c r="Y98" s="152">
        <f t="shared" ref="Y98" si="195">Y64/M64-1</f>
        <v>6.5992500909368701E-3</v>
      </c>
      <c r="Z98" s="152">
        <f t="shared" ref="Z98" si="196">Z64/N64-1</f>
        <v>8.6376007249722164E-4</v>
      </c>
      <c r="AA98" s="152">
        <f t="shared" ref="AA98" si="197">AA64/O64-1</f>
        <v>1.5010747346416053E-2</v>
      </c>
      <c r="AB98" s="152">
        <f t="shared" ref="AB98" si="198">AB64/P64-1</f>
        <v>7.0416943254990372E-2</v>
      </c>
      <c r="AC98" s="152">
        <f t="shared" ref="AC98" si="199">AC64/Q64-1</f>
        <v>-6.7435788067924829E-2</v>
      </c>
      <c r="AD98" s="153">
        <f t="shared" ref="AD98" si="200">AD64/R64-1</f>
        <v>-8.0306005052667384E-2</v>
      </c>
      <c r="AF98" s="43"/>
      <c r="AG98" s="177">
        <f>AG64/AF64-1</f>
        <v>-0.13885452814162258</v>
      </c>
      <c r="AH98" s="225">
        <f>AH64/AG64-1</f>
        <v>3.3276499988349251E-2</v>
      </c>
    </row>
    <row r="99" spans="2:35" s="24" customFormat="1" ht="6" customHeight="1" x14ac:dyDescent="0.2">
      <c r="D99" s="9" t="s">
        <v>56</v>
      </c>
      <c r="E99" s="49"/>
      <c r="G99" s="28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29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29"/>
      <c r="AE99" s="25"/>
      <c r="AF99" s="28"/>
      <c r="AG99" s="30"/>
      <c r="AH99" s="226"/>
    </row>
    <row r="100" spans="2:35" s="24" customFormat="1" ht="6" customHeight="1" x14ac:dyDescent="0.2">
      <c r="D100" s="9" t="s">
        <v>56</v>
      </c>
      <c r="E100" s="49"/>
    </row>
    <row r="101" spans="2:35" x14ac:dyDescent="0.2">
      <c r="D101" s="9" t="s">
        <v>56</v>
      </c>
      <c r="F101" s="16"/>
    </row>
    <row r="102" spans="2:35" ht="15.75" thickBot="1" x14ac:dyDescent="0.4">
      <c r="B102" s="35" t="s">
        <v>52</v>
      </c>
      <c r="C102" s="35"/>
      <c r="D102" s="9" t="s">
        <v>56</v>
      </c>
      <c r="E102" s="48" t="s">
        <v>0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74"/>
      <c r="AH102" s="3">
        <f ca="1">TODAY()</f>
        <v>45999</v>
      </c>
      <c r="AI102" s="1"/>
    </row>
    <row r="103" spans="2:35" x14ac:dyDescent="0.2">
      <c r="B103" s="9">
        <f>G105</f>
        <v>3</v>
      </c>
      <c r="C103" s="9"/>
      <c r="D103" s="9" t="s">
        <v>56</v>
      </c>
      <c r="F103" t="s">
        <v>159</v>
      </c>
      <c r="AG103" s="6"/>
      <c r="AH103" s="6" t="s">
        <v>16</v>
      </c>
    </row>
    <row r="104" spans="2:35" x14ac:dyDescent="0.2">
      <c r="B104" s="9"/>
      <c r="C104" s="9"/>
      <c r="D104" s="9" t="s">
        <v>56</v>
      </c>
      <c r="AG104" s="6"/>
      <c r="AH104" s="6"/>
    </row>
    <row r="105" spans="2:35" x14ac:dyDescent="0.2">
      <c r="B105" s="9">
        <f>G105</f>
        <v>3</v>
      </c>
      <c r="C105" s="9"/>
      <c r="D105" s="9" t="s">
        <v>56</v>
      </c>
      <c r="F105" s="40" t="s">
        <v>53</v>
      </c>
      <c r="G105" s="42">
        <v>3</v>
      </c>
    </row>
    <row r="106" spans="2:35" x14ac:dyDescent="0.2">
      <c r="B106" s="9">
        <f>G105</f>
        <v>3</v>
      </c>
      <c r="C106" s="9"/>
      <c r="D106" s="9" t="s">
        <v>56</v>
      </c>
      <c r="F106" s="39" t="s">
        <v>20</v>
      </c>
      <c r="G106" s="41"/>
      <c r="H106" s="11"/>
    </row>
    <row r="107" spans="2:35" x14ac:dyDescent="0.2">
      <c r="B107" s="9">
        <f>G105</f>
        <v>3</v>
      </c>
      <c r="C107" s="9"/>
      <c r="D107" s="9" t="s">
        <v>56</v>
      </c>
      <c r="G107" s="23"/>
    </row>
    <row r="108" spans="2:35" x14ac:dyDescent="0.2">
      <c r="B108" s="9">
        <f>G105</f>
        <v>3</v>
      </c>
      <c r="C108" s="9"/>
      <c r="D108" s="9" t="s">
        <v>56</v>
      </c>
      <c r="G108" s="208" t="s">
        <v>229</v>
      </c>
      <c r="H108" s="209"/>
      <c r="I108" s="209"/>
      <c r="J108" s="209"/>
      <c r="K108" s="209"/>
      <c r="L108" s="209"/>
      <c r="M108" s="209"/>
      <c r="N108" s="209"/>
      <c r="O108" s="209"/>
      <c r="P108" s="209"/>
      <c r="Q108" s="209"/>
      <c r="R108" s="210"/>
      <c r="S108" s="266" t="s">
        <v>230</v>
      </c>
      <c r="T108" s="267"/>
      <c r="U108" s="267"/>
      <c r="V108" s="267"/>
      <c r="W108" s="267"/>
      <c r="X108" s="267"/>
      <c r="Y108" s="267"/>
      <c r="Z108" s="267"/>
      <c r="AA108" s="267"/>
      <c r="AB108" s="267"/>
      <c r="AC108" s="267"/>
      <c r="AD108" s="268"/>
      <c r="AF108" s="17" t="s">
        <v>231</v>
      </c>
      <c r="AG108" s="50"/>
      <c r="AH108" s="269" t="s">
        <v>232</v>
      </c>
    </row>
    <row r="109" spans="2:35" ht="15" customHeight="1" x14ac:dyDescent="0.35">
      <c r="B109" s="9">
        <f>G105</f>
        <v>3</v>
      </c>
      <c r="C109" s="9"/>
      <c r="D109" s="9" t="s">
        <v>56</v>
      </c>
      <c r="G109" s="211">
        <v>44957</v>
      </c>
      <c r="H109" s="212">
        <f>EOMONTH(G109,1)</f>
        <v>44985</v>
      </c>
      <c r="I109" s="212">
        <f t="shared" ref="I109" si="201">EOMONTH(H109,1)</f>
        <v>45016</v>
      </c>
      <c r="J109" s="212">
        <f t="shared" ref="J109" si="202">EOMONTH(I109,1)</f>
        <v>45046</v>
      </c>
      <c r="K109" s="212">
        <f t="shared" ref="K109" si="203">EOMONTH(J109,1)</f>
        <v>45077</v>
      </c>
      <c r="L109" s="212">
        <f t="shared" ref="L109" si="204">EOMONTH(K109,1)</f>
        <v>45107</v>
      </c>
      <c r="M109" s="212">
        <f t="shared" ref="M109" si="205">EOMONTH(L109,1)</f>
        <v>45138</v>
      </c>
      <c r="N109" s="212">
        <f t="shared" ref="N109" si="206">EOMONTH(M109,1)</f>
        <v>45169</v>
      </c>
      <c r="O109" s="212">
        <f t="shared" ref="O109" si="207">EOMONTH(N109,1)</f>
        <v>45199</v>
      </c>
      <c r="P109" s="212">
        <f t="shared" ref="P109" si="208">EOMONTH(O109,1)</f>
        <v>45230</v>
      </c>
      <c r="Q109" s="212">
        <f t="shared" ref="Q109" si="209">EOMONTH(P109,1)</f>
        <v>45260</v>
      </c>
      <c r="R109" s="213">
        <f t="shared" ref="R109" si="210">EOMONTH(Q109,1)</f>
        <v>45291</v>
      </c>
      <c r="S109" s="4">
        <f t="shared" ref="S109" si="211">EOMONTH(R109,1)</f>
        <v>45322</v>
      </c>
      <c r="T109" s="19">
        <f t="shared" ref="T109" si="212">EOMONTH(S109,1)</f>
        <v>45351</v>
      </c>
      <c r="U109" s="19">
        <f t="shared" ref="U109" si="213">EOMONTH(T109,1)</f>
        <v>45382</v>
      </c>
      <c r="V109" s="19">
        <f t="shared" ref="V109" si="214">EOMONTH(U109,1)</f>
        <v>45412</v>
      </c>
      <c r="W109" s="19">
        <f t="shared" ref="W109" si="215">EOMONTH(V109,1)</f>
        <v>45443</v>
      </c>
      <c r="X109" s="19">
        <f t="shared" ref="X109" si="216">EOMONTH(W109,1)</f>
        <v>45473</v>
      </c>
      <c r="Y109" s="19">
        <f t="shared" ref="Y109" si="217">EOMONTH(X109,1)</f>
        <v>45504</v>
      </c>
      <c r="Z109" s="19">
        <f t="shared" ref="Z109" si="218">EOMONTH(Y109,1)</f>
        <v>45535</v>
      </c>
      <c r="AA109" s="19">
        <f t="shared" ref="AA109" si="219">EOMONTH(Z109,1)</f>
        <v>45565</v>
      </c>
      <c r="AB109" s="19">
        <f t="shared" ref="AB109" si="220">EOMONTH(AA109,1)</f>
        <v>45596</v>
      </c>
      <c r="AC109" s="19">
        <f t="shared" ref="AC109" si="221">EOMONTH(AB109,1)</f>
        <v>45626</v>
      </c>
      <c r="AD109" s="5">
        <f t="shared" ref="AD109" si="222">EOMONTH(AC109,1)</f>
        <v>45657</v>
      </c>
      <c r="AE109" s="168"/>
      <c r="AF109" s="13">
        <v>45291</v>
      </c>
      <c r="AG109" s="14">
        <v>45657</v>
      </c>
      <c r="AH109" s="14">
        <v>46022</v>
      </c>
    </row>
    <row r="110" spans="2:35" ht="0.95" customHeight="1" x14ac:dyDescent="0.2">
      <c r="B110" s="9">
        <f>G105</f>
        <v>3</v>
      </c>
      <c r="C110" s="9"/>
      <c r="D110" s="9" t="s">
        <v>56</v>
      </c>
      <c r="G110" s="11"/>
      <c r="S110" s="11"/>
      <c r="AD110" s="15"/>
      <c r="AE110" s="15"/>
      <c r="AF110" s="11"/>
      <c r="AG110" s="15"/>
      <c r="AH110" s="15"/>
    </row>
    <row r="111" spans="2:35" x14ac:dyDescent="0.2">
      <c r="B111" s="9">
        <f>G105</f>
        <v>3</v>
      </c>
      <c r="C111" s="9" t="str">
        <f>B111&amp;" - "&amp;F111</f>
        <v>3 - Employed Vets</v>
      </c>
      <c r="D111" s="9" t="s">
        <v>56</v>
      </c>
      <c r="F111" s="7" t="s">
        <v>160</v>
      </c>
      <c r="G111" s="178">
        <f>_xlfn.XLOOKUP($C111,'Site Level Financials - ''23 ''24'!$C$2:$C$1577,'Site Level Financials - ''23 ''24'!S$2:S$1577)</f>
        <v>4</v>
      </c>
      <c r="H111" s="179">
        <f>_xlfn.XLOOKUP($C111,'Site Level Financials - ''23 ''24'!$C$2:$C$1577,'Site Level Financials - ''23 ''24'!T$2:T$1577)</f>
        <v>4</v>
      </c>
      <c r="I111" s="179">
        <f>_xlfn.XLOOKUP($C111,'Site Level Financials - ''23 ''24'!$C$2:$C$1577,'Site Level Financials - ''23 ''24'!U$2:U$1577)</f>
        <v>3</v>
      </c>
      <c r="J111" s="179">
        <f>_xlfn.XLOOKUP($C111,'Site Level Financials - ''23 ''24'!$C$2:$C$1577,'Site Level Financials - ''23 ''24'!V$2:V$1577)</f>
        <v>3</v>
      </c>
      <c r="K111" s="179">
        <f>_xlfn.XLOOKUP($C111,'Site Level Financials - ''23 ''24'!$C$2:$C$1577,'Site Level Financials - ''23 ''24'!W$2:W$1577)</f>
        <v>2</v>
      </c>
      <c r="L111" s="179">
        <f>_xlfn.XLOOKUP($C111,'Site Level Financials - ''23 ''24'!$C$2:$C$1577,'Site Level Financials - ''23 ''24'!X$2:X$1577)</f>
        <v>2</v>
      </c>
      <c r="M111" s="179">
        <f>_xlfn.XLOOKUP($C111,'Site Level Financials - ''23 ''24'!$C$2:$C$1577,'Site Level Financials - ''23 ''24'!Y$2:Y$1577)</f>
        <v>2</v>
      </c>
      <c r="N111" s="179">
        <f>_xlfn.XLOOKUP($C111,'Site Level Financials - ''23 ''24'!$C$2:$C$1577,'Site Level Financials - ''23 ''24'!Z$2:Z$1577)</f>
        <v>3</v>
      </c>
      <c r="O111" s="179">
        <f>_xlfn.XLOOKUP($C111,'Site Level Financials - ''23 ''24'!$C$2:$C$1577,'Site Level Financials - ''23 ''24'!AA$2:AA$1577)</f>
        <v>3</v>
      </c>
      <c r="P111" s="179">
        <f>_xlfn.XLOOKUP($C111,'Site Level Financials - ''23 ''24'!$C$2:$C$1577,'Site Level Financials - ''23 ''24'!AB$2:AB$1577)</f>
        <v>4</v>
      </c>
      <c r="Q111" s="179">
        <f>_xlfn.XLOOKUP($C111,'Site Level Financials - ''23 ''24'!$C$2:$C$1577,'Site Level Financials - ''23 ''24'!AC$2:AC$1577)</f>
        <v>4</v>
      </c>
      <c r="R111" s="179">
        <f>_xlfn.XLOOKUP($C111,'Site Level Financials - ''23 ''24'!$C$2:$C$1577,'Site Level Financials - ''23 ''24'!AD$2:AD$1577)</f>
        <v>4</v>
      </c>
      <c r="S111" s="178">
        <f>R111+_xlfn.XLOOKUP($R111,'Budget Assumption Driver'!$A$7:$A$11,'Budget Assumption Driver'!E$7:E$11)</f>
        <v>4</v>
      </c>
      <c r="T111" s="179">
        <f>S111+_xlfn.XLOOKUP($R111,'Budget Assumption Driver'!$A$7:$A$11,'Budget Assumption Driver'!F$7:F$11)</f>
        <v>4</v>
      </c>
      <c r="U111" s="179">
        <f>T111+_xlfn.XLOOKUP($R111,'Budget Assumption Driver'!$A$7:$A$11,'Budget Assumption Driver'!G$7:G$11)</f>
        <v>4</v>
      </c>
      <c r="V111" s="179">
        <f>U111+_xlfn.XLOOKUP($R111,'Budget Assumption Driver'!$A$7:$A$11,'Budget Assumption Driver'!H$7:H$11)</f>
        <v>4</v>
      </c>
      <c r="W111" s="179">
        <f>V111+_xlfn.XLOOKUP($R111,'Budget Assumption Driver'!$A$7:$A$11,'Budget Assumption Driver'!I$7:I$11)</f>
        <v>4</v>
      </c>
      <c r="X111" s="179">
        <f>W111+_xlfn.XLOOKUP($R111,'Budget Assumption Driver'!$A$7:$A$11,'Budget Assumption Driver'!J$7:J$11)</f>
        <v>4</v>
      </c>
      <c r="Y111" s="179">
        <f>X111+_xlfn.XLOOKUP($R111,'Budget Assumption Driver'!$A$7:$A$11,'Budget Assumption Driver'!K$7:K$11)</f>
        <v>4</v>
      </c>
      <c r="Z111" s="179">
        <f>Y111+_xlfn.XLOOKUP($R111,'Budget Assumption Driver'!$A$7:$A$11,'Budget Assumption Driver'!L$7:L$11)</f>
        <v>4</v>
      </c>
      <c r="AA111" s="179">
        <f>Z111+_xlfn.XLOOKUP($R111,'Budget Assumption Driver'!$A$7:$A$11,'Budget Assumption Driver'!M$7:M$11)</f>
        <v>4</v>
      </c>
      <c r="AB111" s="179">
        <f>AA111+_xlfn.XLOOKUP($R111,'Budget Assumption Driver'!$A$7:$A$11,'Budget Assumption Driver'!N$7:N$11)</f>
        <v>4</v>
      </c>
      <c r="AC111" s="179">
        <f>AB111+_xlfn.XLOOKUP($R111,'Budget Assumption Driver'!$A$7:$A$11,'Budget Assumption Driver'!O$7:O$11)</f>
        <v>4</v>
      </c>
      <c r="AD111" s="290">
        <f>AC111+_xlfn.XLOOKUP($R111,'Budget Assumption Driver'!$A$7:$A$11,'Budget Assumption Driver'!P$7:P$11)</f>
        <v>4</v>
      </c>
      <c r="AE111" s="15"/>
      <c r="AF111" s="229">
        <f>_xlfn.XLOOKUP($C111,'Site Level Financials - ''23 ''24'!$C$2:$C$1577,'Site Level Financials - ''23 ''24'!$AF$2:$AF$1577)</f>
        <v>3.1666666666666665</v>
      </c>
      <c r="AG111" s="91">
        <f t="shared" ref="AG111:AH111" si="223">AG113/AG112</f>
        <v>3.1672862453531598</v>
      </c>
      <c r="AH111" s="91">
        <f t="shared" si="223"/>
        <v>4</v>
      </c>
    </row>
    <row r="112" spans="2:35" x14ac:dyDescent="0.2">
      <c r="B112" s="9">
        <f>G105</f>
        <v>3</v>
      </c>
      <c r="C112" s="9" t="str">
        <f t="shared" ref="C112:C148" si="224">B112&amp;" - "&amp;F112</f>
        <v>3 - Workdays in Month / Year</v>
      </c>
      <c r="D112" s="9" t="s">
        <v>56</v>
      </c>
      <c r="F112" s="7" t="s">
        <v>54</v>
      </c>
      <c r="G112" s="178">
        <f>_xlfn.XLOOKUP($C112,'Site Level Financials - ''23 ''24'!$C$2:$C$1577,'Site Level Financials - ''23 ''24'!S$2:S$1577)</f>
        <v>23</v>
      </c>
      <c r="H112" s="235">
        <f>_xlfn.XLOOKUP($C112,'Site Level Financials - ''23 ''24'!$C$2:$C$1577,'Site Level Financials - ''23 ''24'!T$2:T$1577)</f>
        <v>22</v>
      </c>
      <c r="I112" s="235">
        <f>_xlfn.XLOOKUP($C112,'Site Level Financials - ''23 ''24'!$C$2:$C$1577,'Site Level Financials - ''23 ''24'!U$2:U$1577)</f>
        <v>22</v>
      </c>
      <c r="J112" s="179">
        <f>_xlfn.XLOOKUP($C112,'Site Level Financials - ''23 ''24'!$C$2:$C$1577,'Site Level Financials - ''23 ''24'!V$2:V$1577)</f>
        <v>22</v>
      </c>
      <c r="K112" s="179">
        <f>_xlfn.XLOOKUP($C112,'Site Level Financials - ''23 ''24'!$C$2:$C$1577,'Site Level Financials - ''23 ''24'!W$2:W$1577)</f>
        <v>24</v>
      </c>
      <c r="L112" s="179">
        <f>_xlfn.XLOOKUP($C112,'Site Level Financials - ''23 ''24'!$C$2:$C$1577,'Site Level Financials - ''23 ''24'!X$2:X$1577)</f>
        <v>21</v>
      </c>
      <c r="M112" s="179">
        <f>_xlfn.XLOOKUP($C112,'Site Level Financials - ''23 ''24'!$C$2:$C$1577,'Site Level Financials - ''23 ''24'!Y$2:Y$1577)</f>
        <v>23</v>
      </c>
      <c r="N112" s="179">
        <f>_xlfn.XLOOKUP($C112,'Site Level Financials - ''23 ''24'!$C$2:$C$1577,'Site Level Financials - ''23 ''24'!Z$2:Z$1577)</f>
        <v>23</v>
      </c>
      <c r="O112" s="179">
        <f>_xlfn.XLOOKUP($C112,'Site Level Financials - ''23 ''24'!$C$2:$C$1577,'Site Level Financials - ''23 ''24'!AA$2:AA$1577)</f>
        <v>21</v>
      </c>
      <c r="P112" s="179">
        <f>_xlfn.XLOOKUP($C112,'Site Level Financials - ''23 ''24'!$C$2:$C$1577,'Site Level Financials - ''23 ''24'!AB$2:AB$1577)</f>
        <v>24</v>
      </c>
      <c r="Q112" s="179">
        <f>_xlfn.XLOOKUP($C112,'Site Level Financials - ''23 ''24'!$C$2:$C$1577,'Site Level Financials - ''23 ''24'!AC$2:AC$1577)</f>
        <v>22</v>
      </c>
      <c r="R112" s="179">
        <f>_xlfn.XLOOKUP($C112,'Site Level Financials - ''23 ''24'!$C$2:$C$1577,'Site Level Financials - ''23 ''24'!AD$2:AD$1577)</f>
        <v>22</v>
      </c>
      <c r="S112" s="155">
        <f>NETWORKDAYS(R109,S109)</f>
        <v>23</v>
      </c>
      <c r="T112" s="154">
        <f t="shared" ref="T112:AD112" si="225">NETWORKDAYS(S109,T109)</f>
        <v>22</v>
      </c>
      <c r="U112" s="154">
        <f t="shared" si="225"/>
        <v>22</v>
      </c>
      <c r="V112" s="154">
        <f t="shared" si="225"/>
        <v>22</v>
      </c>
      <c r="W112" s="154">
        <f t="shared" si="225"/>
        <v>24</v>
      </c>
      <c r="X112" s="154">
        <f t="shared" si="225"/>
        <v>21</v>
      </c>
      <c r="Y112" s="154">
        <f t="shared" si="225"/>
        <v>23</v>
      </c>
      <c r="Z112" s="154">
        <f t="shared" si="225"/>
        <v>23</v>
      </c>
      <c r="AA112" s="154">
        <f t="shared" si="225"/>
        <v>21</v>
      </c>
      <c r="AB112" s="154">
        <f t="shared" si="225"/>
        <v>24</v>
      </c>
      <c r="AC112" s="154">
        <f t="shared" si="225"/>
        <v>22</v>
      </c>
      <c r="AD112" s="156">
        <f t="shared" si="225"/>
        <v>22</v>
      </c>
      <c r="AE112" s="15"/>
      <c r="AF112" s="115">
        <f>_xlfn.XLOOKUP($C112,'Site Level Financials - ''23 ''24'!$C$2:$C$1577,'Site Level Financials - ''23 ''24'!$AF$2:$AF$1577)</f>
        <v>269</v>
      </c>
      <c r="AG112" s="93">
        <f>SUM(G112:R112)</f>
        <v>269</v>
      </c>
      <c r="AH112" s="93">
        <f>SUM(S112:AD112)</f>
        <v>269</v>
      </c>
    </row>
    <row r="113" spans="2:34" ht="12.75" customHeight="1" x14ac:dyDescent="0.2">
      <c r="B113" s="9">
        <f>G105</f>
        <v>3</v>
      </c>
      <c r="C113" s="9" t="str">
        <f t="shared" si="224"/>
        <v>3 - Total Vet Days</v>
      </c>
      <c r="D113" s="9" t="s">
        <v>56</v>
      </c>
      <c r="F113" s="8" t="s">
        <v>51</v>
      </c>
      <c r="G113" s="236">
        <f>_xlfn.XLOOKUP($C113,'Site Level Financials - ''23 ''24'!$C$2:$C$1577,'Site Level Financials - ''23 ''24'!S$2:S$1577)</f>
        <v>92</v>
      </c>
      <c r="H113" s="237">
        <f>_xlfn.XLOOKUP($C113,'Site Level Financials - ''23 ''24'!$C$2:$C$1577,'Site Level Financials - ''23 ''24'!T$2:T$1577)</f>
        <v>88</v>
      </c>
      <c r="I113" s="237">
        <f>_xlfn.XLOOKUP($C113,'Site Level Financials - ''23 ''24'!$C$2:$C$1577,'Site Level Financials - ''23 ''24'!U$2:U$1577)</f>
        <v>66</v>
      </c>
      <c r="J113" s="238">
        <f>_xlfn.XLOOKUP($C113,'Site Level Financials - ''23 ''24'!$C$2:$C$1577,'Site Level Financials - ''23 ''24'!V$2:V$1577)</f>
        <v>66</v>
      </c>
      <c r="K113" s="238">
        <f>_xlfn.XLOOKUP($C113,'Site Level Financials - ''23 ''24'!$C$2:$C$1577,'Site Level Financials - ''23 ''24'!W$2:W$1577)</f>
        <v>48</v>
      </c>
      <c r="L113" s="238">
        <f>_xlfn.XLOOKUP($C113,'Site Level Financials - ''23 ''24'!$C$2:$C$1577,'Site Level Financials - ''23 ''24'!X$2:X$1577)</f>
        <v>42</v>
      </c>
      <c r="M113" s="238">
        <f>_xlfn.XLOOKUP($C113,'Site Level Financials - ''23 ''24'!$C$2:$C$1577,'Site Level Financials - ''23 ''24'!Y$2:Y$1577)</f>
        <v>46</v>
      </c>
      <c r="N113" s="238">
        <f>_xlfn.XLOOKUP($C113,'Site Level Financials - ''23 ''24'!$C$2:$C$1577,'Site Level Financials - ''23 ''24'!Z$2:Z$1577)</f>
        <v>69</v>
      </c>
      <c r="O113" s="238">
        <f>_xlfn.XLOOKUP($C113,'Site Level Financials - ''23 ''24'!$C$2:$C$1577,'Site Level Financials - ''23 ''24'!AA$2:AA$1577)</f>
        <v>63</v>
      </c>
      <c r="P113" s="238">
        <f>_xlfn.XLOOKUP($C113,'Site Level Financials - ''23 ''24'!$C$2:$C$1577,'Site Level Financials - ''23 ''24'!AB$2:AB$1577)</f>
        <v>96</v>
      </c>
      <c r="Q113" s="238">
        <f>_xlfn.XLOOKUP($C113,'Site Level Financials - ''23 ''24'!$C$2:$C$1577,'Site Level Financials - ''23 ''24'!AC$2:AC$1577)</f>
        <v>88</v>
      </c>
      <c r="R113" s="238">
        <f>_xlfn.XLOOKUP($C113,'Site Level Financials - ''23 ''24'!$C$2:$C$1577,'Site Level Financials - ''23 ''24'!AD$2:AD$1577)</f>
        <v>88</v>
      </c>
      <c r="S113" s="125">
        <f t="shared" ref="S113:AD113" si="226">S111*S112</f>
        <v>92</v>
      </c>
      <c r="T113" s="127">
        <f t="shared" si="226"/>
        <v>88</v>
      </c>
      <c r="U113" s="127">
        <f t="shared" si="226"/>
        <v>88</v>
      </c>
      <c r="V113" s="127">
        <f t="shared" si="226"/>
        <v>88</v>
      </c>
      <c r="W113" s="127">
        <f t="shared" si="226"/>
        <v>96</v>
      </c>
      <c r="X113" s="127">
        <f t="shared" si="226"/>
        <v>84</v>
      </c>
      <c r="Y113" s="127">
        <f t="shared" si="226"/>
        <v>92</v>
      </c>
      <c r="Z113" s="127">
        <f t="shared" si="226"/>
        <v>92</v>
      </c>
      <c r="AA113" s="127">
        <f t="shared" si="226"/>
        <v>84</v>
      </c>
      <c r="AB113" s="127">
        <f t="shared" si="226"/>
        <v>96</v>
      </c>
      <c r="AC113" s="127">
        <f t="shared" si="226"/>
        <v>88</v>
      </c>
      <c r="AD113" s="128">
        <f t="shared" si="226"/>
        <v>88</v>
      </c>
      <c r="AF113" s="112">
        <f>_xlfn.XLOOKUP($C113,'Site Level Financials - ''23 ''24'!$C$2:$C$1577,'Site Level Financials - ''23 ''24'!$AF$2:$AF$1577)</f>
        <v>849</v>
      </c>
      <c r="AG113" s="120">
        <f>SUM(G113:R113)</f>
        <v>852</v>
      </c>
      <c r="AH113" s="120">
        <f t="shared" ref="AH113" si="227">SUM(S113:AD113)</f>
        <v>1076</v>
      </c>
    </row>
    <row r="114" spans="2:34" x14ac:dyDescent="0.2">
      <c r="B114" s="9">
        <f>G105</f>
        <v>3</v>
      </c>
      <c r="C114" s="9" t="str">
        <f t="shared" si="224"/>
        <v>3 - Production per Vet Workday</v>
      </c>
      <c r="D114" s="9" t="s">
        <v>56</v>
      </c>
      <c r="F114" s="7" t="s">
        <v>50</v>
      </c>
      <c r="G114" s="239">
        <f>_xlfn.XLOOKUP($C114,'Site Level Financials - ''23 ''24'!$C$2:$C$1577,'Site Level Financials - ''23 ''24'!S$2:S$1577)</f>
        <v>4.79688784805602</v>
      </c>
      <c r="H114" s="240">
        <f>_xlfn.XLOOKUP($C114,'Site Level Financials - ''23 ''24'!$C$2:$C$1577,'Site Level Financials - ''23 ''24'!T$2:T$1577)</f>
        <v>4.7825335293062974</v>
      </c>
      <c r="I114" s="240">
        <f>_xlfn.XLOOKUP($C114,'Site Level Financials - ''23 ''24'!$C$2:$C$1577,'Site Level Financials - ''23 ''24'!U$2:U$1577)</f>
        <v>5.7454402227180692</v>
      </c>
      <c r="J114" s="240">
        <f>_xlfn.XLOOKUP($C114,'Site Level Financials - ''23 ''24'!$C$2:$C$1577,'Site Level Financials - ''23 ''24'!V$2:V$1577)</f>
        <v>5.5703489156487986</v>
      </c>
      <c r="K114" s="240">
        <f>_xlfn.XLOOKUP($C114,'Site Level Financials - ''23 ''24'!$C$2:$C$1577,'Site Level Financials - ''23 ''24'!W$2:W$1577)</f>
        <v>6.3238967680455085</v>
      </c>
      <c r="L114" s="240">
        <f>_xlfn.XLOOKUP($C114,'Site Level Financials - ''23 ''24'!$C$2:$C$1577,'Site Level Financials - ''23 ''24'!X$2:X$1577)</f>
        <v>6.2746729815433762</v>
      </c>
      <c r="M114" s="240">
        <f>_xlfn.XLOOKUP($C114,'Site Level Financials - ''23 ''24'!$C$2:$C$1577,'Site Level Financials - ''23 ''24'!Y$2:Y$1577)</f>
        <v>6.001318559415477</v>
      </c>
      <c r="N114" s="240">
        <f>_xlfn.XLOOKUP($C114,'Site Level Financials - ''23 ''24'!$C$2:$C$1577,'Site Level Financials - ''23 ''24'!Z$2:Z$1577)</f>
        <v>5.1340049819877578</v>
      </c>
      <c r="O114" s="240">
        <f>_xlfn.XLOOKUP($C114,'Site Level Financials - ''23 ''24'!$C$2:$C$1577,'Site Level Financials - ''23 ''24'!AA$2:AA$1577)</f>
        <v>5.1616267735530164</v>
      </c>
      <c r="P114" s="240">
        <f>_xlfn.XLOOKUP($C114,'Site Level Financials - ''23 ''24'!$C$2:$C$1577,'Site Level Financials - ''23 ''24'!AB$2:AB$1577)</f>
        <v>4.5858094879309705</v>
      </c>
      <c r="Q114" s="240">
        <f>_xlfn.XLOOKUP($C114,'Site Level Financials - ''23 ''24'!$C$2:$C$1577,'Site Level Financials - ''23 ''24'!AC$2:AC$1577)</f>
        <v>3.679720361199224</v>
      </c>
      <c r="R114" s="240">
        <f>_xlfn.XLOOKUP($C114,'Site Level Financials - ''23 ''24'!$C$2:$C$1577,'Site Level Financials - ''23 ''24'!AD$2:AD$1577)</f>
        <v>3.151184000205828</v>
      </c>
      <c r="S114" s="239">
        <f>R114*(1+_xlfn.XLOOKUP($R111,'Budget Assumption Driver'!$A$15:$A$19,'Budget Assumption Driver'!E$15:E$19))</f>
        <v>4.458322692940718</v>
      </c>
      <c r="T114" s="240">
        <f>S114*(1+_xlfn.XLOOKUP($R111,'Budget Assumption Driver'!$A$15:$A$19,'Budget Assumption Driver'!F$15:F$19))</f>
        <v>4.826339535140697</v>
      </c>
      <c r="U114" s="240">
        <f>T114*(1+_xlfn.XLOOKUP($R111,'Budget Assumption Driver'!$A$15:$A$19,'Budget Assumption Driver'!G$15:G$19))</f>
        <v>5.1824714333965813</v>
      </c>
      <c r="V114" s="240">
        <f>U114*(1+_xlfn.XLOOKUP($R111,'Budget Assumption Driver'!$A$15:$A$19,'Budget Assumption Driver'!H$15:H$19))</f>
        <v>5.5512640932086716</v>
      </c>
      <c r="W114" s="240">
        <f>V114*(1+_xlfn.XLOOKUP($R111,'Budget Assumption Driver'!$A$15:$A$19,'Budget Assumption Driver'!I$15:I$19))</f>
        <v>6.0479303948016723</v>
      </c>
      <c r="X114" s="240">
        <f>W114*(1+_xlfn.XLOOKUP($R111,'Budget Assumption Driver'!$A$15:$A$19,'Budget Assumption Driver'!J$15:J$19))</f>
        <v>5.8042765318172211</v>
      </c>
      <c r="Y114" s="240">
        <f>X114*(1+_xlfn.XLOOKUP($R111,'Budget Assumption Driver'!$A$15:$A$19,'Budget Assumption Driver'!K$15:K$19))</f>
        <v>5.3389704452630706</v>
      </c>
      <c r="Z114" s="240">
        <f>Y114*(1+_xlfn.XLOOKUP($R111,'Budget Assumption Driver'!$A$15:$A$19,'Budget Assumption Driver'!L$15:L$19))</f>
        <v>4.5781182040283026</v>
      </c>
      <c r="AA114" s="240">
        <f>Z114*(1+_xlfn.XLOOKUP($R111,'Budget Assumption Driver'!$A$15:$A$19,'Budget Assumption Driver'!M$15:M$19))</f>
        <v>4.597139598858635</v>
      </c>
      <c r="AB114" s="240">
        <f>AA114*(1+_xlfn.XLOOKUP($R111,'Budget Assumption Driver'!$A$15:$A$19,'Budget Assumption Driver'!N$15:N$19))</f>
        <v>4.6198087768459803</v>
      </c>
      <c r="AC114" s="240">
        <f>AB114*(1+_xlfn.XLOOKUP($R111,'Budget Assumption Driver'!$A$15:$A$19,'Budget Assumption Driver'!O$15:O$19))</f>
        <v>3.9837986634600071</v>
      </c>
      <c r="AD114" s="291">
        <f>AC114*(1+_xlfn.XLOOKUP($R111,'Budget Assumption Driver'!$A$15:$A$19,'Budget Assumption Driver'!P$15:P$19))</f>
        <v>3.2516264764728278</v>
      </c>
      <c r="AE114" s="15"/>
      <c r="AF114" s="230">
        <f>_xlfn.XLOOKUP($C114,'Site Level Financials - ''23 ''24'!$C$2:$C$1577,'Site Level Financials - ''23 ''24'!$AF$2:$AF$1577)</f>
        <v>5.300774908387373</v>
      </c>
      <c r="AG114" s="101">
        <f>AG115/AG113</f>
        <v>4.897827235554522</v>
      </c>
      <c r="AH114" s="101">
        <f>AH115/AH113</f>
        <v>4.8572154058438954</v>
      </c>
    </row>
    <row r="115" spans="2:34" x14ac:dyDescent="0.2">
      <c r="B115" s="9">
        <f>G105</f>
        <v>3</v>
      </c>
      <c r="C115" s="9" t="str">
        <f t="shared" si="224"/>
        <v>3 - Total Production</v>
      </c>
      <c r="D115" s="9" t="s">
        <v>56</v>
      </c>
      <c r="F115" s="8" t="s">
        <v>1</v>
      </c>
      <c r="G115" s="241">
        <f>_xlfn.XLOOKUP($C115,'Site Level Financials - ''23 ''24'!$C$2:$C$1577,'Site Level Financials - ''23 ''24'!S$2:S$1577)</f>
        <v>441.31368202115385</v>
      </c>
      <c r="H115" s="242">
        <f>_xlfn.XLOOKUP($C115,'Site Level Financials - ''23 ''24'!$C$2:$C$1577,'Site Level Financials - ''23 ''24'!T$2:T$1577)</f>
        <v>420.86295057895416</v>
      </c>
      <c r="I115" s="242">
        <f>_xlfn.XLOOKUP($C115,'Site Level Financials - ''23 ''24'!$C$2:$C$1577,'Site Level Financials - ''23 ''24'!U$2:U$1577)</f>
        <v>379.19905469939255</v>
      </c>
      <c r="J115" s="242">
        <f>_xlfn.XLOOKUP($C115,'Site Level Financials - ''23 ''24'!$C$2:$C$1577,'Site Level Financials - ''23 ''24'!V$2:V$1577)</f>
        <v>367.6430284328207</v>
      </c>
      <c r="K115" s="242">
        <f>_xlfn.XLOOKUP($C115,'Site Level Financials - ''23 ''24'!$C$2:$C$1577,'Site Level Financials - ''23 ''24'!W$2:W$1577)</f>
        <v>303.54704486618442</v>
      </c>
      <c r="L115" s="242">
        <f>_xlfn.XLOOKUP($C115,'Site Level Financials - ''23 ''24'!$C$2:$C$1577,'Site Level Financials - ''23 ''24'!X$2:X$1577)</f>
        <v>263.53626522482182</v>
      </c>
      <c r="M115" s="242">
        <f>_xlfn.XLOOKUP($C115,'Site Level Financials - ''23 ''24'!$C$2:$C$1577,'Site Level Financials - ''23 ''24'!Y$2:Y$1577)</f>
        <v>276.06065373311196</v>
      </c>
      <c r="N115" s="242">
        <f>_xlfn.XLOOKUP($C115,'Site Level Financials - ''23 ''24'!$C$2:$C$1577,'Site Level Financials - ''23 ''24'!Z$2:Z$1577)</f>
        <v>354.24634375715527</v>
      </c>
      <c r="O115" s="242">
        <f>_xlfn.XLOOKUP($C115,'Site Level Financials - ''23 ''24'!$C$2:$C$1577,'Site Level Financials - ''23 ''24'!AA$2:AA$1577)</f>
        <v>325.18248673384005</v>
      </c>
      <c r="P115" s="242">
        <f>_xlfn.XLOOKUP($C115,'Site Level Financials - ''23 ''24'!$C$2:$C$1577,'Site Level Financials - ''23 ''24'!AB$2:AB$1577)</f>
        <v>440.2377108413732</v>
      </c>
      <c r="Q115" s="242">
        <f>_xlfn.XLOOKUP($C115,'Site Level Financials - ''23 ''24'!$C$2:$C$1577,'Site Level Financials - ''23 ''24'!AC$2:AC$1577)</f>
        <v>323.81539178553169</v>
      </c>
      <c r="R115" s="242">
        <f>_xlfn.XLOOKUP($C115,'Site Level Financials - ''23 ''24'!$C$2:$C$1577,'Site Level Financials - ''23 ''24'!AD$2:AD$1577)</f>
        <v>277.30419201811287</v>
      </c>
      <c r="S115" s="134">
        <f t="shared" ref="S115:AD115" si="228">S114*S113</f>
        <v>410.16568775054606</v>
      </c>
      <c r="T115" s="135">
        <f t="shared" si="228"/>
        <v>424.71787909238134</v>
      </c>
      <c r="U115" s="135">
        <f t="shared" si="228"/>
        <v>456.05748613889915</v>
      </c>
      <c r="V115" s="135">
        <f t="shared" si="228"/>
        <v>488.51124020236313</v>
      </c>
      <c r="W115" s="135">
        <f t="shared" si="228"/>
        <v>580.60131790096057</v>
      </c>
      <c r="X115" s="135">
        <f t="shared" si="228"/>
        <v>487.55922867264655</v>
      </c>
      <c r="Y115" s="135">
        <f t="shared" si="228"/>
        <v>491.18528096420249</v>
      </c>
      <c r="Z115" s="135">
        <f t="shared" si="228"/>
        <v>421.18687477060382</v>
      </c>
      <c r="AA115" s="135">
        <f t="shared" si="228"/>
        <v>386.15972630412534</v>
      </c>
      <c r="AB115" s="135">
        <f t="shared" si="228"/>
        <v>443.50164257721411</v>
      </c>
      <c r="AC115" s="135">
        <f t="shared" si="228"/>
        <v>350.57428238448063</v>
      </c>
      <c r="AD115" s="136">
        <f t="shared" si="228"/>
        <v>286.14312992960885</v>
      </c>
      <c r="AE115" s="15"/>
      <c r="AF115" s="113">
        <f>_xlfn.XLOOKUP($C115,'Site Level Financials - ''23 ''24'!$C$2:$C$1577,'Site Level Financials - ''23 ''24'!$AF$2:$AF$1577)</f>
        <v>4302.8428664341182</v>
      </c>
      <c r="AG115" s="95">
        <f>SUM(G115:R115)</f>
        <v>4172.9488046924525</v>
      </c>
      <c r="AH115" s="95">
        <f t="shared" ref="AH115" si="229">SUM(S115:AD115)</f>
        <v>5226.3637766880311</v>
      </c>
    </row>
    <row r="116" spans="2:34" x14ac:dyDescent="0.2">
      <c r="B116" s="9">
        <f>G105</f>
        <v>3</v>
      </c>
      <c r="C116" s="9" t="str">
        <f t="shared" si="224"/>
        <v>3 - Revenue as a % of Production</v>
      </c>
      <c r="D116" s="9" t="s">
        <v>56</v>
      </c>
      <c r="F116" s="7" t="s">
        <v>2</v>
      </c>
      <c r="G116" s="243">
        <f>_xlfn.XLOOKUP($C116,'Site Level Financials - ''23 ''24'!$C$2:$C$1577,'Site Level Financials - ''23 ''24'!S$2:S$1577)</f>
        <v>0.98665399907922502</v>
      </c>
      <c r="H116" s="244">
        <f>_xlfn.XLOOKUP($C116,'Site Level Financials - ''23 ''24'!$C$2:$C$1577,'Site Level Financials - ''23 ''24'!T$2:T$1577)</f>
        <v>0.98665399907922502</v>
      </c>
      <c r="I116" s="244">
        <f>_xlfn.XLOOKUP($C116,'Site Level Financials - ''23 ''24'!$C$2:$C$1577,'Site Level Financials - ''23 ''24'!U$2:U$1577)</f>
        <v>0.98665399907922502</v>
      </c>
      <c r="J116" s="244">
        <f>_xlfn.XLOOKUP($C116,'Site Level Financials - ''23 ''24'!$C$2:$C$1577,'Site Level Financials - ''23 ''24'!V$2:V$1577)</f>
        <v>0.98665399907922502</v>
      </c>
      <c r="K116" s="244">
        <f>_xlfn.XLOOKUP($C116,'Site Level Financials - ''23 ''24'!$C$2:$C$1577,'Site Level Financials - ''23 ''24'!W$2:W$1577)</f>
        <v>0.98665399907922502</v>
      </c>
      <c r="L116" s="244">
        <f>_xlfn.XLOOKUP($C116,'Site Level Financials - ''23 ''24'!$C$2:$C$1577,'Site Level Financials - ''23 ''24'!X$2:X$1577)</f>
        <v>0.98665399907922502</v>
      </c>
      <c r="M116" s="244">
        <f>_xlfn.XLOOKUP($C116,'Site Level Financials - ''23 ''24'!$C$2:$C$1577,'Site Level Financials - ''23 ''24'!Y$2:Y$1577)</f>
        <v>0.98665399907922502</v>
      </c>
      <c r="N116" s="244">
        <f>_xlfn.XLOOKUP($C116,'Site Level Financials - ''23 ''24'!$C$2:$C$1577,'Site Level Financials - ''23 ''24'!Z$2:Z$1577)</f>
        <v>0.98665399907922502</v>
      </c>
      <c r="O116" s="244">
        <f>_xlfn.XLOOKUP($C116,'Site Level Financials - ''23 ''24'!$C$2:$C$1577,'Site Level Financials - ''23 ''24'!AA$2:AA$1577)</f>
        <v>0.98665399907922502</v>
      </c>
      <c r="P116" s="244">
        <f>_xlfn.XLOOKUP($C116,'Site Level Financials - ''23 ''24'!$C$2:$C$1577,'Site Level Financials - ''23 ''24'!AB$2:AB$1577)</f>
        <v>0.98665399907922502</v>
      </c>
      <c r="Q116" s="244">
        <f>_xlfn.XLOOKUP($C116,'Site Level Financials - ''23 ''24'!$C$2:$C$1577,'Site Level Financials - ''23 ''24'!AC$2:AC$1577)</f>
        <v>0.98665399907922502</v>
      </c>
      <c r="R116" s="244">
        <f>_xlfn.XLOOKUP($C116,'Site Level Financials - ''23 ''24'!$C$2:$C$1577,'Site Level Financials - ''23 ''24'!AD$2:AD$1577)</f>
        <v>0.98665399907922502</v>
      </c>
      <c r="S116" s="292">
        <f>SUM(G145:R145)/SUM(G115:R115)</f>
        <v>0.97694562565373555</v>
      </c>
      <c r="T116" s="203">
        <f>S116</f>
        <v>0.97694562565373555</v>
      </c>
      <c r="U116" s="203">
        <f t="shared" ref="U116:AD116" si="230">T116</f>
        <v>0.97694562565373555</v>
      </c>
      <c r="V116" s="203">
        <f t="shared" si="230"/>
        <v>0.97694562565373555</v>
      </c>
      <c r="W116" s="203">
        <f t="shared" si="230"/>
        <v>0.97694562565373555</v>
      </c>
      <c r="X116" s="203">
        <f t="shared" si="230"/>
        <v>0.97694562565373555</v>
      </c>
      <c r="Y116" s="203">
        <f t="shared" si="230"/>
        <v>0.97694562565373555</v>
      </c>
      <c r="Z116" s="203">
        <f t="shared" si="230"/>
        <v>0.97694562565373555</v>
      </c>
      <c r="AA116" s="203">
        <f t="shared" si="230"/>
        <v>0.97694562565373555</v>
      </c>
      <c r="AB116" s="203">
        <f t="shared" si="230"/>
        <v>0.97694562565373555</v>
      </c>
      <c r="AC116" s="203">
        <f t="shared" si="230"/>
        <v>0.97694562565373555</v>
      </c>
      <c r="AD116" s="204">
        <f t="shared" si="230"/>
        <v>0.97694562565373555</v>
      </c>
      <c r="AE116" s="15"/>
      <c r="AF116" s="231">
        <f>_xlfn.XLOOKUP($C116,'Site Level Financials - ''23 ''24'!$C$2:$C$1577,'Site Level Financials - ''23 ''24'!$AF$2:$AF$1577)</f>
        <v>0.97032664276176017</v>
      </c>
      <c r="AG116" s="103">
        <f>AG117/AG115</f>
        <v>0.98665399907922491</v>
      </c>
      <c r="AH116" s="103">
        <f>AH117/AH115</f>
        <v>0.97694562565373555</v>
      </c>
    </row>
    <row r="117" spans="2:34" x14ac:dyDescent="0.2">
      <c r="B117" s="9">
        <f>G105</f>
        <v>3</v>
      </c>
      <c r="C117" s="9" t="str">
        <f t="shared" si="224"/>
        <v>3 - Total Revenue</v>
      </c>
      <c r="D117" s="9" t="s">
        <v>56</v>
      </c>
      <c r="F117" s="8" t="s">
        <v>3</v>
      </c>
      <c r="G117" s="241">
        <f>_xlfn.XLOOKUP($C117,'Site Level Financials - ''23 ''24'!$C$2:$C$1577,'Site Level Financials - ''23 ''24'!S$2:S$1577)</f>
        <v>435.42390921454893</v>
      </c>
      <c r="H117" s="242">
        <f>_xlfn.XLOOKUP($C117,'Site Level Financials - ''23 ''24'!$C$2:$C$1577,'Site Level Financials - ''23 ''24'!T$2:T$1577)</f>
        <v>415.24611325300737</v>
      </c>
      <c r="I117" s="242">
        <f>_xlfn.XLOOKUP($C117,'Site Level Financials - ''23 ''24'!$C$2:$C$1577,'Site Level Financials - ''23 ''24'!U$2:U$1577)</f>
        <v>374.13826376621745</v>
      </c>
      <c r="J117" s="242">
        <f>_xlfn.XLOOKUP($C117,'Site Level Financials - ''23 ''24'!$C$2:$C$1577,'Site Level Financials - ''23 ''24'!V$2:V$1577)</f>
        <v>362.73646423683977</v>
      </c>
      <c r="K117" s="242">
        <f>_xlfn.XLOOKUP($C117,'Site Level Financials - ''23 ''24'!$C$2:$C$1577,'Site Level Financials - ''23 ''24'!W$2:W$1577)</f>
        <v>299.49590572590182</v>
      </c>
      <c r="L117" s="242">
        <f>_xlfn.XLOOKUP($C117,'Site Level Financials - ''23 ''24'!$C$2:$C$1577,'Site Level Financials - ''23 ''24'!X$2:X$1577)</f>
        <v>260.01910998647372</v>
      </c>
      <c r="M117" s="242">
        <f>_xlfn.XLOOKUP($C117,'Site Level Financials - ''23 ''24'!$C$2:$C$1577,'Site Level Financials - ''23 ''24'!Y$2:Y$1577)</f>
        <v>272.3763479942001</v>
      </c>
      <c r="N117" s="242">
        <f>_xlfn.XLOOKUP($C117,'Site Level Financials - ''23 ''24'!$C$2:$C$1577,'Site Level Financials - ''23 ''24'!Z$2:Z$1577)</f>
        <v>349.5185717271911</v>
      </c>
      <c r="O117" s="242">
        <f>_xlfn.XLOOKUP($C117,'Site Level Financials - ''23 ''24'!$C$2:$C$1577,'Site Level Financials - ''23 ''24'!AA$2:AA$1577)</f>
        <v>320.84260096647034</v>
      </c>
      <c r="P117" s="242">
        <f>_xlfn.XLOOKUP($C117,'Site Level Financials - ''23 ''24'!$C$2:$C$1577,'Site Level Financials - ''23 ''24'!AB$2:AB$1577)</f>
        <v>434.36229794712438</v>
      </c>
      <c r="Q117" s="242">
        <f>_xlfn.XLOOKUP($C117,'Site Level Financials - ''23 ''24'!$C$2:$C$1577,'Site Level Financials - ''23 ''24'!AC$2:AC$1577)</f>
        <v>319.49375126860087</v>
      </c>
      <c r="R117" s="242">
        <f>_xlfn.XLOOKUP($C117,'Site Level Financials - ''23 ''24'!$C$2:$C$1577,'Site Level Financials - ''23 ''24'!AD$2:AD$1577)</f>
        <v>273.60329001610438</v>
      </c>
      <c r="S117" s="134">
        <f t="shared" ref="S117:AD117" si="231">S116*S115</f>
        <v>400.70957444115197</v>
      </c>
      <c r="T117" s="135">
        <f t="shared" si="231"/>
        <v>414.92627411623408</v>
      </c>
      <c r="U117" s="135">
        <f t="shared" si="231"/>
        <v>445.54336613003665</v>
      </c>
      <c r="V117" s="135">
        <f t="shared" si="231"/>
        <v>477.24891919837995</v>
      </c>
      <c r="W117" s="135">
        <f t="shared" si="231"/>
        <v>567.21591777213735</v>
      </c>
      <c r="X117" s="135">
        <f t="shared" si="231"/>
        <v>476.31885569885139</v>
      </c>
      <c r="Y117" s="135">
        <f t="shared" si="231"/>
        <v>479.86131162347868</v>
      </c>
      <c r="Z117" s="135">
        <f t="shared" si="231"/>
        <v>411.47667488990913</v>
      </c>
      <c r="AA117" s="135">
        <f t="shared" si="231"/>
        <v>377.25705541645902</v>
      </c>
      <c r="AB117" s="135">
        <f t="shared" si="231"/>
        <v>433.27698968605586</v>
      </c>
      <c r="AC117" s="135">
        <f t="shared" si="231"/>
        <v>342.4920116422158</v>
      </c>
      <c r="AD117" s="136">
        <f t="shared" si="231"/>
        <v>279.54627909559986</v>
      </c>
      <c r="AE117" s="15"/>
      <c r="AF117" s="113">
        <f>_xlfn.XLOOKUP($C117,'Site Level Financials - ''23 ''24'!$C$2:$C$1577,'Site Level Financials - ''23 ''24'!$AF$2:$AF$1577)</f>
        <v>4175.1630729184071</v>
      </c>
      <c r="AG117" s="95">
        <f>SUM(G117:R117)</f>
        <v>4117.2566261026795</v>
      </c>
      <c r="AH117" s="95">
        <f t="shared" ref="AH117" si="232">SUM(S117:AD117)</f>
        <v>5105.8732297105089</v>
      </c>
    </row>
    <row r="118" spans="2:34" x14ac:dyDescent="0.2">
      <c r="B118" s="9">
        <f>G105</f>
        <v>3</v>
      </c>
      <c r="C118" s="9" t="str">
        <f t="shared" si="224"/>
        <v>3 - % YoY Revenue Growth</v>
      </c>
      <c r="D118" s="9" t="s">
        <v>56</v>
      </c>
      <c r="F118" s="16" t="s">
        <v>174</v>
      </c>
      <c r="G118" s="245">
        <f>_xlfn.XLOOKUP($C118,'Site Level Financials - ''23 ''24'!$C$2:$C$1577,'Site Level Financials - ''23 ''24'!S$2:S$1577)</f>
        <v>-2.6891541750657111E-2</v>
      </c>
      <c r="H118" s="246">
        <f>_xlfn.XLOOKUP($C118,'Site Level Financials - ''23 ''24'!$C$2:$C$1577,'Site Level Financials - ''23 ''24'!T$2:T$1577)</f>
        <v>-3.5587360230526999E-2</v>
      </c>
      <c r="I118" s="246">
        <f>_xlfn.XLOOKUP($C118,'Site Level Financials - ''23 ''24'!$C$2:$C$1577,'Site Level Financials - ''23 ''24'!U$2:U$1577)</f>
        <v>-0.1108070290847486</v>
      </c>
      <c r="J118" s="246">
        <f>_xlfn.XLOOKUP($C118,'Site Level Financials - ''23 ''24'!$C$2:$C$1577,'Site Level Financials - ''23 ''24'!V$2:V$1577)</f>
        <v>2.4416372065256819E-2</v>
      </c>
      <c r="K118" s="246">
        <f>_xlfn.XLOOKUP($C118,'Site Level Financials - ''23 ''24'!$C$2:$C$1577,'Site Level Financials - ''23 ''24'!W$2:W$1577)</f>
        <v>1.1458856135273976E-2</v>
      </c>
      <c r="L118" s="246">
        <f>_xlfn.XLOOKUP($C118,'Site Level Financials - ''23 ''24'!$C$2:$C$1577,'Site Level Financials - ''23 ''24'!X$2:X$1577)</f>
        <v>-8.7082870003348467E-2</v>
      </c>
      <c r="M118" s="246">
        <f>_xlfn.XLOOKUP($C118,'Site Level Financials - ''23 ''24'!$C$2:$C$1577,'Site Level Financials - ''23 ''24'!Y$2:Y$1577)</f>
        <v>6.0764627389483072E-2</v>
      </c>
      <c r="N118" s="246">
        <f>_xlfn.XLOOKUP($C118,'Site Level Financials - ''23 ''24'!$C$2:$C$1577,'Site Level Financials - ''23 ''24'!Z$2:Z$1577)</f>
        <v>-9.6632883032099492E-3</v>
      </c>
      <c r="O118" s="246">
        <f>_xlfn.XLOOKUP($C118,'Site Level Financials - ''23 ''24'!$C$2:$C$1577,'Site Level Financials - ''23 ''24'!AA$2:AA$1577)</f>
        <v>-9.6020876985716264E-3</v>
      </c>
      <c r="P118" s="246">
        <f>_xlfn.XLOOKUP($C118,'Site Level Financials - ''23 ''24'!$C$2:$C$1577,'Site Level Financials - ''23 ''24'!AB$2:AB$1577)</f>
        <v>4.4460001986441844E-2</v>
      </c>
      <c r="Q118" s="246">
        <f>_xlfn.XLOOKUP($C118,'Site Level Financials - ''23 ''24'!$C$2:$C$1577,'Site Level Financials - ''23 ''24'!AC$2:AC$1577)</f>
        <v>-0.12234464452390548</v>
      </c>
      <c r="R118" s="246">
        <f>_xlfn.XLOOKUP($C118,'Site Level Financials - ''23 ''24'!$C$2:$C$1577,'Site Level Financials - ''23 ''24'!AD$2:AD$1577)</f>
        <v>3.0851575310942181E-2</v>
      </c>
      <c r="S118" s="148">
        <f>S117/G117-1</f>
        <v>-7.9725375751683814E-2</v>
      </c>
      <c r="T118" s="149">
        <f t="shared" ref="T118" si="233">T117/H117-1</f>
        <v>-7.7023992896085858E-4</v>
      </c>
      <c r="U118" s="149">
        <f t="shared" ref="U118" si="234">U117/I117-1</f>
        <v>0.1908521776014791</v>
      </c>
      <c r="V118" s="149">
        <f t="shared" ref="V118" si="235">V117/J117-1</f>
        <v>0.3156904977900763</v>
      </c>
      <c r="W118" s="149">
        <f t="shared" ref="W118" si="236">W117/K117-1</f>
        <v>0.89390207654876086</v>
      </c>
      <c r="X118" s="149">
        <f t="shared" ref="X118" si="237">X117/L117-1</f>
        <v>0.83186095715668618</v>
      </c>
      <c r="Y118" s="149">
        <f t="shared" ref="Y118" si="238">Y117/M117-1</f>
        <v>0.76175837277066627</v>
      </c>
      <c r="Z118" s="149">
        <f t="shared" ref="Z118" si="239">Z117/N117-1</f>
        <v>0.17726698428797105</v>
      </c>
      <c r="AA118" s="149">
        <f t="shared" ref="AA118" si="240">AA117/O117-1</f>
        <v>0.17583218151221836</v>
      </c>
      <c r="AB118" s="149">
        <f t="shared" ref="AB118" si="241">AB117/P117-1</f>
        <v>-2.4986244575044836E-3</v>
      </c>
      <c r="AC118" s="149">
        <f t="shared" ref="AC118" si="242">AC117/Q117-1</f>
        <v>7.1983443439180395E-2</v>
      </c>
      <c r="AD118" s="150">
        <f t="shared" ref="AD118" si="243">AD117/R117-1</f>
        <v>2.1721190118531464E-2</v>
      </c>
      <c r="AE118" s="15"/>
      <c r="AF118" s="11"/>
      <c r="AG118" s="97">
        <f>AG117/AF117-1</f>
        <v>-1.3869265895583682E-2</v>
      </c>
      <c r="AH118" s="97">
        <f>AH117/AG117-1</f>
        <v>0.24011537132278193</v>
      </c>
    </row>
    <row r="119" spans="2:34" ht="6" customHeight="1" x14ac:dyDescent="0.2">
      <c r="B119" s="9">
        <f>G105</f>
        <v>3</v>
      </c>
      <c r="C119" s="9" t="str">
        <f t="shared" si="224"/>
        <v xml:space="preserve">3 - </v>
      </c>
      <c r="D119" s="9" t="s">
        <v>56</v>
      </c>
      <c r="G119" s="80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80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81"/>
      <c r="AE119" s="15"/>
      <c r="AF119" s="11"/>
      <c r="AG119" s="15"/>
      <c r="AH119" s="15"/>
    </row>
    <row r="120" spans="2:34" x14ac:dyDescent="0.2">
      <c r="B120" s="9">
        <f>G105</f>
        <v>3</v>
      </c>
      <c r="C120" s="9" t="str">
        <f t="shared" si="224"/>
        <v>3 - Doctor Compensation</v>
      </c>
      <c r="D120" s="9" t="s">
        <v>56</v>
      </c>
      <c r="F120" t="s">
        <v>4</v>
      </c>
      <c r="G120" s="178">
        <f>_xlfn.XLOOKUP($C120,'Site Level Financials - ''23 ''24'!$C$2:$C$1577,'Site Level Financials - ''23 ''24'!S$2:S$1577)</f>
        <v>-170.17943896290785</v>
      </c>
      <c r="H120" s="179">
        <f>_xlfn.XLOOKUP($C120,'Site Level Financials - ''23 ''24'!$C$2:$C$1577,'Site Level Financials - ''23 ''24'!T$2:T$1577)</f>
        <v>-165.73122281962378</v>
      </c>
      <c r="I120" s="179">
        <f>_xlfn.XLOOKUP($C120,'Site Level Financials - ''23 ''24'!$C$2:$C$1577,'Site Level Financials - ''23 ''24'!U$2:U$1577)</f>
        <v>-133.19321260268339</v>
      </c>
      <c r="J120" s="179">
        <f>_xlfn.XLOOKUP($C120,'Site Level Financials - ''23 ''24'!$C$2:$C$1577,'Site Level Financials - ''23 ''24'!V$2:V$1577)</f>
        <v>-189.16491576099295</v>
      </c>
      <c r="K120" s="179">
        <f>_xlfn.XLOOKUP($C120,'Site Level Financials - ''23 ''24'!$C$2:$C$1577,'Site Level Financials - ''23 ''24'!W$2:W$1577)</f>
        <v>-106.28952365951501</v>
      </c>
      <c r="L120" s="179">
        <f>_xlfn.XLOOKUP($C120,'Site Level Financials - ''23 ''24'!$C$2:$C$1577,'Site Level Financials - ''23 ''24'!X$2:X$1577)</f>
        <v>-91.92009038831209</v>
      </c>
      <c r="M120" s="179">
        <f>_xlfn.XLOOKUP($C120,'Site Level Financials - ''23 ''24'!$C$2:$C$1577,'Site Level Financials - ''23 ''24'!Y$2:Y$1577)</f>
        <v>-98.115346100277421</v>
      </c>
      <c r="N120" s="179">
        <f>_xlfn.XLOOKUP($C120,'Site Level Financials - ''23 ''24'!$C$2:$C$1577,'Site Level Financials - ''23 ''24'!Z$2:Z$1577)</f>
        <v>-123.27671846724711</v>
      </c>
      <c r="O120" s="179">
        <f>_xlfn.XLOOKUP($C120,'Site Level Financials - ''23 ''24'!$C$2:$C$1577,'Site Level Financials - ''23 ''24'!AA$2:AA$1577)</f>
        <v>-111.89320640423198</v>
      </c>
      <c r="P120" s="179">
        <f>_xlfn.XLOOKUP($C120,'Site Level Financials - ''23 ''24'!$C$2:$C$1577,'Site Level Financials - ''23 ''24'!AB$2:AB$1577)</f>
        <v>-168.43091886174804</v>
      </c>
      <c r="Q120" s="179">
        <f>_xlfn.XLOOKUP($C120,'Site Level Financials - ''23 ''24'!$C$2:$C$1577,'Site Level Financials - ''23 ''24'!AC$2:AC$1577)</f>
        <v>-125.42902020397376</v>
      </c>
      <c r="R120" s="179">
        <f>_xlfn.XLOOKUP($C120,'Site Level Financials - ''23 ''24'!$C$2:$C$1577,'Site Level Financials - ''23 ''24'!AD$2:AD$1577)</f>
        <v>-105.31803859498676</v>
      </c>
      <c r="S120" s="155">
        <f>S121*S117</f>
        <v>-156.6118192463793</v>
      </c>
      <c r="T120" s="154">
        <f t="shared" ref="T120" si="244">T121*T117</f>
        <v>-165.60357001433258</v>
      </c>
      <c r="U120" s="154">
        <f t="shared" ref="U120" si="245">U121*U117</f>
        <v>-158.6134272696423</v>
      </c>
      <c r="V120" s="154">
        <f t="shared" ref="V120" si="246">V121*V117</f>
        <v>-248.88248218199871</v>
      </c>
      <c r="W120" s="154">
        <f t="shared" ref="W120" si="247">W121*W117</f>
        <v>-201.30194957413411</v>
      </c>
      <c r="X120" s="154">
        <f t="shared" ref="X120" si="248">X121*X117</f>
        <v>-168.3848247606625</v>
      </c>
      <c r="Y120" s="154">
        <f t="shared" ref="Y120" si="249">Y121*Y117</f>
        <v>-172.8555324894555</v>
      </c>
      <c r="Z120" s="154">
        <f t="shared" ref="Z120" si="250">Z121*Z117</f>
        <v>-145.12961058285322</v>
      </c>
      <c r="AA120" s="154">
        <f t="shared" ref="AA120" si="251">AA121*AA117</f>
        <v>-131.56763298268501</v>
      </c>
      <c r="AB120" s="154">
        <f t="shared" ref="AB120" si="252">AB121*AB117</f>
        <v>-168.01007324848013</v>
      </c>
      <c r="AC120" s="154">
        <f t="shared" ref="AC120" si="253">AC121*AC117</f>
        <v>-134.45783298545834</v>
      </c>
      <c r="AD120" s="156">
        <f t="shared" ref="AD120" si="254">AD121*AD117</f>
        <v>-107.60567173421929</v>
      </c>
      <c r="AE120" s="15"/>
      <c r="AF120" s="115">
        <f>_xlfn.XLOOKUP($C120,'Site Level Financials - ''23 ''24'!$C$2:$C$1577,'Site Level Financials - ''23 ''24'!$AF$2:$AF$1577)</f>
        <v>-1493.2656889901066</v>
      </c>
      <c r="AG120" s="93">
        <f>SUM(G120:R120)</f>
        <v>-1588.9416528265001</v>
      </c>
      <c r="AH120" s="93">
        <f t="shared" ref="AH120" si="255">SUM(S120:AD120)</f>
        <v>-1959.024427070301</v>
      </c>
    </row>
    <row r="121" spans="2:34" x14ac:dyDescent="0.2">
      <c r="B121" s="9">
        <f>G105</f>
        <v>3</v>
      </c>
      <c r="C121" s="9" t="str">
        <f t="shared" si="224"/>
        <v>3 - % of Revenue - Doctor Compensation</v>
      </c>
      <c r="D121" s="9" t="s">
        <v>56</v>
      </c>
      <c r="F121" s="16" t="str">
        <f>"% of Revenue - "&amp;F120</f>
        <v>% of Revenue - Doctor Compensation</v>
      </c>
      <c r="G121" s="148">
        <f>G120/G117</f>
        <v>-0.39083622961791553</v>
      </c>
      <c r="H121" s="149">
        <f t="shared" ref="H121:R121" si="256">H120/H117</f>
        <v>-0.39911565100826019</v>
      </c>
      <c r="I121" s="149">
        <f t="shared" si="256"/>
        <v>-0.35599997514798426</v>
      </c>
      <c r="J121" s="149">
        <f t="shared" si="256"/>
        <v>-0.52149407189866204</v>
      </c>
      <c r="K121" s="149">
        <f t="shared" si="256"/>
        <v>-0.354894746897779</v>
      </c>
      <c r="L121" s="149">
        <f t="shared" si="256"/>
        <v>-0.35351282601149508</v>
      </c>
      <c r="M121" s="149">
        <f t="shared" si="256"/>
        <v>-0.36021977246852088</v>
      </c>
      <c r="N121" s="149">
        <f t="shared" si="256"/>
        <v>-0.35270434374362225</v>
      </c>
      <c r="O121" s="149">
        <f t="shared" si="256"/>
        <v>-0.34874797195627205</v>
      </c>
      <c r="P121" s="149">
        <f t="shared" si="256"/>
        <v>-0.38776597245613476</v>
      </c>
      <c r="Q121" s="149">
        <f t="shared" si="256"/>
        <v>-0.39258677112130624</v>
      </c>
      <c r="R121" s="149">
        <f t="shared" si="256"/>
        <v>-0.38492972284356558</v>
      </c>
      <c r="S121" s="245">
        <f>_xlfn.XLOOKUP($F121,'Budget Assumption Driver'!$A$33:$A$39,'Budget Assumption Driver'!E$33:E$39)+G121</f>
        <v>-0.39083622961791553</v>
      </c>
      <c r="T121" s="246">
        <f>_xlfn.XLOOKUP($F121,'Budget Assumption Driver'!$A$33:$A$39,'Budget Assumption Driver'!F$33:F$39)+H121</f>
        <v>-0.39911565100826019</v>
      </c>
      <c r="U121" s="246">
        <f>_xlfn.XLOOKUP($F121,'Budget Assumption Driver'!$A$33:$A$39,'Budget Assumption Driver'!G$33:G$39)+I121</f>
        <v>-0.35599997514798426</v>
      </c>
      <c r="V121" s="246">
        <f>_xlfn.XLOOKUP($F121,'Budget Assumption Driver'!$A$33:$A$39,'Budget Assumption Driver'!H$33:H$39)+J121</f>
        <v>-0.52149407189866204</v>
      </c>
      <c r="W121" s="246">
        <f>_xlfn.XLOOKUP($F121,'Budget Assumption Driver'!$A$33:$A$39,'Budget Assumption Driver'!I$33:I$39)+K121</f>
        <v>-0.354894746897779</v>
      </c>
      <c r="X121" s="246">
        <f>_xlfn.XLOOKUP($F121,'Budget Assumption Driver'!$A$33:$A$39,'Budget Assumption Driver'!J$33:J$39)+L121</f>
        <v>-0.35351282601149508</v>
      </c>
      <c r="Y121" s="246">
        <f>_xlfn.XLOOKUP($F121,'Budget Assumption Driver'!$A$33:$A$39,'Budget Assumption Driver'!K$33:K$39)+M121</f>
        <v>-0.36021977246852088</v>
      </c>
      <c r="Z121" s="246">
        <f>_xlfn.XLOOKUP($F121,'Budget Assumption Driver'!$A$33:$A$39,'Budget Assumption Driver'!L$33:L$39)+N121</f>
        <v>-0.35270434374362225</v>
      </c>
      <c r="AA121" s="246">
        <f>_xlfn.XLOOKUP($F121,'Budget Assumption Driver'!$A$33:$A$39,'Budget Assumption Driver'!M$33:M$39)+O121</f>
        <v>-0.34874797195627205</v>
      </c>
      <c r="AB121" s="246">
        <f>_xlfn.XLOOKUP($F121,'Budget Assumption Driver'!$A$33:$A$39,'Budget Assumption Driver'!N$33:N$39)+P121</f>
        <v>-0.38776597245613476</v>
      </c>
      <c r="AC121" s="246">
        <f>_xlfn.XLOOKUP($F121,'Budget Assumption Driver'!$A$33:$A$39,'Budget Assumption Driver'!O$33:O$39)+Q121</f>
        <v>-0.39258677112130624</v>
      </c>
      <c r="AD121" s="296">
        <f>_xlfn.XLOOKUP($F121,'Budget Assumption Driver'!$A$33:$A$39,'Budget Assumption Driver'!P$33:P$39)+R121</f>
        <v>-0.38492972284356558</v>
      </c>
      <c r="AE121" s="15"/>
      <c r="AF121" s="232">
        <f>_xlfn.XLOOKUP($C121,'Site Level Financials - ''23 ''24'!$C$2:$C$1577,'Site Level Financials - ''23 ''24'!$AF$2:$AF$1577)</f>
        <v>-0.35765445873862006</v>
      </c>
      <c r="AG121" s="97">
        <f t="shared" ref="AG121:AH121" si="257">AG120/AG117</f>
        <v>-0.38592242289511197</v>
      </c>
      <c r="AH121" s="97">
        <f t="shared" si="257"/>
        <v>-0.38368058487448448</v>
      </c>
    </row>
    <row r="122" spans="2:34" ht="3" customHeight="1" x14ac:dyDescent="0.2">
      <c r="B122" s="9">
        <f>G105</f>
        <v>3</v>
      </c>
      <c r="C122" s="9" t="str">
        <f t="shared" si="224"/>
        <v xml:space="preserve">3 - </v>
      </c>
      <c r="D122" s="9" t="s">
        <v>56</v>
      </c>
      <c r="F122" s="16"/>
      <c r="G122" s="84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4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6"/>
      <c r="AE122" s="15"/>
      <c r="AF122" s="36"/>
      <c r="AG122" s="38"/>
      <c r="AH122" s="38"/>
    </row>
    <row r="123" spans="2:34" x14ac:dyDescent="0.2">
      <c r="B123" s="9">
        <f>G105</f>
        <v>3</v>
      </c>
      <c r="C123" s="9" t="str">
        <f t="shared" si="224"/>
        <v>3 - Administrative Staff Compensation</v>
      </c>
      <c r="D123" s="9" t="s">
        <v>56</v>
      </c>
      <c r="F123" t="s">
        <v>5</v>
      </c>
      <c r="G123" s="178">
        <f>_xlfn.XLOOKUP($C123,'Site Level Financials - ''23 ''24'!$C$2:$C$1577,'Site Level Financials - ''23 ''24'!S$2:S$1577)</f>
        <v>-90.963541603180687</v>
      </c>
      <c r="H123" s="179">
        <f>_xlfn.XLOOKUP($C123,'Site Level Financials - ''23 ''24'!$C$2:$C$1577,'Site Level Financials - ''23 ''24'!T$2:T$1577)</f>
        <v>-88.828193070444101</v>
      </c>
      <c r="I123" s="179">
        <f>_xlfn.XLOOKUP($C123,'Site Level Financials - ''23 ''24'!$C$2:$C$1577,'Site Level Financials - ''23 ''24'!U$2:U$1577)</f>
        <v>-107.30900670024086</v>
      </c>
      <c r="J123" s="179">
        <f>_xlfn.XLOOKUP($C123,'Site Level Financials - ''23 ''24'!$C$2:$C$1577,'Site Level Financials - ''23 ''24'!V$2:V$1577)</f>
        <v>-107.71280086218154</v>
      </c>
      <c r="K123" s="179">
        <f>_xlfn.XLOOKUP($C123,'Site Level Financials - ''23 ''24'!$C$2:$C$1577,'Site Level Financials - ''23 ''24'!W$2:W$1577)</f>
        <v>-112.60431834707197</v>
      </c>
      <c r="L123" s="179">
        <f>_xlfn.XLOOKUP($C123,'Site Level Financials - ''23 ''24'!$C$2:$C$1577,'Site Level Financials - ''23 ''24'!X$2:X$1577)</f>
        <v>-99.687420081231238</v>
      </c>
      <c r="M123" s="179">
        <f>_xlfn.XLOOKUP($C123,'Site Level Financials - ''23 ''24'!$C$2:$C$1577,'Site Level Financials - ''23 ''24'!Y$2:Y$1577)</f>
        <v>-89.12736252394842</v>
      </c>
      <c r="N123" s="179">
        <f>_xlfn.XLOOKUP($C123,'Site Level Financials - ''23 ''24'!$C$2:$C$1577,'Site Level Financials - ''23 ''24'!Z$2:Z$1577)</f>
        <v>-112.83716439632082</v>
      </c>
      <c r="O123" s="179">
        <f>_xlfn.XLOOKUP($C123,'Site Level Financials - ''23 ''24'!$C$2:$C$1577,'Site Level Financials - ''23 ''24'!AA$2:AA$1577)</f>
        <v>-89.737093035692922</v>
      </c>
      <c r="P123" s="179">
        <f>_xlfn.XLOOKUP($C123,'Site Level Financials - ''23 ''24'!$C$2:$C$1577,'Site Level Financials - ''23 ''24'!AB$2:AB$1577)</f>
        <v>-110.01294806839628</v>
      </c>
      <c r="Q123" s="179">
        <f>_xlfn.XLOOKUP($C123,'Site Level Financials - ''23 ''24'!$C$2:$C$1577,'Site Level Financials - ''23 ''24'!AC$2:AC$1577)</f>
        <v>-79.585562770946041</v>
      </c>
      <c r="R123" s="179">
        <f>_xlfn.XLOOKUP($C123,'Site Level Financials - ''23 ''24'!$C$2:$C$1577,'Site Level Financials - ''23 ''24'!AD$2:AD$1577)</f>
        <v>-69.304903203829141</v>
      </c>
      <c r="S123" s="155">
        <f>S124*S117</f>
        <v>-83.711439069163191</v>
      </c>
      <c r="T123" s="154">
        <f t="shared" ref="T123" si="258">T124*T117</f>
        <v>-88.759774049323809</v>
      </c>
      <c r="U123" s="154">
        <f t="shared" ref="U123" si="259">U124*U117</f>
        <v>-127.78916430523354</v>
      </c>
      <c r="V123" s="154">
        <f t="shared" ref="V123" si="260">V124*V117</f>
        <v>-141.716708584727</v>
      </c>
      <c r="W123" s="154">
        <f t="shared" ref="W123" si="261">W124*W117</f>
        <v>-213.26155234587733</v>
      </c>
      <c r="X123" s="154">
        <f t="shared" ref="X123" si="262">X124*X117</f>
        <v>-182.61349276648491</v>
      </c>
      <c r="Y123" s="154">
        <f t="shared" ref="Y123" si="263">Y124*Y117</f>
        <v>-157.02087716953264</v>
      </c>
      <c r="Z123" s="154">
        <f t="shared" ref="Z123" si="264">Z124*Z117</f>
        <v>-132.83946824446261</v>
      </c>
      <c r="AA123" s="154">
        <f t="shared" ref="AA123" si="265">AA124*AA117</f>
        <v>-105.51576186672371</v>
      </c>
      <c r="AB123" s="154">
        <f t="shared" ref="AB123" si="266">AB124*AB117</f>
        <v>-109.73806702571042</v>
      </c>
      <c r="AC123" s="154">
        <f t="shared" ref="AC123" si="267">AC124*AC117</f>
        <v>-85.314405627243772</v>
      </c>
      <c r="AD123" s="156">
        <f t="shared" ref="AD123" si="268">AD124*AD117</f>
        <v>-70.810288182465925</v>
      </c>
      <c r="AE123" s="15"/>
      <c r="AF123" s="115">
        <f>_xlfn.XLOOKUP($C123,'Site Level Financials - ''23 ''24'!$C$2:$C$1577,'Site Level Financials - ''23 ''24'!$AF$2:$AF$1577)</f>
        <v>-1019.2081149987639</v>
      </c>
      <c r="AG123" s="93">
        <f>SUM(G123:R123)</f>
        <v>-1157.710314663484</v>
      </c>
      <c r="AH123" s="93">
        <f t="shared" ref="AH123" si="269">SUM(S123:AD123)</f>
        <v>-1499.0909992369491</v>
      </c>
    </row>
    <row r="124" spans="2:34" x14ac:dyDescent="0.2">
      <c r="B124" s="9">
        <f>G105</f>
        <v>3</v>
      </c>
      <c r="C124" s="9" t="str">
        <f t="shared" si="224"/>
        <v>3 - % of Revenue - Administrative Staff Compensation</v>
      </c>
      <c r="D124" s="9" t="s">
        <v>56</v>
      </c>
      <c r="F124" s="16" t="str">
        <f>"% of Revenue - "&amp;F123</f>
        <v>% of Revenue - Administrative Staff Compensation</v>
      </c>
      <c r="G124" s="148">
        <f>G123/G117</f>
        <v>-0.20890800821495473</v>
      </c>
      <c r="H124" s="149">
        <f t="shared" ref="H124:R124" si="270">H123/H117</f>
        <v>-0.21391697654812614</v>
      </c>
      <c r="I124" s="149">
        <f t="shared" si="270"/>
        <v>-0.2868164448619282</v>
      </c>
      <c r="J124" s="149">
        <f t="shared" si="270"/>
        <v>-0.29694505924238468</v>
      </c>
      <c r="K124" s="149">
        <f t="shared" si="270"/>
        <v>-0.37597949151975141</v>
      </c>
      <c r="L124" s="149">
        <f t="shared" si="270"/>
        <v>-0.38338497538283633</v>
      </c>
      <c r="M124" s="149">
        <f t="shared" si="270"/>
        <v>-0.32722137285520209</v>
      </c>
      <c r="N124" s="149">
        <f t="shared" si="270"/>
        <v>-0.32283596215995453</v>
      </c>
      <c r="O124" s="149">
        <f t="shared" si="270"/>
        <v>-0.27969195102327105</v>
      </c>
      <c r="P124" s="149">
        <f t="shared" si="270"/>
        <v>-0.25327462486578045</v>
      </c>
      <c r="Q124" s="149">
        <f t="shared" si="270"/>
        <v>-0.2490989650186862</v>
      </c>
      <c r="R124" s="149">
        <f t="shared" si="270"/>
        <v>-0.25330434878816638</v>
      </c>
      <c r="S124" s="245">
        <f>_xlfn.XLOOKUP($F124,'Budget Assumption Driver'!$A$33:$A$39,'Budget Assumption Driver'!E$33:E$39)+G124</f>
        <v>-0.20890800821495473</v>
      </c>
      <c r="T124" s="246">
        <f>_xlfn.XLOOKUP($F124,'Budget Assumption Driver'!$A$33:$A$39,'Budget Assumption Driver'!F$33:F$39)+H124</f>
        <v>-0.21391697654812614</v>
      </c>
      <c r="U124" s="246">
        <f>_xlfn.XLOOKUP($F124,'Budget Assumption Driver'!$A$33:$A$39,'Budget Assumption Driver'!G$33:G$39)+I124</f>
        <v>-0.2868164448619282</v>
      </c>
      <c r="V124" s="246">
        <f>_xlfn.XLOOKUP($F124,'Budget Assumption Driver'!$A$33:$A$39,'Budget Assumption Driver'!H$33:H$39)+J124</f>
        <v>-0.29694505924238468</v>
      </c>
      <c r="W124" s="246">
        <f>_xlfn.XLOOKUP($F124,'Budget Assumption Driver'!$A$33:$A$39,'Budget Assumption Driver'!I$33:I$39)+K124</f>
        <v>-0.37597949151975141</v>
      </c>
      <c r="X124" s="246">
        <f>_xlfn.XLOOKUP($F124,'Budget Assumption Driver'!$A$33:$A$39,'Budget Assumption Driver'!J$33:J$39)+L124</f>
        <v>-0.38338497538283633</v>
      </c>
      <c r="Y124" s="246">
        <f>_xlfn.XLOOKUP($F124,'Budget Assumption Driver'!$A$33:$A$39,'Budget Assumption Driver'!K$33:K$39)+M124</f>
        <v>-0.32722137285520209</v>
      </c>
      <c r="Z124" s="246">
        <f>_xlfn.XLOOKUP($F124,'Budget Assumption Driver'!$A$33:$A$39,'Budget Assumption Driver'!L$33:L$39)+N124</f>
        <v>-0.32283596215995453</v>
      </c>
      <c r="AA124" s="246">
        <f>_xlfn.XLOOKUP($F124,'Budget Assumption Driver'!$A$33:$A$39,'Budget Assumption Driver'!M$33:M$39)+O124</f>
        <v>-0.27969195102327105</v>
      </c>
      <c r="AB124" s="246">
        <f>_xlfn.XLOOKUP($F124,'Budget Assumption Driver'!$A$33:$A$39,'Budget Assumption Driver'!N$33:N$39)+P124</f>
        <v>-0.25327462486578045</v>
      </c>
      <c r="AC124" s="246">
        <f>_xlfn.XLOOKUP($F124,'Budget Assumption Driver'!$A$33:$A$39,'Budget Assumption Driver'!O$33:O$39)+Q124</f>
        <v>-0.2490989650186862</v>
      </c>
      <c r="AD124" s="296">
        <f>_xlfn.XLOOKUP($F124,'Budget Assumption Driver'!$A$33:$A$39,'Budget Assumption Driver'!P$33:P$39)+R124</f>
        <v>-0.25330434878816638</v>
      </c>
      <c r="AE124" s="15"/>
      <c r="AF124" s="232">
        <f>_xlfn.XLOOKUP($C124,'Site Level Financials - ''23 ''24'!$C$2:$C$1577,'Site Level Financials - ''23 ''24'!$AF$2:$AF$1577)</f>
        <v>-0.24411216932093271</v>
      </c>
      <c r="AG124" s="97">
        <f t="shared" ref="AG124:AH124" si="271">AG123/AG117</f>
        <v>-0.28118488105011602</v>
      </c>
      <c r="AH124" s="97">
        <f t="shared" si="271"/>
        <v>-0.29360129634905646</v>
      </c>
    </row>
    <row r="125" spans="2:34" ht="3" customHeight="1" x14ac:dyDescent="0.2">
      <c r="B125" s="9">
        <f>G105</f>
        <v>3</v>
      </c>
      <c r="C125" s="9" t="str">
        <f t="shared" si="224"/>
        <v xml:space="preserve">3 - </v>
      </c>
      <c r="D125" s="9" t="s">
        <v>56</v>
      </c>
      <c r="F125" s="16"/>
      <c r="G125" s="84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4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6"/>
      <c r="AE125" s="15"/>
      <c r="AF125" s="36"/>
      <c r="AG125" s="38"/>
      <c r="AH125" s="38"/>
    </row>
    <row r="126" spans="2:34" x14ac:dyDescent="0.2">
      <c r="B126" s="9">
        <f>G105</f>
        <v>3</v>
      </c>
      <c r="C126" s="9" t="str">
        <f t="shared" si="224"/>
        <v>3 - Office Supplies</v>
      </c>
      <c r="D126" s="9" t="s">
        <v>56</v>
      </c>
      <c r="F126" t="s">
        <v>6</v>
      </c>
      <c r="G126" s="178">
        <f>_xlfn.XLOOKUP($C126,'Site Level Financials - ''23 ''24'!$C$2:$C$1577,'Site Level Financials - ''23 ''24'!S$2:S$1577)</f>
        <v>-48.416558132702868</v>
      </c>
      <c r="H126" s="179">
        <f>_xlfn.XLOOKUP($C126,'Site Level Financials - ''23 ''24'!$C$2:$C$1577,'Site Level Financials - ''23 ''24'!T$2:T$1577)</f>
        <v>-45.563609463464154</v>
      </c>
      <c r="I126" s="179">
        <f>_xlfn.XLOOKUP($C126,'Site Level Financials - ''23 ''24'!$C$2:$C$1577,'Site Level Financials - ''23 ''24'!U$2:U$1577)</f>
        <v>-56.941706908923351</v>
      </c>
      <c r="J126" s="179">
        <f>_xlfn.XLOOKUP($C126,'Site Level Financials - ''23 ''24'!$C$2:$C$1577,'Site Level Financials - ''23 ''24'!V$2:V$1577)</f>
        <v>-57.191215740174819</v>
      </c>
      <c r="K126" s="179">
        <f>_xlfn.XLOOKUP($C126,'Site Level Financials - ''23 ''24'!$C$2:$C$1577,'Site Level Financials - ''23 ''24'!W$2:W$1577)</f>
        <v>-70.732978988526739</v>
      </c>
      <c r="L126" s="179">
        <f>_xlfn.XLOOKUP($C126,'Site Level Financials - ''23 ''24'!$C$2:$C$1577,'Site Level Financials - ''23 ''24'!X$2:X$1577)</f>
        <v>-59.339542562279327</v>
      </c>
      <c r="M126" s="179">
        <f>_xlfn.XLOOKUP($C126,'Site Level Financials - ''23 ''24'!$C$2:$C$1577,'Site Level Financials - ''23 ''24'!Y$2:Y$1577)</f>
        <v>-59.375548019636625</v>
      </c>
      <c r="N126" s="179">
        <f>_xlfn.XLOOKUP($C126,'Site Level Financials - ''23 ''24'!$C$2:$C$1577,'Site Level Financials - ''23 ''24'!Z$2:Z$1577)</f>
        <v>-53.155278439886743</v>
      </c>
      <c r="O126" s="179">
        <f>_xlfn.XLOOKUP($C126,'Site Level Financials - ''23 ''24'!$C$2:$C$1577,'Site Level Financials - ''23 ''24'!AA$2:AA$1577)</f>
        <v>-49.309106330846909</v>
      </c>
      <c r="P126" s="179">
        <f>_xlfn.XLOOKUP($C126,'Site Level Financials - ''23 ''24'!$C$2:$C$1577,'Site Level Financials - ''23 ''24'!AB$2:AB$1577)</f>
        <v>-49.614925364342255</v>
      </c>
      <c r="Q126" s="179">
        <f>_xlfn.XLOOKUP($C126,'Site Level Financials - ''23 ''24'!$C$2:$C$1577,'Site Level Financials - ''23 ''24'!AC$2:AC$1577)</f>
        <v>-37.521380896451419</v>
      </c>
      <c r="R126" s="179">
        <f>_xlfn.XLOOKUP($C126,'Site Level Financials - ''23 ''24'!$C$2:$C$1577,'Site Level Financials - ''23 ''24'!AD$2:AD$1577)</f>
        <v>-33.423232788687208</v>
      </c>
      <c r="S126" s="155">
        <f>S127*S117</f>
        <v>-44.556529842969894</v>
      </c>
      <c r="T126" s="154">
        <f t="shared" ref="T126" si="272">T127*T117</f>
        <v>-45.528514552147811</v>
      </c>
      <c r="U126" s="154">
        <f t="shared" ref="U126" si="273">U127*U117</f>
        <v>-67.809155668836567</v>
      </c>
      <c r="V126" s="154">
        <f t="shared" ref="V126" si="274">V127*V117</f>
        <v>-75.245939106410262</v>
      </c>
      <c r="W126" s="154">
        <f t="shared" ref="W126" si="275">W127*W117</f>
        <v>-133.96133578685064</v>
      </c>
      <c r="X126" s="154">
        <f t="shared" ref="X126" si="276">X127*X117</f>
        <v>-108.70179123537692</v>
      </c>
      <c r="Y126" s="154">
        <f t="shared" ref="Y126" si="277">Y127*Y117</f>
        <v>-104.60536886144158</v>
      </c>
      <c r="Z126" s="154">
        <f t="shared" ref="Z126" si="278">Z127*Z117</f>
        <v>-62.577954347912872</v>
      </c>
      <c r="AA126" s="154">
        <f t="shared" ref="AA126" si="279">AA127*AA117</f>
        <v>-57.979234065417657</v>
      </c>
      <c r="AB126" s="154">
        <f t="shared" ref="AB126" si="280">AB127*AB117</f>
        <v>-49.490956298369653</v>
      </c>
      <c r="AC126" s="154">
        <f t="shared" ref="AC126" si="281">AC127*AC117</f>
        <v>-40.222299095971074</v>
      </c>
      <c r="AD126" s="156">
        <f t="shared" ref="AD126" si="282">AD127*AD117</f>
        <v>-34.149225182466218</v>
      </c>
      <c r="AE126" s="15"/>
      <c r="AF126" s="115">
        <f>_xlfn.XLOOKUP($C126,'Site Level Financials - ''23 ''24'!$C$2:$C$1577,'Site Level Financials - ''23 ''24'!$AF$2:$AF$1577)</f>
        <v>-516.78257198632059</v>
      </c>
      <c r="AG126" s="93">
        <f>SUM(G126:R126)</f>
        <v>-620.5850836359225</v>
      </c>
      <c r="AH126" s="93">
        <f t="shared" ref="AH126" si="283">SUM(S126:AD126)</f>
        <v>-824.82830404417109</v>
      </c>
    </row>
    <row r="127" spans="2:34" x14ac:dyDescent="0.2">
      <c r="B127" s="9">
        <f>G105</f>
        <v>3</v>
      </c>
      <c r="C127" s="9" t="str">
        <f t="shared" si="224"/>
        <v>3 - % of Revenue - Office Supplies</v>
      </c>
      <c r="D127" s="9" t="s">
        <v>56</v>
      </c>
      <c r="F127" s="16" t="str">
        <f>"% of Revenue - "&amp;F126</f>
        <v>% of Revenue - Office Supplies</v>
      </c>
      <c r="G127" s="148">
        <f>G126/G117</f>
        <v>-0.1111940734261478</v>
      </c>
      <c r="H127" s="149">
        <f t="shared" ref="H127:R127" si="284">H126/H117</f>
        <v>-0.1097267572392724</v>
      </c>
      <c r="I127" s="149">
        <f t="shared" si="284"/>
        <v>-0.15219428864539694</v>
      </c>
      <c r="J127" s="149">
        <f t="shared" si="284"/>
        <v>-0.15766602307407737</v>
      </c>
      <c r="K127" s="149">
        <f t="shared" si="284"/>
        <v>-0.23617344222816003</v>
      </c>
      <c r="L127" s="149">
        <f t="shared" si="284"/>
        <v>-0.22821223626742737</v>
      </c>
      <c r="M127" s="149">
        <f t="shared" si="284"/>
        <v>-0.21799083678477454</v>
      </c>
      <c r="N127" s="149">
        <f t="shared" si="284"/>
        <v>-0.15208141352035481</v>
      </c>
      <c r="O127" s="149">
        <f t="shared" si="284"/>
        <v>-0.15368628162941478</v>
      </c>
      <c r="P127" s="149">
        <f t="shared" si="284"/>
        <v>-0.11422475108643514</v>
      </c>
      <c r="Q127" s="149">
        <f t="shared" si="284"/>
        <v>-0.11744010875789211</v>
      </c>
      <c r="R127" s="149">
        <f t="shared" si="284"/>
        <v>-0.12215946959819053</v>
      </c>
      <c r="S127" s="245">
        <f>_xlfn.XLOOKUP($F127,'Budget Assumption Driver'!$A$33:$A$39,'Budget Assumption Driver'!E$33:E$39)+G127</f>
        <v>-0.1111940734261478</v>
      </c>
      <c r="T127" s="246">
        <f>_xlfn.XLOOKUP($F127,'Budget Assumption Driver'!$A$33:$A$39,'Budget Assumption Driver'!F$33:F$39)+H127</f>
        <v>-0.1097267572392724</v>
      </c>
      <c r="U127" s="246">
        <f>_xlfn.XLOOKUP($F127,'Budget Assumption Driver'!$A$33:$A$39,'Budget Assumption Driver'!G$33:G$39)+I127</f>
        <v>-0.15219428864539694</v>
      </c>
      <c r="V127" s="246">
        <f>_xlfn.XLOOKUP($F127,'Budget Assumption Driver'!$A$33:$A$39,'Budget Assumption Driver'!H$33:H$39)+J127</f>
        <v>-0.15766602307407737</v>
      </c>
      <c r="W127" s="246">
        <f>_xlfn.XLOOKUP($F127,'Budget Assumption Driver'!$A$33:$A$39,'Budget Assumption Driver'!I$33:I$39)+K127</f>
        <v>-0.23617344222816003</v>
      </c>
      <c r="X127" s="246">
        <f>_xlfn.XLOOKUP($F127,'Budget Assumption Driver'!$A$33:$A$39,'Budget Assumption Driver'!J$33:J$39)+L127</f>
        <v>-0.22821223626742737</v>
      </c>
      <c r="Y127" s="246">
        <f>_xlfn.XLOOKUP($F127,'Budget Assumption Driver'!$A$33:$A$39,'Budget Assumption Driver'!K$33:K$39)+M127</f>
        <v>-0.21799083678477454</v>
      </c>
      <c r="Z127" s="246">
        <f>_xlfn.XLOOKUP($F127,'Budget Assumption Driver'!$A$33:$A$39,'Budget Assumption Driver'!L$33:L$39)+N127</f>
        <v>-0.15208141352035481</v>
      </c>
      <c r="AA127" s="246">
        <f>_xlfn.XLOOKUP($F127,'Budget Assumption Driver'!$A$33:$A$39,'Budget Assumption Driver'!M$33:M$39)+O127</f>
        <v>-0.15368628162941478</v>
      </c>
      <c r="AB127" s="246">
        <f>_xlfn.XLOOKUP($F127,'Budget Assumption Driver'!$A$33:$A$39,'Budget Assumption Driver'!N$33:N$39)+P127</f>
        <v>-0.11422475108643514</v>
      </c>
      <c r="AC127" s="246">
        <f>_xlfn.XLOOKUP($F127,'Budget Assumption Driver'!$A$33:$A$39,'Budget Assumption Driver'!O$33:O$39)+Q127</f>
        <v>-0.11744010875789211</v>
      </c>
      <c r="AD127" s="296">
        <f>_xlfn.XLOOKUP($F127,'Budget Assumption Driver'!$A$33:$A$39,'Budget Assumption Driver'!P$33:P$39)+R127</f>
        <v>-0.12215946959819053</v>
      </c>
      <c r="AE127" s="15"/>
      <c r="AF127" s="232">
        <f>_xlfn.XLOOKUP($C127,'Site Level Financials - ''23 ''24'!$C$2:$C$1577,'Site Level Financials - ''23 ''24'!$AF$2:$AF$1577)</f>
        <v>-0.12377542217173652</v>
      </c>
      <c r="AG127" s="97">
        <f t="shared" ref="AG127:AH127" si="285">AG126/AG117</f>
        <v>-0.1507278122285414</v>
      </c>
      <c r="AH127" s="97">
        <f t="shared" si="285"/>
        <v>-0.16154500257558038</v>
      </c>
    </row>
    <row r="128" spans="2:34" ht="6" customHeight="1" x14ac:dyDescent="0.2">
      <c r="B128" s="9">
        <f>G105</f>
        <v>3</v>
      </c>
      <c r="C128" s="9" t="str">
        <f t="shared" si="224"/>
        <v xml:space="preserve">3 - </v>
      </c>
      <c r="D128" s="9" t="s">
        <v>56</v>
      </c>
      <c r="F128" s="16"/>
      <c r="G128" s="80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80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81"/>
      <c r="AE128" s="15"/>
      <c r="AF128" s="11"/>
      <c r="AG128" s="15"/>
      <c r="AH128" s="15"/>
    </row>
    <row r="129" spans="2:34" x14ac:dyDescent="0.2">
      <c r="B129" s="9">
        <f>G105</f>
        <v>3</v>
      </c>
      <c r="C129" s="9" t="str">
        <f t="shared" si="224"/>
        <v>3 - Office Gross Profit</v>
      </c>
      <c r="D129" s="9" t="s">
        <v>56</v>
      </c>
      <c r="F129" s="8" t="s">
        <v>11</v>
      </c>
      <c r="G129" s="241">
        <f>_xlfn.XLOOKUP($C129,'Site Level Financials - ''23 ''24'!$C$2:$C$1577,'Site Level Financials - ''23 ''24'!S$2:S$1577)</f>
        <v>125.86437051575751</v>
      </c>
      <c r="H129" s="242">
        <f>_xlfn.XLOOKUP($C129,'Site Level Financials - ''23 ''24'!$C$2:$C$1577,'Site Level Financials - ''23 ''24'!T$2:T$1577)</f>
        <v>115.12308789947531</v>
      </c>
      <c r="I129" s="242">
        <f>_xlfn.XLOOKUP($C129,'Site Level Financials - ''23 ''24'!$C$2:$C$1577,'Site Level Financials - ''23 ''24'!U$2:U$1577)</f>
        <v>76.694337554369866</v>
      </c>
      <c r="J129" s="242">
        <f>_xlfn.XLOOKUP($C129,'Site Level Financials - ''23 ''24'!$C$2:$C$1577,'Site Level Financials - ''23 ''24'!V$2:V$1577)</f>
        <v>8.6675318734904536</v>
      </c>
      <c r="K129" s="242">
        <f>_xlfn.XLOOKUP($C129,'Site Level Financials - ''23 ''24'!$C$2:$C$1577,'Site Level Financials - ''23 ''24'!W$2:W$1577)</f>
        <v>9.8690847307881171</v>
      </c>
      <c r="L129" s="242">
        <f>_xlfn.XLOOKUP($C129,'Site Level Financials - ''23 ''24'!$C$2:$C$1577,'Site Level Financials - ''23 ''24'!X$2:X$1577)</f>
        <v>9.0720569546510816</v>
      </c>
      <c r="M129" s="242">
        <f>_xlfn.XLOOKUP($C129,'Site Level Financials - ''23 ''24'!$C$2:$C$1577,'Site Level Financials - ''23 ''24'!Y$2:Y$1577)</f>
        <v>25.758091350337651</v>
      </c>
      <c r="N129" s="242">
        <f>_xlfn.XLOOKUP($C129,'Site Level Financials - ''23 ''24'!$C$2:$C$1577,'Site Level Financials - ''23 ''24'!Z$2:Z$1577)</f>
        <v>60.249410423736421</v>
      </c>
      <c r="O129" s="242">
        <f>_xlfn.XLOOKUP($C129,'Site Level Financials - ''23 ''24'!$C$2:$C$1577,'Site Level Financials - ''23 ''24'!AA$2:AA$1577)</f>
        <v>69.903195195698515</v>
      </c>
      <c r="P129" s="242">
        <f>_xlfn.XLOOKUP($C129,'Site Level Financials - ''23 ''24'!$C$2:$C$1577,'Site Level Financials - ''23 ''24'!AB$2:AB$1577)</f>
        <v>106.30350565263778</v>
      </c>
      <c r="Q129" s="242">
        <f>_xlfn.XLOOKUP($C129,'Site Level Financials - ''23 ''24'!$C$2:$C$1577,'Site Level Financials - ''23 ''24'!AC$2:AC$1577)</f>
        <v>76.957787397229637</v>
      </c>
      <c r="R129" s="242">
        <f>_xlfn.XLOOKUP($C129,'Site Level Financials - ''23 ''24'!$C$2:$C$1577,'Site Level Financials - ''23 ''24'!AD$2:AD$1577)</f>
        <v>65.557115428601264</v>
      </c>
      <c r="S129" s="134">
        <f t="shared" ref="S129:AD129" si="286">S117+S120+S123+S126</f>
        <v>115.82978628263959</v>
      </c>
      <c r="T129" s="135">
        <f t="shared" si="286"/>
        <v>115.0344155004299</v>
      </c>
      <c r="U129" s="135">
        <f t="shared" si="286"/>
        <v>91.33161888632425</v>
      </c>
      <c r="V129" s="135">
        <f t="shared" si="286"/>
        <v>11.403789325243977</v>
      </c>
      <c r="W129" s="135">
        <f t="shared" si="286"/>
        <v>18.69108006527523</v>
      </c>
      <c r="X129" s="135">
        <f t="shared" si="286"/>
        <v>16.618746936327099</v>
      </c>
      <c r="Y129" s="135">
        <f t="shared" si="286"/>
        <v>45.379533103048999</v>
      </c>
      <c r="Z129" s="135">
        <f t="shared" si="286"/>
        <v>70.929641714680429</v>
      </c>
      <c r="AA129" s="135">
        <f t="shared" si="286"/>
        <v>82.194426501632663</v>
      </c>
      <c r="AB129" s="135">
        <f t="shared" si="286"/>
        <v>106.03789311349566</v>
      </c>
      <c r="AC129" s="135">
        <f t="shared" si="286"/>
        <v>82.497473933542608</v>
      </c>
      <c r="AD129" s="136">
        <f t="shared" si="286"/>
        <v>66.981093996448408</v>
      </c>
      <c r="AE129" s="15"/>
      <c r="AF129" s="114">
        <f>_xlfn.XLOOKUP($C129,'Site Level Financials - ''23 ''24'!$C$2:$C$1577,'Site Level Financials - ''23 ''24'!$AF$2:$AF$1577)</f>
        <v>1145.906696943216</v>
      </c>
      <c r="AG129" s="95">
        <f>SUM(G129:R129)</f>
        <v>750.01957497677358</v>
      </c>
      <c r="AH129" s="95">
        <f t="shared" ref="AH129" si="287">SUM(S129:AD129)</f>
        <v>822.92949935908882</v>
      </c>
    </row>
    <row r="130" spans="2:34" x14ac:dyDescent="0.2">
      <c r="B130" s="9">
        <f>G105</f>
        <v>3</v>
      </c>
      <c r="C130" s="9" t="str">
        <f t="shared" si="224"/>
        <v>3 - % of Revenue - Office Gross Profit</v>
      </c>
      <c r="D130" s="9" t="s">
        <v>56</v>
      </c>
      <c r="F130" s="16" t="str">
        <f>"% of Revenue - "&amp;F129</f>
        <v>% of Revenue - Office Gross Profit</v>
      </c>
      <c r="G130" s="148">
        <f>G129/G117</f>
        <v>0.28906168874098193</v>
      </c>
      <c r="H130" s="149">
        <f t="shared" ref="H130:AD130" si="288">H129/H117</f>
        <v>0.27724061520434123</v>
      </c>
      <c r="I130" s="149">
        <f t="shared" si="288"/>
        <v>0.20498929134469066</v>
      </c>
      <c r="J130" s="149">
        <f t="shared" si="288"/>
        <v>2.3894845784875943E-2</v>
      </c>
      <c r="K130" s="149">
        <f t="shared" si="288"/>
        <v>3.2952319354309596E-2</v>
      </c>
      <c r="L130" s="149">
        <f t="shared" si="288"/>
        <v>3.4889962338241265E-2</v>
      </c>
      <c r="M130" s="149">
        <f t="shared" si="288"/>
        <v>9.4568017891502584E-2</v>
      </c>
      <c r="N130" s="149">
        <f t="shared" si="288"/>
        <v>0.17237828057606835</v>
      </c>
      <c r="O130" s="149">
        <f t="shared" si="288"/>
        <v>0.21787379539104207</v>
      </c>
      <c r="P130" s="149">
        <f t="shared" si="288"/>
        <v>0.24473465159164962</v>
      </c>
      <c r="Q130" s="149">
        <f t="shared" si="288"/>
        <v>0.24087415510211538</v>
      </c>
      <c r="R130" s="149">
        <f t="shared" si="288"/>
        <v>0.23960645877007747</v>
      </c>
      <c r="S130" s="148">
        <f t="shared" si="288"/>
        <v>0.28906168874098193</v>
      </c>
      <c r="T130" s="149">
        <f t="shared" si="288"/>
        <v>0.27724061520434135</v>
      </c>
      <c r="U130" s="149">
        <f t="shared" si="288"/>
        <v>0.20498929134469063</v>
      </c>
      <c r="V130" s="149">
        <f t="shared" si="288"/>
        <v>2.3894845784875877E-2</v>
      </c>
      <c r="W130" s="149">
        <f t="shared" si="288"/>
        <v>3.2952319354309506E-2</v>
      </c>
      <c r="X130" s="149">
        <f t="shared" si="288"/>
        <v>3.4889962338241265E-2</v>
      </c>
      <c r="Y130" s="149">
        <f t="shared" si="288"/>
        <v>9.4568017891502515E-2</v>
      </c>
      <c r="Z130" s="149">
        <f t="shared" si="288"/>
        <v>0.17237828057606838</v>
      </c>
      <c r="AA130" s="149">
        <f t="shared" si="288"/>
        <v>0.21787379539104221</v>
      </c>
      <c r="AB130" s="149">
        <f t="shared" si="288"/>
        <v>0.24473465159164964</v>
      </c>
      <c r="AC130" s="149">
        <f t="shared" si="288"/>
        <v>0.24087415510211541</v>
      </c>
      <c r="AD130" s="150">
        <f t="shared" si="288"/>
        <v>0.23960645877007744</v>
      </c>
      <c r="AE130" s="15"/>
      <c r="AF130" s="233">
        <f>_xlfn.XLOOKUP($C130,'Site Level Financials - ''23 ''24'!$C$2:$C$1577,'Site Level Financials - ''23 ''24'!$AF$2:$AF$1577)</f>
        <v>0.29355303983632225</v>
      </c>
      <c r="AG130" s="97">
        <f t="shared" ref="AG130:AH130" si="289">AG129/AG117</f>
        <v>0.18216488382623081</v>
      </c>
      <c r="AH130" s="97">
        <f t="shared" si="289"/>
        <v>0.16117311620087893</v>
      </c>
    </row>
    <row r="131" spans="2:34" ht="6" customHeight="1" x14ac:dyDescent="0.2">
      <c r="B131" s="9">
        <f>G105</f>
        <v>3</v>
      </c>
      <c r="C131" s="9" t="str">
        <f t="shared" si="224"/>
        <v xml:space="preserve">3 - </v>
      </c>
      <c r="D131" s="9" t="s">
        <v>56</v>
      </c>
      <c r="F131" s="16"/>
      <c r="G131" s="80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80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81"/>
      <c r="AE131" s="15"/>
      <c r="AF131" s="11"/>
      <c r="AG131" s="15"/>
      <c r="AH131" s="15"/>
    </row>
    <row r="132" spans="2:34" x14ac:dyDescent="0.2">
      <c r="B132" s="9">
        <f>G105</f>
        <v>3</v>
      </c>
      <c r="C132" s="9" t="str">
        <f t="shared" si="224"/>
        <v>3 - General and Administrative Expense</v>
      </c>
      <c r="D132" s="9" t="s">
        <v>56</v>
      </c>
      <c r="F132" t="s">
        <v>10</v>
      </c>
      <c r="G132" s="178">
        <f>_xlfn.XLOOKUP($C132,'Site Level Financials - ''23 ''24'!$C$2:$C$1577,'Site Level Financials - ''23 ''24'!S$2:S$1577)</f>
        <v>-29.736958840031217</v>
      </c>
      <c r="H132" s="179">
        <f>_xlfn.XLOOKUP($C132,'Site Level Financials - ''23 ''24'!$C$2:$C$1577,'Site Level Financials - ''23 ''24'!T$2:T$1577)</f>
        <v>-28.217634904491064</v>
      </c>
      <c r="I132" s="179">
        <f>_xlfn.XLOOKUP($C132,'Site Level Financials - ''23 ''24'!$C$2:$C$1577,'Site Level Financials - ''23 ''24'!U$2:U$1577)</f>
        <v>-32.442864369376288</v>
      </c>
      <c r="J132" s="179">
        <f>_xlfn.XLOOKUP($C132,'Site Level Financials - ''23 ''24'!$C$2:$C$1577,'Site Level Financials - ''23 ''24'!V$2:V$1577)</f>
        <v>-32.133463771642027</v>
      </c>
      <c r="K132" s="179">
        <f>_xlfn.XLOOKUP($C132,'Site Level Financials - ''23 ''24'!$C$2:$C$1577,'Site Level Financials - ''23 ''24'!W$2:W$1577)</f>
        <v>-42.170155941930943</v>
      </c>
      <c r="L132" s="179">
        <f>_xlfn.XLOOKUP($C132,'Site Level Financials - ''23 ''24'!$C$2:$C$1577,'Site Level Financials - ''23 ''24'!X$2:X$1577)</f>
        <v>-38.325017911094598</v>
      </c>
      <c r="M132" s="179">
        <f>_xlfn.XLOOKUP($C132,'Site Level Financials - ''23 ''24'!$C$2:$C$1577,'Site Level Financials - ''23 ''24'!Y$2:Y$1577)</f>
        <v>-41.699628349133803</v>
      </c>
      <c r="N132" s="179">
        <f>_xlfn.XLOOKUP($C132,'Site Level Financials - ''23 ''24'!$C$2:$C$1577,'Site Level Financials - ''23 ''24'!Z$2:Z$1577)</f>
        <v>-34.671182182925406</v>
      </c>
      <c r="O132" s="179">
        <f>_xlfn.XLOOKUP($C132,'Site Level Financials - ''23 ''24'!$C$2:$C$1577,'Site Level Financials - ''23 ''24'!AA$2:AA$1577)</f>
        <v>-31.73221103208629</v>
      </c>
      <c r="P132" s="179">
        <f>_xlfn.XLOOKUP($C132,'Site Level Financials - ''23 ''24'!$C$2:$C$1577,'Site Level Financials - ''23 ''24'!AB$2:AB$1577)</f>
        <v>-32.059508156674944</v>
      </c>
      <c r="Q132" s="179">
        <f>_xlfn.XLOOKUP($C132,'Site Level Financials - ''23 ''24'!$C$2:$C$1577,'Site Level Financials - ''23 ''24'!AC$2:AC$1577)</f>
        <v>-23.401957935231653</v>
      </c>
      <c r="R132" s="179">
        <f>_xlfn.XLOOKUP($C132,'Site Level Financials - ''23 ''24'!$C$2:$C$1577,'Site Level Financials - ''23 ''24'!AD$2:AD$1577)</f>
        <v>-21.32787109814004</v>
      </c>
      <c r="S132" s="155">
        <f>S133*S117</f>
        <v>-27.366168622797375</v>
      </c>
      <c r="T132" s="154">
        <f t="shared" ref="T132" si="290">T133*T117</f>
        <v>-28.195900555386785</v>
      </c>
      <c r="U132" s="154">
        <f t="shared" ref="U132" si="291">U133*U117</f>
        <v>-38.634655681901194</v>
      </c>
      <c r="V132" s="154">
        <f t="shared" ref="V132" si="292">V133*V117</f>
        <v>-42.277692945431085</v>
      </c>
      <c r="W132" s="154">
        <f t="shared" ref="W132" si="293">W133*W117</f>
        <v>-79.866145906808072</v>
      </c>
      <c r="X132" s="154">
        <f t="shared" ref="X132" si="294">X133*X117</f>
        <v>-70.206103993664883</v>
      </c>
      <c r="Y132" s="154">
        <f t="shared" ref="Y132" si="295">Y133*Y117</f>
        <v>-73.464669385511513</v>
      </c>
      <c r="Z132" s="154">
        <f t="shared" ref="Z132" si="296">Z133*Z117</f>
        <v>-40.817238090191424</v>
      </c>
      <c r="AA132" s="154">
        <f t="shared" ref="AA132" si="297">AA133*AA117</f>
        <v>-37.311754922064111</v>
      </c>
      <c r="AB132" s="154">
        <f t="shared" ref="AB132" si="298">AB133*AB117</f>
        <v>-31.979403485499116</v>
      </c>
      <c r="AC132" s="154">
        <f t="shared" ref="AC132" si="299">AC133*AC117</f>
        <v>-25.086511450628478</v>
      </c>
      <c r="AD132" s="156">
        <f t="shared" ref="AD132" si="300">AD133*AD117</f>
        <v>-21.791137841086272</v>
      </c>
      <c r="AE132" s="15"/>
      <c r="AF132" s="115">
        <f>_xlfn.XLOOKUP($C132,'Site Level Financials - ''23 ''24'!$C$2:$C$1577,'Site Level Financials - ''23 ''24'!$AF$2:$AF$1577)</f>
        <v>-345.02256174675273</v>
      </c>
      <c r="AG132" s="93">
        <f>SUM(G132:R132)</f>
        <v>-387.91845449275831</v>
      </c>
      <c r="AH132" s="93">
        <f t="shared" ref="AH132" si="301">SUM(S132:AD132)</f>
        <v>-516.99738288097035</v>
      </c>
    </row>
    <row r="133" spans="2:34" x14ac:dyDescent="0.2">
      <c r="B133" s="9">
        <f>G105</f>
        <v>3</v>
      </c>
      <c r="C133" s="9" t="str">
        <f t="shared" si="224"/>
        <v>3 - % of Revenue - General and Administrative Expense</v>
      </c>
      <c r="D133" s="9" t="s">
        <v>56</v>
      </c>
      <c r="F133" s="16" t="str">
        <f>"% of Revenue - "&amp;F132</f>
        <v>% of Revenue - General and Administrative Expense</v>
      </c>
      <c r="G133" s="148">
        <f>G132/G117</f>
        <v>-6.8294271882481203E-2</v>
      </c>
      <c r="H133" s="149">
        <f t="shared" ref="H133:R133" si="302">H132/H117</f>
        <v>-6.7954001263097197E-2</v>
      </c>
      <c r="I133" s="149">
        <f t="shared" si="302"/>
        <v>-8.6713569584661379E-2</v>
      </c>
      <c r="J133" s="149">
        <f t="shared" si="302"/>
        <v>-8.8586251837811603E-2</v>
      </c>
      <c r="K133" s="149">
        <f t="shared" si="302"/>
        <v>-0.14080378107246982</v>
      </c>
      <c r="L133" s="149">
        <f t="shared" si="302"/>
        <v>-0.1473930816588376</v>
      </c>
      <c r="M133" s="149">
        <f t="shared" si="302"/>
        <v>-0.15309562910367586</v>
      </c>
      <c r="N133" s="149">
        <f t="shared" si="302"/>
        <v>-9.9196966878164122E-2</v>
      </c>
      <c r="O133" s="149">
        <f t="shared" si="302"/>
        <v>-9.8902735910068457E-2</v>
      </c>
      <c r="P133" s="149">
        <f t="shared" si="302"/>
        <v>-7.3808220253447507E-2</v>
      </c>
      <c r="Q133" s="149">
        <f t="shared" si="302"/>
        <v>-7.3246997295910943E-2</v>
      </c>
      <c r="R133" s="149">
        <f t="shared" si="302"/>
        <v>-7.7951807878058318E-2</v>
      </c>
      <c r="S133" s="245">
        <f>_xlfn.XLOOKUP($F133,'Budget Assumption Driver'!$A$33:$A$39,'Budget Assumption Driver'!E$33:E$39)+G133</f>
        <v>-6.8294271882481203E-2</v>
      </c>
      <c r="T133" s="246">
        <f>_xlfn.XLOOKUP($F133,'Budget Assumption Driver'!$A$33:$A$39,'Budget Assumption Driver'!F$33:F$39)+H133</f>
        <v>-6.7954001263097197E-2</v>
      </c>
      <c r="U133" s="246">
        <f>_xlfn.XLOOKUP($F133,'Budget Assumption Driver'!$A$33:$A$39,'Budget Assumption Driver'!G$33:G$39)+I133</f>
        <v>-8.6713569584661379E-2</v>
      </c>
      <c r="V133" s="246">
        <f>_xlfn.XLOOKUP($F133,'Budget Assumption Driver'!$A$33:$A$39,'Budget Assumption Driver'!H$33:H$39)+J133</f>
        <v>-8.8586251837811603E-2</v>
      </c>
      <c r="W133" s="246">
        <f>_xlfn.XLOOKUP($F133,'Budget Assumption Driver'!$A$33:$A$39,'Budget Assumption Driver'!I$33:I$39)+K133</f>
        <v>-0.14080378107246982</v>
      </c>
      <c r="X133" s="246">
        <f>_xlfn.XLOOKUP($F133,'Budget Assumption Driver'!$A$33:$A$39,'Budget Assumption Driver'!J$33:J$39)+L133</f>
        <v>-0.1473930816588376</v>
      </c>
      <c r="Y133" s="246">
        <f>_xlfn.XLOOKUP($F133,'Budget Assumption Driver'!$A$33:$A$39,'Budget Assumption Driver'!K$33:K$39)+M133</f>
        <v>-0.15309562910367586</v>
      </c>
      <c r="Z133" s="246">
        <f>_xlfn.XLOOKUP($F133,'Budget Assumption Driver'!$A$33:$A$39,'Budget Assumption Driver'!L$33:L$39)+N133</f>
        <v>-9.9196966878164122E-2</v>
      </c>
      <c r="AA133" s="246">
        <f>_xlfn.XLOOKUP($F133,'Budget Assumption Driver'!$A$33:$A$39,'Budget Assumption Driver'!M$33:M$39)+O133</f>
        <v>-9.8902735910068457E-2</v>
      </c>
      <c r="AB133" s="246">
        <f>_xlfn.XLOOKUP($F133,'Budget Assumption Driver'!$A$33:$A$39,'Budget Assumption Driver'!N$33:N$39)+P133</f>
        <v>-7.3808220253447507E-2</v>
      </c>
      <c r="AC133" s="246">
        <f>_xlfn.XLOOKUP($F133,'Budget Assumption Driver'!$A$33:$A$39,'Budget Assumption Driver'!O$33:O$39)+Q133</f>
        <v>-7.3246997295910943E-2</v>
      </c>
      <c r="AD133" s="296">
        <f>_xlfn.XLOOKUP($F133,'Budget Assumption Driver'!$A$33:$A$39,'Budget Assumption Driver'!P$33:P$39)+R133</f>
        <v>-7.7951807878058318E-2</v>
      </c>
      <c r="AE133" s="15"/>
      <c r="AF133" s="232">
        <f>_xlfn.XLOOKUP($C133,'Site Level Financials - ''23 ''24'!$C$2:$C$1577,'Site Level Financials - ''23 ''24'!$AF$2:$AF$1577)</f>
        <v>-6.234159438065489E-2</v>
      </c>
      <c r="AG133" s="97">
        <f t="shared" ref="AG133:AH133" si="303">AG132/AG117</f>
        <v>-9.4217701183215999E-2</v>
      </c>
      <c r="AH133" s="97">
        <f t="shared" si="303"/>
        <v>-0.10125542872326325</v>
      </c>
    </row>
    <row r="134" spans="2:34" ht="3" customHeight="1" x14ac:dyDescent="0.2">
      <c r="B134" s="9">
        <f>G105</f>
        <v>3</v>
      </c>
      <c r="C134" s="9" t="str">
        <f t="shared" si="224"/>
        <v xml:space="preserve">3 - </v>
      </c>
      <c r="D134" s="9" t="s">
        <v>56</v>
      </c>
      <c r="F134" s="16"/>
      <c r="G134" s="84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4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6"/>
      <c r="AE134" s="15"/>
      <c r="AF134" s="36"/>
      <c r="AG134" s="38"/>
      <c r="AH134" s="38"/>
    </row>
    <row r="135" spans="2:34" x14ac:dyDescent="0.2">
      <c r="B135" s="9">
        <f>G105</f>
        <v>3</v>
      </c>
      <c r="C135" s="9" t="str">
        <f t="shared" si="224"/>
        <v>3 - Marketing</v>
      </c>
      <c r="D135" s="9" t="s">
        <v>56</v>
      </c>
      <c r="F135" t="s">
        <v>7</v>
      </c>
      <c r="G135" s="178">
        <f>_xlfn.XLOOKUP($C135,'Site Level Financials - ''23 ''24'!$C$2:$C$1577,'Site Level Financials - ''23 ''24'!S$2:S$1577)</f>
        <v>-9.33815345883718</v>
      </c>
      <c r="H135" s="179">
        <f>_xlfn.XLOOKUP($C135,'Site Level Financials - ''23 ''24'!$C$2:$C$1577,'Site Level Financials - ''23 ''24'!T$2:T$1577)</f>
        <v>-7.9174082419414615</v>
      </c>
      <c r="I135" s="179">
        <f>_xlfn.XLOOKUP($C135,'Site Level Financials - ''23 ''24'!$C$2:$C$1577,'Site Level Financials - ''23 ''24'!U$2:U$1577)</f>
        <v>-7.2650844800473928</v>
      </c>
      <c r="J135" s="179">
        <f>_xlfn.XLOOKUP($C135,'Site Level Financials - ''23 ''24'!$C$2:$C$1577,'Site Level Financials - ''23 ''24'!V$2:V$1577)</f>
        <v>-7.0714295089829076</v>
      </c>
      <c r="K135" s="179">
        <f>_xlfn.XLOOKUP($C135,'Site Level Financials - ''23 ''24'!$C$2:$C$1577,'Site Level Financials - ''23 ''24'!W$2:W$1577)</f>
        <v>-11.417816226873299</v>
      </c>
      <c r="L135" s="179">
        <f>_xlfn.XLOOKUP($C135,'Site Level Financials - ''23 ''24'!$C$2:$C$1577,'Site Level Financials - ''23 ''24'!X$2:X$1577)</f>
        <v>-8.1924071574428492</v>
      </c>
      <c r="M135" s="179">
        <f>_xlfn.XLOOKUP($C135,'Site Level Financials - ''23 ''24'!$C$2:$C$1577,'Site Level Financials - ''23 ''24'!Y$2:Y$1577)</f>
        <v>-9.2530793883518569</v>
      </c>
      <c r="N135" s="179">
        <f>_xlfn.XLOOKUP($C135,'Site Level Financials - ''23 ''24'!$C$2:$C$1577,'Site Level Financials - ''23 ''24'!Z$2:Z$1577)</f>
        <v>-9.9318640606168564</v>
      </c>
      <c r="O135" s="179">
        <f>_xlfn.XLOOKUP($C135,'Site Level Financials - ''23 ''24'!$C$2:$C$1577,'Site Level Financials - ''23 ''24'!AA$2:AA$1577)</f>
        <v>-7.0776014554573177</v>
      </c>
      <c r="P135" s="179">
        <f>_xlfn.XLOOKUP($C135,'Site Level Financials - ''23 ''24'!$C$2:$C$1577,'Site Level Financials - ''23 ''24'!AB$2:AB$1577)</f>
        <v>-7.6925674956362844</v>
      </c>
      <c r="Q135" s="179">
        <f>_xlfn.XLOOKUP($C135,'Site Level Financials - ''23 ''24'!$C$2:$C$1577,'Site Level Financials - ''23 ''24'!AC$2:AC$1577)</f>
        <v>-4.7745898327318317</v>
      </c>
      <c r="R135" s="179">
        <f>_xlfn.XLOOKUP($C135,'Site Level Financials - ''23 ''24'!$C$2:$C$1577,'Site Level Financials - ''23 ''24'!AD$2:AD$1577)</f>
        <v>-3.0512913562302733</v>
      </c>
      <c r="S135" s="155">
        <f>S136*S117</f>
        <v>-8.5936656655044992</v>
      </c>
      <c r="T135" s="154">
        <f t="shared" ref="T135" si="304">T136*T117</f>
        <v>-7.9113099379796346</v>
      </c>
      <c r="U135" s="154">
        <f t="shared" ref="U135" si="305">U136*U117</f>
        <v>-8.6516416735231481</v>
      </c>
      <c r="V135" s="154">
        <f t="shared" ref="V135" si="306">V136*V117</f>
        <v>-9.3038126107611578</v>
      </c>
      <c r="W135" s="154">
        <f t="shared" ref="W135" si="307">W136*W117</f>
        <v>-21.624225861727478</v>
      </c>
      <c r="X135" s="154">
        <f t="shared" ref="X135" si="308">X136*X117</f>
        <v>-15.007350816850545</v>
      </c>
      <c r="Y135" s="154">
        <f t="shared" ref="Y135" si="309">Y136*Y117</f>
        <v>-16.30169008634056</v>
      </c>
      <c r="Z135" s="154">
        <f t="shared" ref="Z135" si="310">Z136*Z117</f>
        <v>-11.692455651000488</v>
      </c>
      <c r="AA135" s="154">
        <f t="shared" ref="AA135" si="311">AA136*AA117</f>
        <v>-8.3220715592444297</v>
      </c>
      <c r="AB135" s="154">
        <f t="shared" ref="AB135" si="312">AB136*AB117</f>
        <v>-7.6733466583506837</v>
      </c>
      <c r="AC135" s="154">
        <f t="shared" ref="AC135" si="313">AC136*AC117</f>
        <v>-5.1182812499015693</v>
      </c>
      <c r="AD135" s="156">
        <f t="shared" ref="AD135" si="314">AD136*AD117</f>
        <v>-3.1175690358859822</v>
      </c>
      <c r="AE135" s="15"/>
      <c r="AF135" s="115">
        <f>_xlfn.XLOOKUP($C135,'Site Level Financials - ''23 ''24'!$C$2:$C$1577,'Site Level Financials - ''23 ''24'!$AF$2:$AF$1577)</f>
        <v>-114.99482649004858</v>
      </c>
      <c r="AG135" s="93">
        <f>SUM(G135:R135)</f>
        <v>-92.983292663149513</v>
      </c>
      <c r="AH135" s="93">
        <f t="shared" ref="AH135" si="315">SUM(S135:AD135)</f>
        <v>-123.31742080707018</v>
      </c>
    </row>
    <row r="136" spans="2:34" x14ac:dyDescent="0.2">
      <c r="B136" s="9">
        <f>G105</f>
        <v>3</v>
      </c>
      <c r="C136" s="9" t="str">
        <f t="shared" si="224"/>
        <v>3 - % of Revenue - Marketing</v>
      </c>
      <c r="D136" s="9" t="s">
        <v>56</v>
      </c>
      <c r="F136" s="16" t="str">
        <f>"% of Revenue - "&amp;F135</f>
        <v>% of Revenue - Marketing</v>
      </c>
      <c r="G136" s="148">
        <f>G135/G117</f>
        <v>-2.144612011701897E-2</v>
      </c>
      <c r="H136" s="149">
        <f t="shared" ref="H136:R136" si="316">H135/H117</f>
        <v>-1.9066784707307844E-2</v>
      </c>
      <c r="I136" s="149">
        <f t="shared" si="316"/>
        <v>-1.9418180880282871E-2</v>
      </c>
      <c r="J136" s="149">
        <f t="shared" si="316"/>
        <v>-1.9494675077291908E-2</v>
      </c>
      <c r="K136" s="149">
        <f t="shared" si="316"/>
        <v>-3.812344679370297E-2</v>
      </c>
      <c r="L136" s="149">
        <f t="shared" si="316"/>
        <v>-3.1506942539219603E-2</v>
      </c>
      <c r="M136" s="149">
        <f t="shared" si="316"/>
        <v>-3.3971669921020048E-2</v>
      </c>
      <c r="N136" s="149">
        <f t="shared" si="316"/>
        <v>-2.8415840713519939E-2</v>
      </c>
      <c r="O136" s="149">
        <f t="shared" si="316"/>
        <v>-2.2059419273305798E-2</v>
      </c>
      <c r="P136" s="149">
        <f t="shared" si="316"/>
        <v>-1.7710025782607663E-2</v>
      </c>
      <c r="Q136" s="149">
        <f t="shared" si="316"/>
        <v>-1.4944235415477021E-2</v>
      </c>
      <c r="R136" s="149">
        <f t="shared" si="316"/>
        <v>-1.1152246583184994E-2</v>
      </c>
      <c r="S136" s="245">
        <f>_xlfn.XLOOKUP($F136,'Budget Assumption Driver'!$A$33:$A$39,'Budget Assumption Driver'!E$33:E$39)+G136</f>
        <v>-2.144612011701897E-2</v>
      </c>
      <c r="T136" s="246">
        <f>_xlfn.XLOOKUP($F136,'Budget Assumption Driver'!$A$33:$A$39,'Budget Assumption Driver'!F$33:F$39)+H136</f>
        <v>-1.9066784707307844E-2</v>
      </c>
      <c r="U136" s="246">
        <f>_xlfn.XLOOKUP($F136,'Budget Assumption Driver'!$A$33:$A$39,'Budget Assumption Driver'!G$33:G$39)+I136</f>
        <v>-1.9418180880282871E-2</v>
      </c>
      <c r="V136" s="246">
        <f>_xlfn.XLOOKUP($F136,'Budget Assumption Driver'!$A$33:$A$39,'Budget Assumption Driver'!H$33:H$39)+J136</f>
        <v>-1.9494675077291908E-2</v>
      </c>
      <c r="W136" s="246">
        <f>_xlfn.XLOOKUP($F136,'Budget Assumption Driver'!$A$33:$A$39,'Budget Assumption Driver'!I$33:I$39)+K136</f>
        <v>-3.812344679370297E-2</v>
      </c>
      <c r="X136" s="246">
        <f>_xlfn.XLOOKUP($F136,'Budget Assumption Driver'!$A$33:$A$39,'Budget Assumption Driver'!J$33:J$39)+L136</f>
        <v>-3.1506942539219603E-2</v>
      </c>
      <c r="Y136" s="246">
        <f>_xlfn.XLOOKUP($F136,'Budget Assumption Driver'!$A$33:$A$39,'Budget Assumption Driver'!K$33:K$39)+M136</f>
        <v>-3.3971669921020048E-2</v>
      </c>
      <c r="Z136" s="246">
        <f>_xlfn.XLOOKUP($F136,'Budget Assumption Driver'!$A$33:$A$39,'Budget Assumption Driver'!L$33:L$39)+N136</f>
        <v>-2.8415840713519939E-2</v>
      </c>
      <c r="AA136" s="246">
        <f>_xlfn.XLOOKUP($F136,'Budget Assumption Driver'!$A$33:$A$39,'Budget Assumption Driver'!M$33:M$39)+O136</f>
        <v>-2.2059419273305798E-2</v>
      </c>
      <c r="AB136" s="246">
        <f>_xlfn.XLOOKUP($F136,'Budget Assumption Driver'!$A$33:$A$39,'Budget Assumption Driver'!N$33:N$39)+P136</f>
        <v>-1.7710025782607663E-2</v>
      </c>
      <c r="AC136" s="246">
        <f>_xlfn.XLOOKUP($F136,'Budget Assumption Driver'!$A$33:$A$39,'Budget Assumption Driver'!O$33:O$39)+Q136</f>
        <v>-1.4944235415477021E-2</v>
      </c>
      <c r="AD136" s="296">
        <f>_xlfn.XLOOKUP($F136,'Budget Assumption Driver'!$A$33:$A$39,'Budget Assumption Driver'!P$33:P$39)+R136</f>
        <v>-1.1152246583184994E-2</v>
      </c>
      <c r="AE136" s="15"/>
      <c r="AF136" s="232">
        <f>_xlfn.XLOOKUP($C136,'Site Level Financials - ''23 ''24'!$C$2:$C$1577,'Site Level Financials - ''23 ''24'!$AF$2:$AF$1577)</f>
        <v>-2.7542595218842093E-2</v>
      </c>
      <c r="AG136" s="97">
        <f t="shared" ref="AG136:AH136" si="317">AG135/AG117</f>
        <v>-2.2583798171251182E-2</v>
      </c>
      <c r="AH136" s="97">
        <f t="shared" si="317"/>
        <v>-2.4152072575852414E-2</v>
      </c>
    </row>
    <row r="137" spans="2:34" ht="3" customHeight="1" x14ac:dyDescent="0.2">
      <c r="B137" s="9">
        <f>G105</f>
        <v>3</v>
      </c>
      <c r="C137" s="9" t="str">
        <f t="shared" si="224"/>
        <v xml:space="preserve">3 - </v>
      </c>
      <c r="D137" s="9" t="s">
        <v>56</v>
      </c>
      <c r="F137" s="16"/>
      <c r="G137" s="84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4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6"/>
      <c r="AE137" s="15"/>
      <c r="AF137" s="36"/>
      <c r="AG137" s="38"/>
      <c r="AH137" s="38"/>
    </row>
    <row r="138" spans="2:34" x14ac:dyDescent="0.2">
      <c r="B138" s="9">
        <f>G105</f>
        <v>3</v>
      </c>
      <c r="C138" s="9" t="str">
        <f t="shared" si="224"/>
        <v>3 - Office Rent</v>
      </c>
      <c r="D138" s="9" t="s">
        <v>56</v>
      </c>
      <c r="F138" t="s">
        <v>162</v>
      </c>
      <c r="G138" s="178">
        <f>_xlfn.XLOOKUP($C138,'Site Level Financials - ''23 ''24'!$C$2:$C$1577,'Site Level Financials - ''23 ''24'!S$2:S$1577)</f>
        <v>-31.945143627034007</v>
      </c>
      <c r="H138" s="179">
        <f>_xlfn.XLOOKUP($C138,'Site Level Financials - ''23 ''24'!$C$2:$C$1577,'Site Level Financials - ''23 ''24'!T$2:T$1577)</f>
        <v>-31.945143627034007</v>
      </c>
      <c r="I138" s="179">
        <f>_xlfn.XLOOKUP($C138,'Site Level Financials - ''23 ''24'!$C$2:$C$1577,'Site Level Financials - ''23 ''24'!U$2:U$1577)</f>
        <v>-31.945143627034007</v>
      </c>
      <c r="J138" s="179">
        <f>_xlfn.XLOOKUP($C138,'Site Level Financials - ''23 ''24'!$C$2:$C$1577,'Site Level Financials - ''23 ''24'!V$2:V$1577)</f>
        <v>-31.945143627034007</v>
      </c>
      <c r="K138" s="179">
        <f>_xlfn.XLOOKUP($C138,'Site Level Financials - ''23 ''24'!$C$2:$C$1577,'Site Level Financials - ''23 ''24'!W$2:W$1577)</f>
        <v>-31.945143627034007</v>
      </c>
      <c r="L138" s="179">
        <f>_xlfn.XLOOKUP($C138,'Site Level Financials - ''23 ''24'!$C$2:$C$1577,'Site Level Financials - ''23 ''24'!X$2:X$1577)</f>
        <v>-31.945143627034007</v>
      </c>
      <c r="M138" s="179">
        <f>_xlfn.XLOOKUP($C138,'Site Level Financials - ''23 ''24'!$C$2:$C$1577,'Site Level Financials - ''23 ''24'!Y$2:Y$1577)</f>
        <v>-31.945143627034007</v>
      </c>
      <c r="N138" s="179">
        <f>_xlfn.XLOOKUP($C138,'Site Level Financials - ''23 ''24'!$C$2:$C$1577,'Site Level Financials - ''23 ''24'!Z$2:Z$1577)</f>
        <v>-32.903497935845031</v>
      </c>
      <c r="O138" s="179">
        <f>_xlfn.XLOOKUP($C138,'Site Level Financials - ''23 ''24'!$C$2:$C$1577,'Site Level Financials - ''23 ''24'!AA$2:AA$1577)</f>
        <v>-32.903497935845031</v>
      </c>
      <c r="P138" s="179">
        <f>_xlfn.XLOOKUP($C138,'Site Level Financials - ''23 ''24'!$C$2:$C$1577,'Site Level Financials - ''23 ''24'!AB$2:AB$1577)</f>
        <v>-32.903497935845031</v>
      </c>
      <c r="Q138" s="179">
        <f>_xlfn.XLOOKUP($C138,'Site Level Financials - ''23 ''24'!$C$2:$C$1577,'Site Level Financials - ''23 ''24'!AC$2:AC$1577)</f>
        <v>-32.903497935845031</v>
      </c>
      <c r="R138" s="179">
        <f>_xlfn.XLOOKUP($C138,'Site Level Financials - ''23 ''24'!$C$2:$C$1577,'Site Level Financials - ''23 ''24'!AD$2:AD$1577)</f>
        <v>-32.903497935845031</v>
      </c>
      <c r="S138" s="155">
        <f>G138*(1+S139)</f>
        <v>-32.903497935845024</v>
      </c>
      <c r="T138" s="154">
        <f t="shared" ref="T138" si="318">H138*(1+T139)</f>
        <v>-32.903497935845024</v>
      </c>
      <c r="U138" s="154">
        <f t="shared" ref="U138" si="319">I138*(1+U139)</f>
        <v>-32.903497935845024</v>
      </c>
      <c r="V138" s="154">
        <f t="shared" ref="V138" si="320">J138*(1+V139)</f>
        <v>-32.903497935845024</v>
      </c>
      <c r="W138" s="154">
        <f t="shared" ref="W138" si="321">K138*(1+W139)</f>
        <v>-32.903497935845024</v>
      </c>
      <c r="X138" s="154">
        <f t="shared" ref="X138" si="322">L138*(1+X139)</f>
        <v>-32.903497935845024</v>
      </c>
      <c r="Y138" s="154">
        <f t="shared" ref="Y138" si="323">M138*(1+Y139)</f>
        <v>-32.903497935845024</v>
      </c>
      <c r="Z138" s="154">
        <f t="shared" ref="Z138" si="324">N138*(1+Z139)</f>
        <v>-33.890602873920386</v>
      </c>
      <c r="AA138" s="154">
        <f t="shared" ref="AA138" si="325">O138*(1+AA139)</f>
        <v>-33.890602873920386</v>
      </c>
      <c r="AB138" s="154">
        <f t="shared" ref="AB138" si="326">P138*(1+AB139)</f>
        <v>-33.890602873920386</v>
      </c>
      <c r="AC138" s="154">
        <f t="shared" ref="AC138" si="327">Q138*(1+AC139)</f>
        <v>-33.890602873920386</v>
      </c>
      <c r="AD138" s="156">
        <f t="shared" ref="AD138" si="328">R138*(1+AD139)</f>
        <v>-33.890602873920386</v>
      </c>
      <c r="AE138" s="15"/>
      <c r="AF138" s="115">
        <f>_xlfn.XLOOKUP($C138,'Site Level Financials - ''23 ''24'!$C$2:$C$1577,'Site Level Financials - ''23 ''24'!$AF$2:$AF$1577)</f>
        <v>-376.83038649252393</v>
      </c>
      <c r="AG138" s="93">
        <f>SUM(G138:R138)</f>
        <v>-388.13349506846333</v>
      </c>
      <c r="AH138" s="93">
        <f t="shared" ref="AH138" si="329">SUM(S138:AD138)</f>
        <v>-399.77749992051713</v>
      </c>
    </row>
    <row r="139" spans="2:34" x14ac:dyDescent="0.2">
      <c r="B139" s="9">
        <f>G105</f>
        <v>3</v>
      </c>
      <c r="C139" s="9" t="str">
        <f t="shared" si="224"/>
        <v>3 - % YoY Growth</v>
      </c>
      <c r="D139" s="9" t="s">
        <v>56</v>
      </c>
      <c r="F139" s="16" t="s">
        <v>8</v>
      </c>
      <c r="G139" s="245">
        <f>_xlfn.XLOOKUP($C139,'Site Level Financials - ''23 ''24'!$C$2:$C$1577,'Site Level Financials - ''23 ''24'!S$2:S$1577)</f>
        <v>2.9995215304017275E-2</v>
      </c>
      <c r="H139" s="246">
        <f>_xlfn.XLOOKUP($C139,'Site Level Financials - ''23 ''24'!$C$2:$C$1577,'Site Level Financials - ''23 ''24'!T$2:T$1577)</f>
        <v>2.9995215304017275E-2</v>
      </c>
      <c r="I139" s="246">
        <f>_xlfn.XLOOKUP($C139,'Site Level Financials - ''23 ''24'!$C$2:$C$1577,'Site Level Financials - ''23 ''24'!U$2:U$1577)</f>
        <v>2.9995215304017275E-2</v>
      </c>
      <c r="J139" s="246">
        <f>_xlfn.XLOOKUP($C139,'Site Level Financials - ''23 ''24'!$C$2:$C$1577,'Site Level Financials - ''23 ''24'!V$2:V$1577)</f>
        <v>2.9995215304017275E-2</v>
      </c>
      <c r="K139" s="246">
        <f>_xlfn.XLOOKUP($C139,'Site Level Financials - ''23 ''24'!$C$2:$C$1577,'Site Level Financials - ''23 ''24'!W$2:W$1577)</f>
        <v>2.9995215304017275E-2</v>
      </c>
      <c r="L139" s="246">
        <f>_xlfn.XLOOKUP($C139,'Site Level Financials - ''23 ''24'!$C$2:$C$1577,'Site Level Financials - ''23 ''24'!X$2:X$1577)</f>
        <v>2.9995215304017275E-2</v>
      </c>
      <c r="M139" s="246">
        <f>_xlfn.XLOOKUP($C139,'Site Level Financials - ''23 ''24'!$C$2:$C$1577,'Site Level Financials - ''23 ''24'!Y$2:Y$1577)</f>
        <v>2.9995215304017275E-2</v>
      </c>
      <c r="N139" s="246">
        <f>_xlfn.XLOOKUP($C139,'Site Level Financials - ''23 ''24'!$C$2:$C$1577,'Site Level Financials - ''23 ''24'!Z$2:Z$1577)</f>
        <v>2.9995215304017275E-2</v>
      </c>
      <c r="O139" s="246">
        <f>_xlfn.XLOOKUP($C139,'Site Level Financials - ''23 ''24'!$C$2:$C$1577,'Site Level Financials - ''23 ''24'!AA$2:AA$1577)</f>
        <v>2.9995215304017275E-2</v>
      </c>
      <c r="P139" s="246">
        <f>_xlfn.XLOOKUP($C139,'Site Level Financials - ''23 ''24'!$C$2:$C$1577,'Site Level Financials - ''23 ''24'!AB$2:AB$1577)</f>
        <v>2.9995215304017275E-2</v>
      </c>
      <c r="Q139" s="246">
        <f>_xlfn.XLOOKUP($C139,'Site Level Financials - ''23 ''24'!$C$2:$C$1577,'Site Level Financials - ''23 ''24'!AC$2:AC$1577)</f>
        <v>2.9995215304017275E-2</v>
      </c>
      <c r="R139" s="246">
        <f>_xlfn.XLOOKUP($C139,'Site Level Financials - ''23 ''24'!$C$2:$C$1577,'Site Level Financials - ''23 ''24'!AD$2:AD$1577)</f>
        <v>2.9995215304017275E-2</v>
      </c>
      <c r="S139" s="245">
        <f>_xlfn.XLOOKUP($F139,'Budget Assumption Driver'!$A$33:$A$39,'Budget Assumption Driver'!E$33:E$39)</f>
        <v>0.03</v>
      </c>
      <c r="T139" s="246">
        <f>_xlfn.XLOOKUP($F139,'Budget Assumption Driver'!$A$33:$A$39,'Budget Assumption Driver'!F$33:F$39)</f>
        <v>0.03</v>
      </c>
      <c r="U139" s="246">
        <f>_xlfn.XLOOKUP($F139,'Budget Assumption Driver'!$A$33:$A$39,'Budget Assumption Driver'!G$33:G$39)</f>
        <v>0.03</v>
      </c>
      <c r="V139" s="246">
        <f>_xlfn.XLOOKUP($F139,'Budget Assumption Driver'!$A$33:$A$39,'Budget Assumption Driver'!H$33:H$39)</f>
        <v>0.03</v>
      </c>
      <c r="W139" s="246">
        <f>_xlfn.XLOOKUP($F139,'Budget Assumption Driver'!$A$33:$A$39,'Budget Assumption Driver'!I$33:I$39)</f>
        <v>0.03</v>
      </c>
      <c r="X139" s="246">
        <f>_xlfn.XLOOKUP($F139,'Budget Assumption Driver'!$A$33:$A$39,'Budget Assumption Driver'!J$33:J$39)</f>
        <v>0.03</v>
      </c>
      <c r="Y139" s="246">
        <f>_xlfn.XLOOKUP($F139,'Budget Assumption Driver'!$A$33:$A$39,'Budget Assumption Driver'!K$33:K$39)</f>
        <v>0.03</v>
      </c>
      <c r="Z139" s="246">
        <f>_xlfn.XLOOKUP($F139,'Budget Assumption Driver'!$A$33:$A$39,'Budget Assumption Driver'!L$33:L$39)</f>
        <v>0.03</v>
      </c>
      <c r="AA139" s="246">
        <f>_xlfn.XLOOKUP($F139,'Budget Assumption Driver'!$A$33:$A$39,'Budget Assumption Driver'!M$33:M$39)</f>
        <v>0.03</v>
      </c>
      <c r="AB139" s="246">
        <f>_xlfn.XLOOKUP($F139,'Budget Assumption Driver'!$A$33:$A$39,'Budget Assumption Driver'!N$33:N$39)</f>
        <v>0.03</v>
      </c>
      <c r="AC139" s="246">
        <f>_xlfn.XLOOKUP($F139,'Budget Assumption Driver'!$A$33:$A$39,'Budget Assumption Driver'!O$33:O$39)</f>
        <v>0.03</v>
      </c>
      <c r="AD139" s="296">
        <f>_xlfn.XLOOKUP($F139,'Budget Assumption Driver'!$A$33:$A$39,'Budget Assumption Driver'!P$33:P$39)</f>
        <v>0.03</v>
      </c>
      <c r="AE139" s="15"/>
      <c r="AF139" s="11"/>
      <c r="AG139" s="97">
        <f>AG138/AF138-1</f>
        <v>2.9995215304017497E-2</v>
      </c>
      <c r="AH139" s="97">
        <f>AH138/AG138-1</f>
        <v>2.9999999999999805E-2</v>
      </c>
    </row>
    <row r="140" spans="2:34" ht="6" customHeight="1" x14ac:dyDescent="0.2">
      <c r="B140" s="9">
        <f>G105</f>
        <v>3</v>
      </c>
      <c r="C140" s="9" t="str">
        <f t="shared" si="224"/>
        <v xml:space="preserve">3 - </v>
      </c>
      <c r="D140" s="9" t="s">
        <v>56</v>
      </c>
      <c r="F140" s="16"/>
      <c r="G140" s="80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80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81"/>
      <c r="AE140" s="15"/>
      <c r="AF140" s="11"/>
      <c r="AG140" s="15"/>
      <c r="AH140" s="15"/>
    </row>
    <row r="141" spans="2:34" x14ac:dyDescent="0.2">
      <c r="B141" s="9">
        <f>G105</f>
        <v>3</v>
      </c>
      <c r="C141" s="9" t="str">
        <f t="shared" si="224"/>
        <v>3 - Office EBITDA</v>
      </c>
      <c r="D141" s="9" t="s">
        <v>56</v>
      </c>
      <c r="F141" s="8" t="s">
        <v>12</v>
      </c>
      <c r="G141" s="241">
        <f>_xlfn.XLOOKUP($C141,'Site Level Financials - ''23 ''24'!$C$2:$C$1577,'Site Level Financials - ''23 ''24'!S$2:S$1577)</f>
        <v>54.844114589855103</v>
      </c>
      <c r="H141" s="242">
        <f>_xlfn.XLOOKUP($C141,'Site Level Financials - ''23 ''24'!$C$2:$C$1577,'Site Level Financials - ''23 ''24'!T$2:T$1577)</f>
        <v>47.042901126008779</v>
      </c>
      <c r="I141" s="242">
        <f>_xlfn.XLOOKUP($C141,'Site Level Financials - ''23 ''24'!$C$2:$C$1577,'Site Level Financials - ''23 ''24'!U$2:U$1577)</f>
        <v>5.0412450779121798</v>
      </c>
      <c r="J141" s="242">
        <f>_xlfn.XLOOKUP($C141,'Site Level Financials - ''23 ''24'!$C$2:$C$1577,'Site Level Financials - ''23 ''24'!V$2:V$1577)</f>
        <v>-62.48250503416849</v>
      </c>
      <c r="K141" s="242">
        <f>_xlfn.XLOOKUP($C141,'Site Level Financials - ''23 ''24'!$C$2:$C$1577,'Site Level Financials - ''23 ''24'!W$2:W$1577)</f>
        <v>-75.664031065050125</v>
      </c>
      <c r="L141" s="242">
        <f>_xlfn.XLOOKUP($C141,'Site Level Financials - ''23 ''24'!$C$2:$C$1577,'Site Level Financials - ''23 ''24'!X$2:X$1577)</f>
        <v>-69.390511740920374</v>
      </c>
      <c r="M141" s="242">
        <f>_xlfn.XLOOKUP($C141,'Site Level Financials - ''23 ''24'!$C$2:$C$1577,'Site Level Financials - ''23 ''24'!Y$2:Y$1577)</f>
        <v>-57.139760014182016</v>
      </c>
      <c r="N141" s="242">
        <f>_xlfn.XLOOKUP($C141,'Site Level Financials - ''23 ''24'!$C$2:$C$1577,'Site Level Financials - ''23 ''24'!Z$2:Z$1577)</f>
        <v>-17.257133755650873</v>
      </c>
      <c r="O141" s="242">
        <f>_xlfn.XLOOKUP($C141,'Site Level Financials - ''23 ''24'!$C$2:$C$1577,'Site Level Financials - ''23 ''24'!AA$2:AA$1577)</f>
        <v>-1.810115227690126</v>
      </c>
      <c r="P141" s="242">
        <f>_xlfn.XLOOKUP($C141,'Site Level Financials - ''23 ''24'!$C$2:$C$1577,'Site Level Financials - ''23 ''24'!AB$2:AB$1577)</f>
        <v>33.64793206448153</v>
      </c>
      <c r="Q141" s="242">
        <f>_xlfn.XLOOKUP($C141,'Site Level Financials - ''23 ''24'!$C$2:$C$1577,'Site Level Financials - ''23 ''24'!AC$2:AC$1577)</f>
        <v>15.877741693421122</v>
      </c>
      <c r="R141" s="242">
        <f>_xlfn.XLOOKUP($C141,'Site Level Financials - ''23 ''24'!$C$2:$C$1577,'Site Level Financials - ''23 ''24'!AD$2:AD$1577)</f>
        <v>8.2744550383859234</v>
      </c>
      <c r="S141" s="134">
        <f t="shared" ref="S141:AD141" si="330">S129+S132+S135+S138</f>
        <v>46.966454058492687</v>
      </c>
      <c r="T141" s="135">
        <f t="shared" si="330"/>
        <v>46.023707071218453</v>
      </c>
      <c r="U141" s="135">
        <f t="shared" si="330"/>
        <v>11.141823595054888</v>
      </c>
      <c r="V141" s="135">
        <f t="shared" si="330"/>
        <v>-73.081214166793288</v>
      </c>
      <c r="W141" s="135">
        <f t="shared" si="330"/>
        <v>-115.70278963910535</v>
      </c>
      <c r="X141" s="135">
        <f t="shared" si="330"/>
        <v>-101.49820581003335</v>
      </c>
      <c r="Y141" s="135">
        <f t="shared" si="330"/>
        <v>-77.290324304648095</v>
      </c>
      <c r="Z141" s="135">
        <f t="shared" si="330"/>
        <v>-15.470654900431867</v>
      </c>
      <c r="AA141" s="135">
        <f t="shared" si="330"/>
        <v>2.6699971464037375</v>
      </c>
      <c r="AB141" s="135">
        <f t="shared" si="330"/>
        <v>32.494540095725469</v>
      </c>
      <c r="AC141" s="135">
        <f t="shared" si="330"/>
        <v>18.402078359092172</v>
      </c>
      <c r="AD141" s="136">
        <f t="shared" si="330"/>
        <v>8.1817842455557681</v>
      </c>
      <c r="AE141" s="15"/>
      <c r="AF141" s="113">
        <f>_xlfn.XLOOKUP($C141,'Site Level Financials - ''23 ''24'!$C$2:$C$1577,'Site Level Financials - ''23 ''24'!$AF$2:$AF$1577)</f>
        <v>309.0589222138907</v>
      </c>
      <c r="AG141" s="95">
        <f>SUM(G141:R141)</f>
        <v>-119.01566724759735</v>
      </c>
      <c r="AH141" s="95">
        <f t="shared" ref="AH141" si="331">SUM(S141:AD141)</f>
        <v>-217.16280424946876</v>
      </c>
    </row>
    <row r="142" spans="2:34" x14ac:dyDescent="0.2">
      <c r="B142" s="9">
        <f>G105</f>
        <v>3</v>
      </c>
      <c r="C142" s="9" t="str">
        <f t="shared" si="224"/>
        <v>3 - % of Revenue - Office EBITDA</v>
      </c>
      <c r="D142" s="9" t="s">
        <v>56</v>
      </c>
      <c r="F142" s="16" t="str">
        <f>"% of Revenue - "&amp;F141</f>
        <v>% of Revenue - Office EBITDA</v>
      </c>
      <c r="G142" s="148">
        <f>G141/G117</f>
        <v>0.12595568003784433</v>
      </c>
      <c r="H142" s="149">
        <f t="shared" ref="H142:AD142" si="332">H141/H117</f>
        <v>0.11328920277538101</v>
      </c>
      <c r="I142" s="149">
        <f t="shared" si="332"/>
        <v>1.3474283616877615E-2</v>
      </c>
      <c r="J142" s="149">
        <f t="shared" si="332"/>
        <v>-0.17225316778015481</v>
      </c>
      <c r="K142" s="149">
        <f t="shared" si="332"/>
        <v>-0.25263794802690132</v>
      </c>
      <c r="L142" s="149">
        <f t="shared" si="332"/>
        <v>-0.26686696891059314</v>
      </c>
      <c r="M142" s="149">
        <f t="shared" si="332"/>
        <v>-0.20978238541989239</v>
      </c>
      <c r="N142" s="149">
        <f t="shared" si="332"/>
        <v>-4.9374010858343011E-2</v>
      </c>
      <c r="O142" s="149">
        <f t="shared" si="332"/>
        <v>-5.6417546243470711E-3</v>
      </c>
      <c r="P142" s="149">
        <f t="shared" si="332"/>
        <v>7.7465130430306242E-2</v>
      </c>
      <c r="Q142" s="149">
        <f t="shared" si="332"/>
        <v>4.9696564112368447E-2</v>
      </c>
      <c r="R142" s="149">
        <f t="shared" si="332"/>
        <v>3.0242527558418199E-2</v>
      </c>
      <c r="S142" s="148">
        <f t="shared" si="332"/>
        <v>0.117208215261625</v>
      </c>
      <c r="T142" s="149">
        <f t="shared" si="332"/>
        <v>0.11092020424410565</v>
      </c>
      <c r="U142" s="149">
        <f t="shared" si="332"/>
        <v>2.5007270766552108E-2</v>
      </c>
      <c r="V142" s="149">
        <f t="shared" si="332"/>
        <v>-0.15313018265090156</v>
      </c>
      <c r="W142" s="149">
        <f t="shared" si="332"/>
        <v>-0.20398367890230049</v>
      </c>
      <c r="X142" s="149">
        <f t="shared" si="332"/>
        <v>-0.2130887841110467</v>
      </c>
      <c r="Y142" s="149">
        <f t="shared" si="332"/>
        <v>-0.16106804702208136</v>
      </c>
      <c r="Z142" s="149">
        <f t="shared" si="332"/>
        <v>-3.7597890341101475E-2</v>
      </c>
      <c r="AA142" s="149">
        <f t="shared" si="332"/>
        <v>7.0773948639775404E-3</v>
      </c>
      <c r="AB142" s="149">
        <f t="shared" si="332"/>
        <v>7.4997151635655485E-2</v>
      </c>
      <c r="AC142" s="149">
        <f t="shared" si="332"/>
        <v>5.3729949118684554E-2</v>
      </c>
      <c r="AD142" s="150">
        <f t="shared" si="332"/>
        <v>2.9268084955470803E-2</v>
      </c>
      <c r="AE142" s="15"/>
      <c r="AF142" s="232">
        <f>_xlfn.XLOOKUP($C142,'Site Level Financials - ''23 ''24'!$C$2:$C$1577,'Site Level Financials - ''23 ''24'!$AF$2:$AF$1577)</f>
        <v>7.40231978526915E-2</v>
      </c>
      <c r="AG142" s="97">
        <f t="shared" ref="AG142:AH142" si="333">AG141/AG117</f>
        <v>-2.8906545803596272E-2</v>
      </c>
      <c r="AH142" s="97">
        <f t="shared" si="333"/>
        <v>-4.2531961621338842E-2</v>
      </c>
    </row>
    <row r="143" spans="2:34" ht="6" customHeight="1" x14ac:dyDescent="0.2">
      <c r="B143" s="9">
        <f>G105</f>
        <v>3</v>
      </c>
      <c r="C143" s="9" t="str">
        <f t="shared" si="224"/>
        <v xml:space="preserve">3 - </v>
      </c>
      <c r="D143" s="9" t="s">
        <v>56</v>
      </c>
      <c r="G143" s="80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80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81"/>
      <c r="AE143" s="15"/>
      <c r="AF143" s="11"/>
      <c r="AG143" s="15"/>
      <c r="AH143" s="15"/>
    </row>
    <row r="144" spans="2:34" x14ac:dyDescent="0.2">
      <c r="B144" s="9">
        <f>G105</f>
        <v>3</v>
      </c>
      <c r="C144" s="9" t="str">
        <f t="shared" si="224"/>
        <v>3 - Memo:</v>
      </c>
      <c r="D144" s="9" t="s">
        <v>56</v>
      </c>
      <c r="F144" s="6" t="s">
        <v>13</v>
      </c>
      <c r="G144" s="80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80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81"/>
      <c r="AE144" s="15"/>
      <c r="AF144" s="11"/>
      <c r="AG144" s="15"/>
      <c r="AH144" s="15"/>
    </row>
    <row r="145" spans="2:35" s="24" customFormat="1" x14ac:dyDescent="0.2">
      <c r="B145" s="9">
        <f>G105</f>
        <v>3</v>
      </c>
      <c r="C145" s="9" t="str">
        <f t="shared" si="224"/>
        <v>3 - Collections</v>
      </c>
      <c r="D145" s="9" t="s">
        <v>56</v>
      </c>
      <c r="E145" s="49"/>
      <c r="F145" s="24" t="s">
        <v>15</v>
      </c>
      <c r="G145" s="247">
        <f>_xlfn.XLOOKUP($C145,'Site Level Financials - ''23 ''24'!$C$2:$C$1577,'Site Level Financials - ''23 ''24'!S$2:S$1577)</f>
        <v>437.73247013539446</v>
      </c>
      <c r="H145" s="248">
        <f>_xlfn.XLOOKUP($C145,'Site Level Financials - ''23 ''24'!$C$2:$C$1577,'Site Level Financials - ''23 ''24'!T$2:T$1577)</f>
        <v>404.67569380400784</v>
      </c>
      <c r="I145" s="248">
        <f>_xlfn.XLOOKUP($C145,'Site Level Financials - ''23 ''24'!$C$2:$C$1577,'Site Level Financials - ''23 ''24'!U$2:U$1577)</f>
        <v>371.70079986131026</v>
      </c>
      <c r="J145" s="248">
        <f>_xlfn.XLOOKUP($C145,'Site Level Financials - ''23 ''24'!$C$2:$C$1577,'Site Level Financials - ''23 ''24'!V$2:V$1577)</f>
        <v>353.77122921238225</v>
      </c>
      <c r="K145" s="248">
        <f>_xlfn.XLOOKUP($C145,'Site Level Financials - ''23 ''24'!$C$2:$C$1577,'Site Level Financials - ''23 ''24'!W$2:W$1577)</f>
        <v>297.9098181496264</v>
      </c>
      <c r="L145" s="248">
        <f>_xlfn.XLOOKUP($C145,'Site Level Financials - ''23 ''24'!$C$2:$C$1577,'Site Level Financials - ''23 ''24'!X$2:X$1577)</f>
        <v>255.42566288401693</v>
      </c>
      <c r="M145" s="248">
        <f>_xlfn.XLOOKUP($C145,'Site Level Financials - ''23 ''24'!$C$2:$C$1577,'Site Level Financials - ''23 ''24'!Y$2:Y$1577)</f>
        <v>272.52553861831768</v>
      </c>
      <c r="N145" s="248">
        <f>_xlfn.XLOOKUP($C145,'Site Level Financials - ''23 ''24'!$C$2:$C$1577,'Site Level Financials - ''23 ''24'!Z$2:Z$1577)</f>
        <v>340.3226127436314</v>
      </c>
      <c r="O145" s="248">
        <f>_xlfn.XLOOKUP($C145,'Site Level Financials - ''23 ''24'!$C$2:$C$1577,'Site Level Financials - ''23 ''24'!AA$2:AA$1577)</f>
        <v>323.37209914016159</v>
      </c>
      <c r="P145" s="248">
        <f>_xlfn.XLOOKUP($C145,'Site Level Financials - ''23 ''24'!$C$2:$C$1577,'Site Level Financials - ''23 ''24'!AB$2:AB$1577)</f>
        <v>432.18109787171949</v>
      </c>
      <c r="Q145" s="248">
        <f>_xlfn.XLOOKUP($C145,'Site Level Financials - ''23 ''24'!$C$2:$C$1577,'Site Level Financials - ''23 ''24'!AC$2:AC$1577)</f>
        <v>314.24605786753625</v>
      </c>
      <c r="R145" s="248">
        <f>_xlfn.XLOOKUP($C145,'Site Level Financials - ''23 ''24'!$C$2:$C$1577,'Site Level Financials - ''23 ''24'!AD$2:AD$1577)</f>
        <v>272.88100053317095</v>
      </c>
      <c r="S145" s="169">
        <f t="shared" ref="S145:AD145" si="334">S146*S115</f>
        <v>400.70957444115197</v>
      </c>
      <c r="T145" s="170">
        <f t="shared" si="334"/>
        <v>414.92627411623408</v>
      </c>
      <c r="U145" s="170">
        <f t="shared" si="334"/>
        <v>445.54336613003665</v>
      </c>
      <c r="V145" s="170">
        <f t="shared" si="334"/>
        <v>477.24891919837995</v>
      </c>
      <c r="W145" s="170">
        <f t="shared" si="334"/>
        <v>567.21591777213735</v>
      </c>
      <c r="X145" s="170">
        <f t="shared" si="334"/>
        <v>476.31885569885139</v>
      </c>
      <c r="Y145" s="170">
        <f t="shared" si="334"/>
        <v>479.86131162347868</v>
      </c>
      <c r="Z145" s="170">
        <f t="shared" si="334"/>
        <v>411.47667488990913</v>
      </c>
      <c r="AA145" s="170">
        <f t="shared" si="334"/>
        <v>377.25705541645902</v>
      </c>
      <c r="AB145" s="170">
        <f t="shared" si="334"/>
        <v>433.27698968605586</v>
      </c>
      <c r="AC145" s="170">
        <f t="shared" si="334"/>
        <v>342.4920116422158</v>
      </c>
      <c r="AD145" s="171">
        <f t="shared" si="334"/>
        <v>279.54627909559986</v>
      </c>
      <c r="AE145" s="26"/>
      <c r="AF145" s="234">
        <f>_xlfn.XLOOKUP($C145,'Site Level Financials - ''23 ''24'!$C$2:$C$1577,'Site Level Financials - ''23 ''24'!$AF$2:$AF$1577)</f>
        <v>4219.0817799942733</v>
      </c>
      <c r="AG145" s="99">
        <f>SUM(G145:R145)</f>
        <v>4076.7440808212759</v>
      </c>
      <c r="AH145" s="99">
        <f t="shared" ref="AH145" si="335">SUM(S145:AD145)</f>
        <v>5105.8732297105089</v>
      </c>
    </row>
    <row r="146" spans="2:35" x14ac:dyDescent="0.2">
      <c r="B146" s="9">
        <f>G105</f>
        <v>3</v>
      </c>
      <c r="C146" s="9" t="str">
        <f t="shared" si="224"/>
        <v>3 - Collections as a % of Production</v>
      </c>
      <c r="D146" s="9" t="s">
        <v>56</v>
      </c>
      <c r="F146" s="172" t="s">
        <v>17</v>
      </c>
      <c r="G146" s="245">
        <f>_xlfn.XLOOKUP($C146,'Site Level Financials - ''23 ''24'!$C$2:$C$1577,'Site Level Financials - ''23 ''24'!S$2:S$1577)</f>
        <v>0.9918851102250944</v>
      </c>
      <c r="H146" s="246">
        <f>_xlfn.XLOOKUP($C146,'Site Level Financials - ''23 ''24'!$C$2:$C$1577,'Site Level Financials - ''23 ''24'!T$2:T$1577)</f>
        <v>0.96153793829397771</v>
      </c>
      <c r="I146" s="246">
        <f>_xlfn.XLOOKUP($C146,'Site Level Financials - ''23 ''24'!$C$2:$C$1577,'Site Level Financials - ''23 ''24'!U$2:U$1577)</f>
        <v>0.98022607191353239</v>
      </c>
      <c r="J146" s="246">
        <f>_xlfn.XLOOKUP($C146,'Site Level Financials - ''23 ''24'!$C$2:$C$1577,'Site Level Financials - ''23 ''24'!V$2:V$1577)</f>
        <v>0.96226829248042367</v>
      </c>
      <c r="K146" s="246">
        <f>_xlfn.XLOOKUP($C146,'Site Level Financials - ''23 ''24'!$C$2:$C$1577,'Site Level Financials - ''23 ''24'!W$2:W$1577)</f>
        <v>0.98142882030347844</v>
      </c>
      <c r="L146" s="246">
        <f>_xlfn.XLOOKUP($C146,'Site Level Financials - ''23 ''24'!$C$2:$C$1577,'Site Level Financials - ''23 ''24'!X$2:X$1577)</f>
        <v>0.96922396113534592</v>
      </c>
      <c r="M146" s="246">
        <f>_xlfn.XLOOKUP($C146,'Site Level Financials - ''23 ''24'!$C$2:$C$1577,'Site Level Financials - ''23 ''24'!Y$2:Y$1577)</f>
        <v>0.98719442605460206</v>
      </c>
      <c r="N146" s="246">
        <f>_xlfn.XLOOKUP($C146,'Site Level Financials - ''23 ''24'!$C$2:$C$1577,'Site Level Financials - ''23 ''24'!Z$2:Z$1577)</f>
        <v>0.96069477848141471</v>
      </c>
      <c r="O146" s="246">
        <f>_xlfn.XLOOKUP($C146,'Site Level Financials - ''23 ''24'!$C$2:$C$1577,'Site Level Financials - ''23 ''24'!AA$2:AA$1577)</f>
        <v>0.99443270265916794</v>
      </c>
      <c r="P146" s="246">
        <f>_xlfn.XLOOKUP($C146,'Site Level Financials - ''23 ''24'!$C$2:$C$1577,'Site Level Financials - ''23 ''24'!AB$2:AB$1577)</f>
        <v>0.98169940291063185</v>
      </c>
      <c r="Q146" s="246">
        <f>_xlfn.XLOOKUP($C146,'Site Level Financials - ''23 ''24'!$C$2:$C$1577,'Site Level Financials - ''23 ''24'!AC$2:AC$1577)</f>
        <v>0.97044818078217421</v>
      </c>
      <c r="R146" s="246">
        <f>_xlfn.XLOOKUP($C146,'Site Level Financials - ''23 ''24'!$C$2:$C$1577,'Site Level Financials - ''23 ''24'!AD$2:AD$1577)</f>
        <v>0.98404931619406244</v>
      </c>
      <c r="S146" s="148">
        <f>S116</f>
        <v>0.97694562565373555</v>
      </c>
      <c r="T146" s="149">
        <f t="shared" ref="T146:AD146" si="336">T116</f>
        <v>0.97694562565373555</v>
      </c>
      <c r="U146" s="149">
        <f t="shared" si="336"/>
        <v>0.97694562565373555</v>
      </c>
      <c r="V146" s="149">
        <f t="shared" si="336"/>
        <v>0.97694562565373555</v>
      </c>
      <c r="W146" s="149">
        <f t="shared" si="336"/>
        <v>0.97694562565373555</v>
      </c>
      <c r="X146" s="149">
        <f t="shared" si="336"/>
        <v>0.97694562565373555</v>
      </c>
      <c r="Y146" s="149">
        <f t="shared" si="336"/>
        <v>0.97694562565373555</v>
      </c>
      <c r="Z146" s="149">
        <f t="shared" si="336"/>
        <v>0.97694562565373555</v>
      </c>
      <c r="AA146" s="149">
        <f t="shared" si="336"/>
        <v>0.97694562565373555</v>
      </c>
      <c r="AB146" s="149">
        <f t="shared" si="336"/>
        <v>0.97694562565373555</v>
      </c>
      <c r="AC146" s="149">
        <f t="shared" si="336"/>
        <v>0.97694562565373555</v>
      </c>
      <c r="AD146" s="150">
        <f t="shared" si="336"/>
        <v>0.97694562565373555</v>
      </c>
      <c r="AE146" s="15"/>
      <c r="AF146" s="232">
        <f>_xlfn.XLOOKUP($C146,'Site Level Financials - ''23 ''24'!$C$2:$C$1577,'Site Level Financials - ''23 ''24'!$AF$2:$AF$1577)</f>
        <v>0.98053354746155075</v>
      </c>
      <c r="AG146" s="97">
        <f t="shared" ref="AG146:AH146" si="337">AG145/AG115</f>
        <v>0.97694562565373555</v>
      </c>
      <c r="AH146" s="97">
        <f t="shared" si="337"/>
        <v>0.97694562565373555</v>
      </c>
    </row>
    <row r="147" spans="2:35" ht="6" customHeight="1" x14ac:dyDescent="0.2">
      <c r="B147" s="9">
        <f>G105</f>
        <v>3</v>
      </c>
      <c r="C147" s="9" t="str">
        <f t="shared" si="224"/>
        <v xml:space="preserve">3 - </v>
      </c>
      <c r="D147" s="9" t="s">
        <v>56</v>
      </c>
      <c r="F147" s="27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81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81"/>
      <c r="AE147" s="15"/>
      <c r="AF147" s="11"/>
      <c r="AH147" s="224"/>
    </row>
    <row r="148" spans="2:35" s="24" customFormat="1" x14ac:dyDescent="0.2">
      <c r="B148" s="9">
        <f>G105</f>
        <v>3</v>
      </c>
      <c r="C148" s="9" t="str">
        <f t="shared" si="224"/>
        <v>3 - Production per Vet Workday - YoY Change</v>
      </c>
      <c r="D148" s="9" t="s">
        <v>56</v>
      </c>
      <c r="E148" s="49"/>
      <c r="F148" s="24" t="s">
        <v>55</v>
      </c>
      <c r="G148" s="249">
        <f>_xlfn.XLOOKUP($C148,'Site Level Financials - ''23 ''24'!$C$2:$C$1577,'Site Level Financials - ''23 ''24'!S$2:S$1577)</f>
        <v>-8.4603667821107176E-2</v>
      </c>
      <c r="H148" s="250">
        <f>_xlfn.XLOOKUP($C148,'Site Level Financials - ''23 ''24'!$C$2:$C$1577,'Site Level Financials - ''23 ''24'!T$2:T$1577)</f>
        <v>-9.4658177260331544E-2</v>
      </c>
      <c r="I148" s="250">
        <f>_xlfn.XLOOKUP($C148,'Site Level Financials - ''23 ''24'!$C$2:$C$1577,'Site Level Financials - ''23 ''24'!U$2:U$1577)</f>
        <v>-4.6023541780512711E-2</v>
      </c>
      <c r="J148" s="250">
        <f>_xlfn.XLOOKUP($C148,'Site Level Financials - ''23 ''24'!$C$2:$C$1577,'Site Level Financials - ''23 ''24'!V$2:V$1577)</f>
        <v>-3.8329707342275143E-2</v>
      </c>
      <c r="K148" s="250">
        <f>_xlfn.XLOOKUP($C148,'Site Level Financials - ''23 ''24'!$C$2:$C$1577,'Site Level Financials - ''23 ''24'!W$2:W$1577)</f>
        <v>-4.6725685461924349E-2</v>
      </c>
      <c r="L148" s="250">
        <f>_xlfn.XLOOKUP($C148,'Site Level Financials - ''23 ''24'!$C$2:$C$1577,'Site Level Financials - ''23 ''24'!X$2:X$1577)</f>
        <v>-1.668430019377809E-2</v>
      </c>
      <c r="M148" s="250">
        <f>_xlfn.XLOOKUP($C148,'Site Level Financials - ''23 ''24'!$C$2:$C$1577,'Site Level Financials - ''23 ''24'!Y$2:Y$1577)</f>
        <v>-2.1461215491407337E-3</v>
      </c>
      <c r="N148" s="250">
        <f>_xlfn.XLOOKUP($C148,'Site Level Financials - ''23 ''24'!$C$2:$C$1577,'Site Level Financials - ''23 ''24'!Z$2:Z$1577)</f>
        <v>1.6293996259739707E-2</v>
      </c>
      <c r="O148" s="250">
        <f>_xlfn.XLOOKUP($C148,'Site Level Financials - ''23 ''24'!$C$2:$C$1577,'Site Level Financials - ''23 ''24'!AA$2:AA$1577)</f>
        <v>2.0389962875390744E-2</v>
      </c>
      <c r="P148" s="250">
        <f>_xlfn.XLOOKUP($C148,'Site Level Financials - ''23 ''24'!$C$2:$C$1577,'Site Level Financials - ''23 ''24'!AB$2:AB$1577)</f>
        <v>-5.8421945121704288E-2</v>
      </c>
      <c r="Q148" s="250">
        <f>_xlfn.XLOOKUP($C148,'Site Level Financials - ''23 ''24'!$C$2:$C$1577,'Site Level Financials - ''23 ''24'!AC$2:AC$1577)</f>
        <v>-9.7635008015050317E-2</v>
      </c>
      <c r="R148" s="251">
        <f>_xlfn.XLOOKUP($C148,'Site Level Financials - ''23 ''24'!$C$2:$C$1577,'Site Level Financials - ''23 ''24'!AD$2:AD$1577)</f>
        <v>1.3792828276795399E-2</v>
      </c>
      <c r="S148" s="151">
        <f>S114/G114-1</f>
        <v>-7.0580169026154826E-2</v>
      </c>
      <c r="T148" s="152">
        <f t="shared" ref="T148" si="338">T114/H114-1</f>
        <v>9.1595815410319137E-3</v>
      </c>
      <c r="U148" s="152">
        <f t="shared" ref="U148" si="339">U114/I114-1</f>
        <v>-9.7985318356537898E-2</v>
      </c>
      <c r="V148" s="152">
        <f t="shared" ref="V148" si="340">V114/J114-1</f>
        <v>-3.4261448841224063E-3</v>
      </c>
      <c r="W148" s="152">
        <f t="shared" ref="W148" si="341">W114/K114-1</f>
        <v>-4.3638658783661244E-2</v>
      </c>
      <c r="X148" s="152">
        <f t="shared" ref="X148" si="342">X114/L114-1</f>
        <v>-7.4967484538206453E-2</v>
      </c>
      <c r="Y148" s="152">
        <f t="shared" ref="Y148" si="343">Y114/M114-1</f>
        <v>-0.11036709809600886</v>
      </c>
      <c r="Z148" s="152">
        <f t="shared" ref="Z148" si="344">Z114/N114-1</f>
        <v>-0.1082754652381015</v>
      </c>
      <c r="AA148" s="152">
        <f t="shared" ref="AA148" si="345">AA114/O114-1</f>
        <v>-0.10936226105821589</v>
      </c>
      <c r="AB148" s="152">
        <f t="shared" ref="AB148" si="346">AB114/P114-1</f>
        <v>7.4140212332174382E-3</v>
      </c>
      <c r="AC148" s="152">
        <f t="shared" ref="AC148" si="347">AC114/Q114-1</f>
        <v>8.2636252870499138E-2</v>
      </c>
      <c r="AD148" s="153">
        <f t="shared" ref="AD148" si="348">AD114/R114-1</f>
        <v>3.1874519628317222E-2</v>
      </c>
      <c r="AF148" s="43"/>
      <c r="AG148" s="177">
        <f>AG114/AF114-1</f>
        <v>-7.6016748456017247E-2</v>
      </c>
      <c r="AH148" s="225">
        <f>AH114/AG114-1</f>
        <v>-8.2918052755751592E-3</v>
      </c>
    </row>
    <row r="149" spans="2:35" s="24" customFormat="1" ht="6" customHeight="1" x14ac:dyDescent="0.2">
      <c r="D149" s="9" t="s">
        <v>56</v>
      </c>
      <c r="E149" s="49"/>
      <c r="G149" s="28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29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29"/>
      <c r="AE149" s="25"/>
      <c r="AF149" s="28"/>
      <c r="AG149" s="30"/>
      <c r="AH149" s="226"/>
    </row>
    <row r="150" spans="2:35" s="24" customFormat="1" ht="6" customHeight="1" x14ac:dyDescent="0.2">
      <c r="D150" s="9" t="s">
        <v>56</v>
      </c>
      <c r="E150" s="49"/>
    </row>
    <row r="151" spans="2:35" x14ac:dyDescent="0.2">
      <c r="D151" s="9" t="s">
        <v>56</v>
      </c>
      <c r="F151" s="16"/>
    </row>
    <row r="152" spans="2:35" ht="15.75" thickBot="1" x14ac:dyDescent="0.4">
      <c r="B152" s="35" t="s">
        <v>52</v>
      </c>
      <c r="C152" s="35"/>
      <c r="D152" s="9" t="s">
        <v>56</v>
      </c>
      <c r="E152" s="48" t="s">
        <v>0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228"/>
      <c r="AD152" s="1"/>
      <c r="AE152" s="1"/>
      <c r="AF152" s="1"/>
      <c r="AG152" s="174"/>
      <c r="AH152" s="3">
        <f ca="1">TODAY()</f>
        <v>45999</v>
      </c>
      <c r="AI152" s="1"/>
    </row>
    <row r="153" spans="2:35" x14ac:dyDescent="0.2">
      <c r="B153" s="9">
        <f>G155</f>
        <v>4</v>
      </c>
      <c r="C153" s="9"/>
      <c r="D153" s="9" t="s">
        <v>56</v>
      </c>
      <c r="F153" t="s">
        <v>159</v>
      </c>
      <c r="AG153" s="6"/>
      <c r="AH153" s="6" t="s">
        <v>16</v>
      </c>
    </row>
    <row r="154" spans="2:35" x14ac:dyDescent="0.2">
      <c r="B154" s="9"/>
      <c r="C154" s="9"/>
      <c r="D154" s="9" t="s">
        <v>56</v>
      </c>
      <c r="AG154" s="6"/>
      <c r="AH154" s="6"/>
    </row>
    <row r="155" spans="2:35" x14ac:dyDescent="0.2">
      <c r="B155" s="9">
        <f>G155</f>
        <v>4</v>
      </c>
      <c r="C155" s="9"/>
      <c r="D155" s="9" t="s">
        <v>56</v>
      </c>
      <c r="F155" s="40" t="s">
        <v>53</v>
      </c>
      <c r="G155" s="42">
        <v>4</v>
      </c>
    </row>
    <row r="156" spans="2:35" x14ac:dyDescent="0.2">
      <c r="B156" s="9">
        <f>G155</f>
        <v>4</v>
      </c>
      <c r="C156" s="9"/>
      <c r="D156" s="9" t="s">
        <v>56</v>
      </c>
      <c r="F156" s="39" t="s">
        <v>21</v>
      </c>
      <c r="G156" s="41"/>
      <c r="H156" s="11"/>
    </row>
    <row r="157" spans="2:35" x14ac:dyDescent="0.2">
      <c r="B157" s="9">
        <f>G155</f>
        <v>4</v>
      </c>
      <c r="C157" s="9"/>
      <c r="D157" s="9" t="s">
        <v>56</v>
      </c>
      <c r="G157" s="23"/>
    </row>
    <row r="158" spans="2:35" x14ac:dyDescent="0.2">
      <c r="B158" s="9">
        <f>G155</f>
        <v>4</v>
      </c>
      <c r="C158" s="9"/>
      <c r="D158" s="9" t="s">
        <v>56</v>
      </c>
      <c r="G158" s="208" t="s">
        <v>229</v>
      </c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10"/>
      <c r="S158" s="266" t="s">
        <v>230</v>
      </c>
      <c r="T158" s="267"/>
      <c r="U158" s="267"/>
      <c r="V158" s="267"/>
      <c r="W158" s="267"/>
      <c r="X158" s="267"/>
      <c r="Y158" s="267"/>
      <c r="Z158" s="267"/>
      <c r="AA158" s="267"/>
      <c r="AB158" s="267"/>
      <c r="AC158" s="267"/>
      <c r="AD158" s="268"/>
      <c r="AF158" s="17" t="s">
        <v>231</v>
      </c>
      <c r="AG158" s="50"/>
      <c r="AH158" s="269" t="s">
        <v>232</v>
      </c>
    </row>
    <row r="159" spans="2:35" ht="15" customHeight="1" x14ac:dyDescent="0.35">
      <c r="B159" s="9">
        <f>G155</f>
        <v>4</v>
      </c>
      <c r="C159" s="9"/>
      <c r="D159" s="9" t="s">
        <v>56</v>
      </c>
      <c r="G159" s="211">
        <v>44957</v>
      </c>
      <c r="H159" s="212">
        <f>EOMONTH(G159,1)</f>
        <v>44985</v>
      </c>
      <c r="I159" s="212">
        <f t="shared" ref="I159" si="349">EOMONTH(H159,1)</f>
        <v>45016</v>
      </c>
      <c r="J159" s="212">
        <f t="shared" ref="J159" si="350">EOMONTH(I159,1)</f>
        <v>45046</v>
      </c>
      <c r="K159" s="212">
        <f t="shared" ref="K159" si="351">EOMONTH(J159,1)</f>
        <v>45077</v>
      </c>
      <c r="L159" s="212">
        <f t="shared" ref="L159" si="352">EOMONTH(K159,1)</f>
        <v>45107</v>
      </c>
      <c r="M159" s="212">
        <f t="shared" ref="M159" si="353">EOMONTH(L159,1)</f>
        <v>45138</v>
      </c>
      <c r="N159" s="212">
        <f t="shared" ref="N159" si="354">EOMONTH(M159,1)</f>
        <v>45169</v>
      </c>
      <c r="O159" s="212">
        <f t="shared" ref="O159" si="355">EOMONTH(N159,1)</f>
        <v>45199</v>
      </c>
      <c r="P159" s="212">
        <f t="shared" ref="P159" si="356">EOMONTH(O159,1)</f>
        <v>45230</v>
      </c>
      <c r="Q159" s="212">
        <f t="shared" ref="Q159" si="357">EOMONTH(P159,1)</f>
        <v>45260</v>
      </c>
      <c r="R159" s="213">
        <f t="shared" ref="R159" si="358">EOMONTH(Q159,1)</f>
        <v>45291</v>
      </c>
      <c r="S159" s="4">
        <f t="shared" ref="S159" si="359">EOMONTH(R159,1)</f>
        <v>45322</v>
      </c>
      <c r="T159" s="19">
        <f t="shared" ref="T159" si="360">EOMONTH(S159,1)</f>
        <v>45351</v>
      </c>
      <c r="U159" s="19">
        <f t="shared" ref="U159" si="361">EOMONTH(T159,1)</f>
        <v>45382</v>
      </c>
      <c r="V159" s="19">
        <f t="shared" ref="V159" si="362">EOMONTH(U159,1)</f>
        <v>45412</v>
      </c>
      <c r="W159" s="19">
        <f t="shared" ref="W159" si="363">EOMONTH(V159,1)</f>
        <v>45443</v>
      </c>
      <c r="X159" s="19">
        <f t="shared" ref="X159" si="364">EOMONTH(W159,1)</f>
        <v>45473</v>
      </c>
      <c r="Y159" s="19">
        <f t="shared" ref="Y159" si="365">EOMONTH(X159,1)</f>
        <v>45504</v>
      </c>
      <c r="Z159" s="19">
        <f t="shared" ref="Z159" si="366">EOMONTH(Y159,1)</f>
        <v>45535</v>
      </c>
      <c r="AA159" s="19">
        <f t="shared" ref="AA159" si="367">EOMONTH(Z159,1)</f>
        <v>45565</v>
      </c>
      <c r="AB159" s="19">
        <f t="shared" ref="AB159" si="368">EOMONTH(AA159,1)</f>
        <v>45596</v>
      </c>
      <c r="AC159" s="19">
        <f t="shared" ref="AC159" si="369">EOMONTH(AB159,1)</f>
        <v>45626</v>
      </c>
      <c r="AD159" s="5">
        <f t="shared" ref="AD159" si="370">EOMONTH(AC159,1)</f>
        <v>45657</v>
      </c>
      <c r="AE159" s="168"/>
      <c r="AF159" s="13">
        <v>45291</v>
      </c>
      <c r="AG159" s="14">
        <v>45657</v>
      </c>
      <c r="AH159" s="14">
        <v>46022</v>
      </c>
    </row>
    <row r="160" spans="2:35" ht="0.95" customHeight="1" x14ac:dyDescent="0.2">
      <c r="B160" s="9">
        <f>G155</f>
        <v>4</v>
      </c>
      <c r="C160" s="9"/>
      <c r="D160" s="9" t="s">
        <v>56</v>
      </c>
      <c r="G160" s="11"/>
      <c r="S160" s="11"/>
      <c r="AD160" s="15"/>
      <c r="AE160" s="15"/>
      <c r="AF160" s="11"/>
      <c r="AG160" s="15"/>
      <c r="AH160" s="15"/>
    </row>
    <row r="161" spans="2:34" x14ac:dyDescent="0.2">
      <c r="B161" s="9">
        <f>G155</f>
        <v>4</v>
      </c>
      <c r="C161" s="9" t="str">
        <f>B161&amp;" - "&amp;F161</f>
        <v>4 - Employed Vets</v>
      </c>
      <c r="D161" s="9" t="s">
        <v>56</v>
      </c>
      <c r="F161" s="7" t="s">
        <v>160</v>
      </c>
      <c r="G161" s="178">
        <f>_xlfn.XLOOKUP($C161,'Site Level Financials - ''23 ''24'!$C$2:$C$1577,'Site Level Financials - ''23 ''24'!S$2:S$1577)</f>
        <v>4</v>
      </c>
      <c r="H161" s="179">
        <f>_xlfn.XLOOKUP($C161,'Site Level Financials - ''23 ''24'!$C$2:$C$1577,'Site Level Financials - ''23 ''24'!T$2:T$1577)</f>
        <v>4</v>
      </c>
      <c r="I161" s="179">
        <f>_xlfn.XLOOKUP($C161,'Site Level Financials - ''23 ''24'!$C$2:$C$1577,'Site Level Financials - ''23 ''24'!U$2:U$1577)</f>
        <v>4</v>
      </c>
      <c r="J161" s="179">
        <f>_xlfn.XLOOKUP($C161,'Site Level Financials - ''23 ''24'!$C$2:$C$1577,'Site Level Financials - ''23 ''24'!V$2:V$1577)</f>
        <v>3</v>
      </c>
      <c r="K161" s="179">
        <f>_xlfn.XLOOKUP($C161,'Site Level Financials - ''23 ''24'!$C$2:$C$1577,'Site Level Financials - ''23 ''24'!W$2:W$1577)</f>
        <v>3</v>
      </c>
      <c r="L161" s="179">
        <f>_xlfn.XLOOKUP($C161,'Site Level Financials - ''23 ''24'!$C$2:$C$1577,'Site Level Financials - ''23 ''24'!X$2:X$1577)</f>
        <v>3</v>
      </c>
      <c r="M161" s="179">
        <f>_xlfn.XLOOKUP($C161,'Site Level Financials - ''23 ''24'!$C$2:$C$1577,'Site Level Financials - ''23 ''24'!Y$2:Y$1577)</f>
        <v>4</v>
      </c>
      <c r="N161" s="179">
        <f>_xlfn.XLOOKUP($C161,'Site Level Financials - ''23 ''24'!$C$2:$C$1577,'Site Level Financials - ''23 ''24'!Z$2:Z$1577)</f>
        <v>5</v>
      </c>
      <c r="O161" s="179">
        <f>_xlfn.XLOOKUP($C161,'Site Level Financials - ''23 ''24'!$C$2:$C$1577,'Site Level Financials - ''23 ''24'!AA$2:AA$1577)</f>
        <v>5</v>
      </c>
      <c r="P161" s="179">
        <f>_xlfn.XLOOKUP($C161,'Site Level Financials - ''23 ''24'!$C$2:$C$1577,'Site Level Financials - ''23 ''24'!AB$2:AB$1577)</f>
        <v>5</v>
      </c>
      <c r="Q161" s="179">
        <f>_xlfn.XLOOKUP($C161,'Site Level Financials - ''23 ''24'!$C$2:$C$1577,'Site Level Financials - ''23 ''24'!AC$2:AC$1577)</f>
        <v>5</v>
      </c>
      <c r="R161" s="179">
        <f>_xlfn.XLOOKUP($C161,'Site Level Financials - ''23 ''24'!$C$2:$C$1577,'Site Level Financials - ''23 ''24'!AD$2:AD$1577)</f>
        <v>5</v>
      </c>
      <c r="S161" s="178">
        <f>R161+_xlfn.XLOOKUP($R161,'Budget Assumption Driver'!$A$7:$A$11,'Budget Assumption Driver'!E$7:E$11)</f>
        <v>5</v>
      </c>
      <c r="T161" s="179">
        <f>S161+_xlfn.XLOOKUP($R161,'Budget Assumption Driver'!$A$7:$A$11,'Budget Assumption Driver'!F$7:F$11)</f>
        <v>5</v>
      </c>
      <c r="U161" s="179">
        <f>T161+_xlfn.XLOOKUP($R161,'Budget Assumption Driver'!$A$7:$A$11,'Budget Assumption Driver'!G$7:G$11)</f>
        <v>5</v>
      </c>
      <c r="V161" s="179">
        <f>U161+_xlfn.XLOOKUP($R161,'Budget Assumption Driver'!$A$7:$A$11,'Budget Assumption Driver'!H$7:H$11)</f>
        <v>5</v>
      </c>
      <c r="W161" s="179">
        <f>V161+_xlfn.XLOOKUP($R161,'Budget Assumption Driver'!$A$7:$A$11,'Budget Assumption Driver'!I$7:I$11)</f>
        <v>5</v>
      </c>
      <c r="X161" s="179">
        <f>W161+_xlfn.XLOOKUP($R161,'Budget Assumption Driver'!$A$7:$A$11,'Budget Assumption Driver'!J$7:J$11)</f>
        <v>5</v>
      </c>
      <c r="Y161" s="179">
        <f>X161+_xlfn.XLOOKUP($R161,'Budget Assumption Driver'!$A$7:$A$11,'Budget Assumption Driver'!K$7:K$11)</f>
        <v>5</v>
      </c>
      <c r="Z161" s="179">
        <f>Y161+_xlfn.XLOOKUP($R161,'Budget Assumption Driver'!$A$7:$A$11,'Budget Assumption Driver'!L$7:L$11)</f>
        <v>5</v>
      </c>
      <c r="AA161" s="179">
        <f>Z161+_xlfn.XLOOKUP($R161,'Budget Assumption Driver'!$A$7:$A$11,'Budget Assumption Driver'!M$7:M$11)</f>
        <v>5</v>
      </c>
      <c r="AB161" s="179">
        <f>AA161+_xlfn.XLOOKUP($R161,'Budget Assumption Driver'!$A$7:$A$11,'Budget Assumption Driver'!N$7:N$11)</f>
        <v>5</v>
      </c>
      <c r="AC161" s="179">
        <f>AB161+_xlfn.XLOOKUP($R161,'Budget Assumption Driver'!$A$7:$A$11,'Budget Assumption Driver'!O$7:O$11)</f>
        <v>5</v>
      </c>
      <c r="AD161" s="290">
        <f>AC161+_xlfn.XLOOKUP($R161,'Budget Assumption Driver'!$A$7:$A$11,'Budget Assumption Driver'!P$7:P$11)</f>
        <v>5</v>
      </c>
      <c r="AE161" s="15"/>
      <c r="AF161" s="229">
        <f>_xlfn.XLOOKUP($C161,'Site Level Financials - ''23 ''24'!$C$2:$C$1577,'Site Level Financials - ''23 ''24'!$AF$2:$AF$1577)</f>
        <v>2.1666666666666665</v>
      </c>
      <c r="AG161" s="91">
        <f t="shared" ref="AG161:AH161" si="371">AG163/AG162</f>
        <v>4.1672862453531598</v>
      </c>
      <c r="AH161" s="91">
        <f t="shared" si="371"/>
        <v>5</v>
      </c>
    </row>
    <row r="162" spans="2:34" x14ac:dyDescent="0.2">
      <c r="B162" s="9">
        <f>G155</f>
        <v>4</v>
      </c>
      <c r="C162" s="9" t="str">
        <f t="shared" ref="C162:C198" si="372">B162&amp;" - "&amp;F162</f>
        <v>4 - Workdays in Month / Year</v>
      </c>
      <c r="D162" s="9" t="s">
        <v>56</v>
      </c>
      <c r="F162" s="7" t="s">
        <v>54</v>
      </c>
      <c r="G162" s="178">
        <f>_xlfn.XLOOKUP($C162,'Site Level Financials - ''23 ''24'!$C$2:$C$1577,'Site Level Financials - ''23 ''24'!S$2:S$1577)</f>
        <v>23</v>
      </c>
      <c r="H162" s="235">
        <f>_xlfn.XLOOKUP($C162,'Site Level Financials - ''23 ''24'!$C$2:$C$1577,'Site Level Financials - ''23 ''24'!T$2:T$1577)</f>
        <v>22</v>
      </c>
      <c r="I162" s="235">
        <f>_xlfn.XLOOKUP($C162,'Site Level Financials - ''23 ''24'!$C$2:$C$1577,'Site Level Financials - ''23 ''24'!U$2:U$1577)</f>
        <v>22</v>
      </c>
      <c r="J162" s="179">
        <f>_xlfn.XLOOKUP($C162,'Site Level Financials - ''23 ''24'!$C$2:$C$1577,'Site Level Financials - ''23 ''24'!V$2:V$1577)</f>
        <v>22</v>
      </c>
      <c r="K162" s="179">
        <f>_xlfn.XLOOKUP($C162,'Site Level Financials - ''23 ''24'!$C$2:$C$1577,'Site Level Financials - ''23 ''24'!W$2:W$1577)</f>
        <v>24</v>
      </c>
      <c r="L162" s="179">
        <f>_xlfn.XLOOKUP($C162,'Site Level Financials - ''23 ''24'!$C$2:$C$1577,'Site Level Financials - ''23 ''24'!X$2:X$1577)</f>
        <v>21</v>
      </c>
      <c r="M162" s="179">
        <f>_xlfn.XLOOKUP($C162,'Site Level Financials - ''23 ''24'!$C$2:$C$1577,'Site Level Financials - ''23 ''24'!Y$2:Y$1577)</f>
        <v>23</v>
      </c>
      <c r="N162" s="179">
        <f>_xlfn.XLOOKUP($C162,'Site Level Financials - ''23 ''24'!$C$2:$C$1577,'Site Level Financials - ''23 ''24'!Z$2:Z$1577)</f>
        <v>23</v>
      </c>
      <c r="O162" s="179">
        <f>_xlfn.XLOOKUP($C162,'Site Level Financials - ''23 ''24'!$C$2:$C$1577,'Site Level Financials - ''23 ''24'!AA$2:AA$1577)</f>
        <v>21</v>
      </c>
      <c r="P162" s="179">
        <f>_xlfn.XLOOKUP($C162,'Site Level Financials - ''23 ''24'!$C$2:$C$1577,'Site Level Financials - ''23 ''24'!AB$2:AB$1577)</f>
        <v>24</v>
      </c>
      <c r="Q162" s="179">
        <f>_xlfn.XLOOKUP($C162,'Site Level Financials - ''23 ''24'!$C$2:$C$1577,'Site Level Financials - ''23 ''24'!AC$2:AC$1577)</f>
        <v>22</v>
      </c>
      <c r="R162" s="179">
        <f>_xlfn.XLOOKUP($C162,'Site Level Financials - ''23 ''24'!$C$2:$C$1577,'Site Level Financials - ''23 ''24'!AD$2:AD$1577)</f>
        <v>22</v>
      </c>
      <c r="S162" s="155">
        <f>NETWORKDAYS(R159,S159)</f>
        <v>23</v>
      </c>
      <c r="T162" s="154">
        <f t="shared" ref="T162:AD162" si="373">NETWORKDAYS(S159,T159)</f>
        <v>22</v>
      </c>
      <c r="U162" s="154">
        <f t="shared" si="373"/>
        <v>22</v>
      </c>
      <c r="V162" s="154">
        <f t="shared" si="373"/>
        <v>22</v>
      </c>
      <c r="W162" s="154">
        <f t="shared" si="373"/>
        <v>24</v>
      </c>
      <c r="X162" s="154">
        <f t="shared" si="373"/>
        <v>21</v>
      </c>
      <c r="Y162" s="154">
        <f t="shared" si="373"/>
        <v>23</v>
      </c>
      <c r="Z162" s="154">
        <f t="shared" si="373"/>
        <v>23</v>
      </c>
      <c r="AA162" s="154">
        <f t="shared" si="373"/>
        <v>21</v>
      </c>
      <c r="AB162" s="154">
        <f t="shared" si="373"/>
        <v>24</v>
      </c>
      <c r="AC162" s="154">
        <f t="shared" si="373"/>
        <v>22</v>
      </c>
      <c r="AD162" s="156">
        <f t="shared" si="373"/>
        <v>22</v>
      </c>
      <c r="AE162" s="15"/>
      <c r="AF162" s="115">
        <f>_xlfn.XLOOKUP($C162,'Site Level Financials - ''23 ''24'!$C$2:$C$1577,'Site Level Financials - ''23 ''24'!$AF$2:$AF$1577)</f>
        <v>269</v>
      </c>
      <c r="AG162" s="93">
        <f>SUM(G162:R162)</f>
        <v>269</v>
      </c>
      <c r="AH162" s="93">
        <f>SUM(S162:AD162)</f>
        <v>269</v>
      </c>
    </row>
    <row r="163" spans="2:34" ht="12.75" customHeight="1" x14ac:dyDescent="0.2">
      <c r="B163" s="9">
        <f>G155</f>
        <v>4</v>
      </c>
      <c r="C163" s="9" t="str">
        <f t="shared" si="372"/>
        <v>4 - Total Vet Days</v>
      </c>
      <c r="D163" s="9" t="s">
        <v>56</v>
      </c>
      <c r="F163" s="8" t="s">
        <v>51</v>
      </c>
      <c r="G163" s="236">
        <f>_xlfn.XLOOKUP($C163,'Site Level Financials - ''23 ''24'!$C$2:$C$1577,'Site Level Financials - ''23 ''24'!S$2:S$1577)</f>
        <v>92</v>
      </c>
      <c r="H163" s="237">
        <f>_xlfn.XLOOKUP($C163,'Site Level Financials - ''23 ''24'!$C$2:$C$1577,'Site Level Financials - ''23 ''24'!T$2:T$1577)</f>
        <v>88</v>
      </c>
      <c r="I163" s="237">
        <f>_xlfn.XLOOKUP($C163,'Site Level Financials - ''23 ''24'!$C$2:$C$1577,'Site Level Financials - ''23 ''24'!U$2:U$1577)</f>
        <v>88</v>
      </c>
      <c r="J163" s="238">
        <f>_xlfn.XLOOKUP($C163,'Site Level Financials - ''23 ''24'!$C$2:$C$1577,'Site Level Financials - ''23 ''24'!V$2:V$1577)</f>
        <v>66</v>
      </c>
      <c r="K163" s="238">
        <f>_xlfn.XLOOKUP($C163,'Site Level Financials - ''23 ''24'!$C$2:$C$1577,'Site Level Financials - ''23 ''24'!W$2:W$1577)</f>
        <v>72</v>
      </c>
      <c r="L163" s="238">
        <f>_xlfn.XLOOKUP($C163,'Site Level Financials - ''23 ''24'!$C$2:$C$1577,'Site Level Financials - ''23 ''24'!X$2:X$1577)</f>
        <v>63</v>
      </c>
      <c r="M163" s="238">
        <f>_xlfn.XLOOKUP($C163,'Site Level Financials - ''23 ''24'!$C$2:$C$1577,'Site Level Financials - ''23 ''24'!Y$2:Y$1577)</f>
        <v>92</v>
      </c>
      <c r="N163" s="238">
        <f>_xlfn.XLOOKUP($C163,'Site Level Financials - ''23 ''24'!$C$2:$C$1577,'Site Level Financials - ''23 ''24'!Z$2:Z$1577)</f>
        <v>115</v>
      </c>
      <c r="O163" s="238">
        <f>_xlfn.XLOOKUP($C163,'Site Level Financials - ''23 ''24'!$C$2:$C$1577,'Site Level Financials - ''23 ''24'!AA$2:AA$1577)</f>
        <v>105</v>
      </c>
      <c r="P163" s="238">
        <f>_xlfn.XLOOKUP($C163,'Site Level Financials - ''23 ''24'!$C$2:$C$1577,'Site Level Financials - ''23 ''24'!AB$2:AB$1577)</f>
        <v>120</v>
      </c>
      <c r="Q163" s="238">
        <f>_xlfn.XLOOKUP($C163,'Site Level Financials - ''23 ''24'!$C$2:$C$1577,'Site Level Financials - ''23 ''24'!AC$2:AC$1577)</f>
        <v>110</v>
      </c>
      <c r="R163" s="238">
        <f>_xlfn.XLOOKUP($C163,'Site Level Financials - ''23 ''24'!$C$2:$C$1577,'Site Level Financials - ''23 ''24'!AD$2:AD$1577)</f>
        <v>110</v>
      </c>
      <c r="S163" s="125">
        <f t="shared" ref="S163:AD163" si="374">S161*S162</f>
        <v>115</v>
      </c>
      <c r="T163" s="127">
        <f t="shared" si="374"/>
        <v>110</v>
      </c>
      <c r="U163" s="127">
        <f t="shared" si="374"/>
        <v>110</v>
      </c>
      <c r="V163" s="127">
        <f t="shared" si="374"/>
        <v>110</v>
      </c>
      <c r="W163" s="127">
        <f t="shared" si="374"/>
        <v>120</v>
      </c>
      <c r="X163" s="127">
        <f t="shared" si="374"/>
        <v>105</v>
      </c>
      <c r="Y163" s="127">
        <f t="shared" si="374"/>
        <v>115</v>
      </c>
      <c r="Z163" s="127">
        <f t="shared" si="374"/>
        <v>115</v>
      </c>
      <c r="AA163" s="127">
        <f t="shared" si="374"/>
        <v>105</v>
      </c>
      <c r="AB163" s="127">
        <f t="shared" si="374"/>
        <v>120</v>
      </c>
      <c r="AC163" s="127">
        <f t="shared" si="374"/>
        <v>110</v>
      </c>
      <c r="AD163" s="128">
        <f t="shared" si="374"/>
        <v>110</v>
      </c>
      <c r="AF163" s="112">
        <f>_xlfn.XLOOKUP($C163,'Site Level Financials - ''23 ''24'!$C$2:$C$1577,'Site Level Financials - ''23 ''24'!$AF$2:$AF$1577)</f>
        <v>584</v>
      </c>
      <c r="AG163" s="120">
        <f>SUM(G163:R163)</f>
        <v>1121</v>
      </c>
      <c r="AH163" s="120">
        <f t="shared" ref="AH163" si="375">SUM(S163:AD163)</f>
        <v>1345</v>
      </c>
    </row>
    <row r="164" spans="2:34" x14ac:dyDescent="0.2">
      <c r="B164" s="9">
        <f>G155</f>
        <v>4</v>
      </c>
      <c r="C164" s="9" t="str">
        <f t="shared" si="372"/>
        <v>4 - Production per Vet Workday</v>
      </c>
      <c r="D164" s="9" t="s">
        <v>56</v>
      </c>
      <c r="F164" s="7" t="s">
        <v>50</v>
      </c>
      <c r="G164" s="239">
        <f>_xlfn.XLOOKUP($C164,'Site Level Financials - ''23 ''24'!$C$2:$C$1577,'Site Level Financials - ''23 ''24'!S$2:S$1577)</f>
        <v>7.3280326602899377</v>
      </c>
      <c r="H164" s="240">
        <f>_xlfn.XLOOKUP($C164,'Site Level Financials - ''23 ''24'!$C$2:$C$1577,'Site Level Financials - ''23 ''24'!T$2:T$1577)</f>
        <v>7.9968124240384499</v>
      </c>
      <c r="I164" s="240">
        <f>_xlfn.XLOOKUP($C164,'Site Level Financials - ''23 ''24'!$C$2:$C$1577,'Site Level Financials - ''23 ''24'!U$2:U$1577)</f>
        <v>8.1463960231361501</v>
      </c>
      <c r="J164" s="240">
        <f>_xlfn.XLOOKUP($C164,'Site Level Financials - ''23 ''24'!$C$2:$C$1577,'Site Level Financials - ''23 ''24'!V$2:V$1577)</f>
        <v>9.4155566166108731</v>
      </c>
      <c r="K164" s="240">
        <f>_xlfn.XLOOKUP($C164,'Site Level Financials - ''23 ''24'!$C$2:$C$1577,'Site Level Financials - ''23 ''24'!W$2:W$1577)</f>
        <v>9.5619598344169319</v>
      </c>
      <c r="L164" s="240">
        <f>_xlfn.XLOOKUP($C164,'Site Level Financials - ''23 ''24'!$C$2:$C$1577,'Site Level Financials - ''23 ''24'!X$2:X$1577)</f>
        <v>9.8551701263701652</v>
      </c>
      <c r="M164" s="240">
        <f>_xlfn.XLOOKUP($C164,'Site Level Financials - ''23 ''24'!$C$2:$C$1577,'Site Level Financials - ''23 ''24'!Y$2:Y$1577)</f>
        <v>8.1300863170774882</v>
      </c>
      <c r="N164" s="240">
        <f>_xlfn.XLOOKUP($C164,'Site Level Financials - ''23 ''24'!$C$2:$C$1577,'Site Level Financials - ''23 ''24'!Z$2:Z$1577)</f>
        <v>6.7630687830815859</v>
      </c>
      <c r="O164" s="240">
        <f>_xlfn.XLOOKUP($C164,'Site Level Financials - ''23 ''24'!$C$2:$C$1577,'Site Level Financials - ''23 ''24'!AA$2:AA$1577)</f>
        <v>6.8024769352725452</v>
      </c>
      <c r="P164" s="240">
        <f>_xlfn.XLOOKUP($C164,'Site Level Financials - ''23 ''24'!$C$2:$C$1577,'Site Level Financials - ''23 ''24'!AB$2:AB$1577)</f>
        <v>6.9086162536461071</v>
      </c>
      <c r="Q164" s="240">
        <f>_xlfn.XLOOKUP($C164,'Site Level Financials - ''23 ''24'!$C$2:$C$1577,'Site Level Financials - ''23 ''24'!AC$2:AC$1577)</f>
        <v>4.6492953750845336</v>
      </c>
      <c r="R164" s="240">
        <f>_xlfn.XLOOKUP($C164,'Site Level Financials - ''23 ''24'!$C$2:$C$1577,'Site Level Financials - ''23 ''24'!AD$2:AD$1577)</f>
        <v>4.3622337927933144</v>
      </c>
      <c r="S164" s="239">
        <f>R164*(1+_xlfn.XLOOKUP($R161,'Budget Assumption Driver'!$A$15:$A$19,'Budget Assumption Driver'!E$15:E$19))</f>
        <v>6.1717265348684744</v>
      </c>
      <c r="T164" s="240">
        <f>S164*(1+_xlfn.XLOOKUP($R161,'Budget Assumption Driver'!$A$15:$A$19,'Budget Assumption Driver'!F$15:F$19))</f>
        <v>6.6811780633279279</v>
      </c>
      <c r="U164" s="240">
        <f>T164*(1+_xlfn.XLOOKUP($R161,'Budget Assumption Driver'!$A$15:$A$19,'Budget Assumption Driver'!G$15:G$19))</f>
        <v>7.1741770761313619</v>
      </c>
      <c r="V164" s="240">
        <f>U164*(1+_xlfn.XLOOKUP($R161,'Budget Assumption Driver'!$A$15:$A$19,'Budget Assumption Driver'!H$15:H$19))</f>
        <v>7.6847025811673575</v>
      </c>
      <c r="W164" s="240">
        <f>V164*(1+_xlfn.XLOOKUP($R161,'Budget Assumption Driver'!$A$15:$A$19,'Budget Assumption Driver'!I$15:I$19))</f>
        <v>8.3722455886239668</v>
      </c>
      <c r="X164" s="240">
        <f>W164*(1+_xlfn.XLOOKUP($R161,'Budget Assumption Driver'!$A$15:$A$19,'Budget Assumption Driver'!J$15:J$19))</f>
        <v>8.0349516969356429</v>
      </c>
      <c r="Y164" s="240">
        <f>X164*(1+_xlfn.XLOOKUP($R161,'Budget Assumption Driver'!$A$15:$A$19,'Budget Assumption Driver'!K$15:K$19))</f>
        <v>7.3908211305750786</v>
      </c>
      <c r="Z164" s="240">
        <f>Y164*(1+_xlfn.XLOOKUP($R161,'Budget Assumption Driver'!$A$15:$A$19,'Budget Assumption Driver'!L$15:L$19))</f>
        <v>6.3375613533548201</v>
      </c>
      <c r="AA164" s="240">
        <f>Z164*(1+_xlfn.XLOOKUP($R161,'Budget Assumption Driver'!$A$15:$A$19,'Budget Assumption Driver'!M$15:M$19))</f>
        <v>6.3638929707118264</v>
      </c>
      <c r="AB164" s="240">
        <f>AA164*(1+_xlfn.XLOOKUP($R161,'Budget Assumption Driver'!$A$15:$A$19,'Budget Assumption Driver'!N$15:N$19))</f>
        <v>6.3952742719194946</v>
      </c>
      <c r="AC164" s="240">
        <f>AB164*(1+_xlfn.XLOOKUP($R161,'Budget Assumption Driver'!$A$15:$A$19,'Budget Assumption Driver'!O$15:O$19))</f>
        <v>5.5148354244928193</v>
      </c>
      <c r="AD164" s="291">
        <f>AC164*(1+_xlfn.XLOOKUP($R161,'Budget Assumption Driver'!$A$15:$A$19,'Budget Assumption Driver'!P$15:P$19))</f>
        <v>4.5012778994450144</v>
      </c>
      <c r="AE164" s="15"/>
      <c r="AF164" s="230">
        <f>_xlfn.XLOOKUP($C164,'Site Level Financials - ''23 ''24'!$C$2:$C$1577,'Site Level Financials - ''23 ''24'!$AF$2:$AF$1577)</f>
        <v>7.8243851458827685</v>
      </c>
      <c r="AG164" s="101">
        <f>AG165/AG163</f>
        <v>7.21304906259315</v>
      </c>
      <c r="AH164" s="101">
        <f>AH165/AH163</f>
        <v>6.7239200189086281</v>
      </c>
    </row>
    <row r="165" spans="2:34" x14ac:dyDescent="0.2">
      <c r="B165" s="9">
        <f>G155</f>
        <v>4</v>
      </c>
      <c r="C165" s="9" t="str">
        <f t="shared" si="372"/>
        <v>4 - Total Production</v>
      </c>
      <c r="D165" s="9" t="s">
        <v>56</v>
      </c>
      <c r="F165" s="8" t="s">
        <v>1</v>
      </c>
      <c r="G165" s="241">
        <f>_xlfn.XLOOKUP($C165,'Site Level Financials - ''23 ''24'!$C$2:$C$1577,'Site Level Financials - ''23 ''24'!S$2:S$1577)</f>
        <v>674.17900474667431</v>
      </c>
      <c r="H165" s="242">
        <f>_xlfn.XLOOKUP($C165,'Site Level Financials - ''23 ''24'!$C$2:$C$1577,'Site Level Financials - ''23 ''24'!T$2:T$1577)</f>
        <v>703.7194933153836</v>
      </c>
      <c r="I165" s="242">
        <f>_xlfn.XLOOKUP($C165,'Site Level Financials - ''23 ''24'!$C$2:$C$1577,'Site Level Financials - ''23 ''24'!U$2:U$1577)</f>
        <v>716.88285003598116</v>
      </c>
      <c r="J165" s="242">
        <f>_xlfn.XLOOKUP($C165,'Site Level Financials - ''23 ''24'!$C$2:$C$1577,'Site Level Financials - ''23 ''24'!V$2:V$1577)</f>
        <v>621.42673669631768</v>
      </c>
      <c r="K165" s="242">
        <f>_xlfn.XLOOKUP($C165,'Site Level Financials - ''23 ''24'!$C$2:$C$1577,'Site Level Financials - ''23 ''24'!W$2:W$1577)</f>
        <v>688.46110807801915</v>
      </c>
      <c r="L165" s="242">
        <f>_xlfn.XLOOKUP($C165,'Site Level Financials - ''23 ''24'!$C$2:$C$1577,'Site Level Financials - ''23 ''24'!X$2:X$1577)</f>
        <v>620.87571796132045</v>
      </c>
      <c r="M165" s="242">
        <f>_xlfn.XLOOKUP($C165,'Site Level Financials - ''23 ''24'!$C$2:$C$1577,'Site Level Financials - ''23 ''24'!Y$2:Y$1577)</f>
        <v>747.96794117112893</v>
      </c>
      <c r="N165" s="242">
        <f>_xlfn.XLOOKUP($C165,'Site Level Financials - ''23 ''24'!$C$2:$C$1577,'Site Level Financials - ''23 ''24'!Z$2:Z$1577)</f>
        <v>777.75291005438237</v>
      </c>
      <c r="O165" s="242">
        <f>_xlfn.XLOOKUP($C165,'Site Level Financials - ''23 ''24'!$C$2:$C$1577,'Site Level Financials - ''23 ''24'!AA$2:AA$1577)</f>
        <v>714.26007820361724</v>
      </c>
      <c r="P165" s="242">
        <f>_xlfn.XLOOKUP($C165,'Site Level Financials - ''23 ''24'!$C$2:$C$1577,'Site Level Financials - ''23 ''24'!AB$2:AB$1577)</f>
        <v>829.03395043753289</v>
      </c>
      <c r="Q165" s="242">
        <f>_xlfn.XLOOKUP($C165,'Site Level Financials - ''23 ''24'!$C$2:$C$1577,'Site Level Financials - ''23 ''24'!AC$2:AC$1577)</f>
        <v>511.42249125929868</v>
      </c>
      <c r="R165" s="242">
        <f>_xlfn.XLOOKUP($C165,'Site Level Financials - ''23 ''24'!$C$2:$C$1577,'Site Level Financials - ''23 ''24'!AD$2:AD$1577)</f>
        <v>479.84571720726456</v>
      </c>
      <c r="S165" s="134">
        <f t="shared" ref="S165:AD165" si="376">S164*S163</f>
        <v>709.74855150987457</v>
      </c>
      <c r="T165" s="135">
        <f t="shared" si="376"/>
        <v>734.92958696607207</v>
      </c>
      <c r="U165" s="135">
        <f t="shared" si="376"/>
        <v>789.1594783744498</v>
      </c>
      <c r="V165" s="135">
        <f t="shared" si="376"/>
        <v>845.31728392840932</v>
      </c>
      <c r="W165" s="135">
        <f t="shared" si="376"/>
        <v>1004.669470634876</v>
      </c>
      <c r="X165" s="135">
        <f t="shared" si="376"/>
        <v>843.66992817824246</v>
      </c>
      <c r="Y165" s="135">
        <f t="shared" si="376"/>
        <v>849.94443001613399</v>
      </c>
      <c r="Z165" s="135">
        <f t="shared" si="376"/>
        <v>728.81955563580436</v>
      </c>
      <c r="AA165" s="135">
        <f t="shared" si="376"/>
        <v>668.20876192474179</v>
      </c>
      <c r="AB165" s="135">
        <f t="shared" si="376"/>
        <v>767.43291263033939</v>
      </c>
      <c r="AC165" s="135">
        <f t="shared" si="376"/>
        <v>606.63189669421013</v>
      </c>
      <c r="AD165" s="136">
        <f t="shared" si="376"/>
        <v>495.14056893895156</v>
      </c>
      <c r="AE165" s="15"/>
      <c r="AF165" s="113">
        <f>_xlfn.XLOOKUP($C165,'Site Level Financials - ''23 ''24'!$C$2:$C$1577,'Site Level Financials - ''23 ''24'!$AF$2:$AF$1577)</f>
        <v>4143.7129631832813</v>
      </c>
      <c r="AG165" s="95">
        <f>SUM(G165:R165)</f>
        <v>8085.8279991669215</v>
      </c>
      <c r="AH165" s="95">
        <f t="shared" ref="AH165" si="377">SUM(S165:AD165)</f>
        <v>9043.6724254321052</v>
      </c>
    </row>
    <row r="166" spans="2:34" x14ac:dyDescent="0.2">
      <c r="B166" s="9">
        <f>G155</f>
        <v>4</v>
      </c>
      <c r="C166" s="9" t="str">
        <f t="shared" si="372"/>
        <v>4 - Revenue as a % of Production</v>
      </c>
      <c r="D166" s="9" t="s">
        <v>56</v>
      </c>
      <c r="F166" s="7" t="s">
        <v>2</v>
      </c>
      <c r="G166" s="243">
        <f>_xlfn.XLOOKUP($C166,'Site Level Financials - ''23 ''24'!$C$2:$C$1577,'Site Level Financials - ''23 ''24'!S$2:S$1577)</f>
        <v>0.98066922480493857</v>
      </c>
      <c r="H166" s="244">
        <f>_xlfn.XLOOKUP($C166,'Site Level Financials - ''23 ''24'!$C$2:$C$1577,'Site Level Financials - ''23 ''24'!T$2:T$1577)</f>
        <v>0.98066922480493857</v>
      </c>
      <c r="I166" s="244">
        <f>_xlfn.XLOOKUP($C166,'Site Level Financials - ''23 ''24'!$C$2:$C$1577,'Site Level Financials - ''23 ''24'!U$2:U$1577)</f>
        <v>0.98066922480493857</v>
      </c>
      <c r="J166" s="244">
        <f>_xlfn.XLOOKUP($C166,'Site Level Financials - ''23 ''24'!$C$2:$C$1577,'Site Level Financials - ''23 ''24'!V$2:V$1577)</f>
        <v>0.98066922480493857</v>
      </c>
      <c r="K166" s="244">
        <f>_xlfn.XLOOKUP($C166,'Site Level Financials - ''23 ''24'!$C$2:$C$1577,'Site Level Financials - ''23 ''24'!W$2:W$1577)</f>
        <v>0.98066922480493857</v>
      </c>
      <c r="L166" s="244">
        <f>_xlfn.XLOOKUP($C166,'Site Level Financials - ''23 ''24'!$C$2:$C$1577,'Site Level Financials - ''23 ''24'!X$2:X$1577)</f>
        <v>0.98066922480493857</v>
      </c>
      <c r="M166" s="244">
        <f>_xlfn.XLOOKUP($C166,'Site Level Financials - ''23 ''24'!$C$2:$C$1577,'Site Level Financials - ''23 ''24'!Y$2:Y$1577)</f>
        <v>0.98066922480493857</v>
      </c>
      <c r="N166" s="244">
        <f>_xlfn.XLOOKUP($C166,'Site Level Financials - ''23 ''24'!$C$2:$C$1577,'Site Level Financials - ''23 ''24'!Z$2:Z$1577)</f>
        <v>0.98066922480493857</v>
      </c>
      <c r="O166" s="244">
        <f>_xlfn.XLOOKUP($C166,'Site Level Financials - ''23 ''24'!$C$2:$C$1577,'Site Level Financials - ''23 ''24'!AA$2:AA$1577)</f>
        <v>0.98066922480493857</v>
      </c>
      <c r="P166" s="244">
        <f>_xlfn.XLOOKUP($C166,'Site Level Financials - ''23 ''24'!$C$2:$C$1577,'Site Level Financials - ''23 ''24'!AB$2:AB$1577)</f>
        <v>0.98066922480493857</v>
      </c>
      <c r="Q166" s="244">
        <f>_xlfn.XLOOKUP($C166,'Site Level Financials - ''23 ''24'!$C$2:$C$1577,'Site Level Financials - ''23 ''24'!AC$2:AC$1577)</f>
        <v>0.98066922480493857</v>
      </c>
      <c r="R166" s="244">
        <f>_xlfn.XLOOKUP($C166,'Site Level Financials - ''23 ''24'!$C$2:$C$1577,'Site Level Financials - ''23 ''24'!AD$2:AD$1577)</f>
        <v>0.98066922480493857</v>
      </c>
      <c r="S166" s="292">
        <f>SUM(G195:R195)/SUM(G165:R165)</f>
        <v>0.98183892830753328</v>
      </c>
      <c r="T166" s="203">
        <f>S166</f>
        <v>0.98183892830753328</v>
      </c>
      <c r="U166" s="203">
        <f t="shared" ref="U166:AD166" si="378">T166</f>
        <v>0.98183892830753328</v>
      </c>
      <c r="V166" s="203">
        <f t="shared" si="378"/>
        <v>0.98183892830753328</v>
      </c>
      <c r="W166" s="203">
        <f t="shared" si="378"/>
        <v>0.98183892830753328</v>
      </c>
      <c r="X166" s="203">
        <f t="shared" si="378"/>
        <v>0.98183892830753328</v>
      </c>
      <c r="Y166" s="203">
        <f t="shared" si="378"/>
        <v>0.98183892830753328</v>
      </c>
      <c r="Z166" s="203">
        <f t="shared" si="378"/>
        <v>0.98183892830753328</v>
      </c>
      <c r="AA166" s="203">
        <f t="shared" si="378"/>
        <v>0.98183892830753328</v>
      </c>
      <c r="AB166" s="203">
        <f t="shared" si="378"/>
        <v>0.98183892830753328</v>
      </c>
      <c r="AC166" s="203">
        <f t="shared" si="378"/>
        <v>0.98183892830753328</v>
      </c>
      <c r="AD166" s="204">
        <f t="shared" si="378"/>
        <v>0.98183892830753328</v>
      </c>
      <c r="AE166" s="15"/>
      <c r="AF166" s="231">
        <f>_xlfn.XLOOKUP($C166,'Site Level Financials - ''23 ''24'!$C$2:$C$1577,'Site Level Financials - ''23 ''24'!$AF$2:$AF$1577)</f>
        <v>0.98019463312892186</v>
      </c>
      <c r="AG166" s="103">
        <f>AG167/AG165</f>
        <v>0.98066922480493834</v>
      </c>
      <c r="AH166" s="103">
        <f>AH167/AH165</f>
        <v>0.98183892830753339</v>
      </c>
    </row>
    <row r="167" spans="2:34" x14ac:dyDescent="0.2">
      <c r="B167" s="9">
        <f>G155</f>
        <v>4</v>
      </c>
      <c r="C167" s="9" t="str">
        <f t="shared" si="372"/>
        <v>4 - Total Revenue</v>
      </c>
      <c r="D167" s="9" t="s">
        <v>56</v>
      </c>
      <c r="F167" s="8" t="s">
        <v>3</v>
      </c>
      <c r="G167" s="241">
        <f>_xlfn.XLOOKUP($C167,'Site Level Financials - ''23 ''24'!$C$2:$C$1577,'Site Level Financials - ''23 ''24'!S$2:S$1577)</f>
        <v>661.14660196468606</v>
      </c>
      <c r="H167" s="242">
        <f>_xlfn.XLOOKUP($C167,'Site Level Financials - ''23 ''24'!$C$2:$C$1577,'Site Level Financials - ''23 ''24'!T$2:T$1577)</f>
        <v>690.11604998972143</v>
      </c>
      <c r="I167" s="242">
        <f>_xlfn.XLOOKUP($C167,'Site Level Financials - ''23 ''24'!$C$2:$C$1577,'Site Level Financials - ''23 ''24'!U$2:U$1577)</f>
        <v>703.02494882074063</v>
      </c>
      <c r="J167" s="242">
        <f>_xlfn.XLOOKUP($C167,'Site Level Financials - ''23 ''24'!$C$2:$C$1577,'Site Level Financials - ''23 ''24'!V$2:V$1577)</f>
        <v>609.41407614904051</v>
      </c>
      <c r="K167" s="242">
        <f>_xlfn.XLOOKUP($C167,'Site Level Financials - ''23 ''24'!$C$2:$C$1577,'Site Level Financials - ''23 ''24'!W$2:W$1577)</f>
        <v>675.1526211672201</v>
      </c>
      <c r="L167" s="242">
        <f>_xlfn.XLOOKUP($C167,'Site Level Financials - ''23 ''24'!$C$2:$C$1577,'Site Level Financials - ''23 ''24'!X$2:X$1577)</f>
        <v>608.87370903333783</v>
      </c>
      <c r="M167" s="242">
        <f>_xlfn.XLOOKUP($C167,'Site Level Financials - ''23 ''24'!$C$2:$C$1577,'Site Level Financials - ''23 ''24'!Y$2:Y$1577)</f>
        <v>733.50914104723688</v>
      </c>
      <c r="N167" s="242">
        <f>_xlfn.XLOOKUP($C167,'Site Level Financials - ''23 ''24'!$C$2:$C$1577,'Site Level Financials - ''23 ''24'!Z$2:Z$1577)</f>
        <v>762.71834339281622</v>
      </c>
      <c r="O167" s="242">
        <f>_xlfn.XLOOKUP($C167,'Site Level Financials - ''23 ''24'!$C$2:$C$1577,'Site Level Financials - ''23 ''24'!AA$2:AA$1577)</f>
        <v>700.45287720105614</v>
      </c>
      <c r="P167" s="242">
        <f>_xlfn.XLOOKUP($C167,'Site Level Financials - ''23 ''24'!$C$2:$C$1577,'Site Level Financials - ''23 ''24'!AB$2:AB$1577)</f>
        <v>813.00808151255126</v>
      </c>
      <c r="Q167" s="242">
        <f>_xlfn.XLOOKUP($C167,'Site Level Financials - ''23 ''24'!$C$2:$C$1577,'Site Level Financials - ''23 ''24'!AC$2:AC$1577)</f>
        <v>501.53629805106692</v>
      </c>
      <c r="R167" s="242">
        <f>_xlfn.XLOOKUP($C167,'Site Level Financials - ''23 ''24'!$C$2:$C$1577,'Site Level Financials - ''23 ''24'!AD$2:AD$1577)</f>
        <v>470.56992751961792</v>
      </c>
      <c r="S167" s="134">
        <f t="shared" ref="S167:AD167" si="379">S166*S165</f>
        <v>696.85875718227931</v>
      </c>
      <c r="T167" s="135">
        <f t="shared" si="379"/>
        <v>721.58247804826624</v>
      </c>
      <c r="U167" s="135">
        <f t="shared" si="379"/>
        <v>774.82749651090182</v>
      </c>
      <c r="V167" s="135">
        <f t="shared" si="379"/>
        <v>829.96541613210422</v>
      </c>
      <c r="W167" s="135">
        <f t="shared" si="379"/>
        <v>986.42359635144339</v>
      </c>
      <c r="X167" s="135">
        <f t="shared" si="379"/>
        <v>828.34797812781915</v>
      </c>
      <c r="Y167" s="135">
        <f t="shared" si="379"/>
        <v>834.50852828799816</v>
      </c>
      <c r="Z167" s="135">
        <f t="shared" si="379"/>
        <v>715.58341143503083</v>
      </c>
      <c r="AA167" s="135">
        <f t="shared" si="379"/>
        <v>656.07337469389211</v>
      </c>
      <c r="AB167" s="135">
        <f t="shared" si="379"/>
        <v>753.49550848490128</v>
      </c>
      <c r="AC167" s="135">
        <f t="shared" si="379"/>
        <v>595.61481132740948</v>
      </c>
      <c r="AD167" s="136">
        <f t="shared" si="379"/>
        <v>486.14828556860249</v>
      </c>
      <c r="AE167" s="15"/>
      <c r="AF167" s="113">
        <f>_xlfn.XLOOKUP($C167,'Site Level Financials - ''23 ''24'!$C$2:$C$1577,'Site Level Financials - ''23 ''24'!$AF$2:$AF$1577)</f>
        <v>4061.6452077389936</v>
      </c>
      <c r="AG167" s="95">
        <f>SUM(G167:R167)</f>
        <v>7929.5226758490908</v>
      </c>
      <c r="AH167" s="95">
        <f t="shared" ref="AH167" si="380">SUM(S167:AD167)</f>
        <v>8879.4296421506497</v>
      </c>
    </row>
    <row r="168" spans="2:34" x14ac:dyDescent="0.2">
      <c r="B168" s="9">
        <f>G155</f>
        <v>4</v>
      </c>
      <c r="C168" s="9" t="str">
        <f t="shared" si="372"/>
        <v>4 - % YoY Revenue Growth</v>
      </c>
      <c r="D168" s="9" t="s">
        <v>56</v>
      </c>
      <c r="F168" s="16" t="s">
        <v>174</v>
      </c>
      <c r="G168" s="245">
        <f>_xlfn.XLOOKUP($C168,'Site Level Financials - ''23 ''24'!$C$2:$C$1577,'Site Level Financials - ''23 ''24'!S$2:S$1577)</f>
        <v>3.304283082157256</v>
      </c>
      <c r="H168" s="246">
        <f>_xlfn.XLOOKUP($C168,'Site Level Financials - ''23 ''24'!$C$2:$C$1577,'Site Level Financials - ''23 ''24'!T$2:T$1577)</f>
        <v>3.3084639989870324</v>
      </c>
      <c r="I168" s="246">
        <f>_xlfn.XLOOKUP($C168,'Site Level Financials - ''23 ''24'!$C$2:$C$1577,'Site Level Financials - ''23 ''24'!U$2:U$1577)</f>
        <v>2.5200389971330099</v>
      </c>
      <c r="J168" s="246">
        <f>_xlfn.XLOOKUP($C168,'Site Level Financials - ''23 ''24'!$C$2:$C$1577,'Site Level Financials - ''23 ''24'!V$2:V$1577)</f>
        <v>2.1998851780059883</v>
      </c>
      <c r="K168" s="246">
        <f>_xlfn.XLOOKUP($C168,'Site Level Financials - ''23 ''24'!$C$2:$C$1577,'Site Level Financials - ''23 ''24'!W$2:W$1577)</f>
        <v>1.9420943538952069</v>
      </c>
      <c r="L168" s="246">
        <f>_xlfn.XLOOKUP($C168,'Site Level Financials - ''23 ''24'!$C$2:$C$1577,'Site Level Financials - ''23 ''24'!X$2:X$1577)</f>
        <v>1.8092897758643183</v>
      </c>
      <c r="M168" s="246">
        <f>_xlfn.XLOOKUP($C168,'Site Level Financials - ''23 ''24'!$C$2:$C$1577,'Site Level Financials - ''23 ''24'!Y$2:Y$1577)</f>
        <v>1.0089979134341394</v>
      </c>
      <c r="N168" s="246">
        <f>_xlfn.XLOOKUP($C168,'Site Level Financials - ''23 ''24'!$C$2:$C$1577,'Site Level Financials - ''23 ''24'!Z$2:Z$1577)</f>
        <v>0.47168956707014531</v>
      </c>
      <c r="O168" s="246">
        <f>_xlfn.XLOOKUP($C168,'Site Level Financials - ''23 ''24'!$C$2:$C$1577,'Site Level Financials - ''23 ''24'!AA$2:AA$1577)</f>
        <v>0.48719642134898677</v>
      </c>
      <c r="P168" s="246">
        <f>_xlfn.XLOOKUP($C168,'Site Level Financials - ''23 ''24'!$C$2:$C$1577,'Site Level Financials - ''23 ''24'!AB$2:AB$1577)</f>
        <v>0.75124752664335848</v>
      </c>
      <c r="Q168" s="246">
        <f>_xlfn.XLOOKUP($C168,'Site Level Financials - ''23 ''24'!$C$2:$C$1577,'Site Level Financials - ''23 ''24'!AC$2:AC$1577)</f>
        <v>-8.0783759104502972E-2</v>
      </c>
      <c r="R168" s="246">
        <f>_xlfn.XLOOKUP($C168,'Site Level Financials - ''23 ''24'!$C$2:$C$1577,'Site Level Financials - ''23 ''24'!AD$2:AD$1577)</f>
        <v>-0.14013711664772099</v>
      </c>
      <c r="S168" s="148">
        <f>S167/G167-1</f>
        <v>5.4015486295278192E-2</v>
      </c>
      <c r="T168" s="149">
        <f t="shared" ref="T168" si="381">T167/H167-1</f>
        <v>4.5595850232744928E-2</v>
      </c>
      <c r="U168" s="149">
        <f t="shared" ref="U168" si="382">U167/I167-1</f>
        <v>0.10213371205474764</v>
      </c>
      <c r="V168" s="149">
        <f t="shared" ref="V168" si="383">V167/J167-1</f>
        <v>0.36190719678933858</v>
      </c>
      <c r="W168" s="149">
        <f t="shared" ref="W168" si="384">W167/K167-1</f>
        <v>0.46103794227457873</v>
      </c>
      <c r="X168" s="149">
        <f t="shared" ref="X168" si="385">X167/L167-1</f>
        <v>0.3604594283483249</v>
      </c>
      <c r="Y168" s="149">
        <f t="shared" ref="Y168" si="386">Y167/M167-1</f>
        <v>0.13769342682841512</v>
      </c>
      <c r="Z168" s="149">
        <f t="shared" ref="Z168" si="387">Z167/N167-1</f>
        <v>-6.1798608052500814E-2</v>
      </c>
      <c r="AA168" s="149">
        <f t="shared" ref="AA168" si="388">AA167/O167-1</f>
        <v>-6.3358298540367675E-2</v>
      </c>
      <c r="AB168" s="149">
        <f t="shared" ref="AB168" si="389">AB167/P167-1</f>
        <v>-7.3200469196973428E-2</v>
      </c>
      <c r="AC168" s="149">
        <f t="shared" ref="AC168" si="390">AC167/Q167-1</f>
        <v>0.18758066692665065</v>
      </c>
      <c r="AD168" s="150">
        <f t="shared" ref="AD168" si="391">AD167/R167-1</f>
        <v>3.3105298783325132E-2</v>
      </c>
      <c r="AE168" s="15"/>
      <c r="AF168" s="11"/>
      <c r="AG168" s="97">
        <f>AG167/AF167-1</f>
        <v>0.95229328764125087</v>
      </c>
      <c r="AH168" s="97">
        <f>AH167/AG167-1</f>
        <v>0.11979371333342503</v>
      </c>
    </row>
    <row r="169" spans="2:34" ht="6" customHeight="1" x14ac:dyDescent="0.2">
      <c r="B169" s="9">
        <f>G155</f>
        <v>4</v>
      </c>
      <c r="C169" s="9" t="str">
        <f t="shared" si="372"/>
        <v xml:space="preserve">4 - </v>
      </c>
      <c r="D169" s="9" t="s">
        <v>56</v>
      </c>
      <c r="G169" s="80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80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81"/>
      <c r="AE169" s="15"/>
      <c r="AF169" s="11"/>
      <c r="AG169" s="15"/>
      <c r="AH169" s="15"/>
    </row>
    <row r="170" spans="2:34" x14ac:dyDescent="0.2">
      <c r="B170" s="9">
        <f>G155</f>
        <v>4</v>
      </c>
      <c r="C170" s="9" t="str">
        <f t="shared" si="372"/>
        <v>4 - Doctor Compensation</v>
      </c>
      <c r="D170" s="9" t="s">
        <v>56</v>
      </c>
      <c r="F170" t="s">
        <v>4</v>
      </c>
      <c r="G170" s="178">
        <f>_xlfn.XLOOKUP($C170,'Site Level Financials - ''23 ''24'!$C$2:$C$1577,'Site Level Financials - ''23 ''24'!S$2:S$1577)</f>
        <v>-146.0056565112678</v>
      </c>
      <c r="H170" s="179">
        <f>_xlfn.XLOOKUP($C170,'Site Level Financials - ''23 ''24'!$C$2:$C$1577,'Site Level Financials - ''23 ''24'!T$2:T$1577)</f>
        <v>-149.35076706602433</v>
      </c>
      <c r="I170" s="179">
        <f>_xlfn.XLOOKUP($C170,'Site Level Financials - ''23 ''24'!$C$2:$C$1577,'Site Level Financials - ''23 ''24'!U$2:U$1577)</f>
        <v>-154.51758690945991</v>
      </c>
      <c r="J170" s="179">
        <f>_xlfn.XLOOKUP($C170,'Site Level Financials - ''23 ''24'!$C$2:$C$1577,'Site Level Financials - ''23 ''24'!V$2:V$1577)</f>
        <v>-174.9881843601521</v>
      </c>
      <c r="K170" s="179">
        <f>_xlfn.XLOOKUP($C170,'Site Level Financials - ''23 ''24'!$C$2:$C$1577,'Site Level Financials - ''23 ''24'!W$2:W$1577)</f>
        <v>-216.14271748625998</v>
      </c>
      <c r="L170" s="179">
        <f>_xlfn.XLOOKUP($C170,'Site Level Financials - ''23 ''24'!$C$2:$C$1577,'Site Level Financials - ''23 ''24'!X$2:X$1577)</f>
        <v>-176.16304616535788</v>
      </c>
      <c r="M170" s="179">
        <f>_xlfn.XLOOKUP($C170,'Site Level Financials - ''23 ''24'!$C$2:$C$1577,'Site Level Financials - ''23 ''24'!Y$2:Y$1577)</f>
        <v>-157.12860473509329</v>
      </c>
      <c r="N170" s="179">
        <f>_xlfn.XLOOKUP($C170,'Site Level Financials - ''23 ''24'!$C$2:$C$1577,'Site Level Financials - ''23 ''24'!Z$2:Z$1577)</f>
        <v>-133.31892227657744</v>
      </c>
      <c r="O170" s="179">
        <f>_xlfn.XLOOKUP($C170,'Site Level Financials - ''23 ''24'!$C$2:$C$1577,'Site Level Financials - ''23 ''24'!AA$2:AA$1577)</f>
        <v>-123.18423964469902</v>
      </c>
      <c r="P170" s="179">
        <f>_xlfn.XLOOKUP($C170,'Site Level Financials - ''23 ''24'!$C$2:$C$1577,'Site Level Financials - ''23 ''24'!AB$2:AB$1577)</f>
        <v>-140.45243040064082</v>
      </c>
      <c r="Q170" s="179">
        <f>_xlfn.XLOOKUP($C170,'Site Level Financials - ''23 ''24'!$C$2:$C$1577,'Site Level Financials - ''23 ''24'!AC$2:AC$1577)</f>
        <v>-87.3983285966724</v>
      </c>
      <c r="R170" s="179">
        <f>_xlfn.XLOOKUP($C170,'Site Level Financials - ''23 ''24'!$C$2:$C$1577,'Site Level Financials - ''23 ''24'!AD$2:AD$1577)</f>
        <v>-83.172579368919401</v>
      </c>
      <c r="S170" s="155">
        <f>S171*S167</f>
        <v>-153.89222304958528</v>
      </c>
      <c r="T170" s="154">
        <f t="shared" ref="T170" si="392">T171*T167</f>
        <v>-156.16054227331233</v>
      </c>
      <c r="U170" s="154">
        <f t="shared" ref="U170" si="393">U171*U167</f>
        <v>-170.29904163826512</v>
      </c>
      <c r="V170" s="154">
        <f t="shared" ref="V170" si="394">V171*V167</f>
        <v>-238.31766763319069</v>
      </c>
      <c r="W170" s="154">
        <f t="shared" ref="W170" si="395">W171*W167</f>
        <v>-315.79271119376085</v>
      </c>
      <c r="X170" s="154">
        <f t="shared" ref="X170" si="396">X171*X167</f>
        <v>-239.66267708222239</v>
      </c>
      <c r="Y170" s="154">
        <f t="shared" ref="Y170" si="397">Y171*Y167</f>
        <v>-178.76418077383579</v>
      </c>
      <c r="Z170" s="154">
        <f t="shared" ref="Z170" si="398">Z171*Z167</f>
        <v>-125.07999845282541</v>
      </c>
      <c r="AA170" s="154">
        <f t="shared" ref="AA170" si="399">AA171*AA167</f>
        <v>-115.37949581382199</v>
      </c>
      <c r="AB170" s="154">
        <f t="shared" ref="AB170" si="400">AB171*AB167</f>
        <v>-130.17124659545865</v>
      </c>
      <c r="AC170" s="154">
        <f t="shared" ref="AC170" si="401">AC171*AC167</f>
        <v>-103.79256536311077</v>
      </c>
      <c r="AD170" s="156">
        <f t="shared" ref="AD170" si="402">AD171*AD167</f>
        <v>-85.926032459507297</v>
      </c>
      <c r="AE170" s="15"/>
      <c r="AF170" s="115">
        <f>_xlfn.XLOOKUP($C170,'Site Level Financials - ''23 ''24'!$C$2:$C$1577,'Site Level Financials - ''23 ''24'!$AF$2:$AF$1577)</f>
        <v>-789.75498782006559</v>
      </c>
      <c r="AG170" s="93">
        <f>SUM(G170:R170)</f>
        <v>-1741.8230635211248</v>
      </c>
      <c r="AH170" s="93">
        <f t="shared" ref="AH170" si="403">SUM(S170:AD170)</f>
        <v>-2013.2383823288963</v>
      </c>
    </row>
    <row r="171" spans="2:34" x14ac:dyDescent="0.2">
      <c r="B171" s="9">
        <f>G155</f>
        <v>4</v>
      </c>
      <c r="C171" s="9" t="str">
        <f t="shared" si="372"/>
        <v>4 - % of Revenue - Doctor Compensation</v>
      </c>
      <c r="D171" s="9" t="s">
        <v>56</v>
      </c>
      <c r="F171" s="16" t="str">
        <f>"% of Revenue - "&amp;F170</f>
        <v>% of Revenue - Doctor Compensation</v>
      </c>
      <c r="G171" s="148">
        <f>G170/G167</f>
        <v>-0.2208370368650347</v>
      </c>
      <c r="H171" s="149">
        <f t="shared" ref="H171:R171" si="404">H170/H167</f>
        <v>-0.216413988731676</v>
      </c>
      <c r="I171" s="149">
        <f t="shared" si="404"/>
        <v>-0.21978962079318648</v>
      </c>
      <c r="J171" s="149">
        <f t="shared" si="404"/>
        <v>-0.28714168446177529</v>
      </c>
      <c r="K171" s="149">
        <f t="shared" si="404"/>
        <v>-0.32013904813490501</v>
      </c>
      <c r="L171" s="149">
        <f t="shared" si="404"/>
        <v>-0.28932608446017233</v>
      </c>
      <c r="M171" s="149">
        <f t="shared" si="404"/>
        <v>-0.21421492377144682</v>
      </c>
      <c r="N171" s="149">
        <f t="shared" si="404"/>
        <v>-0.17479443549703033</v>
      </c>
      <c r="O171" s="149">
        <f t="shared" si="404"/>
        <v>-0.17586370711607563</v>
      </c>
      <c r="P171" s="149">
        <f t="shared" si="404"/>
        <v>-0.17275649971318582</v>
      </c>
      <c r="Q171" s="149">
        <f t="shared" si="404"/>
        <v>-0.17426122283929571</v>
      </c>
      <c r="R171" s="149">
        <f t="shared" si="404"/>
        <v>-0.17674860739045412</v>
      </c>
      <c r="S171" s="245">
        <f>_xlfn.XLOOKUP($F171,'Budget Assumption Driver'!$A$33:$A$39,'Budget Assumption Driver'!E$33:E$39)+G171</f>
        <v>-0.2208370368650347</v>
      </c>
      <c r="T171" s="246">
        <f>_xlfn.XLOOKUP($F171,'Budget Assumption Driver'!$A$33:$A$39,'Budget Assumption Driver'!F$33:F$39)+H171</f>
        <v>-0.216413988731676</v>
      </c>
      <c r="U171" s="246">
        <f>_xlfn.XLOOKUP($F171,'Budget Assumption Driver'!$A$33:$A$39,'Budget Assumption Driver'!G$33:G$39)+I171</f>
        <v>-0.21978962079318648</v>
      </c>
      <c r="V171" s="246">
        <f>_xlfn.XLOOKUP($F171,'Budget Assumption Driver'!$A$33:$A$39,'Budget Assumption Driver'!H$33:H$39)+J171</f>
        <v>-0.28714168446177529</v>
      </c>
      <c r="W171" s="246">
        <f>_xlfn.XLOOKUP($F171,'Budget Assumption Driver'!$A$33:$A$39,'Budget Assumption Driver'!I$33:I$39)+K171</f>
        <v>-0.32013904813490501</v>
      </c>
      <c r="X171" s="246">
        <f>_xlfn.XLOOKUP($F171,'Budget Assumption Driver'!$A$33:$A$39,'Budget Assumption Driver'!J$33:J$39)+L171</f>
        <v>-0.28932608446017233</v>
      </c>
      <c r="Y171" s="246">
        <f>_xlfn.XLOOKUP($F171,'Budget Assumption Driver'!$A$33:$A$39,'Budget Assumption Driver'!K$33:K$39)+M171</f>
        <v>-0.21421492377144682</v>
      </c>
      <c r="Z171" s="246">
        <f>_xlfn.XLOOKUP($F171,'Budget Assumption Driver'!$A$33:$A$39,'Budget Assumption Driver'!L$33:L$39)+N171</f>
        <v>-0.17479443549703033</v>
      </c>
      <c r="AA171" s="246">
        <f>_xlfn.XLOOKUP($F171,'Budget Assumption Driver'!$A$33:$A$39,'Budget Assumption Driver'!M$33:M$39)+O171</f>
        <v>-0.17586370711607563</v>
      </c>
      <c r="AB171" s="246">
        <f>_xlfn.XLOOKUP($F171,'Budget Assumption Driver'!$A$33:$A$39,'Budget Assumption Driver'!N$33:N$39)+P171</f>
        <v>-0.17275649971318582</v>
      </c>
      <c r="AC171" s="246">
        <f>_xlfn.XLOOKUP($F171,'Budget Assumption Driver'!$A$33:$A$39,'Budget Assumption Driver'!O$33:O$39)+Q171</f>
        <v>-0.17426122283929571</v>
      </c>
      <c r="AD171" s="296">
        <f>_xlfn.XLOOKUP($F171,'Budget Assumption Driver'!$A$33:$A$39,'Budget Assumption Driver'!P$33:P$39)+R171</f>
        <v>-0.17674860739045412</v>
      </c>
      <c r="AE171" s="15"/>
      <c r="AF171" s="232">
        <f>_xlfn.XLOOKUP($C171,'Site Level Financials - ''23 ''24'!$C$2:$C$1577,'Site Level Financials - ''23 ''24'!$AF$2:$AF$1577)</f>
        <v>-0.19444214042016253</v>
      </c>
      <c r="AG171" s="97">
        <f t="shared" ref="AG171:AH171" si="405">AG170/AG167</f>
        <v>-0.2196630408569468</v>
      </c>
      <c r="AH171" s="97">
        <f t="shared" si="405"/>
        <v>-0.22673059683609117</v>
      </c>
    </row>
    <row r="172" spans="2:34" ht="3" customHeight="1" x14ac:dyDescent="0.2">
      <c r="B172" s="9">
        <f>G155</f>
        <v>4</v>
      </c>
      <c r="C172" s="9" t="str">
        <f t="shared" si="372"/>
        <v xml:space="preserve">4 - </v>
      </c>
      <c r="D172" s="9" t="s">
        <v>56</v>
      </c>
      <c r="F172" s="16"/>
      <c r="G172" s="84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4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6"/>
      <c r="AE172" s="15"/>
      <c r="AF172" s="36"/>
      <c r="AG172" s="38"/>
      <c r="AH172" s="38"/>
    </row>
    <row r="173" spans="2:34" x14ac:dyDescent="0.2">
      <c r="B173" s="9">
        <f>G155</f>
        <v>4</v>
      </c>
      <c r="C173" s="9" t="str">
        <f t="shared" si="372"/>
        <v>4 - Administrative Staff Compensation</v>
      </c>
      <c r="D173" s="9" t="s">
        <v>56</v>
      </c>
      <c r="F173" t="s">
        <v>5</v>
      </c>
      <c r="G173" s="178">
        <f>_xlfn.XLOOKUP($C173,'Site Level Financials - ''23 ''24'!$C$2:$C$1577,'Site Level Financials - ''23 ''24'!S$2:S$1577)</f>
        <v>-68.282229516591187</v>
      </c>
      <c r="H173" s="179">
        <f>_xlfn.XLOOKUP($C173,'Site Level Financials - ''23 ''24'!$C$2:$C$1577,'Site Level Financials - ''23 ''24'!T$2:T$1577)</f>
        <v>-71.110459812868214</v>
      </c>
      <c r="I173" s="179">
        <f>_xlfn.XLOOKUP($C173,'Site Level Financials - ''23 ''24'!$C$2:$C$1577,'Site Level Financials - ''23 ''24'!U$2:U$1577)</f>
        <v>-74.298451937727449</v>
      </c>
      <c r="J173" s="179">
        <f>_xlfn.XLOOKUP($C173,'Site Level Financials - ''23 ''24'!$C$2:$C$1577,'Site Level Financials - ''23 ''24'!V$2:V$1577)</f>
        <v>-83.816836673360129</v>
      </c>
      <c r="K173" s="179">
        <f>_xlfn.XLOOKUP($C173,'Site Level Financials - ''23 ''24'!$C$2:$C$1577,'Site Level Financials - ''23 ''24'!W$2:W$1577)</f>
        <v>-99.42951398519395</v>
      </c>
      <c r="L173" s="179">
        <f>_xlfn.XLOOKUP($C173,'Site Level Financials - ''23 ''24'!$C$2:$C$1577,'Site Level Financials - ''23 ''24'!X$2:X$1577)</f>
        <v>-77.673512721624434</v>
      </c>
      <c r="M173" s="179">
        <f>_xlfn.XLOOKUP($C173,'Site Level Financials - ''23 ''24'!$C$2:$C$1577,'Site Level Financials - ''23 ''24'!Y$2:Y$1577)</f>
        <v>-84.619211539638997</v>
      </c>
      <c r="N173" s="179">
        <f>_xlfn.XLOOKUP($C173,'Site Level Financials - ''23 ''24'!$C$2:$C$1577,'Site Level Financials - ''23 ''24'!Z$2:Z$1577)</f>
        <v>-72.954944575211599</v>
      </c>
      <c r="O173" s="179">
        <f>_xlfn.XLOOKUP($C173,'Site Level Financials - ''23 ''24'!$C$2:$C$1577,'Site Level Financials - ''23 ''24'!AA$2:AA$1577)</f>
        <v>-63.345345777939315</v>
      </c>
      <c r="P173" s="179">
        <f>_xlfn.XLOOKUP($C173,'Site Level Financials - ''23 ''24'!$C$2:$C$1577,'Site Level Financials - ''23 ''24'!AB$2:AB$1577)</f>
        <v>-74.238326577310929</v>
      </c>
      <c r="Q173" s="179">
        <f>_xlfn.XLOOKUP($C173,'Site Level Financials - ''23 ''24'!$C$2:$C$1577,'Site Level Financials - ''23 ''24'!AC$2:AC$1577)</f>
        <v>-45.415056334203292</v>
      </c>
      <c r="R173" s="179">
        <f>_xlfn.XLOOKUP($C173,'Site Level Financials - ''23 ''24'!$C$2:$C$1577,'Site Level Financials - ''23 ''24'!AD$2:AD$1577)</f>
        <v>-40.414043371550896</v>
      </c>
      <c r="S173" s="155">
        <f>S174*S167</f>
        <v>-71.970527349255661</v>
      </c>
      <c r="T173" s="154">
        <f t="shared" ref="T173" si="406">T174*T167</f>
        <v>-74.352801688477371</v>
      </c>
      <c r="U173" s="154">
        <f t="shared" ref="U173" si="407">U174*U167</f>
        <v>-81.886828634048811</v>
      </c>
      <c r="V173" s="154">
        <f t="shared" ref="V173" si="408">V174*V167</f>
        <v>-114.15075307756572</v>
      </c>
      <c r="W173" s="154">
        <f t="shared" ref="W173" si="409">W174*W167</f>
        <v>-145.2702925142892</v>
      </c>
      <c r="X173" s="154">
        <f t="shared" ref="X173" si="410">X174*X167</f>
        <v>-105.67166271506753</v>
      </c>
      <c r="Y173" s="154">
        <f t="shared" ref="Y173" si="411">Y174*Y167</f>
        <v>-96.270720752050451</v>
      </c>
      <c r="Z173" s="154">
        <f t="shared" ref="Z173" si="412">Z174*Z167</f>
        <v>-68.446430549916172</v>
      </c>
      <c r="AA173" s="154">
        <f t="shared" ref="AA173" si="413">AA174*AA167</f>
        <v>-59.331892448997813</v>
      </c>
      <c r="AB173" s="154">
        <f t="shared" ref="AB173" si="414">AB174*AB167</f>
        <v>-68.804046239453626</v>
      </c>
      <c r="AC173" s="154">
        <f t="shared" ref="AC173" si="415">AC174*AC167</f>
        <v>-53.934042889884552</v>
      </c>
      <c r="AD173" s="156">
        <f t="shared" ref="AD173" si="416">AD174*AD167</f>
        <v>-41.751962352408349</v>
      </c>
      <c r="AE173" s="15"/>
      <c r="AF173" s="115">
        <f>_xlfn.XLOOKUP($C173,'Site Level Financials - ''23 ''24'!$C$2:$C$1577,'Site Level Financials - ''23 ''24'!$AF$2:$AF$1577)</f>
        <v>-356.57389489986065</v>
      </c>
      <c r="AG173" s="93">
        <f>SUM(G173:R173)</f>
        <v>-855.59793282322028</v>
      </c>
      <c r="AH173" s="93">
        <f t="shared" ref="AH173" si="417">SUM(S173:AD173)</f>
        <v>-981.84196121141531</v>
      </c>
    </row>
    <row r="174" spans="2:34" x14ac:dyDescent="0.2">
      <c r="B174" s="9">
        <f>G155</f>
        <v>4</v>
      </c>
      <c r="C174" s="9" t="str">
        <f t="shared" si="372"/>
        <v>4 - % of Revenue - Administrative Staff Compensation</v>
      </c>
      <c r="D174" s="9" t="s">
        <v>56</v>
      </c>
      <c r="F174" s="16" t="str">
        <f>"% of Revenue - "&amp;F173</f>
        <v>% of Revenue - Administrative Staff Compensation</v>
      </c>
      <c r="G174" s="148">
        <f>G173/G167</f>
        <v>-0.10327850028069623</v>
      </c>
      <c r="H174" s="149">
        <f t="shared" ref="H174:R174" si="418">H173/H167</f>
        <v>-0.1030413070583235</v>
      </c>
      <c r="I174" s="149">
        <f t="shared" si="418"/>
        <v>-0.10568394772099658</v>
      </c>
      <c r="J174" s="149">
        <f t="shared" si="418"/>
        <v>-0.13753675859115139</v>
      </c>
      <c r="K174" s="149">
        <f t="shared" si="418"/>
        <v>-0.14726968520583955</v>
      </c>
      <c r="L174" s="149">
        <f t="shared" si="418"/>
        <v>-0.12756916839937255</v>
      </c>
      <c r="M174" s="149">
        <f t="shared" si="418"/>
        <v>-0.11536217724407288</v>
      </c>
      <c r="N174" s="149">
        <f t="shared" si="418"/>
        <v>-9.5651225917400343E-2</v>
      </c>
      <c r="O174" s="149">
        <f t="shared" si="418"/>
        <v>-9.0434842713561781E-2</v>
      </c>
      <c r="P174" s="149">
        <f t="shared" si="418"/>
        <v>-9.131314714509986E-2</v>
      </c>
      <c r="Q174" s="149">
        <f t="shared" si="418"/>
        <v>-9.0551883304723607E-2</v>
      </c>
      <c r="R174" s="149">
        <f t="shared" si="418"/>
        <v>-8.5883183365698709E-2</v>
      </c>
      <c r="S174" s="245">
        <f>_xlfn.XLOOKUP($F174,'Budget Assumption Driver'!$A$33:$A$39,'Budget Assumption Driver'!E$33:E$39)+G174</f>
        <v>-0.10327850028069623</v>
      </c>
      <c r="T174" s="246">
        <f>_xlfn.XLOOKUP($F174,'Budget Assumption Driver'!$A$33:$A$39,'Budget Assumption Driver'!F$33:F$39)+H174</f>
        <v>-0.1030413070583235</v>
      </c>
      <c r="U174" s="246">
        <f>_xlfn.XLOOKUP($F174,'Budget Assumption Driver'!$A$33:$A$39,'Budget Assumption Driver'!G$33:G$39)+I174</f>
        <v>-0.10568394772099658</v>
      </c>
      <c r="V174" s="246">
        <f>_xlfn.XLOOKUP($F174,'Budget Assumption Driver'!$A$33:$A$39,'Budget Assumption Driver'!H$33:H$39)+J174</f>
        <v>-0.13753675859115139</v>
      </c>
      <c r="W174" s="246">
        <f>_xlfn.XLOOKUP($F174,'Budget Assumption Driver'!$A$33:$A$39,'Budget Assumption Driver'!I$33:I$39)+K174</f>
        <v>-0.14726968520583955</v>
      </c>
      <c r="X174" s="246">
        <f>_xlfn.XLOOKUP($F174,'Budget Assumption Driver'!$A$33:$A$39,'Budget Assumption Driver'!J$33:J$39)+L174</f>
        <v>-0.12756916839937255</v>
      </c>
      <c r="Y174" s="246">
        <f>_xlfn.XLOOKUP($F174,'Budget Assumption Driver'!$A$33:$A$39,'Budget Assumption Driver'!K$33:K$39)+M174</f>
        <v>-0.11536217724407288</v>
      </c>
      <c r="Z174" s="246">
        <f>_xlfn.XLOOKUP($F174,'Budget Assumption Driver'!$A$33:$A$39,'Budget Assumption Driver'!L$33:L$39)+N174</f>
        <v>-9.5651225917400343E-2</v>
      </c>
      <c r="AA174" s="246">
        <f>_xlfn.XLOOKUP($F174,'Budget Assumption Driver'!$A$33:$A$39,'Budget Assumption Driver'!M$33:M$39)+O174</f>
        <v>-9.0434842713561781E-2</v>
      </c>
      <c r="AB174" s="246">
        <f>_xlfn.XLOOKUP($F174,'Budget Assumption Driver'!$A$33:$A$39,'Budget Assumption Driver'!N$33:N$39)+P174</f>
        <v>-9.131314714509986E-2</v>
      </c>
      <c r="AC174" s="246">
        <f>_xlfn.XLOOKUP($F174,'Budget Assumption Driver'!$A$33:$A$39,'Budget Assumption Driver'!O$33:O$39)+Q174</f>
        <v>-9.0551883304723607E-2</v>
      </c>
      <c r="AD174" s="296">
        <f>_xlfn.XLOOKUP($F174,'Budget Assumption Driver'!$A$33:$A$39,'Budget Assumption Driver'!P$33:P$39)+R174</f>
        <v>-8.5883183365698709E-2</v>
      </c>
      <c r="AE174" s="15"/>
      <c r="AF174" s="232">
        <f>_xlfn.XLOOKUP($C174,'Site Level Financials - ''23 ''24'!$C$2:$C$1577,'Site Level Financials - ''23 ''24'!$AF$2:$AF$1577)</f>
        <v>-8.7790507703738002E-2</v>
      </c>
      <c r="AG174" s="97">
        <f t="shared" ref="AG174:AH174" si="419">AG173/AG167</f>
        <v>-0.10790030721888352</v>
      </c>
      <c r="AH174" s="97">
        <f t="shared" si="419"/>
        <v>-0.11057489059326647</v>
      </c>
    </row>
    <row r="175" spans="2:34" ht="3" customHeight="1" x14ac:dyDescent="0.2">
      <c r="B175" s="9">
        <f>G155</f>
        <v>4</v>
      </c>
      <c r="C175" s="9" t="str">
        <f t="shared" si="372"/>
        <v xml:space="preserve">4 - </v>
      </c>
      <c r="D175" s="9" t="s">
        <v>56</v>
      </c>
      <c r="F175" s="16"/>
      <c r="G175" s="84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4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6"/>
      <c r="AE175" s="15"/>
      <c r="AF175" s="36"/>
      <c r="AG175" s="38"/>
      <c r="AH175" s="38"/>
    </row>
    <row r="176" spans="2:34" x14ac:dyDescent="0.2">
      <c r="B176" s="9">
        <f>G155</f>
        <v>4</v>
      </c>
      <c r="C176" s="9" t="str">
        <f t="shared" si="372"/>
        <v>4 - Office Supplies</v>
      </c>
      <c r="D176" s="9" t="s">
        <v>56</v>
      </c>
      <c r="F176" t="s">
        <v>6</v>
      </c>
      <c r="G176" s="178">
        <f>_xlfn.XLOOKUP($C176,'Site Level Financials - ''23 ''24'!$C$2:$C$1577,'Site Level Financials - ''23 ''24'!S$2:S$1577)</f>
        <v>-14.828087669323066</v>
      </c>
      <c r="H176" s="179">
        <f>_xlfn.XLOOKUP($C176,'Site Level Financials - ''23 ''24'!$C$2:$C$1577,'Site Level Financials - ''23 ''24'!T$2:T$1577)</f>
        <v>-16.219241262048342</v>
      </c>
      <c r="I176" s="179">
        <f>_xlfn.XLOOKUP($C176,'Site Level Financials - ''23 ''24'!$C$2:$C$1577,'Site Level Financials - ''23 ''24'!U$2:U$1577)</f>
        <v>-15.928896670078355</v>
      </c>
      <c r="J176" s="179">
        <f>_xlfn.XLOOKUP($C176,'Site Level Financials - ''23 ''24'!$C$2:$C$1577,'Site Level Financials - ''23 ''24'!V$2:V$1577)</f>
        <v>-18.286622717015746</v>
      </c>
      <c r="K176" s="179">
        <f>_xlfn.XLOOKUP($C176,'Site Level Financials - ''23 ''24'!$C$2:$C$1577,'Site Level Financials - ''23 ''24'!W$2:W$1577)</f>
        <v>-22.251774632440391</v>
      </c>
      <c r="L176" s="179">
        <f>_xlfn.XLOOKUP($C176,'Site Level Financials - ''23 ''24'!$C$2:$C$1577,'Site Level Financials - ''23 ''24'!X$2:X$1577)</f>
        <v>-18.845409320457325</v>
      </c>
      <c r="M176" s="179">
        <f>_xlfn.XLOOKUP($C176,'Site Level Financials - ''23 ''24'!$C$2:$C$1577,'Site Level Financials - ''23 ''24'!Y$2:Y$1577)</f>
        <v>-16.946479537114602</v>
      </c>
      <c r="N176" s="179">
        <f>_xlfn.XLOOKUP($C176,'Site Level Financials - ''23 ''24'!$C$2:$C$1577,'Site Level Financials - ''23 ''24'!Z$2:Z$1577)</f>
        <v>-14.548152811416747</v>
      </c>
      <c r="O176" s="179">
        <f>_xlfn.XLOOKUP($C176,'Site Level Financials - ''23 ''24'!$C$2:$C$1577,'Site Level Financials - ''23 ''24'!AA$2:AA$1577)</f>
        <v>-12.855352070392971</v>
      </c>
      <c r="P176" s="179">
        <f>_xlfn.XLOOKUP($C176,'Site Level Financials - ''23 ''24'!$C$2:$C$1577,'Site Level Financials - ''23 ''24'!AB$2:AB$1577)</f>
        <v>-15.704905074537672</v>
      </c>
      <c r="Q176" s="179">
        <f>_xlfn.XLOOKUP($C176,'Site Level Financials - ''23 ''24'!$C$2:$C$1577,'Site Level Financials - ''23 ''24'!AC$2:AC$1577)</f>
        <v>-9.4750666945645268</v>
      </c>
      <c r="R176" s="179">
        <f>_xlfn.XLOOKUP($C176,'Site Level Financials - ''23 ''24'!$C$2:$C$1577,'Site Level Financials - ''23 ''24'!AD$2:AD$1577)</f>
        <v>-9.3376751912412193</v>
      </c>
      <c r="S176" s="155">
        <f>S177*S167</f>
        <v>-15.629034035610569</v>
      </c>
      <c r="T176" s="154">
        <f t="shared" ref="T176" si="420">T177*T167</f>
        <v>-16.958771357521456</v>
      </c>
      <c r="U176" s="154">
        <f t="shared" ref="U176" si="421">U177*U167</f>
        <v>-17.555774015929966</v>
      </c>
      <c r="V176" s="154">
        <f t="shared" ref="V176" si="422">V177*V167</f>
        <v>-24.904683083275152</v>
      </c>
      <c r="W176" s="154">
        <f t="shared" ref="W176" si="423">W177*W167</f>
        <v>-32.510687020938377</v>
      </c>
      <c r="X176" s="154">
        <f t="shared" ref="X176" si="424">X177*X167</f>
        <v>-25.638414791099567</v>
      </c>
      <c r="Y176" s="154">
        <f t="shared" ref="Y176" si="425">Y177*Y167</f>
        <v>-19.279898377257524</v>
      </c>
      <c r="Z176" s="154">
        <f t="shared" ref="Z176" si="426">Z177*Z167</f>
        <v>-13.649097217936117</v>
      </c>
      <c r="AA176" s="154">
        <f t="shared" ref="AA176" si="427">AA177*AA167</f>
        <v>-12.040858836075479</v>
      </c>
      <c r="AB176" s="154">
        <f t="shared" ref="AB176" si="428">AB177*AB167</f>
        <v>-14.555298654387585</v>
      </c>
      <c r="AC176" s="154">
        <f t="shared" ref="AC176" si="429">AC177*AC167</f>
        <v>-11.252406024305435</v>
      </c>
      <c r="AD176" s="156">
        <f t="shared" ref="AD176" si="430">AD177*AD167</f>
        <v>-9.6468017183889021</v>
      </c>
      <c r="AE176" s="15"/>
      <c r="AF176" s="115">
        <f>_xlfn.XLOOKUP($C176,'Site Level Financials - ''23 ''24'!$C$2:$C$1577,'Site Level Financials - ''23 ''24'!$AF$2:$AF$1577)</f>
        <v>-188.99598375724079</v>
      </c>
      <c r="AG176" s="93">
        <f>SUM(G176:R176)</f>
        <v>-185.22766365063097</v>
      </c>
      <c r="AH176" s="93">
        <f t="shared" ref="AH176" si="431">SUM(S176:AD176)</f>
        <v>-213.62172513272611</v>
      </c>
    </row>
    <row r="177" spans="2:34" x14ac:dyDescent="0.2">
      <c r="B177" s="9">
        <f>G155</f>
        <v>4</v>
      </c>
      <c r="C177" s="9" t="str">
        <f t="shared" si="372"/>
        <v>4 - % of Revenue - Office Supplies</v>
      </c>
      <c r="D177" s="9" t="s">
        <v>56</v>
      </c>
      <c r="F177" s="16" t="str">
        <f>"% of Revenue - "&amp;F176</f>
        <v>% of Revenue - Office Supplies</v>
      </c>
      <c r="G177" s="148">
        <f>G176/G167</f>
        <v>-2.2427836164111575E-2</v>
      </c>
      <c r="H177" s="149">
        <f t="shared" ref="H177:R177" si="432">H176/H167</f>
        <v>-2.3502193960406967E-2</v>
      </c>
      <c r="I177" s="149">
        <f t="shared" si="432"/>
        <v>-2.2657654890907653E-2</v>
      </c>
      <c r="J177" s="149">
        <f t="shared" si="432"/>
        <v>-3.0006892575522828E-2</v>
      </c>
      <c r="K177" s="149">
        <f t="shared" si="432"/>
        <v>-3.2958140033539363E-2</v>
      </c>
      <c r="L177" s="149">
        <f t="shared" si="432"/>
        <v>-3.0951261387811832E-2</v>
      </c>
      <c r="M177" s="149">
        <f t="shared" si="432"/>
        <v>-2.3103296999025774E-2</v>
      </c>
      <c r="N177" s="149">
        <f t="shared" si="432"/>
        <v>-1.9074082769141083E-2</v>
      </c>
      <c r="O177" s="149">
        <f t="shared" si="432"/>
        <v>-1.8352914933780769E-2</v>
      </c>
      <c r="P177" s="149">
        <f t="shared" si="432"/>
        <v>-1.9317034395672509E-2</v>
      </c>
      <c r="Q177" s="149">
        <f t="shared" si="432"/>
        <v>-1.8892085640429091E-2</v>
      </c>
      <c r="R177" s="149">
        <f t="shared" si="432"/>
        <v>-1.9843331766779625E-2</v>
      </c>
      <c r="S177" s="245">
        <f>_xlfn.XLOOKUP($F177,'Budget Assumption Driver'!$A$33:$A$39,'Budget Assumption Driver'!E$33:E$39)+G177</f>
        <v>-2.2427836164111575E-2</v>
      </c>
      <c r="T177" s="246">
        <f>_xlfn.XLOOKUP($F177,'Budget Assumption Driver'!$A$33:$A$39,'Budget Assumption Driver'!F$33:F$39)+H177</f>
        <v>-2.3502193960406967E-2</v>
      </c>
      <c r="U177" s="246">
        <f>_xlfn.XLOOKUP($F177,'Budget Assumption Driver'!$A$33:$A$39,'Budget Assumption Driver'!G$33:G$39)+I177</f>
        <v>-2.2657654890907653E-2</v>
      </c>
      <c r="V177" s="246">
        <f>_xlfn.XLOOKUP($F177,'Budget Assumption Driver'!$A$33:$A$39,'Budget Assumption Driver'!H$33:H$39)+J177</f>
        <v>-3.0006892575522828E-2</v>
      </c>
      <c r="W177" s="246">
        <f>_xlfn.XLOOKUP($F177,'Budget Assumption Driver'!$A$33:$A$39,'Budget Assumption Driver'!I$33:I$39)+K177</f>
        <v>-3.2958140033539363E-2</v>
      </c>
      <c r="X177" s="246">
        <f>_xlfn.XLOOKUP($F177,'Budget Assumption Driver'!$A$33:$A$39,'Budget Assumption Driver'!J$33:J$39)+L177</f>
        <v>-3.0951261387811832E-2</v>
      </c>
      <c r="Y177" s="246">
        <f>_xlfn.XLOOKUP($F177,'Budget Assumption Driver'!$A$33:$A$39,'Budget Assumption Driver'!K$33:K$39)+M177</f>
        <v>-2.3103296999025774E-2</v>
      </c>
      <c r="Z177" s="246">
        <f>_xlfn.XLOOKUP($F177,'Budget Assumption Driver'!$A$33:$A$39,'Budget Assumption Driver'!L$33:L$39)+N177</f>
        <v>-1.9074082769141083E-2</v>
      </c>
      <c r="AA177" s="246">
        <f>_xlfn.XLOOKUP($F177,'Budget Assumption Driver'!$A$33:$A$39,'Budget Assumption Driver'!M$33:M$39)+O177</f>
        <v>-1.8352914933780769E-2</v>
      </c>
      <c r="AB177" s="246">
        <f>_xlfn.XLOOKUP($F177,'Budget Assumption Driver'!$A$33:$A$39,'Budget Assumption Driver'!N$33:N$39)+P177</f>
        <v>-1.9317034395672509E-2</v>
      </c>
      <c r="AC177" s="246">
        <f>_xlfn.XLOOKUP($F177,'Budget Assumption Driver'!$A$33:$A$39,'Budget Assumption Driver'!O$33:O$39)+Q177</f>
        <v>-1.8892085640429091E-2</v>
      </c>
      <c r="AD177" s="296">
        <f>_xlfn.XLOOKUP($F177,'Budget Assumption Driver'!$A$33:$A$39,'Budget Assumption Driver'!P$33:P$39)+R177</f>
        <v>-1.9843331766779625E-2</v>
      </c>
      <c r="AE177" s="15"/>
      <c r="AF177" s="232">
        <f>_xlfn.XLOOKUP($C177,'Site Level Financials - ''23 ''24'!$C$2:$C$1577,'Site Level Financials - ''23 ''24'!$AF$2:$AF$1577)</f>
        <v>-4.6531879100895096E-2</v>
      </c>
      <c r="AG177" s="97">
        <f t="shared" ref="AG177:AH177" si="433">AG176/AG167</f>
        <v>-2.3359245092365772E-2</v>
      </c>
      <c r="AH177" s="97">
        <f t="shared" si="433"/>
        <v>-2.4058045813963529E-2</v>
      </c>
    </row>
    <row r="178" spans="2:34" ht="6" customHeight="1" x14ac:dyDescent="0.2">
      <c r="B178" s="9">
        <f>G155</f>
        <v>4</v>
      </c>
      <c r="C178" s="9" t="str">
        <f t="shared" si="372"/>
        <v xml:space="preserve">4 - </v>
      </c>
      <c r="D178" s="9" t="s">
        <v>56</v>
      </c>
      <c r="F178" s="16"/>
      <c r="G178" s="80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80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81"/>
      <c r="AE178" s="15"/>
      <c r="AF178" s="11"/>
      <c r="AG178" s="15"/>
      <c r="AH178" s="15"/>
    </row>
    <row r="179" spans="2:34" x14ac:dyDescent="0.2">
      <c r="B179" s="9">
        <f>G155</f>
        <v>4</v>
      </c>
      <c r="C179" s="9" t="str">
        <f t="shared" si="372"/>
        <v>4 - Office Gross Profit</v>
      </c>
      <c r="D179" s="9" t="s">
        <v>56</v>
      </c>
      <c r="F179" s="8" t="s">
        <v>11</v>
      </c>
      <c r="G179" s="241">
        <f>_xlfn.XLOOKUP($C179,'Site Level Financials - ''23 ''24'!$C$2:$C$1577,'Site Level Financials - ''23 ''24'!S$2:S$1577)</f>
        <v>432.03062826750397</v>
      </c>
      <c r="H179" s="242">
        <f>_xlfn.XLOOKUP($C179,'Site Level Financials - ''23 ''24'!$C$2:$C$1577,'Site Level Financials - ''23 ''24'!T$2:T$1577)</f>
        <v>453.43558184878054</v>
      </c>
      <c r="I179" s="242">
        <f>_xlfn.XLOOKUP($C179,'Site Level Financials - ''23 ''24'!$C$2:$C$1577,'Site Level Financials - ''23 ''24'!U$2:U$1577)</f>
        <v>458.28001330347485</v>
      </c>
      <c r="J179" s="242">
        <f>_xlfn.XLOOKUP($C179,'Site Level Financials - ''23 ''24'!$C$2:$C$1577,'Site Level Financials - ''23 ''24'!V$2:V$1577)</f>
        <v>332.32243239851255</v>
      </c>
      <c r="K179" s="242">
        <f>_xlfn.XLOOKUP($C179,'Site Level Financials - ''23 ''24'!$C$2:$C$1577,'Site Level Financials - ''23 ''24'!W$2:W$1577)</f>
        <v>337.32861506332574</v>
      </c>
      <c r="L179" s="242">
        <f>_xlfn.XLOOKUP($C179,'Site Level Financials - ''23 ''24'!$C$2:$C$1577,'Site Level Financials - ''23 ''24'!X$2:X$1577)</f>
        <v>336.19174082589819</v>
      </c>
      <c r="M179" s="242">
        <f>_xlfn.XLOOKUP($C179,'Site Level Financials - ''23 ''24'!$C$2:$C$1577,'Site Level Financials - ''23 ''24'!Y$2:Y$1577)</f>
        <v>474.81484523539001</v>
      </c>
      <c r="N179" s="242">
        <f>_xlfn.XLOOKUP($C179,'Site Level Financials - ''23 ''24'!$C$2:$C$1577,'Site Level Financials - ''23 ''24'!Z$2:Z$1577)</f>
        <v>541.89632372961034</v>
      </c>
      <c r="O179" s="242">
        <f>_xlfn.XLOOKUP($C179,'Site Level Financials - ''23 ''24'!$C$2:$C$1577,'Site Level Financials - ''23 ''24'!AA$2:AA$1577)</f>
        <v>501.06793970802482</v>
      </c>
      <c r="P179" s="242">
        <f>_xlfn.XLOOKUP($C179,'Site Level Financials - ''23 ''24'!$C$2:$C$1577,'Site Level Financials - ''23 ''24'!AB$2:AB$1577)</f>
        <v>582.61241946006191</v>
      </c>
      <c r="Q179" s="242">
        <f>_xlfn.XLOOKUP($C179,'Site Level Financials - ''23 ''24'!$C$2:$C$1577,'Site Level Financials - ''23 ''24'!AC$2:AC$1577)</f>
        <v>359.24784642562668</v>
      </c>
      <c r="R179" s="242">
        <f>_xlfn.XLOOKUP($C179,'Site Level Financials - ''23 ''24'!$C$2:$C$1577,'Site Level Financials - ''23 ''24'!AD$2:AD$1577)</f>
        <v>337.6456295879064</v>
      </c>
      <c r="S179" s="134">
        <f t="shared" ref="S179:AD179" si="434">S167+S170+S173+S176</f>
        <v>455.36697274782779</v>
      </c>
      <c r="T179" s="135">
        <f t="shared" si="434"/>
        <v>474.11036272895507</v>
      </c>
      <c r="U179" s="135">
        <f t="shared" si="434"/>
        <v>505.08585222265799</v>
      </c>
      <c r="V179" s="135">
        <f t="shared" si="434"/>
        <v>452.5923123380727</v>
      </c>
      <c r="W179" s="135">
        <f t="shared" si="434"/>
        <v>492.84990562245503</v>
      </c>
      <c r="X179" s="135">
        <f t="shared" si="434"/>
        <v>457.37522353942967</v>
      </c>
      <c r="Y179" s="135">
        <f t="shared" si="434"/>
        <v>540.19372838485447</v>
      </c>
      <c r="Z179" s="135">
        <f t="shared" si="434"/>
        <v>508.40788521435314</v>
      </c>
      <c r="AA179" s="135">
        <f t="shared" si="434"/>
        <v>469.32112759499682</v>
      </c>
      <c r="AB179" s="135">
        <f t="shared" si="434"/>
        <v>539.96491699560136</v>
      </c>
      <c r="AC179" s="135">
        <f t="shared" si="434"/>
        <v>426.63579705010869</v>
      </c>
      <c r="AD179" s="136">
        <f t="shared" si="434"/>
        <v>348.82348903829791</v>
      </c>
      <c r="AE179" s="15"/>
      <c r="AF179" s="114">
        <f>_xlfn.XLOOKUP($C179,'Site Level Financials - ''23 ''24'!$C$2:$C$1577,'Site Level Financials - ''23 ''24'!$AF$2:$AF$1577)</f>
        <v>2726.3203412618259</v>
      </c>
      <c r="AG179" s="95">
        <f>SUM(G179:R179)</f>
        <v>5146.874015854115</v>
      </c>
      <c r="AH179" s="95">
        <f t="shared" ref="AH179" si="435">SUM(S179:AD179)</f>
        <v>5670.7275734776103</v>
      </c>
    </row>
    <row r="180" spans="2:34" x14ac:dyDescent="0.2">
      <c r="B180" s="9">
        <f>G155</f>
        <v>4</v>
      </c>
      <c r="C180" s="9" t="str">
        <f t="shared" si="372"/>
        <v>4 - % of Revenue - Office Gross Profit</v>
      </c>
      <c r="D180" s="9" t="s">
        <v>56</v>
      </c>
      <c r="F180" s="16" t="str">
        <f>"% of Revenue - "&amp;F179</f>
        <v>% of Revenue - Office Gross Profit</v>
      </c>
      <c r="G180" s="148">
        <f>G179/G167</f>
        <v>0.65345662669015747</v>
      </c>
      <c r="H180" s="149">
        <f t="shared" ref="H180:AD180" si="436">H179/H167</f>
        <v>0.65704251024959348</v>
      </c>
      <c r="I180" s="149">
        <f t="shared" si="436"/>
        <v>0.65186877659490916</v>
      </c>
      <c r="J180" s="149">
        <f t="shared" si="436"/>
        <v>0.54531466437155052</v>
      </c>
      <c r="K180" s="149">
        <f t="shared" si="436"/>
        <v>0.49963312662571602</v>
      </c>
      <c r="L180" s="149">
        <f t="shared" si="436"/>
        <v>0.55215348575264334</v>
      </c>
      <c r="M180" s="149">
        <f t="shared" si="436"/>
        <v>0.64731960198545457</v>
      </c>
      <c r="N180" s="149">
        <f t="shared" si="436"/>
        <v>0.71048025581642815</v>
      </c>
      <c r="O180" s="149">
        <f t="shared" si="436"/>
        <v>0.71534853523658182</v>
      </c>
      <c r="P180" s="149">
        <f t="shared" si="436"/>
        <v>0.71661331874604195</v>
      </c>
      <c r="Q180" s="149">
        <f t="shared" si="436"/>
        <v>0.71629480821555158</v>
      </c>
      <c r="R180" s="149">
        <f t="shared" si="436"/>
        <v>0.7175248774770675</v>
      </c>
      <c r="S180" s="148">
        <f t="shared" si="436"/>
        <v>0.65345662669015747</v>
      </c>
      <c r="T180" s="149">
        <f t="shared" si="436"/>
        <v>0.65704251024959348</v>
      </c>
      <c r="U180" s="149">
        <f t="shared" si="436"/>
        <v>0.65186877659490938</v>
      </c>
      <c r="V180" s="149">
        <f t="shared" si="436"/>
        <v>0.54531466437155052</v>
      </c>
      <c r="W180" s="149">
        <f t="shared" si="436"/>
        <v>0.49963312662571613</v>
      </c>
      <c r="X180" s="149">
        <f t="shared" si="436"/>
        <v>0.55215348575264334</v>
      </c>
      <c r="Y180" s="149">
        <f t="shared" si="436"/>
        <v>0.64731960198545457</v>
      </c>
      <c r="Z180" s="149">
        <f t="shared" si="436"/>
        <v>0.71048025581642826</v>
      </c>
      <c r="AA180" s="149">
        <f t="shared" si="436"/>
        <v>0.71534853523658182</v>
      </c>
      <c r="AB180" s="149">
        <f t="shared" si="436"/>
        <v>0.71661331874604173</v>
      </c>
      <c r="AC180" s="149">
        <f t="shared" si="436"/>
        <v>0.71629480821555158</v>
      </c>
      <c r="AD180" s="150">
        <f t="shared" si="436"/>
        <v>0.7175248774770675</v>
      </c>
      <c r="AE180" s="15"/>
      <c r="AF180" s="233">
        <f>_xlfn.XLOOKUP($C180,'Site Level Financials - ''23 ''24'!$C$2:$C$1577,'Site Level Financials - ''23 ''24'!$AF$2:$AF$1577)</f>
        <v>0.67123547277520423</v>
      </c>
      <c r="AG180" s="97">
        <f t="shared" ref="AG180:AH180" si="437">AG179/AG167</f>
        <v>0.64907740683180393</v>
      </c>
      <c r="AH180" s="97">
        <f t="shared" si="437"/>
        <v>0.63863646675667862</v>
      </c>
    </row>
    <row r="181" spans="2:34" ht="6" customHeight="1" x14ac:dyDescent="0.2">
      <c r="B181" s="9">
        <f>G155</f>
        <v>4</v>
      </c>
      <c r="C181" s="9" t="str">
        <f t="shared" si="372"/>
        <v xml:space="preserve">4 - </v>
      </c>
      <c r="D181" s="9" t="s">
        <v>56</v>
      </c>
      <c r="F181" s="16"/>
      <c r="G181" s="80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80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81"/>
      <c r="AE181" s="15"/>
      <c r="AF181" s="11"/>
      <c r="AG181" s="15"/>
      <c r="AH181" s="15"/>
    </row>
    <row r="182" spans="2:34" x14ac:dyDescent="0.2">
      <c r="B182" s="9">
        <f>G155</f>
        <v>4</v>
      </c>
      <c r="C182" s="9" t="str">
        <f t="shared" si="372"/>
        <v>4 - General and Administrative Expense</v>
      </c>
      <c r="D182" s="9" t="s">
        <v>56</v>
      </c>
      <c r="F182" t="s">
        <v>10</v>
      </c>
      <c r="G182" s="178">
        <f>_xlfn.XLOOKUP($C182,'Site Level Financials - ''23 ''24'!$C$2:$C$1577,'Site Level Financials - ''23 ''24'!S$2:S$1577)</f>
        <v>-2.6896043165858612</v>
      </c>
      <c r="H182" s="179">
        <f>_xlfn.XLOOKUP($C182,'Site Level Financials - ''23 ''24'!$C$2:$C$1577,'Site Level Financials - ''23 ''24'!T$2:T$1577)</f>
        <v>-3.3590905686499748</v>
      </c>
      <c r="I182" s="179">
        <f>_xlfn.XLOOKUP($C182,'Site Level Financials - ''23 ''24'!$C$2:$C$1577,'Site Level Financials - ''23 ''24'!U$2:U$1577)</f>
        <v>-2.7348748663429574</v>
      </c>
      <c r="J182" s="179">
        <f>_xlfn.XLOOKUP($C182,'Site Level Financials - ''23 ''24'!$C$2:$C$1577,'Site Level Financials - ''23 ''24'!V$2:V$1577)</f>
        <v>-3.1681273550632767</v>
      </c>
      <c r="K182" s="179">
        <f>_xlfn.XLOOKUP($C182,'Site Level Financials - ''23 ''24'!$C$2:$C$1577,'Site Level Financials - ''23 ''24'!W$2:W$1577)</f>
        <v>-4.7906364634469236</v>
      </c>
      <c r="L182" s="179">
        <f>_xlfn.XLOOKUP($C182,'Site Level Financials - ''23 ''24'!$C$2:$C$1577,'Site Level Financials - ''23 ''24'!X$2:X$1577)</f>
        <v>-4.9375454001743959</v>
      </c>
      <c r="M182" s="179">
        <f>_xlfn.XLOOKUP($C182,'Site Level Financials - ''23 ''24'!$C$2:$C$1577,'Site Level Financials - ''23 ''24'!Y$2:Y$1577)</f>
        <v>-3.6067825772787661</v>
      </c>
      <c r="N182" s="179">
        <f>_xlfn.XLOOKUP($C182,'Site Level Financials - ''23 ''24'!$C$2:$C$1577,'Site Level Financials - ''23 ''24'!Z$2:Z$1577)</f>
        <v>-2.9817977817819159</v>
      </c>
      <c r="O182" s="179">
        <f>_xlfn.XLOOKUP($C182,'Site Level Financials - ''23 ''24'!$C$2:$C$1577,'Site Level Financials - ''23 ''24'!AA$2:AA$1577)</f>
        <v>-2.8567164863091645</v>
      </c>
      <c r="P182" s="179">
        <f>_xlfn.XLOOKUP($C182,'Site Level Financials - ''23 ''24'!$C$2:$C$1577,'Site Level Financials - ''23 ''24'!AB$2:AB$1577)</f>
        <v>-2.6224192647257709</v>
      </c>
      <c r="Q182" s="179">
        <f>_xlfn.XLOOKUP($C182,'Site Level Financials - ''23 ''24'!$C$2:$C$1577,'Site Level Financials - ''23 ''24'!AC$2:AC$1577)</f>
        <v>-1.3472502459249192</v>
      </c>
      <c r="R182" s="179">
        <f>_xlfn.XLOOKUP($C182,'Site Level Financials - ''23 ''24'!$C$2:$C$1577,'Site Level Financials - ''23 ''24'!AD$2:AD$1577)</f>
        <v>-1.5479358331409703</v>
      </c>
      <c r="S182" s="155">
        <f>S183*S167</f>
        <v>-2.8348846016881262</v>
      </c>
      <c r="T182" s="154">
        <f t="shared" ref="T182" si="438">T183*T167</f>
        <v>-3.5122511591363645</v>
      </c>
      <c r="U182" s="154">
        <f t="shared" ref="U182" si="439">U183*U167</f>
        <v>-3.0141977884477953</v>
      </c>
      <c r="V182" s="154">
        <f t="shared" ref="V182" si="440">V183*V167</f>
        <v>-4.3146954452058486</v>
      </c>
      <c r="W182" s="154">
        <f t="shared" ref="W182" si="441">W183*W167</f>
        <v>-6.9993016407400583</v>
      </c>
      <c r="X182" s="154">
        <f t="shared" ref="X182" si="442">X183*X167</f>
        <v>-6.7173301925651607</v>
      </c>
      <c r="Y182" s="154">
        <f t="shared" ref="Y182" si="443">Y183*Y167</f>
        <v>-4.1034128301693018</v>
      </c>
      <c r="Z182" s="154">
        <f t="shared" ref="Z182" si="444">Z183*Z167</f>
        <v>-2.7975268293737585</v>
      </c>
      <c r="AA182" s="154">
        <f t="shared" ref="AA182" si="445">AA183*AA167</f>
        <v>-2.6757197903243979</v>
      </c>
      <c r="AB182" s="154">
        <f t="shared" ref="AB182" si="446">AB183*AB167</f>
        <v>-2.4304569441166621</v>
      </c>
      <c r="AC182" s="154">
        <f t="shared" ref="AC182" si="447">AC183*AC167</f>
        <v>-1.5999683455726095</v>
      </c>
      <c r="AD182" s="156">
        <f t="shared" ref="AD182" si="448">AD183*AD167</f>
        <v>-1.5991807113945171</v>
      </c>
      <c r="AE182" s="15"/>
      <c r="AF182" s="115">
        <f>_xlfn.XLOOKUP($C182,'Site Level Financials - ''23 ''24'!$C$2:$C$1577,'Site Level Financials - ''23 ''24'!$AF$2:$AF$1577)</f>
        <v>-60.278023226780121</v>
      </c>
      <c r="AG182" s="93">
        <f>SUM(G182:R182)</f>
        <v>-36.642781159424892</v>
      </c>
      <c r="AH182" s="93">
        <f t="shared" ref="AH182" si="449">SUM(S182:AD182)</f>
        <v>-42.598926278734609</v>
      </c>
    </row>
    <row r="183" spans="2:34" x14ac:dyDescent="0.2">
      <c r="B183" s="9">
        <f>G155</f>
        <v>4</v>
      </c>
      <c r="C183" s="9" t="str">
        <f t="shared" si="372"/>
        <v>4 - % of Revenue - General and Administrative Expense</v>
      </c>
      <c r="D183" s="9" t="s">
        <v>56</v>
      </c>
      <c r="F183" s="16" t="str">
        <f>"% of Revenue - "&amp;F182</f>
        <v>% of Revenue - General and Administrative Expense</v>
      </c>
      <c r="G183" s="148">
        <f>G182/G167</f>
        <v>-4.0680906603669147E-3</v>
      </c>
      <c r="H183" s="149">
        <f t="shared" ref="H183:R183" si="450">H182/H167</f>
        <v>-4.8674285559653406E-3</v>
      </c>
      <c r="I183" s="149">
        <f t="shared" si="450"/>
        <v>-3.8901533593231038E-3</v>
      </c>
      <c r="J183" s="149">
        <f t="shared" si="450"/>
        <v>-5.1986448607866881E-3</v>
      </c>
      <c r="K183" s="149">
        <f t="shared" si="450"/>
        <v>-7.095634843518427E-3</v>
      </c>
      <c r="L183" s="149">
        <f t="shared" si="450"/>
        <v>-8.1093095775367913E-3</v>
      </c>
      <c r="M183" s="149">
        <f t="shared" si="450"/>
        <v>-4.9171610487762068E-3</v>
      </c>
      <c r="N183" s="149">
        <f t="shared" si="450"/>
        <v>-3.9094349934183058E-3</v>
      </c>
      <c r="O183" s="149">
        <f t="shared" si="450"/>
        <v>-4.0783849696275571E-3</v>
      </c>
      <c r="P183" s="149">
        <f t="shared" si="450"/>
        <v>-3.2255758883071887E-3</v>
      </c>
      <c r="Q183" s="149">
        <f t="shared" si="450"/>
        <v>-2.6862467405853459E-3</v>
      </c>
      <c r="R183" s="149">
        <f t="shared" si="450"/>
        <v>-3.2894916198750019E-3</v>
      </c>
      <c r="S183" s="245">
        <f>_xlfn.XLOOKUP($F183,'Budget Assumption Driver'!$A$33:$A$39,'Budget Assumption Driver'!E$33:E$39)+G183</f>
        <v>-4.0680906603669147E-3</v>
      </c>
      <c r="T183" s="246">
        <f>_xlfn.XLOOKUP($F183,'Budget Assumption Driver'!$A$33:$A$39,'Budget Assumption Driver'!F$33:F$39)+H183</f>
        <v>-4.8674285559653406E-3</v>
      </c>
      <c r="U183" s="246">
        <f>_xlfn.XLOOKUP($F183,'Budget Assumption Driver'!$A$33:$A$39,'Budget Assumption Driver'!G$33:G$39)+I183</f>
        <v>-3.8901533593231038E-3</v>
      </c>
      <c r="V183" s="246">
        <f>_xlfn.XLOOKUP($F183,'Budget Assumption Driver'!$A$33:$A$39,'Budget Assumption Driver'!H$33:H$39)+J183</f>
        <v>-5.1986448607866881E-3</v>
      </c>
      <c r="W183" s="246">
        <f>_xlfn.XLOOKUP($F183,'Budget Assumption Driver'!$A$33:$A$39,'Budget Assumption Driver'!I$33:I$39)+K183</f>
        <v>-7.095634843518427E-3</v>
      </c>
      <c r="X183" s="246">
        <f>_xlfn.XLOOKUP($F183,'Budget Assumption Driver'!$A$33:$A$39,'Budget Assumption Driver'!J$33:J$39)+L183</f>
        <v>-8.1093095775367913E-3</v>
      </c>
      <c r="Y183" s="246">
        <f>_xlfn.XLOOKUP($F183,'Budget Assumption Driver'!$A$33:$A$39,'Budget Assumption Driver'!K$33:K$39)+M183</f>
        <v>-4.9171610487762068E-3</v>
      </c>
      <c r="Z183" s="246">
        <f>_xlfn.XLOOKUP($F183,'Budget Assumption Driver'!$A$33:$A$39,'Budget Assumption Driver'!L$33:L$39)+N183</f>
        <v>-3.9094349934183058E-3</v>
      </c>
      <c r="AA183" s="246">
        <f>_xlfn.XLOOKUP($F183,'Budget Assumption Driver'!$A$33:$A$39,'Budget Assumption Driver'!M$33:M$39)+O183</f>
        <v>-4.0783849696275571E-3</v>
      </c>
      <c r="AB183" s="246">
        <f>_xlfn.XLOOKUP($F183,'Budget Assumption Driver'!$A$33:$A$39,'Budget Assumption Driver'!N$33:N$39)+P183</f>
        <v>-3.2255758883071887E-3</v>
      </c>
      <c r="AC183" s="246">
        <f>_xlfn.XLOOKUP($F183,'Budget Assumption Driver'!$A$33:$A$39,'Budget Assumption Driver'!O$33:O$39)+Q183</f>
        <v>-2.6862467405853459E-3</v>
      </c>
      <c r="AD183" s="296">
        <f>_xlfn.XLOOKUP($F183,'Budget Assumption Driver'!$A$33:$A$39,'Budget Assumption Driver'!P$33:P$39)+R183</f>
        <v>-3.2894916198750019E-3</v>
      </c>
      <c r="AE183" s="15"/>
      <c r="AF183" s="232">
        <f>_xlfn.XLOOKUP($C183,'Site Level Financials - ''23 ''24'!$C$2:$C$1577,'Site Level Financials - ''23 ''24'!$AF$2:$AF$1577)</f>
        <v>-1.4840789912404792E-2</v>
      </c>
      <c r="AG183" s="97">
        <f t="shared" ref="AG183:AH183" si="451">AG182/AG167</f>
        <v>-4.6210576168761877E-3</v>
      </c>
      <c r="AH183" s="97">
        <f t="shared" si="451"/>
        <v>-4.7974845227127562E-3</v>
      </c>
    </row>
    <row r="184" spans="2:34" ht="3" customHeight="1" x14ac:dyDescent="0.2">
      <c r="B184" s="9">
        <f>G155</f>
        <v>4</v>
      </c>
      <c r="C184" s="9" t="str">
        <f t="shared" si="372"/>
        <v xml:space="preserve">4 - </v>
      </c>
      <c r="D184" s="9" t="s">
        <v>56</v>
      </c>
      <c r="F184" s="16"/>
      <c r="G184" s="84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4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6"/>
      <c r="AE184" s="15"/>
      <c r="AF184" s="36"/>
      <c r="AG184" s="38"/>
      <c r="AH184" s="38"/>
    </row>
    <row r="185" spans="2:34" x14ac:dyDescent="0.2">
      <c r="B185" s="9">
        <f>G155</f>
        <v>4</v>
      </c>
      <c r="C185" s="9" t="str">
        <f t="shared" si="372"/>
        <v>4 - Marketing</v>
      </c>
      <c r="D185" s="9" t="s">
        <v>56</v>
      </c>
      <c r="F185" t="s">
        <v>7</v>
      </c>
      <c r="G185" s="178">
        <f>_xlfn.XLOOKUP($C185,'Site Level Financials - ''23 ''24'!$C$2:$C$1577,'Site Level Financials - ''23 ''24'!S$2:S$1577)</f>
        <v>-4.514492945458823</v>
      </c>
      <c r="H185" s="179">
        <f>_xlfn.XLOOKUP($C185,'Site Level Financials - ''23 ''24'!$C$2:$C$1577,'Site Level Financials - ''23 ''24'!T$2:T$1577)</f>
        <v>-4.0084378830786909</v>
      </c>
      <c r="I185" s="179">
        <f>_xlfn.XLOOKUP($C185,'Site Level Financials - ''23 ''24'!$C$2:$C$1577,'Site Level Financials - ''23 ''24'!U$2:U$1577)</f>
        <v>-4.6790272532448114</v>
      </c>
      <c r="J185" s="179">
        <f>_xlfn.XLOOKUP($C185,'Site Level Financials - ''23 ''24'!$C$2:$C$1577,'Site Level Financials - ''23 ''24'!V$2:V$1577)</f>
        <v>-6.1354631367650772</v>
      </c>
      <c r="K185" s="179">
        <f>_xlfn.XLOOKUP($C185,'Site Level Financials - ''23 ''24'!$C$2:$C$1577,'Site Level Financials - ''23 ''24'!W$2:W$1577)</f>
        <v>-6.3609185312760994</v>
      </c>
      <c r="L185" s="179">
        <f>_xlfn.XLOOKUP($C185,'Site Level Financials - ''23 ''24'!$C$2:$C$1577,'Site Level Financials - ''23 ''24'!X$2:X$1577)</f>
        <v>-5.6905763082856939</v>
      </c>
      <c r="M185" s="179">
        <f>_xlfn.XLOOKUP($C185,'Site Level Financials - ''23 ''24'!$C$2:$C$1577,'Site Level Financials - ''23 ''24'!Y$2:Y$1577)</f>
        <v>-5.451696491494932</v>
      </c>
      <c r="N185" s="179">
        <f>_xlfn.XLOOKUP($C185,'Site Level Financials - ''23 ''24'!$C$2:$C$1577,'Site Level Financials - ''23 ''24'!Z$2:Z$1577)</f>
        <v>-4.7261693819455468</v>
      </c>
      <c r="O185" s="179">
        <f>_xlfn.XLOOKUP($C185,'Site Level Financials - ''23 ''24'!$C$2:$C$1577,'Site Level Financials - ''23 ''24'!AA$2:AA$1577)</f>
        <v>-4.8608370771122722</v>
      </c>
      <c r="P185" s="179">
        <f>_xlfn.XLOOKUP($C185,'Site Level Financials - ''23 ''24'!$C$2:$C$1577,'Site Level Financials - ''23 ''24'!AB$2:AB$1577)</f>
        <v>-6.0868195624366059</v>
      </c>
      <c r="Q185" s="179">
        <f>_xlfn.XLOOKUP($C185,'Site Level Financials - ''23 ''24'!$C$2:$C$1577,'Site Level Financials - ''23 ''24'!AC$2:AC$1577)</f>
        <v>-3.6736161902407636</v>
      </c>
      <c r="R185" s="179">
        <f>_xlfn.XLOOKUP($C185,'Site Level Financials - ''23 ''24'!$C$2:$C$1577,'Site Level Financials - ''23 ''24'!AD$2:AD$1577)</f>
        <v>-3.0656570525013227</v>
      </c>
      <c r="S185" s="155">
        <f>S186*S167</f>
        <v>-4.7583454772843838</v>
      </c>
      <c r="T185" s="154">
        <f t="shared" ref="T185" si="452">T186*T167</f>
        <v>-4.1912060164628082</v>
      </c>
      <c r="U185" s="154">
        <f t="shared" ref="U185" si="453">U186*U167</f>
        <v>-5.1569136754240334</v>
      </c>
      <c r="V185" s="154">
        <f t="shared" ref="V185" si="454">V186*V167</f>
        <v>-8.3559314015960489</v>
      </c>
      <c r="W185" s="154">
        <f t="shared" ref="W185" si="455">W186*W167</f>
        <v>-9.2935433219118675</v>
      </c>
      <c r="X185" s="154">
        <f t="shared" ref="X185" si="456">X186*X167</f>
        <v>-7.7417981913428768</v>
      </c>
      <c r="Y185" s="154">
        <f t="shared" ref="Y185" si="457">Y186*Y167</f>
        <v>-6.2023592634373159</v>
      </c>
      <c r="Z185" s="154">
        <f t="shared" ref="Z185" si="458">Z186*Z167</f>
        <v>-4.4340986927209638</v>
      </c>
      <c r="AA185" s="154">
        <f t="shared" ref="AA185" si="459">AA186*AA167</f>
        <v>-4.5528627104245043</v>
      </c>
      <c r="AB185" s="154">
        <f t="shared" ref="AB185" si="460">AB186*AB167</f>
        <v>-5.6412615145489298</v>
      </c>
      <c r="AC185" s="154">
        <f t="shared" ref="AC185" si="461">AC186*AC167</f>
        <v>-4.3627155652386671</v>
      </c>
      <c r="AD185" s="156">
        <f t="shared" ref="AD185" si="462">AD186*AD167</f>
        <v>-3.1671465451915863</v>
      </c>
      <c r="AE185" s="15"/>
      <c r="AF185" s="115">
        <f>_xlfn.XLOOKUP($C185,'Site Level Financials - ''23 ''24'!$C$2:$C$1577,'Site Level Financials - ''23 ''24'!$AF$2:$AF$1577)</f>
        <v>-30.470830008770267</v>
      </c>
      <c r="AG185" s="93">
        <f>SUM(G185:R185)</f>
        <v>-59.253711813840638</v>
      </c>
      <c r="AH185" s="93">
        <f t="shared" ref="AH185" si="463">SUM(S185:AD185)</f>
        <v>-67.858182375583993</v>
      </c>
    </row>
    <row r="186" spans="2:34" x14ac:dyDescent="0.2">
      <c r="B186" s="9">
        <f>G155</f>
        <v>4</v>
      </c>
      <c r="C186" s="9" t="str">
        <f t="shared" si="372"/>
        <v>4 - % of Revenue - Marketing</v>
      </c>
      <c r="D186" s="9" t="s">
        <v>56</v>
      </c>
      <c r="F186" s="16" t="str">
        <f>"% of Revenue - "&amp;F185</f>
        <v>% of Revenue - Marketing</v>
      </c>
      <c r="G186" s="148">
        <f>G185/G167</f>
        <v>-6.8282782245925487E-3</v>
      </c>
      <c r="H186" s="149">
        <f t="shared" ref="H186:R186" si="464">H185/H167</f>
        <v>-5.8083533677247366E-3</v>
      </c>
      <c r="I186" s="149">
        <f t="shared" si="464"/>
        <v>-6.6555635914393183E-3</v>
      </c>
      <c r="J186" s="149">
        <f t="shared" si="464"/>
        <v>-1.0067806729269848E-2</v>
      </c>
      <c r="K186" s="149">
        <f t="shared" si="464"/>
        <v>-9.4214527676411749E-3</v>
      </c>
      <c r="L186" s="149">
        <f t="shared" si="464"/>
        <v>-9.3460700041067407E-3</v>
      </c>
      <c r="M186" s="149">
        <f t="shared" si="464"/>
        <v>-7.4323497641917606E-3</v>
      </c>
      <c r="N186" s="149">
        <f t="shared" si="464"/>
        <v>-6.1964805526008816E-3</v>
      </c>
      <c r="O186" s="149">
        <f t="shared" si="464"/>
        <v>-6.9395632958718367E-3</v>
      </c>
      <c r="P186" s="149">
        <f t="shared" si="464"/>
        <v>-7.4867885090544916E-3</v>
      </c>
      <c r="Q186" s="149">
        <f t="shared" si="464"/>
        <v>-7.324726454528147E-3</v>
      </c>
      <c r="R186" s="149">
        <f t="shared" si="464"/>
        <v>-6.5147746874953377E-3</v>
      </c>
      <c r="S186" s="245">
        <f>_xlfn.XLOOKUP($F186,'Budget Assumption Driver'!$A$33:$A$39,'Budget Assumption Driver'!E$33:E$39)+G186</f>
        <v>-6.8282782245925487E-3</v>
      </c>
      <c r="T186" s="246">
        <f>_xlfn.XLOOKUP($F186,'Budget Assumption Driver'!$A$33:$A$39,'Budget Assumption Driver'!F$33:F$39)+H186</f>
        <v>-5.8083533677247366E-3</v>
      </c>
      <c r="U186" s="246">
        <f>_xlfn.XLOOKUP($F186,'Budget Assumption Driver'!$A$33:$A$39,'Budget Assumption Driver'!G$33:G$39)+I186</f>
        <v>-6.6555635914393183E-3</v>
      </c>
      <c r="V186" s="246">
        <f>_xlfn.XLOOKUP($F186,'Budget Assumption Driver'!$A$33:$A$39,'Budget Assumption Driver'!H$33:H$39)+J186</f>
        <v>-1.0067806729269848E-2</v>
      </c>
      <c r="W186" s="246">
        <f>_xlfn.XLOOKUP($F186,'Budget Assumption Driver'!$A$33:$A$39,'Budget Assumption Driver'!I$33:I$39)+K186</f>
        <v>-9.4214527676411749E-3</v>
      </c>
      <c r="X186" s="246">
        <f>_xlfn.XLOOKUP($F186,'Budget Assumption Driver'!$A$33:$A$39,'Budget Assumption Driver'!J$33:J$39)+L186</f>
        <v>-9.3460700041067407E-3</v>
      </c>
      <c r="Y186" s="246">
        <f>_xlfn.XLOOKUP($F186,'Budget Assumption Driver'!$A$33:$A$39,'Budget Assumption Driver'!K$33:K$39)+M186</f>
        <v>-7.4323497641917606E-3</v>
      </c>
      <c r="Z186" s="246">
        <f>_xlfn.XLOOKUP($F186,'Budget Assumption Driver'!$A$33:$A$39,'Budget Assumption Driver'!L$33:L$39)+N186</f>
        <v>-6.1964805526008816E-3</v>
      </c>
      <c r="AA186" s="246">
        <f>_xlfn.XLOOKUP($F186,'Budget Assumption Driver'!$A$33:$A$39,'Budget Assumption Driver'!M$33:M$39)+O186</f>
        <v>-6.9395632958718367E-3</v>
      </c>
      <c r="AB186" s="246">
        <f>_xlfn.XLOOKUP($F186,'Budget Assumption Driver'!$A$33:$A$39,'Budget Assumption Driver'!N$33:N$39)+P186</f>
        <v>-7.4867885090544916E-3</v>
      </c>
      <c r="AC186" s="246">
        <f>_xlfn.XLOOKUP($F186,'Budget Assumption Driver'!$A$33:$A$39,'Budget Assumption Driver'!O$33:O$39)+Q186</f>
        <v>-7.324726454528147E-3</v>
      </c>
      <c r="AD186" s="296">
        <f>_xlfn.XLOOKUP($F186,'Budget Assumption Driver'!$A$33:$A$39,'Budget Assumption Driver'!P$33:P$39)+R186</f>
        <v>-6.5147746874953377E-3</v>
      </c>
      <c r="AE186" s="15"/>
      <c r="AF186" s="232">
        <f>_xlfn.XLOOKUP($C186,'Site Level Financials - ''23 ''24'!$C$2:$C$1577,'Site Level Financials - ''23 ''24'!$AF$2:$AF$1577)</f>
        <v>-7.5020905200463197E-3</v>
      </c>
      <c r="AG186" s="97">
        <f t="shared" ref="AG186:AH186" si="465">AG185/AG167</f>
        <v>-7.4725445951884829E-3</v>
      </c>
      <c r="AH186" s="97">
        <f t="shared" si="465"/>
        <v>-7.6421780576379841E-3</v>
      </c>
    </row>
    <row r="187" spans="2:34" ht="3" customHeight="1" x14ac:dyDescent="0.2">
      <c r="B187" s="9">
        <f>G155</f>
        <v>4</v>
      </c>
      <c r="C187" s="9" t="str">
        <f t="shared" si="372"/>
        <v xml:space="preserve">4 - </v>
      </c>
      <c r="D187" s="9" t="s">
        <v>56</v>
      </c>
      <c r="F187" s="16"/>
      <c r="G187" s="84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4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6"/>
      <c r="AE187" s="15"/>
      <c r="AF187" s="36"/>
      <c r="AG187" s="38"/>
      <c r="AH187" s="38"/>
    </row>
    <row r="188" spans="2:34" x14ac:dyDescent="0.2">
      <c r="B188" s="9">
        <f>G155</f>
        <v>4</v>
      </c>
      <c r="C188" s="9" t="str">
        <f t="shared" si="372"/>
        <v>4 - Office Rent</v>
      </c>
      <c r="D188" s="9" t="s">
        <v>56</v>
      </c>
      <c r="F188" t="s">
        <v>162</v>
      </c>
      <c r="G188" s="178">
        <f>_xlfn.XLOOKUP($C188,'Site Level Financials - ''23 ''24'!$C$2:$C$1577,'Site Level Financials - ''23 ''24'!S$2:S$1577)</f>
        <v>-15.790193024017245</v>
      </c>
      <c r="H188" s="179">
        <f>_xlfn.XLOOKUP($C188,'Site Level Financials - ''23 ''24'!$C$2:$C$1577,'Site Level Financials - ''23 ''24'!T$2:T$1577)</f>
        <v>-15.790193024017245</v>
      </c>
      <c r="I188" s="179">
        <f>_xlfn.XLOOKUP($C188,'Site Level Financials - ''23 ''24'!$C$2:$C$1577,'Site Level Financials - ''23 ''24'!U$2:U$1577)</f>
        <v>-15.790193024017245</v>
      </c>
      <c r="J188" s="179">
        <f>_xlfn.XLOOKUP($C188,'Site Level Financials - ''23 ''24'!$C$2:$C$1577,'Site Level Financials - ''23 ''24'!V$2:V$1577)</f>
        <v>-15.790193024017245</v>
      </c>
      <c r="K188" s="179">
        <f>_xlfn.XLOOKUP($C188,'Site Level Financials - ''23 ''24'!$C$2:$C$1577,'Site Level Financials - ''23 ''24'!W$2:W$1577)</f>
        <v>-15.790193024017245</v>
      </c>
      <c r="L188" s="179">
        <f>_xlfn.XLOOKUP($C188,'Site Level Financials - ''23 ''24'!$C$2:$C$1577,'Site Level Financials - ''23 ''24'!X$2:X$1577)</f>
        <v>-15.790193024017245</v>
      </c>
      <c r="M188" s="179">
        <f>_xlfn.XLOOKUP($C188,'Site Level Financials - ''23 ''24'!$C$2:$C$1577,'Site Level Financials - ''23 ''24'!Y$2:Y$1577)</f>
        <v>-15.790193024017245</v>
      </c>
      <c r="N188" s="179">
        <f>_xlfn.XLOOKUP($C188,'Site Level Financials - ''23 ''24'!$C$2:$C$1577,'Site Level Financials - ''23 ''24'!Z$2:Z$1577)</f>
        <v>-15.790193024017245</v>
      </c>
      <c r="O188" s="179">
        <f>_xlfn.XLOOKUP($C188,'Site Level Financials - ''23 ''24'!$C$2:$C$1577,'Site Level Financials - ''23 ''24'!AA$2:AA$1577)</f>
        <v>-16.263898814737765</v>
      </c>
      <c r="P188" s="179">
        <f>_xlfn.XLOOKUP($C188,'Site Level Financials - ''23 ''24'!$C$2:$C$1577,'Site Level Financials - ''23 ''24'!AB$2:AB$1577)</f>
        <v>-16.263898814737765</v>
      </c>
      <c r="Q188" s="179">
        <f>_xlfn.XLOOKUP($C188,'Site Level Financials - ''23 ''24'!$C$2:$C$1577,'Site Level Financials - ''23 ''24'!AC$2:AC$1577)</f>
        <v>-16.263898814737765</v>
      </c>
      <c r="R188" s="179">
        <f>_xlfn.XLOOKUP($C188,'Site Level Financials - ''23 ''24'!$C$2:$C$1577,'Site Level Financials - ''23 ''24'!AD$2:AD$1577)</f>
        <v>-16.263898814737765</v>
      </c>
      <c r="S188" s="155">
        <f>G188*(1+S189)</f>
        <v>-16.263898814737765</v>
      </c>
      <c r="T188" s="154">
        <f t="shared" ref="T188" si="466">H188*(1+T189)</f>
        <v>-16.263898814737765</v>
      </c>
      <c r="U188" s="154">
        <f t="shared" ref="U188" si="467">I188*(1+U189)</f>
        <v>-16.263898814737765</v>
      </c>
      <c r="V188" s="154">
        <f t="shared" ref="V188" si="468">J188*(1+V189)</f>
        <v>-16.263898814737765</v>
      </c>
      <c r="W188" s="154">
        <f t="shared" ref="W188" si="469">K188*(1+W189)</f>
        <v>-16.263898814737765</v>
      </c>
      <c r="X188" s="154">
        <f t="shared" ref="X188" si="470">L188*(1+X189)</f>
        <v>-16.263898814737765</v>
      </c>
      <c r="Y188" s="154">
        <f t="shared" ref="Y188" si="471">M188*(1+Y189)</f>
        <v>-16.263898814737765</v>
      </c>
      <c r="Z188" s="154">
        <f t="shared" ref="Z188" si="472">N188*(1+Z189)</f>
        <v>-16.263898814737765</v>
      </c>
      <c r="AA188" s="154">
        <f t="shared" ref="AA188" si="473">O188*(1+AA189)</f>
        <v>-16.751815779179896</v>
      </c>
      <c r="AB188" s="154">
        <f t="shared" ref="AB188" si="474">P188*(1+AB189)</f>
        <v>-16.751815779179896</v>
      </c>
      <c r="AC188" s="154">
        <f t="shared" ref="AC188" si="475">Q188*(1+AC189)</f>
        <v>-16.751815779179896</v>
      </c>
      <c r="AD188" s="156">
        <f t="shared" ref="AD188" si="476">R188*(1+AD189)</f>
        <v>-16.751815779179896</v>
      </c>
      <c r="AE188" s="15"/>
      <c r="AF188" s="115">
        <f>_xlfn.XLOOKUP($C188,'Site Level Financials - ''23 ''24'!$C$2:$C$1577,'Site Level Financials - ''23 ''24'!$AF$2:$AF$1577)</f>
        <v>-185.80672694956115</v>
      </c>
      <c r="AG188" s="93">
        <f>SUM(G188:R188)</f>
        <v>-191.37713945108899</v>
      </c>
      <c r="AH188" s="93">
        <f t="shared" ref="AH188" si="477">SUM(S188:AD188)</f>
        <v>-197.11845363462172</v>
      </c>
    </row>
    <row r="189" spans="2:34" x14ac:dyDescent="0.2">
      <c r="B189" s="9">
        <f>G155</f>
        <v>4</v>
      </c>
      <c r="C189" s="9" t="str">
        <f t="shared" si="372"/>
        <v>4 - % YoY Growth</v>
      </c>
      <c r="D189" s="9" t="s">
        <v>56</v>
      </c>
      <c r="F189" s="16" t="s">
        <v>8</v>
      </c>
      <c r="G189" s="245">
        <f>_xlfn.XLOOKUP($C189,'Site Level Financials - ''23 ''24'!$C$2:$C$1577,'Site Level Financials - ''23 ''24'!S$2:S$1577)</f>
        <v>2.9979606190684516E-2</v>
      </c>
      <c r="H189" s="246">
        <f>_xlfn.XLOOKUP($C189,'Site Level Financials - ''23 ''24'!$C$2:$C$1577,'Site Level Financials - ''23 ''24'!T$2:T$1577)</f>
        <v>2.9979606190684516E-2</v>
      </c>
      <c r="I189" s="246">
        <f>_xlfn.XLOOKUP($C189,'Site Level Financials - ''23 ''24'!$C$2:$C$1577,'Site Level Financials - ''23 ''24'!U$2:U$1577)</f>
        <v>2.9979606190684516E-2</v>
      </c>
      <c r="J189" s="246">
        <f>_xlfn.XLOOKUP($C189,'Site Level Financials - ''23 ''24'!$C$2:$C$1577,'Site Level Financials - ''23 ''24'!V$2:V$1577)</f>
        <v>2.9979606190684516E-2</v>
      </c>
      <c r="K189" s="246">
        <f>_xlfn.XLOOKUP($C189,'Site Level Financials - ''23 ''24'!$C$2:$C$1577,'Site Level Financials - ''23 ''24'!W$2:W$1577)</f>
        <v>2.9979606190684516E-2</v>
      </c>
      <c r="L189" s="246">
        <f>_xlfn.XLOOKUP($C189,'Site Level Financials - ''23 ''24'!$C$2:$C$1577,'Site Level Financials - ''23 ''24'!X$2:X$1577)</f>
        <v>2.9979606190684516E-2</v>
      </c>
      <c r="M189" s="246">
        <f>_xlfn.XLOOKUP($C189,'Site Level Financials - ''23 ''24'!$C$2:$C$1577,'Site Level Financials - ''23 ''24'!Y$2:Y$1577)</f>
        <v>2.9979606190684516E-2</v>
      </c>
      <c r="N189" s="246">
        <f>_xlfn.XLOOKUP($C189,'Site Level Financials - ''23 ''24'!$C$2:$C$1577,'Site Level Financials - ''23 ''24'!Z$2:Z$1577)</f>
        <v>2.9979606190684516E-2</v>
      </c>
      <c r="O189" s="246">
        <f>_xlfn.XLOOKUP($C189,'Site Level Financials - ''23 ''24'!$C$2:$C$1577,'Site Level Financials - ''23 ''24'!AA$2:AA$1577)</f>
        <v>2.9979606190684738E-2</v>
      </c>
      <c r="P189" s="246">
        <f>_xlfn.XLOOKUP($C189,'Site Level Financials - ''23 ''24'!$C$2:$C$1577,'Site Level Financials - ''23 ''24'!AB$2:AB$1577)</f>
        <v>2.9979606190684738E-2</v>
      </c>
      <c r="Q189" s="246">
        <f>_xlfn.XLOOKUP($C189,'Site Level Financials - ''23 ''24'!$C$2:$C$1577,'Site Level Financials - ''23 ''24'!AC$2:AC$1577)</f>
        <v>2.9979606190684738E-2</v>
      </c>
      <c r="R189" s="246">
        <f>_xlfn.XLOOKUP($C189,'Site Level Financials - ''23 ''24'!$C$2:$C$1577,'Site Level Financials - ''23 ''24'!AD$2:AD$1577)</f>
        <v>2.9979606190684738E-2</v>
      </c>
      <c r="S189" s="245">
        <f>_xlfn.XLOOKUP($F189,'Budget Assumption Driver'!$A$33:$A$39,'Budget Assumption Driver'!E$33:E$39)</f>
        <v>0.03</v>
      </c>
      <c r="T189" s="246">
        <f>_xlfn.XLOOKUP($F189,'Budget Assumption Driver'!$A$33:$A$39,'Budget Assumption Driver'!F$33:F$39)</f>
        <v>0.03</v>
      </c>
      <c r="U189" s="246">
        <f>_xlfn.XLOOKUP($F189,'Budget Assumption Driver'!$A$33:$A$39,'Budget Assumption Driver'!G$33:G$39)</f>
        <v>0.03</v>
      </c>
      <c r="V189" s="246">
        <f>_xlfn.XLOOKUP($F189,'Budget Assumption Driver'!$A$33:$A$39,'Budget Assumption Driver'!H$33:H$39)</f>
        <v>0.03</v>
      </c>
      <c r="W189" s="246">
        <f>_xlfn.XLOOKUP($F189,'Budget Assumption Driver'!$A$33:$A$39,'Budget Assumption Driver'!I$33:I$39)</f>
        <v>0.03</v>
      </c>
      <c r="X189" s="246">
        <f>_xlfn.XLOOKUP($F189,'Budget Assumption Driver'!$A$33:$A$39,'Budget Assumption Driver'!J$33:J$39)</f>
        <v>0.03</v>
      </c>
      <c r="Y189" s="246">
        <f>_xlfn.XLOOKUP($F189,'Budget Assumption Driver'!$A$33:$A$39,'Budget Assumption Driver'!K$33:K$39)</f>
        <v>0.03</v>
      </c>
      <c r="Z189" s="246">
        <f>_xlfn.XLOOKUP($F189,'Budget Assumption Driver'!$A$33:$A$39,'Budget Assumption Driver'!L$33:L$39)</f>
        <v>0.03</v>
      </c>
      <c r="AA189" s="246">
        <f>_xlfn.XLOOKUP($F189,'Budget Assumption Driver'!$A$33:$A$39,'Budget Assumption Driver'!M$33:M$39)</f>
        <v>0.03</v>
      </c>
      <c r="AB189" s="246">
        <f>_xlfn.XLOOKUP($F189,'Budget Assumption Driver'!$A$33:$A$39,'Budget Assumption Driver'!N$33:N$39)</f>
        <v>0.03</v>
      </c>
      <c r="AC189" s="246">
        <f>_xlfn.XLOOKUP($F189,'Budget Assumption Driver'!$A$33:$A$39,'Budget Assumption Driver'!O$33:O$39)</f>
        <v>0.03</v>
      </c>
      <c r="AD189" s="296">
        <f>_xlfn.XLOOKUP($F189,'Budget Assumption Driver'!$A$33:$A$39,'Budget Assumption Driver'!P$33:P$39)</f>
        <v>0.03</v>
      </c>
      <c r="AE189" s="15"/>
      <c r="AF189" s="11"/>
      <c r="AG189" s="97">
        <f>AG188/AF188-1</f>
        <v>2.9979606190684294E-2</v>
      </c>
      <c r="AH189" s="97">
        <f>AH188/AG188-1</f>
        <v>3.0000000000000249E-2</v>
      </c>
    </row>
    <row r="190" spans="2:34" ht="6" customHeight="1" x14ac:dyDescent="0.2">
      <c r="B190" s="9">
        <f>G155</f>
        <v>4</v>
      </c>
      <c r="C190" s="9" t="str">
        <f t="shared" si="372"/>
        <v xml:space="preserve">4 - </v>
      </c>
      <c r="D190" s="9" t="s">
        <v>56</v>
      </c>
      <c r="F190" s="16"/>
      <c r="G190" s="80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80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81"/>
      <c r="AE190" s="15"/>
      <c r="AF190" s="11"/>
      <c r="AG190" s="15"/>
      <c r="AH190" s="15"/>
    </row>
    <row r="191" spans="2:34" x14ac:dyDescent="0.2">
      <c r="B191" s="9">
        <f>G155</f>
        <v>4</v>
      </c>
      <c r="C191" s="9" t="str">
        <f t="shared" si="372"/>
        <v>4 - Office EBITDA</v>
      </c>
      <c r="D191" s="9" t="s">
        <v>56</v>
      </c>
      <c r="F191" s="8" t="s">
        <v>12</v>
      </c>
      <c r="G191" s="241">
        <f>_xlfn.XLOOKUP($C191,'Site Level Financials - ''23 ''24'!$C$2:$C$1577,'Site Level Financials - ''23 ''24'!S$2:S$1577)</f>
        <v>409.03633798144205</v>
      </c>
      <c r="H191" s="242">
        <f>_xlfn.XLOOKUP($C191,'Site Level Financials - ''23 ''24'!$C$2:$C$1577,'Site Level Financials - ''23 ''24'!T$2:T$1577)</f>
        <v>430.27786037303468</v>
      </c>
      <c r="I191" s="242">
        <f>_xlfn.XLOOKUP($C191,'Site Level Financials - ''23 ''24'!$C$2:$C$1577,'Site Level Financials - ''23 ''24'!U$2:U$1577)</f>
        <v>435.07591815986979</v>
      </c>
      <c r="J191" s="242">
        <f>_xlfn.XLOOKUP($C191,'Site Level Financials - ''23 ''24'!$C$2:$C$1577,'Site Level Financials - ''23 ''24'!V$2:V$1577)</f>
        <v>307.22864888266696</v>
      </c>
      <c r="K191" s="242">
        <f>_xlfn.XLOOKUP($C191,'Site Level Financials - ''23 ''24'!$C$2:$C$1577,'Site Level Financials - ''23 ''24'!W$2:W$1577)</f>
        <v>310.38686704458547</v>
      </c>
      <c r="L191" s="242">
        <f>_xlfn.XLOOKUP($C191,'Site Level Financials - ''23 ''24'!$C$2:$C$1577,'Site Level Financials - ''23 ''24'!X$2:X$1577)</f>
        <v>309.77342609342088</v>
      </c>
      <c r="M191" s="242">
        <f>_xlfn.XLOOKUP($C191,'Site Level Financials - ''23 ''24'!$C$2:$C$1577,'Site Level Financials - ''23 ''24'!Y$2:Y$1577)</f>
        <v>449.96617314259908</v>
      </c>
      <c r="N191" s="242">
        <f>_xlfn.XLOOKUP($C191,'Site Level Financials - ''23 ''24'!$C$2:$C$1577,'Site Level Financials - ''23 ''24'!Z$2:Z$1577)</f>
        <v>518.39816354186564</v>
      </c>
      <c r="O191" s="242">
        <f>_xlfn.XLOOKUP($C191,'Site Level Financials - ''23 ''24'!$C$2:$C$1577,'Site Level Financials - ''23 ''24'!AA$2:AA$1577)</f>
        <v>477.08648732986563</v>
      </c>
      <c r="P191" s="242">
        <f>_xlfn.XLOOKUP($C191,'Site Level Financials - ''23 ''24'!$C$2:$C$1577,'Site Level Financials - ''23 ''24'!AB$2:AB$1577)</f>
        <v>557.63928181816175</v>
      </c>
      <c r="Q191" s="242">
        <f>_xlfn.XLOOKUP($C191,'Site Level Financials - ''23 ''24'!$C$2:$C$1577,'Site Level Financials - ''23 ''24'!AC$2:AC$1577)</f>
        <v>337.96308117472324</v>
      </c>
      <c r="R191" s="242">
        <f>_xlfn.XLOOKUP($C191,'Site Level Financials - ''23 ''24'!$C$2:$C$1577,'Site Level Financials - ''23 ''24'!AD$2:AD$1577)</f>
        <v>316.76813788752634</v>
      </c>
      <c r="S191" s="134">
        <f t="shared" ref="S191:AD191" si="478">S179+S182+S185+S188</f>
        <v>431.50984385411749</v>
      </c>
      <c r="T191" s="135">
        <f t="shared" si="478"/>
        <v>450.14300673861811</v>
      </c>
      <c r="U191" s="135">
        <f t="shared" si="478"/>
        <v>480.65084194404835</v>
      </c>
      <c r="V191" s="135">
        <f t="shared" si="478"/>
        <v>423.65778667653302</v>
      </c>
      <c r="W191" s="135">
        <f t="shared" si="478"/>
        <v>460.29316184506536</v>
      </c>
      <c r="X191" s="135">
        <f t="shared" si="478"/>
        <v>426.65219634078386</v>
      </c>
      <c r="Y191" s="135">
        <f t="shared" si="478"/>
        <v>513.62405747651007</v>
      </c>
      <c r="Z191" s="135">
        <f t="shared" si="478"/>
        <v>484.91236087752065</v>
      </c>
      <c r="AA191" s="135">
        <f t="shared" si="478"/>
        <v>445.34072931506802</v>
      </c>
      <c r="AB191" s="135">
        <f t="shared" si="478"/>
        <v>515.14138275775588</v>
      </c>
      <c r="AC191" s="135">
        <f t="shared" si="478"/>
        <v>403.92129736011753</v>
      </c>
      <c r="AD191" s="136">
        <f t="shared" si="478"/>
        <v>327.30534600253191</v>
      </c>
      <c r="AE191" s="15"/>
      <c r="AF191" s="113">
        <f>_xlfn.XLOOKUP($C191,'Site Level Financials - ''23 ''24'!$C$2:$C$1577,'Site Level Financials - ''23 ''24'!$AF$2:$AF$1577)</f>
        <v>2449.7647610767144</v>
      </c>
      <c r="AG191" s="95">
        <f>SUM(G191:R191)</f>
        <v>4859.6003834297608</v>
      </c>
      <c r="AH191" s="95">
        <f t="shared" ref="AH191" si="479">SUM(S191:AD191)</f>
        <v>5363.1520111886712</v>
      </c>
    </row>
    <row r="192" spans="2:34" x14ac:dyDescent="0.2">
      <c r="B192" s="9">
        <f>G155</f>
        <v>4</v>
      </c>
      <c r="C192" s="9" t="str">
        <f t="shared" si="372"/>
        <v>4 - % of Revenue - Office EBITDA</v>
      </c>
      <c r="D192" s="9" t="s">
        <v>56</v>
      </c>
      <c r="F192" s="16" t="str">
        <f>"% of Revenue - "&amp;F191</f>
        <v>% of Revenue - Office EBITDA</v>
      </c>
      <c r="G192" s="148">
        <f>G191/G167</f>
        <v>0.61867721435145484</v>
      </c>
      <c r="H192" s="149">
        <f t="shared" ref="H192:AD192" si="480">H191/H167</f>
        <v>0.62348623884264576</v>
      </c>
      <c r="I192" s="149">
        <f t="shared" si="480"/>
        <v>0.61886270023513312</v>
      </c>
      <c r="J192" s="149">
        <f t="shared" si="480"/>
        <v>0.50413776265898069</v>
      </c>
      <c r="K192" s="149">
        <f t="shared" si="480"/>
        <v>0.45972844852173006</v>
      </c>
      <c r="L192" s="149">
        <f t="shared" si="480"/>
        <v>0.50876466087725225</v>
      </c>
      <c r="M192" s="149">
        <f t="shared" si="480"/>
        <v>0.61344317059250109</v>
      </c>
      <c r="N192" s="149">
        <f t="shared" si="480"/>
        <v>0.67967181861113246</v>
      </c>
      <c r="O192" s="149">
        <f t="shared" si="480"/>
        <v>0.68111146782101661</v>
      </c>
      <c r="P192" s="149">
        <f t="shared" si="480"/>
        <v>0.68589635761148693</v>
      </c>
      <c r="Q192" s="149">
        <f t="shared" si="480"/>
        <v>0.67385567602588858</v>
      </c>
      <c r="R192" s="149">
        <f t="shared" si="480"/>
        <v>0.67315848158257063</v>
      </c>
      <c r="S192" s="148">
        <f t="shared" si="480"/>
        <v>0.61922138368313029</v>
      </c>
      <c r="T192" s="149">
        <f t="shared" si="480"/>
        <v>0.62382751858964669</v>
      </c>
      <c r="U192" s="149">
        <f t="shared" si="480"/>
        <v>0.62033271161445624</v>
      </c>
      <c r="V192" s="149">
        <f t="shared" si="480"/>
        <v>0.51045233746113117</v>
      </c>
      <c r="W192" s="149">
        <f t="shared" si="480"/>
        <v>0.46662829594464805</v>
      </c>
      <c r="X192" s="149">
        <f t="shared" si="480"/>
        <v>0.51506396780864583</v>
      </c>
      <c r="Y192" s="149">
        <f t="shared" si="480"/>
        <v>0.61548089691811114</v>
      </c>
      <c r="Z192" s="149">
        <f t="shared" si="480"/>
        <v>0.67764617391713633</v>
      </c>
      <c r="AA192" s="149">
        <f t="shared" si="480"/>
        <v>0.67879713838845113</v>
      </c>
      <c r="AB192" s="149">
        <f t="shared" si="480"/>
        <v>0.68366881681031066</v>
      </c>
      <c r="AC192" s="149">
        <f t="shared" si="480"/>
        <v>0.67815858450518285</v>
      </c>
      <c r="AD192" s="150">
        <f t="shared" si="480"/>
        <v>0.6732623681264519</v>
      </c>
      <c r="AE192" s="15"/>
      <c r="AF192" s="232">
        <f>_xlfn.XLOOKUP($C192,'Site Level Financials - ''23 ''24'!$C$2:$C$1577,'Site Level Financials - ''23 ''24'!$AF$2:$AF$1577)</f>
        <v>0.603145926288434</v>
      </c>
      <c r="AG192" s="97">
        <f t="shared" ref="AG192:AH192" si="481">AG191/AG167</f>
        <v>0.61284904301120446</v>
      </c>
      <c r="AH192" s="97">
        <f t="shared" si="481"/>
        <v>0.6039973542590833</v>
      </c>
    </row>
    <row r="193" spans="2:35" ht="6" customHeight="1" x14ac:dyDescent="0.2">
      <c r="B193" s="9">
        <f>G155</f>
        <v>4</v>
      </c>
      <c r="C193" s="9" t="str">
        <f t="shared" si="372"/>
        <v xml:space="preserve">4 - </v>
      </c>
      <c r="D193" s="9" t="s">
        <v>56</v>
      </c>
      <c r="G193" s="80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80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81"/>
      <c r="AE193" s="15"/>
      <c r="AF193" s="11"/>
      <c r="AG193" s="15"/>
      <c r="AH193" s="15"/>
    </row>
    <row r="194" spans="2:35" x14ac:dyDescent="0.2">
      <c r="B194" s="9">
        <f>G155</f>
        <v>4</v>
      </c>
      <c r="C194" s="9" t="str">
        <f t="shared" si="372"/>
        <v>4 - Memo:</v>
      </c>
      <c r="D194" s="9" t="s">
        <v>56</v>
      </c>
      <c r="F194" s="6" t="s">
        <v>13</v>
      </c>
      <c r="G194" s="80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80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81"/>
      <c r="AE194" s="15"/>
      <c r="AF194" s="11"/>
      <c r="AG194" s="15"/>
      <c r="AH194" s="15"/>
    </row>
    <row r="195" spans="2:35" s="24" customFormat="1" x14ac:dyDescent="0.2">
      <c r="B195" s="9">
        <f>G155</f>
        <v>4</v>
      </c>
      <c r="C195" s="9" t="str">
        <f t="shared" si="372"/>
        <v>4 - Collections</v>
      </c>
      <c r="D195" s="9" t="s">
        <v>56</v>
      </c>
      <c r="E195" s="49"/>
      <c r="F195" s="24" t="s">
        <v>15</v>
      </c>
      <c r="G195" s="247">
        <f>_xlfn.XLOOKUP($C195,'Site Level Financials - ''23 ''24'!$C$2:$C$1577,'Site Level Financials - ''23 ''24'!S$2:S$1577)</f>
        <v>670.36232534031808</v>
      </c>
      <c r="H195" s="248">
        <f>_xlfn.XLOOKUP($C195,'Site Level Financials - ''23 ''24'!$C$2:$C$1577,'Site Level Financials - ''23 ''24'!T$2:T$1577)</f>
        <v>700.40221696163644</v>
      </c>
      <c r="I195" s="248">
        <f>_xlfn.XLOOKUP($C195,'Site Level Financials - ''23 ''24'!$C$2:$C$1577,'Site Level Financials - ''23 ''24'!U$2:U$1577)</f>
        <v>696.60486422141241</v>
      </c>
      <c r="J195" s="248">
        <f>_xlfn.XLOOKUP($C195,'Site Level Financials - ''23 ''24'!$C$2:$C$1577,'Site Level Financials - ''23 ''24'!V$2:V$1577)</f>
        <v>598.75577850044829</v>
      </c>
      <c r="K195" s="248">
        <f>_xlfn.XLOOKUP($C195,'Site Level Financials - ''23 ''24'!$C$2:$C$1577,'Site Level Financials - ''23 ''24'!W$2:W$1577)</f>
        <v>682.57559870112345</v>
      </c>
      <c r="L195" s="248">
        <f>_xlfn.XLOOKUP($C195,'Site Level Financials - ''23 ''24'!$C$2:$C$1577,'Site Level Financials - ''23 ''24'!X$2:X$1577)</f>
        <v>601.63596779051954</v>
      </c>
      <c r="M195" s="248">
        <f>_xlfn.XLOOKUP($C195,'Site Level Financials - ''23 ''24'!$C$2:$C$1577,'Site Level Financials - ''23 ''24'!Y$2:Y$1577)</f>
        <v>740.37606272505388</v>
      </c>
      <c r="N195" s="248">
        <f>_xlfn.XLOOKUP($C195,'Site Level Financials - ''23 ''24'!$C$2:$C$1577,'Site Level Financials - ''23 ''24'!Z$2:Z$1577)</f>
        <v>767.25928103307899</v>
      </c>
      <c r="O195" s="248">
        <f>_xlfn.XLOOKUP($C195,'Site Level Financials - ''23 ''24'!$C$2:$C$1577,'Site Level Financials - ''23 ''24'!AA$2:AA$1577)</f>
        <v>694.01286043717732</v>
      </c>
      <c r="P195" s="248">
        <f>_xlfn.XLOOKUP($C195,'Site Level Financials - ''23 ''24'!$C$2:$C$1577,'Site Level Financials - ''23 ''24'!AB$2:AB$1577)</f>
        <v>818.3710215077366</v>
      </c>
      <c r="Q195" s="248">
        <f>_xlfn.XLOOKUP($C195,'Site Level Financials - ''23 ''24'!$C$2:$C$1577,'Site Level Financials - ''23 ''24'!AC$2:AC$1577)</f>
        <v>495.39714135687746</v>
      </c>
      <c r="R195" s="248">
        <f>_xlfn.XLOOKUP($C195,'Site Level Financials - ''23 ''24'!$C$2:$C$1577,'Site Level Financials - ''23 ''24'!AD$2:AD$1577)</f>
        <v>473.22757860571431</v>
      </c>
      <c r="S195" s="169">
        <f t="shared" ref="S195:AD195" si="482">S196*S165</f>
        <v>696.85875718227931</v>
      </c>
      <c r="T195" s="170">
        <f t="shared" si="482"/>
        <v>721.58247804826624</v>
      </c>
      <c r="U195" s="170">
        <f t="shared" si="482"/>
        <v>774.82749651090182</v>
      </c>
      <c r="V195" s="170">
        <f t="shared" si="482"/>
        <v>829.96541613210422</v>
      </c>
      <c r="W195" s="170">
        <f t="shared" si="482"/>
        <v>986.42359635144339</v>
      </c>
      <c r="X195" s="170">
        <f t="shared" si="482"/>
        <v>828.34797812781915</v>
      </c>
      <c r="Y195" s="170">
        <f t="shared" si="482"/>
        <v>834.50852828799816</v>
      </c>
      <c r="Z195" s="170">
        <f t="shared" si="482"/>
        <v>715.58341143503083</v>
      </c>
      <c r="AA195" s="170">
        <f t="shared" si="482"/>
        <v>656.07337469389211</v>
      </c>
      <c r="AB195" s="170">
        <f t="shared" si="482"/>
        <v>753.49550848490128</v>
      </c>
      <c r="AC195" s="170">
        <f t="shared" si="482"/>
        <v>595.61481132740948</v>
      </c>
      <c r="AD195" s="171">
        <f t="shared" si="482"/>
        <v>486.14828556860249</v>
      </c>
      <c r="AE195" s="26"/>
      <c r="AF195" s="234">
        <f>_xlfn.XLOOKUP($C195,'Site Level Financials - ''23 ''24'!$C$2:$C$1577,'Site Level Financials - ''23 ''24'!$AF$2:$AF$1577)</f>
        <v>4052.199153323957</v>
      </c>
      <c r="AG195" s="99">
        <f>SUM(G195:R195)</f>
        <v>7938.9806971810958</v>
      </c>
      <c r="AH195" s="99">
        <f t="shared" ref="AH195" si="483">SUM(S195:AD195)</f>
        <v>8879.4296421506497</v>
      </c>
    </row>
    <row r="196" spans="2:35" x14ac:dyDescent="0.2">
      <c r="B196" s="9">
        <f>G155</f>
        <v>4</v>
      </c>
      <c r="C196" s="9" t="str">
        <f t="shared" si="372"/>
        <v>4 - Collections as a % of Production</v>
      </c>
      <c r="D196" s="9" t="s">
        <v>56</v>
      </c>
      <c r="F196" s="16" t="s">
        <v>17</v>
      </c>
      <c r="G196" s="245">
        <f>_xlfn.XLOOKUP($C196,'Site Level Financials - ''23 ''24'!$C$2:$C$1577,'Site Level Financials - ''23 ''24'!S$2:S$1577)</f>
        <v>0.99433877445087393</v>
      </c>
      <c r="H196" s="246">
        <f>_xlfn.XLOOKUP($C196,'Site Level Financials - ''23 ''24'!$C$2:$C$1577,'Site Level Financials - ''23 ''24'!T$2:T$1577)</f>
        <v>0.99528608147812025</v>
      </c>
      <c r="I196" s="246">
        <f>_xlfn.XLOOKUP($C196,'Site Level Financials - ''23 ''24'!$C$2:$C$1577,'Site Level Financials - ''23 ''24'!U$2:U$1577)</f>
        <v>0.97171366867884901</v>
      </c>
      <c r="J196" s="246">
        <f>_xlfn.XLOOKUP($C196,'Site Level Financials - ''23 ''24'!$C$2:$C$1577,'Site Level Financials - ''23 ''24'!V$2:V$1577)</f>
        <v>0.96351789059415971</v>
      </c>
      <c r="K196" s="246">
        <f>_xlfn.XLOOKUP($C196,'Site Level Financials - ''23 ''24'!$C$2:$C$1577,'Site Level Financials - ''23 ''24'!W$2:W$1577)</f>
        <v>0.99145121008603332</v>
      </c>
      <c r="L196" s="246">
        <f>_xlfn.XLOOKUP($C196,'Site Level Financials - ''23 ''24'!$C$2:$C$1577,'Site Level Financials - ''23 ''24'!X$2:X$1577)</f>
        <v>0.96901191395602382</v>
      </c>
      <c r="M196" s="246">
        <f>_xlfn.XLOOKUP($C196,'Site Level Financials - ''23 ''24'!$C$2:$C$1577,'Site Level Financials - ''23 ''24'!Y$2:Y$1577)</f>
        <v>0.98984999486182779</v>
      </c>
      <c r="N196" s="246">
        <f>_xlfn.XLOOKUP($C196,'Site Level Financials - ''23 ''24'!$C$2:$C$1577,'Site Level Financials - ''23 ''24'!Z$2:Z$1577)</f>
        <v>0.98650775987380157</v>
      </c>
      <c r="O196" s="246">
        <f>_xlfn.XLOOKUP($C196,'Site Level Financials - ''23 ''24'!$C$2:$C$1577,'Site Level Financials - ''23 ''24'!AA$2:AA$1577)</f>
        <v>0.97165287773416897</v>
      </c>
      <c r="P196" s="246">
        <f>_xlfn.XLOOKUP($C196,'Site Level Financials - ''23 ''24'!$C$2:$C$1577,'Site Level Financials - ''23 ''24'!AB$2:AB$1577)</f>
        <v>0.9871381275469252</v>
      </c>
      <c r="Q196" s="246">
        <f>_xlfn.XLOOKUP($C196,'Site Level Financials - ''23 ''24'!$C$2:$C$1577,'Site Level Financials - ''23 ''24'!AC$2:AC$1577)</f>
        <v>0.96866514442303608</v>
      </c>
      <c r="R196" s="246">
        <f>_xlfn.XLOOKUP($C196,'Site Level Financials - ''23 ''24'!$C$2:$C$1577,'Site Level Financials - ''23 ''24'!AD$2:AD$1577)</f>
        <v>0.9862077781165407</v>
      </c>
      <c r="S196" s="148">
        <f>S166</f>
        <v>0.98183892830753328</v>
      </c>
      <c r="T196" s="149">
        <f t="shared" ref="T196:AD196" si="484">T166</f>
        <v>0.98183892830753328</v>
      </c>
      <c r="U196" s="149">
        <f t="shared" si="484"/>
        <v>0.98183892830753328</v>
      </c>
      <c r="V196" s="149">
        <f t="shared" si="484"/>
        <v>0.98183892830753328</v>
      </c>
      <c r="W196" s="149">
        <f t="shared" si="484"/>
        <v>0.98183892830753328</v>
      </c>
      <c r="X196" s="149">
        <f t="shared" si="484"/>
        <v>0.98183892830753328</v>
      </c>
      <c r="Y196" s="149">
        <f t="shared" si="484"/>
        <v>0.98183892830753328</v>
      </c>
      <c r="Z196" s="149">
        <f t="shared" si="484"/>
        <v>0.98183892830753328</v>
      </c>
      <c r="AA196" s="149">
        <f t="shared" si="484"/>
        <v>0.98183892830753328</v>
      </c>
      <c r="AB196" s="149">
        <f t="shared" si="484"/>
        <v>0.98183892830753328</v>
      </c>
      <c r="AC196" s="149">
        <f t="shared" si="484"/>
        <v>0.98183892830753328</v>
      </c>
      <c r="AD196" s="150">
        <f t="shared" si="484"/>
        <v>0.98183892830753328</v>
      </c>
      <c r="AE196" s="15"/>
      <c r="AF196" s="232">
        <f>_xlfn.XLOOKUP($C196,'Site Level Financials - ''23 ''24'!$C$2:$C$1577,'Site Level Financials - ''23 ''24'!$AF$2:$AF$1577)</f>
        <v>0.97791502194470981</v>
      </c>
      <c r="AG196" s="97">
        <f t="shared" ref="AG196:AH196" si="485">AG195/AG165</f>
        <v>0.98183892830753328</v>
      </c>
      <c r="AH196" s="97">
        <f t="shared" si="485"/>
        <v>0.98183892830753339</v>
      </c>
    </row>
    <row r="197" spans="2:35" ht="6" customHeight="1" x14ac:dyDescent="0.2">
      <c r="B197" s="9">
        <f>G155</f>
        <v>4</v>
      </c>
      <c r="C197" s="9" t="str">
        <f t="shared" si="372"/>
        <v xml:space="preserve">4 - </v>
      </c>
      <c r="D197" s="9" t="s">
        <v>56</v>
      </c>
      <c r="F197" s="27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81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81"/>
      <c r="AE197" s="15"/>
      <c r="AF197" s="11"/>
      <c r="AH197" s="224"/>
    </row>
    <row r="198" spans="2:35" s="24" customFormat="1" x14ac:dyDescent="0.2">
      <c r="B198" s="9">
        <f>G155</f>
        <v>4</v>
      </c>
      <c r="C198" s="9" t="str">
        <f t="shared" si="372"/>
        <v>4 - Production per Vet Workday - YoY Change</v>
      </c>
      <c r="D198" s="9" t="s">
        <v>56</v>
      </c>
      <c r="E198" s="49"/>
      <c r="F198" s="24" t="s">
        <v>55</v>
      </c>
      <c r="G198" s="249">
        <f>_xlfn.XLOOKUP($C198,'Site Level Financials - ''23 ''24'!$C$2:$C$1577,'Site Level Financials - ''23 ''24'!S$2:S$1577)</f>
        <v>2.8786965700604794E-2</v>
      </c>
      <c r="H198" s="250">
        <f>_xlfn.XLOOKUP($C198,'Site Level Financials - ''23 ''24'!$C$2:$C$1577,'Site Level Financials - ''23 ''24'!T$2:T$1577)</f>
        <v>2.7658608742431534E-2</v>
      </c>
      <c r="I198" s="250">
        <f>_xlfn.XLOOKUP($C198,'Site Level Financials - ''23 ''24'!$C$2:$C$1577,'Site Level Financials - ''23 ''24'!U$2:U$1577)</f>
        <v>-4.0453958437344562E-2</v>
      </c>
      <c r="J198" s="250">
        <f>_xlfn.XLOOKUP($C198,'Site Level Financials - ''23 ''24'!$C$2:$C$1577,'Site Level Financials - ''23 ''24'!V$2:V$1577)</f>
        <v>1.76525558182834E-2</v>
      </c>
      <c r="K198" s="250">
        <f>_xlfn.XLOOKUP($C198,'Site Level Financials - ''23 ''24'!$C$2:$C$1577,'Site Level Financials - ''23 ''24'!W$2:W$1577)</f>
        <v>-6.0619134039794798E-2</v>
      </c>
      <c r="L198" s="250">
        <f>_xlfn.XLOOKUP($C198,'Site Level Financials - ''23 ''24'!$C$2:$C$1577,'Site Level Financials - ''23 ''24'!X$2:X$1577)</f>
        <v>2.5117385274748827E-2</v>
      </c>
      <c r="M198" s="250">
        <f>_xlfn.XLOOKUP($C198,'Site Level Financials - ''23 ''24'!$C$2:$C$1577,'Site Level Financials - ''23 ''24'!Y$2:Y$1577)</f>
        <v>-3.9639899137450252E-2</v>
      </c>
      <c r="N198" s="250">
        <f>_xlfn.XLOOKUP($C198,'Site Level Financials - ''23 ''24'!$C$2:$C$1577,'Site Level Financials - ''23 ''24'!Z$2:Z$1577)</f>
        <v>-7.9040269266470675E-2</v>
      </c>
      <c r="O198" s="250">
        <f>_xlfn.XLOOKUP($C198,'Site Level Financials - ''23 ''24'!$C$2:$C$1577,'Site Level Financials - ''23 ''24'!AA$2:AA$1577)</f>
        <v>-6.5643218722692076E-2</v>
      </c>
      <c r="P198" s="250">
        <f>_xlfn.XLOOKUP($C198,'Site Level Financials - ''23 ''24'!$C$2:$C$1577,'Site Level Financials - ''23 ''24'!AB$2:AB$1577)</f>
        <v>-3.7279991140076518E-2</v>
      </c>
      <c r="Q198" s="250">
        <f>_xlfn.XLOOKUP($C198,'Site Level Financials - ''23 ''24'!$C$2:$C$1577,'Site Level Financials - ''23 ''24'!AC$2:AC$1577)</f>
        <v>-0.23157301994950441</v>
      </c>
      <c r="R198" s="251">
        <f>_xlfn.XLOOKUP($C198,'Site Level Financials - ''23 ''24'!$C$2:$C$1577,'Site Level Financials - ''23 ''24'!AD$2:AD$1577)</f>
        <v>-0.14055324448841688</v>
      </c>
      <c r="S198" s="151">
        <f>S164/G164-1</f>
        <v>-0.15779216319373135</v>
      </c>
      <c r="T198" s="152">
        <f t="shared" ref="T198" si="486">T164/H164-1</f>
        <v>-0.16451984752771243</v>
      </c>
      <c r="U198" s="152">
        <f t="shared" ref="U198" si="487">U164/I164-1</f>
        <v>-0.11934344270075259</v>
      </c>
      <c r="V198" s="152">
        <f t="shared" ref="V198" si="488">V164/J164-1</f>
        <v>-0.18382917823360034</v>
      </c>
      <c r="W198" s="152">
        <f t="shared" ref="W198" si="489">W164/K164-1</f>
        <v>-0.1244215899663953</v>
      </c>
      <c r="X198" s="152">
        <f t="shared" ref="X198" si="490">X164/L164-1</f>
        <v>-0.18469680442796588</v>
      </c>
      <c r="Y198" s="152">
        <f t="shared" ref="Y198" si="491">Y164/M164-1</f>
        <v>-9.0929561836208483E-2</v>
      </c>
      <c r="Z198" s="152">
        <f t="shared" ref="Z198" si="492">Z164/N164-1</f>
        <v>-6.2916324434140081E-2</v>
      </c>
      <c r="AA198" s="152">
        <f t="shared" ref="AA198" si="493">AA164/O164-1</f>
        <v>-6.4474156801113347E-2</v>
      </c>
      <c r="AB198" s="152">
        <f t="shared" ref="AB198" si="494">AB164/P164-1</f>
        <v>-7.4304602091003424E-2</v>
      </c>
      <c r="AC198" s="152">
        <f t="shared" ref="AC198" si="495">AC164/Q164-1</f>
        <v>0.18616585516306294</v>
      </c>
      <c r="AD198" s="153">
        <f t="shared" ref="AD198" si="496">AD164/R164-1</f>
        <v>3.1874519628317444E-2</v>
      </c>
      <c r="AF198" s="43"/>
      <c r="AG198" s="177">
        <f>AG164/AF164-1</f>
        <v>-7.8132156315350421E-2</v>
      </c>
      <c r="AH198" s="225">
        <f>AH164/AG164-1</f>
        <v>-6.7811689542102704E-2</v>
      </c>
    </row>
    <row r="199" spans="2:35" s="24" customFormat="1" ht="6" customHeight="1" x14ac:dyDescent="0.2">
      <c r="D199" s="9" t="s">
        <v>56</v>
      </c>
      <c r="E199" s="49"/>
      <c r="G199" s="28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29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29"/>
      <c r="AE199" s="25"/>
      <c r="AF199" s="28"/>
      <c r="AG199" s="30"/>
      <c r="AH199" s="226"/>
    </row>
    <row r="200" spans="2:35" s="24" customFormat="1" ht="6" customHeight="1" x14ac:dyDescent="0.2">
      <c r="D200" s="9" t="s">
        <v>56</v>
      </c>
      <c r="E200" s="49"/>
    </row>
    <row r="201" spans="2:35" x14ac:dyDescent="0.2">
      <c r="D201" s="9" t="s">
        <v>56</v>
      </c>
      <c r="F201" s="16"/>
    </row>
    <row r="202" spans="2:35" ht="15.75" thickBot="1" x14ac:dyDescent="0.4">
      <c r="B202" s="35" t="s">
        <v>52</v>
      </c>
      <c r="C202" s="35"/>
      <c r="D202" s="9" t="s">
        <v>56</v>
      </c>
      <c r="E202" s="48" t="s">
        <v>0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74"/>
      <c r="AH202" s="3">
        <f ca="1">TODAY()</f>
        <v>45999</v>
      </c>
      <c r="AI202" s="1"/>
    </row>
    <row r="203" spans="2:35" x14ac:dyDescent="0.2">
      <c r="B203" s="9">
        <f>G205</f>
        <v>5</v>
      </c>
      <c r="C203" s="9"/>
      <c r="D203" s="9" t="s">
        <v>56</v>
      </c>
      <c r="F203" t="s">
        <v>159</v>
      </c>
      <c r="AG203" s="6"/>
      <c r="AH203" s="6" t="s">
        <v>16</v>
      </c>
    </row>
    <row r="204" spans="2:35" x14ac:dyDescent="0.2">
      <c r="B204" s="9"/>
      <c r="C204" s="9"/>
      <c r="D204" s="9" t="s">
        <v>56</v>
      </c>
      <c r="AG204" s="6"/>
      <c r="AH204" s="6"/>
    </row>
    <row r="205" spans="2:35" x14ac:dyDescent="0.2">
      <c r="B205" s="9">
        <f>G205</f>
        <v>5</v>
      </c>
      <c r="C205" s="9"/>
      <c r="D205" s="9" t="s">
        <v>56</v>
      </c>
      <c r="F205" s="40" t="s">
        <v>53</v>
      </c>
      <c r="G205" s="42">
        <v>5</v>
      </c>
    </row>
    <row r="206" spans="2:35" x14ac:dyDescent="0.2">
      <c r="B206" s="9">
        <f>G205</f>
        <v>5</v>
      </c>
      <c r="C206" s="9"/>
      <c r="D206" s="9" t="s">
        <v>56</v>
      </c>
      <c r="F206" s="39" t="s">
        <v>22</v>
      </c>
      <c r="G206" s="41"/>
      <c r="H206" s="11"/>
    </row>
    <row r="207" spans="2:35" x14ac:dyDescent="0.2">
      <c r="B207" s="9">
        <f>G205</f>
        <v>5</v>
      </c>
      <c r="C207" s="9"/>
      <c r="D207" s="9" t="s">
        <v>56</v>
      </c>
      <c r="G207" s="23"/>
    </row>
    <row r="208" spans="2:35" x14ac:dyDescent="0.2">
      <c r="B208" s="9">
        <f>G205</f>
        <v>5</v>
      </c>
      <c r="C208" s="9"/>
      <c r="D208" s="9" t="s">
        <v>56</v>
      </c>
      <c r="G208" s="208" t="s">
        <v>229</v>
      </c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10"/>
      <c r="S208" s="266" t="s">
        <v>230</v>
      </c>
      <c r="T208" s="267"/>
      <c r="U208" s="267"/>
      <c r="V208" s="267"/>
      <c r="W208" s="267"/>
      <c r="X208" s="267"/>
      <c r="Y208" s="267"/>
      <c r="Z208" s="267"/>
      <c r="AA208" s="267"/>
      <c r="AB208" s="267"/>
      <c r="AC208" s="267"/>
      <c r="AD208" s="268"/>
      <c r="AF208" s="17" t="s">
        <v>231</v>
      </c>
      <c r="AG208" s="50"/>
      <c r="AH208" s="269" t="s">
        <v>232</v>
      </c>
    </row>
    <row r="209" spans="2:34" ht="15" customHeight="1" x14ac:dyDescent="0.35">
      <c r="B209" s="9">
        <f>G205</f>
        <v>5</v>
      </c>
      <c r="C209" s="9"/>
      <c r="D209" s="9" t="s">
        <v>56</v>
      </c>
      <c r="G209" s="211">
        <v>44957</v>
      </c>
      <c r="H209" s="212">
        <f>EOMONTH(G209,1)</f>
        <v>44985</v>
      </c>
      <c r="I209" s="212">
        <f t="shared" ref="I209" si="497">EOMONTH(H209,1)</f>
        <v>45016</v>
      </c>
      <c r="J209" s="212">
        <f t="shared" ref="J209" si="498">EOMONTH(I209,1)</f>
        <v>45046</v>
      </c>
      <c r="K209" s="212">
        <f t="shared" ref="K209" si="499">EOMONTH(J209,1)</f>
        <v>45077</v>
      </c>
      <c r="L209" s="212">
        <f t="shared" ref="L209" si="500">EOMONTH(K209,1)</f>
        <v>45107</v>
      </c>
      <c r="M209" s="212">
        <f t="shared" ref="M209" si="501">EOMONTH(L209,1)</f>
        <v>45138</v>
      </c>
      <c r="N209" s="212">
        <f t="shared" ref="N209" si="502">EOMONTH(M209,1)</f>
        <v>45169</v>
      </c>
      <c r="O209" s="212">
        <f t="shared" ref="O209" si="503">EOMONTH(N209,1)</f>
        <v>45199</v>
      </c>
      <c r="P209" s="212">
        <f t="shared" ref="P209" si="504">EOMONTH(O209,1)</f>
        <v>45230</v>
      </c>
      <c r="Q209" s="212">
        <f t="shared" ref="Q209" si="505">EOMONTH(P209,1)</f>
        <v>45260</v>
      </c>
      <c r="R209" s="213">
        <f t="shared" ref="R209" si="506">EOMONTH(Q209,1)</f>
        <v>45291</v>
      </c>
      <c r="S209" s="4">
        <f t="shared" ref="S209" si="507">EOMONTH(R209,1)</f>
        <v>45322</v>
      </c>
      <c r="T209" s="19">
        <f t="shared" ref="T209" si="508">EOMONTH(S209,1)</f>
        <v>45351</v>
      </c>
      <c r="U209" s="19">
        <f t="shared" ref="U209" si="509">EOMONTH(T209,1)</f>
        <v>45382</v>
      </c>
      <c r="V209" s="19">
        <f t="shared" ref="V209" si="510">EOMONTH(U209,1)</f>
        <v>45412</v>
      </c>
      <c r="W209" s="19">
        <f t="shared" ref="W209" si="511">EOMONTH(V209,1)</f>
        <v>45443</v>
      </c>
      <c r="X209" s="19">
        <f t="shared" ref="X209" si="512">EOMONTH(W209,1)</f>
        <v>45473</v>
      </c>
      <c r="Y209" s="19">
        <f t="shared" ref="Y209" si="513">EOMONTH(X209,1)</f>
        <v>45504</v>
      </c>
      <c r="Z209" s="19">
        <f t="shared" ref="Z209" si="514">EOMONTH(Y209,1)</f>
        <v>45535</v>
      </c>
      <c r="AA209" s="19">
        <f t="shared" ref="AA209" si="515">EOMONTH(Z209,1)</f>
        <v>45565</v>
      </c>
      <c r="AB209" s="19">
        <f t="shared" ref="AB209" si="516">EOMONTH(AA209,1)</f>
        <v>45596</v>
      </c>
      <c r="AC209" s="19">
        <f t="shared" ref="AC209" si="517">EOMONTH(AB209,1)</f>
        <v>45626</v>
      </c>
      <c r="AD209" s="5">
        <f t="shared" ref="AD209" si="518">EOMONTH(AC209,1)</f>
        <v>45657</v>
      </c>
      <c r="AE209" s="168"/>
      <c r="AF209" s="13">
        <v>45291</v>
      </c>
      <c r="AG209" s="14">
        <v>45657</v>
      </c>
      <c r="AH209" s="14">
        <v>46022</v>
      </c>
    </row>
    <row r="210" spans="2:34" ht="0.95" customHeight="1" x14ac:dyDescent="0.2">
      <c r="B210" s="9">
        <f>G205</f>
        <v>5</v>
      </c>
      <c r="C210" s="9"/>
      <c r="D210" s="9" t="s">
        <v>56</v>
      </c>
      <c r="G210" s="11"/>
      <c r="S210" s="11"/>
      <c r="AD210" s="15"/>
      <c r="AE210" s="15"/>
      <c r="AF210" s="11"/>
      <c r="AG210" s="15"/>
      <c r="AH210" s="15"/>
    </row>
    <row r="211" spans="2:34" x14ac:dyDescent="0.2">
      <c r="B211" s="9">
        <f>G205</f>
        <v>5</v>
      </c>
      <c r="C211" s="9" t="str">
        <f>B211&amp;" - "&amp;F211</f>
        <v>5 - Employed Vets</v>
      </c>
      <c r="D211" s="9" t="s">
        <v>56</v>
      </c>
      <c r="F211" s="7" t="s">
        <v>160</v>
      </c>
      <c r="G211" s="178">
        <f>_xlfn.XLOOKUP($C211,'Site Level Financials - ''23 ''24'!$C$2:$C$1577,'Site Level Financials - ''23 ''24'!S$2:S$1577)</f>
        <v>3</v>
      </c>
      <c r="H211" s="179">
        <f>_xlfn.XLOOKUP($C211,'Site Level Financials - ''23 ''24'!$C$2:$C$1577,'Site Level Financials - ''23 ''24'!T$2:T$1577)</f>
        <v>3</v>
      </c>
      <c r="I211" s="179">
        <f>_xlfn.XLOOKUP($C211,'Site Level Financials - ''23 ''24'!$C$2:$C$1577,'Site Level Financials - ''23 ''24'!U$2:U$1577)</f>
        <v>3</v>
      </c>
      <c r="J211" s="179">
        <f>_xlfn.XLOOKUP($C211,'Site Level Financials - ''23 ''24'!$C$2:$C$1577,'Site Level Financials - ''23 ''24'!V$2:V$1577)</f>
        <v>3</v>
      </c>
      <c r="K211" s="179">
        <f>_xlfn.XLOOKUP($C211,'Site Level Financials - ''23 ''24'!$C$2:$C$1577,'Site Level Financials - ''23 ''24'!W$2:W$1577)</f>
        <v>2</v>
      </c>
      <c r="L211" s="179">
        <f>_xlfn.XLOOKUP($C211,'Site Level Financials - ''23 ''24'!$C$2:$C$1577,'Site Level Financials - ''23 ''24'!X$2:X$1577)</f>
        <v>2</v>
      </c>
      <c r="M211" s="179">
        <f>_xlfn.XLOOKUP($C211,'Site Level Financials - ''23 ''24'!$C$2:$C$1577,'Site Level Financials - ''23 ''24'!Y$2:Y$1577)</f>
        <v>2</v>
      </c>
      <c r="N211" s="179">
        <f>_xlfn.XLOOKUP($C211,'Site Level Financials - ''23 ''24'!$C$2:$C$1577,'Site Level Financials - ''23 ''24'!Z$2:Z$1577)</f>
        <v>3</v>
      </c>
      <c r="O211" s="179">
        <f>_xlfn.XLOOKUP($C211,'Site Level Financials - ''23 ''24'!$C$2:$C$1577,'Site Level Financials - ''23 ''24'!AA$2:AA$1577)</f>
        <v>3</v>
      </c>
      <c r="P211" s="179">
        <f>_xlfn.XLOOKUP($C211,'Site Level Financials - ''23 ''24'!$C$2:$C$1577,'Site Level Financials - ''23 ''24'!AB$2:AB$1577)</f>
        <v>2</v>
      </c>
      <c r="Q211" s="179">
        <f>_xlfn.XLOOKUP($C211,'Site Level Financials - ''23 ''24'!$C$2:$C$1577,'Site Level Financials - ''23 ''24'!AC$2:AC$1577)</f>
        <v>2</v>
      </c>
      <c r="R211" s="179">
        <f>_xlfn.XLOOKUP($C211,'Site Level Financials - ''23 ''24'!$C$2:$C$1577,'Site Level Financials - ''23 ''24'!AD$2:AD$1577)</f>
        <v>2</v>
      </c>
      <c r="S211" s="178">
        <f>R211+_xlfn.XLOOKUP($R211,'Budget Assumption Driver'!$A$7:$A$11,'Budget Assumption Driver'!E$7:E$11)</f>
        <v>2</v>
      </c>
      <c r="T211" s="179">
        <f>S211+_xlfn.XLOOKUP($R211,'Budget Assumption Driver'!$A$7:$A$11,'Budget Assumption Driver'!F$7:F$11)</f>
        <v>2</v>
      </c>
      <c r="U211" s="179">
        <f>T211+_xlfn.XLOOKUP($R211,'Budget Assumption Driver'!$A$7:$A$11,'Budget Assumption Driver'!G$7:G$11)</f>
        <v>2</v>
      </c>
      <c r="V211" s="179">
        <f>U211+_xlfn.XLOOKUP($R211,'Budget Assumption Driver'!$A$7:$A$11,'Budget Assumption Driver'!H$7:H$11)</f>
        <v>3</v>
      </c>
      <c r="W211" s="179">
        <f>V211+_xlfn.XLOOKUP($R211,'Budget Assumption Driver'!$A$7:$A$11,'Budget Assumption Driver'!I$7:I$11)</f>
        <v>3</v>
      </c>
      <c r="X211" s="179">
        <f>W211+_xlfn.XLOOKUP($R211,'Budget Assumption Driver'!$A$7:$A$11,'Budget Assumption Driver'!J$7:J$11)</f>
        <v>3</v>
      </c>
      <c r="Y211" s="179">
        <f>X211+_xlfn.XLOOKUP($R211,'Budget Assumption Driver'!$A$7:$A$11,'Budget Assumption Driver'!K$7:K$11)</f>
        <v>3</v>
      </c>
      <c r="Z211" s="179">
        <f>Y211+_xlfn.XLOOKUP($R211,'Budget Assumption Driver'!$A$7:$A$11,'Budget Assumption Driver'!L$7:L$11)</f>
        <v>3</v>
      </c>
      <c r="AA211" s="179">
        <f>Z211+_xlfn.XLOOKUP($R211,'Budget Assumption Driver'!$A$7:$A$11,'Budget Assumption Driver'!M$7:M$11)</f>
        <v>3</v>
      </c>
      <c r="AB211" s="179">
        <f>AA211+_xlfn.XLOOKUP($R211,'Budget Assumption Driver'!$A$7:$A$11,'Budget Assumption Driver'!N$7:N$11)</f>
        <v>3</v>
      </c>
      <c r="AC211" s="179">
        <f>AB211+_xlfn.XLOOKUP($R211,'Budget Assumption Driver'!$A$7:$A$11,'Budget Assumption Driver'!O$7:O$11)</f>
        <v>3</v>
      </c>
      <c r="AD211" s="290">
        <f>AC211+_xlfn.XLOOKUP($R211,'Budget Assumption Driver'!$A$7:$A$11,'Budget Assumption Driver'!P$7:P$11)</f>
        <v>3</v>
      </c>
      <c r="AE211" s="15"/>
      <c r="AF211" s="229">
        <f>_xlfn.XLOOKUP($C211,'Site Level Financials - ''23 ''24'!$C$2:$C$1577,'Site Level Financials - ''23 ''24'!$AF$2:$AF$1577)</f>
        <v>1.8333333333333333</v>
      </c>
      <c r="AG211" s="91">
        <f t="shared" ref="AG211:AH211" si="519">AG213/AG212</f>
        <v>2</v>
      </c>
      <c r="AH211" s="91">
        <f t="shared" si="519"/>
        <v>2.7509293680297398</v>
      </c>
    </row>
    <row r="212" spans="2:34" x14ac:dyDescent="0.2">
      <c r="B212" s="9">
        <f>G205</f>
        <v>5</v>
      </c>
      <c r="C212" s="9" t="str">
        <f t="shared" ref="C212:C248" si="520">B212&amp;" - "&amp;F212</f>
        <v>5 - Workdays in Month / Year</v>
      </c>
      <c r="D212" s="9" t="s">
        <v>56</v>
      </c>
      <c r="F212" s="7" t="s">
        <v>54</v>
      </c>
      <c r="G212" s="178">
        <f>_xlfn.XLOOKUP($C212,'Site Level Financials - ''23 ''24'!$C$2:$C$1577,'Site Level Financials - ''23 ''24'!S$2:S$1577)</f>
        <v>23</v>
      </c>
      <c r="H212" s="235">
        <f>_xlfn.XLOOKUP($C212,'Site Level Financials - ''23 ''24'!$C$2:$C$1577,'Site Level Financials - ''23 ''24'!T$2:T$1577)</f>
        <v>22</v>
      </c>
      <c r="I212" s="235">
        <f>_xlfn.XLOOKUP($C212,'Site Level Financials - ''23 ''24'!$C$2:$C$1577,'Site Level Financials - ''23 ''24'!U$2:U$1577)</f>
        <v>22</v>
      </c>
      <c r="J212" s="179">
        <f>_xlfn.XLOOKUP($C212,'Site Level Financials - ''23 ''24'!$C$2:$C$1577,'Site Level Financials - ''23 ''24'!V$2:V$1577)</f>
        <v>22</v>
      </c>
      <c r="K212" s="179">
        <f>_xlfn.XLOOKUP($C212,'Site Level Financials - ''23 ''24'!$C$2:$C$1577,'Site Level Financials - ''23 ''24'!W$2:W$1577)</f>
        <v>24</v>
      </c>
      <c r="L212" s="179">
        <f>_xlfn.XLOOKUP($C212,'Site Level Financials - ''23 ''24'!$C$2:$C$1577,'Site Level Financials - ''23 ''24'!X$2:X$1577)</f>
        <v>21</v>
      </c>
      <c r="M212" s="179">
        <f>_xlfn.XLOOKUP($C212,'Site Level Financials - ''23 ''24'!$C$2:$C$1577,'Site Level Financials - ''23 ''24'!Y$2:Y$1577)</f>
        <v>23</v>
      </c>
      <c r="N212" s="179">
        <f>_xlfn.XLOOKUP($C212,'Site Level Financials - ''23 ''24'!$C$2:$C$1577,'Site Level Financials - ''23 ''24'!Z$2:Z$1577)</f>
        <v>23</v>
      </c>
      <c r="O212" s="179">
        <f>_xlfn.XLOOKUP($C212,'Site Level Financials - ''23 ''24'!$C$2:$C$1577,'Site Level Financials - ''23 ''24'!AA$2:AA$1577)</f>
        <v>21</v>
      </c>
      <c r="P212" s="179">
        <f>_xlfn.XLOOKUP($C212,'Site Level Financials - ''23 ''24'!$C$2:$C$1577,'Site Level Financials - ''23 ''24'!AB$2:AB$1577)</f>
        <v>24</v>
      </c>
      <c r="Q212" s="179">
        <f>_xlfn.XLOOKUP($C212,'Site Level Financials - ''23 ''24'!$C$2:$C$1577,'Site Level Financials - ''23 ''24'!AC$2:AC$1577)</f>
        <v>22</v>
      </c>
      <c r="R212" s="179">
        <f>_xlfn.XLOOKUP($C212,'Site Level Financials - ''23 ''24'!$C$2:$C$1577,'Site Level Financials - ''23 ''24'!AD$2:AD$1577)</f>
        <v>22</v>
      </c>
      <c r="S212" s="155">
        <f>NETWORKDAYS(R209,S209)</f>
        <v>23</v>
      </c>
      <c r="T212" s="154">
        <f t="shared" ref="T212:AD212" si="521">NETWORKDAYS(S209,T209)</f>
        <v>22</v>
      </c>
      <c r="U212" s="154">
        <f t="shared" si="521"/>
        <v>22</v>
      </c>
      <c r="V212" s="154">
        <f t="shared" si="521"/>
        <v>22</v>
      </c>
      <c r="W212" s="154">
        <f t="shared" si="521"/>
        <v>24</v>
      </c>
      <c r="X212" s="154">
        <f t="shared" si="521"/>
        <v>21</v>
      </c>
      <c r="Y212" s="154">
        <f t="shared" si="521"/>
        <v>23</v>
      </c>
      <c r="Z212" s="154">
        <f t="shared" si="521"/>
        <v>23</v>
      </c>
      <c r="AA212" s="154">
        <f t="shared" si="521"/>
        <v>21</v>
      </c>
      <c r="AB212" s="154">
        <f t="shared" si="521"/>
        <v>24</v>
      </c>
      <c r="AC212" s="154">
        <f t="shared" si="521"/>
        <v>22</v>
      </c>
      <c r="AD212" s="156">
        <f t="shared" si="521"/>
        <v>22</v>
      </c>
      <c r="AE212" s="15"/>
      <c r="AF212" s="115">
        <f>_xlfn.XLOOKUP($C212,'Site Level Financials - ''23 ''24'!$C$2:$C$1577,'Site Level Financials - ''23 ''24'!$AF$2:$AF$1577)</f>
        <v>269</v>
      </c>
      <c r="AG212" s="93">
        <f>SUM(G212:R212)</f>
        <v>269</v>
      </c>
      <c r="AH212" s="93">
        <f>SUM(S212:AD212)</f>
        <v>269</v>
      </c>
    </row>
    <row r="213" spans="2:34" x14ac:dyDescent="0.2">
      <c r="B213" s="9">
        <f>G205</f>
        <v>5</v>
      </c>
      <c r="C213" s="9" t="str">
        <f t="shared" si="520"/>
        <v>5 - Total Vet Days</v>
      </c>
      <c r="D213" s="9" t="s">
        <v>56</v>
      </c>
      <c r="F213" s="8" t="s">
        <v>51</v>
      </c>
      <c r="G213" s="236">
        <f>_xlfn.XLOOKUP($C213,'Site Level Financials - ''23 ''24'!$C$2:$C$1577,'Site Level Financials - ''23 ''24'!S$2:S$1577)</f>
        <v>46</v>
      </c>
      <c r="H213" s="237">
        <f>_xlfn.XLOOKUP($C213,'Site Level Financials - ''23 ''24'!$C$2:$C$1577,'Site Level Financials - ''23 ''24'!T$2:T$1577)</f>
        <v>44</v>
      </c>
      <c r="I213" s="237">
        <f>_xlfn.XLOOKUP($C213,'Site Level Financials - ''23 ''24'!$C$2:$C$1577,'Site Level Financials - ''23 ''24'!U$2:U$1577)</f>
        <v>44</v>
      </c>
      <c r="J213" s="238">
        <f>_xlfn.XLOOKUP($C213,'Site Level Financials - ''23 ''24'!$C$2:$C$1577,'Site Level Financials - ''23 ''24'!V$2:V$1577)</f>
        <v>44</v>
      </c>
      <c r="K213" s="238">
        <f>_xlfn.XLOOKUP($C213,'Site Level Financials - ''23 ''24'!$C$2:$C$1577,'Site Level Financials - ''23 ''24'!W$2:W$1577)</f>
        <v>48</v>
      </c>
      <c r="L213" s="238">
        <f>_xlfn.XLOOKUP($C213,'Site Level Financials - ''23 ''24'!$C$2:$C$1577,'Site Level Financials - ''23 ''24'!X$2:X$1577)</f>
        <v>42</v>
      </c>
      <c r="M213" s="238">
        <f>_xlfn.XLOOKUP($C213,'Site Level Financials - ''23 ''24'!$C$2:$C$1577,'Site Level Financials - ''23 ''24'!Y$2:Y$1577)</f>
        <v>46</v>
      </c>
      <c r="N213" s="238">
        <f>_xlfn.XLOOKUP($C213,'Site Level Financials - ''23 ''24'!$C$2:$C$1577,'Site Level Financials - ''23 ''24'!Z$2:Z$1577)</f>
        <v>46</v>
      </c>
      <c r="O213" s="238">
        <f>_xlfn.XLOOKUP($C213,'Site Level Financials - ''23 ''24'!$C$2:$C$1577,'Site Level Financials - ''23 ''24'!AA$2:AA$1577)</f>
        <v>42</v>
      </c>
      <c r="P213" s="238">
        <f>_xlfn.XLOOKUP($C213,'Site Level Financials - ''23 ''24'!$C$2:$C$1577,'Site Level Financials - ''23 ''24'!AB$2:AB$1577)</f>
        <v>48</v>
      </c>
      <c r="Q213" s="238">
        <f>_xlfn.XLOOKUP($C213,'Site Level Financials - ''23 ''24'!$C$2:$C$1577,'Site Level Financials - ''23 ''24'!AC$2:AC$1577)</f>
        <v>44</v>
      </c>
      <c r="R213" s="238">
        <f>_xlfn.XLOOKUP($C213,'Site Level Financials - ''23 ''24'!$C$2:$C$1577,'Site Level Financials - ''23 ''24'!AD$2:AD$1577)</f>
        <v>44</v>
      </c>
      <c r="S213" s="125">
        <f t="shared" ref="S213:AD213" si="522">S211*S212</f>
        <v>46</v>
      </c>
      <c r="T213" s="127">
        <f t="shared" si="522"/>
        <v>44</v>
      </c>
      <c r="U213" s="127">
        <f t="shared" si="522"/>
        <v>44</v>
      </c>
      <c r="V213" s="127">
        <f t="shared" si="522"/>
        <v>66</v>
      </c>
      <c r="W213" s="127">
        <f t="shared" si="522"/>
        <v>72</v>
      </c>
      <c r="X213" s="127">
        <f t="shared" si="522"/>
        <v>63</v>
      </c>
      <c r="Y213" s="127">
        <f t="shared" si="522"/>
        <v>69</v>
      </c>
      <c r="Z213" s="127">
        <f t="shared" si="522"/>
        <v>69</v>
      </c>
      <c r="AA213" s="127">
        <f t="shared" si="522"/>
        <v>63</v>
      </c>
      <c r="AB213" s="127">
        <f t="shared" si="522"/>
        <v>72</v>
      </c>
      <c r="AC213" s="127">
        <f t="shared" si="522"/>
        <v>66</v>
      </c>
      <c r="AD213" s="128">
        <f t="shared" si="522"/>
        <v>66</v>
      </c>
      <c r="AE213" s="15"/>
      <c r="AF213" s="112">
        <f>_xlfn.XLOOKUP($C213,'Site Level Financials - ''23 ''24'!$C$2:$C$1577,'Site Level Financials - ''23 ''24'!$AF$2:$AF$1577)</f>
        <v>538</v>
      </c>
      <c r="AG213" s="120">
        <f>SUM(G213:R213)</f>
        <v>538</v>
      </c>
      <c r="AH213" s="120">
        <f t="shared" ref="AH213" si="523">SUM(S213:AD213)</f>
        <v>740</v>
      </c>
    </row>
    <row r="214" spans="2:34" x14ac:dyDescent="0.2">
      <c r="B214" s="9">
        <f>G205</f>
        <v>5</v>
      </c>
      <c r="C214" s="9" t="str">
        <f t="shared" si="520"/>
        <v>5 - Production per Vet Workday</v>
      </c>
      <c r="D214" s="9" t="s">
        <v>56</v>
      </c>
      <c r="F214" s="7" t="s">
        <v>50</v>
      </c>
      <c r="G214" s="239">
        <f>_xlfn.XLOOKUP($C214,'Site Level Financials - ''23 ''24'!$C$2:$C$1577,'Site Level Financials - ''23 ''24'!S$2:S$1577)</f>
        <v>5.3420565662122756</v>
      </c>
      <c r="H214" s="240">
        <f>_xlfn.XLOOKUP($C214,'Site Level Financials - ''23 ''24'!$C$2:$C$1577,'Site Level Financials - ''23 ''24'!T$2:T$1577)</f>
        <v>5.3875798893436757</v>
      </c>
      <c r="I214" s="240">
        <f>_xlfn.XLOOKUP($C214,'Site Level Financials - ''23 ''24'!$C$2:$C$1577,'Site Level Financials - ''23 ''24'!U$2:U$1577)</f>
        <v>5.6993883075432157</v>
      </c>
      <c r="J214" s="240">
        <f>_xlfn.XLOOKUP($C214,'Site Level Financials - ''23 ''24'!$C$2:$C$1577,'Site Level Financials - ''23 ''24'!V$2:V$1577)</f>
        <v>5.9868218944254732</v>
      </c>
      <c r="K214" s="240">
        <f>_xlfn.XLOOKUP($C214,'Site Level Financials - ''23 ''24'!$C$2:$C$1577,'Site Level Financials - ''23 ''24'!W$2:W$1577)</f>
        <v>7.1871577572881291</v>
      </c>
      <c r="L214" s="240">
        <f>_xlfn.XLOOKUP($C214,'Site Level Financials - ''23 ''24'!$C$2:$C$1577,'Site Level Financials - ''23 ''24'!X$2:X$1577)</f>
        <v>6.8909763110218831</v>
      </c>
      <c r="M214" s="240">
        <f>_xlfn.XLOOKUP($C214,'Site Level Financials - ''23 ''24'!$C$2:$C$1577,'Site Level Financials - ''23 ''24'!Y$2:Y$1577)</f>
        <v>6.7945334995907665</v>
      </c>
      <c r="N214" s="240">
        <f>_xlfn.XLOOKUP($C214,'Site Level Financials - ''23 ''24'!$C$2:$C$1577,'Site Level Financials - ''23 ''24'!Z$2:Z$1577)</f>
        <v>5.4156575763357182</v>
      </c>
      <c r="O214" s="240">
        <f>_xlfn.XLOOKUP($C214,'Site Level Financials - ''23 ''24'!$C$2:$C$1577,'Site Level Financials - ''23 ''24'!AA$2:AA$1577)</f>
        <v>5.2871352199723267</v>
      </c>
      <c r="P214" s="240">
        <f>_xlfn.XLOOKUP($C214,'Site Level Financials - ''23 ''24'!$C$2:$C$1577,'Site Level Financials - ''23 ''24'!AB$2:AB$1577)</f>
        <v>6.0760847806517573</v>
      </c>
      <c r="Q214" s="240">
        <f>_xlfn.XLOOKUP($C214,'Site Level Financials - ''23 ''24'!$C$2:$C$1577,'Site Level Financials - ''23 ''24'!AC$2:AC$1577)</f>
        <v>5.2479056162583788</v>
      </c>
      <c r="R214" s="240">
        <f>_xlfn.XLOOKUP($C214,'Site Level Financials - ''23 ''24'!$C$2:$C$1577,'Site Level Financials - ''23 ''24'!AD$2:AD$1577)</f>
        <v>4.1875647455638489</v>
      </c>
      <c r="S214" s="239">
        <f>R214*(1+_xlfn.XLOOKUP($R211,'Budget Assumption Driver'!$A$15:$A$19,'Budget Assumption Driver'!E$15:E$19))</f>
        <v>5.9246032386831056</v>
      </c>
      <c r="T214" s="240">
        <f>S214*(1+_xlfn.XLOOKUP($R211,'Budget Assumption Driver'!$A$15:$A$19,'Budget Assumption Driver'!F$15:F$19))</f>
        <v>6.4136557199313309</v>
      </c>
      <c r="U214" s="240">
        <f>T214*(1+_xlfn.XLOOKUP($R211,'Budget Assumption Driver'!$A$15:$A$19,'Budget Assumption Driver'!G$15:G$19))</f>
        <v>6.8869144638858772</v>
      </c>
      <c r="V214" s="240">
        <f>U214*(1+_xlfn.XLOOKUP($R211,'Budget Assumption Driver'!$A$15:$A$19,'Budget Assumption Driver'!H$15:H$19))</f>
        <v>6.3439607488238856</v>
      </c>
      <c r="W214" s="240">
        <f>V214*(1+_xlfn.XLOOKUP($R211,'Budget Assumption Driver'!$A$15:$A$19,'Budget Assumption Driver'!I$15:I$19))</f>
        <v>6.9115488638307365</v>
      </c>
      <c r="X214" s="240">
        <f>W214*(1+_xlfn.XLOOKUP($R211,'Budget Assumption Driver'!$A$15:$A$19,'Budget Assumption Driver'!J$15:J$19))</f>
        <v>6.6331022763293976</v>
      </c>
      <c r="Y214" s="240">
        <f>X214*(1+_xlfn.XLOOKUP($R211,'Budget Assumption Driver'!$A$15:$A$19,'Budget Assumption Driver'!K$15:K$19))</f>
        <v>6.101352480296514</v>
      </c>
      <c r="Z214" s="240">
        <f>Y214*(1+_xlfn.XLOOKUP($R211,'Budget Assumption Driver'!$A$15:$A$19,'Budget Assumption Driver'!L$15:L$19))</f>
        <v>5.2318538088221915</v>
      </c>
      <c r="AA214" s="240">
        <f>Z214*(1+_xlfn.XLOOKUP($R211,'Budget Assumption Driver'!$A$15:$A$19,'Budget Assumption Driver'!M$15:M$19))</f>
        <v>5.2535913770886946</v>
      </c>
      <c r="AB214" s="240">
        <f>AA214*(1+_xlfn.XLOOKUP($R211,'Budget Assumption Driver'!$A$15:$A$19,'Budget Assumption Driver'!N$15:N$19))</f>
        <v>5.2794976162704623</v>
      </c>
      <c r="AC214" s="240">
        <f>AB214*(1+_xlfn.XLOOKUP($R211,'Budget Assumption Driver'!$A$15:$A$19,'Budget Assumption Driver'!O$15:O$19))</f>
        <v>4.552667991985107</v>
      </c>
      <c r="AD214" s="291">
        <f>AC214*(1+_xlfn.XLOOKUP($R211,'Budget Assumption Driver'!$A$15:$A$19,'Budget Assumption Driver'!P$15:P$19))</f>
        <v>3.7159447632506515</v>
      </c>
      <c r="AE214" s="15"/>
      <c r="AF214" s="230">
        <f>_xlfn.XLOOKUP($C214,'Site Level Financials - ''23 ''24'!$C$2:$C$1577,'Site Level Financials - ''23 ''24'!$AF$2:$AF$1577)</f>
        <v>5.9038218893421819</v>
      </c>
      <c r="AG214" s="101">
        <f>AG215/AG213</f>
        <v>5.8028386200728184</v>
      </c>
      <c r="AH214" s="101">
        <f>AH215/AH213</f>
        <v>5.7172904986718018</v>
      </c>
    </row>
    <row r="215" spans="2:34" x14ac:dyDescent="0.2">
      <c r="B215" s="9">
        <f>G205</f>
        <v>5</v>
      </c>
      <c r="C215" s="9" t="str">
        <f t="shared" si="520"/>
        <v>5 - Total Production</v>
      </c>
      <c r="D215" s="9" t="s">
        <v>56</v>
      </c>
      <c r="F215" s="8" t="s">
        <v>1</v>
      </c>
      <c r="G215" s="241">
        <f>_xlfn.XLOOKUP($C215,'Site Level Financials - ''23 ''24'!$C$2:$C$1577,'Site Level Financials - ''23 ''24'!S$2:S$1577)</f>
        <v>245.73460204576469</v>
      </c>
      <c r="H215" s="242">
        <f>_xlfn.XLOOKUP($C215,'Site Level Financials - ''23 ''24'!$C$2:$C$1577,'Site Level Financials - ''23 ''24'!T$2:T$1577)</f>
        <v>237.05351513112174</v>
      </c>
      <c r="I215" s="242">
        <f>_xlfn.XLOOKUP($C215,'Site Level Financials - ''23 ''24'!$C$2:$C$1577,'Site Level Financials - ''23 ''24'!U$2:U$1577)</f>
        <v>250.7730855319015</v>
      </c>
      <c r="J215" s="242">
        <f>_xlfn.XLOOKUP($C215,'Site Level Financials - ''23 ''24'!$C$2:$C$1577,'Site Level Financials - ''23 ''24'!V$2:V$1577)</f>
        <v>263.42016335472084</v>
      </c>
      <c r="K215" s="242">
        <f>_xlfn.XLOOKUP($C215,'Site Level Financials - ''23 ''24'!$C$2:$C$1577,'Site Level Financials - ''23 ''24'!W$2:W$1577)</f>
        <v>344.98357234983018</v>
      </c>
      <c r="L215" s="242">
        <f>_xlfn.XLOOKUP($C215,'Site Level Financials - ''23 ''24'!$C$2:$C$1577,'Site Level Financials - ''23 ''24'!X$2:X$1577)</f>
        <v>289.42100506291911</v>
      </c>
      <c r="M215" s="242">
        <f>_xlfn.XLOOKUP($C215,'Site Level Financials - ''23 ''24'!$C$2:$C$1577,'Site Level Financials - ''23 ''24'!Y$2:Y$1577)</f>
        <v>312.54854098117528</v>
      </c>
      <c r="N215" s="242">
        <f>_xlfn.XLOOKUP($C215,'Site Level Financials - ''23 ''24'!$C$2:$C$1577,'Site Level Financials - ''23 ''24'!Z$2:Z$1577)</f>
        <v>249.12024851144304</v>
      </c>
      <c r="O215" s="242">
        <f>_xlfn.XLOOKUP($C215,'Site Level Financials - ''23 ''24'!$C$2:$C$1577,'Site Level Financials - ''23 ''24'!AA$2:AA$1577)</f>
        <v>222.05967923883773</v>
      </c>
      <c r="P215" s="242">
        <f>_xlfn.XLOOKUP($C215,'Site Level Financials - ''23 ''24'!$C$2:$C$1577,'Site Level Financials - ''23 ''24'!AB$2:AB$1577)</f>
        <v>291.65206947128434</v>
      </c>
      <c r="Q215" s="242">
        <f>_xlfn.XLOOKUP($C215,'Site Level Financials - ''23 ''24'!$C$2:$C$1577,'Site Level Financials - ''23 ''24'!AC$2:AC$1577)</f>
        <v>230.90784711536867</v>
      </c>
      <c r="R215" s="242">
        <f>_xlfn.XLOOKUP($C215,'Site Level Financials - ''23 ''24'!$C$2:$C$1577,'Site Level Financials - ''23 ''24'!AD$2:AD$1577)</f>
        <v>184.25284880480936</v>
      </c>
      <c r="S215" s="134">
        <f t="shared" ref="S215:AD215" si="524">S214*S213</f>
        <v>272.53174897942284</v>
      </c>
      <c r="T215" s="135">
        <f t="shared" si="524"/>
        <v>282.20085167697857</v>
      </c>
      <c r="U215" s="135">
        <f t="shared" si="524"/>
        <v>303.02423641097857</v>
      </c>
      <c r="V215" s="135">
        <f t="shared" si="524"/>
        <v>418.70140942237646</v>
      </c>
      <c r="W215" s="135">
        <f t="shared" si="524"/>
        <v>497.63151819581304</v>
      </c>
      <c r="X215" s="135">
        <f t="shared" si="524"/>
        <v>417.88544340875205</v>
      </c>
      <c r="Y215" s="135">
        <f t="shared" si="524"/>
        <v>420.99332114045944</v>
      </c>
      <c r="Z215" s="135">
        <f t="shared" si="524"/>
        <v>360.9979128087312</v>
      </c>
      <c r="AA215" s="135">
        <f t="shared" si="524"/>
        <v>330.97625675658776</v>
      </c>
      <c r="AB215" s="135">
        <f t="shared" si="524"/>
        <v>380.12382837147328</v>
      </c>
      <c r="AC215" s="135">
        <f t="shared" si="524"/>
        <v>300.47608747101708</v>
      </c>
      <c r="AD215" s="136">
        <f t="shared" si="524"/>
        <v>245.25235437454299</v>
      </c>
      <c r="AE215" s="15"/>
      <c r="AF215" s="113">
        <f>_xlfn.XLOOKUP($C215,'Site Level Financials - ''23 ''24'!$C$2:$C$1577,'Site Level Financials - ''23 ''24'!$AF$2:$AF$1577)</f>
        <v>3176.2561764660941</v>
      </c>
      <c r="AG215" s="95">
        <f>SUM(G215:R215)</f>
        <v>3121.9271775991765</v>
      </c>
      <c r="AH215" s="95">
        <f t="shared" ref="AH215" si="525">SUM(S215:AD215)</f>
        <v>4230.7949690171336</v>
      </c>
    </row>
    <row r="216" spans="2:34" x14ac:dyDescent="0.2">
      <c r="B216" s="9">
        <f>G205</f>
        <v>5</v>
      </c>
      <c r="C216" s="9" t="str">
        <f t="shared" si="520"/>
        <v>5 - Revenue as a % of Production</v>
      </c>
      <c r="D216" s="9" t="s">
        <v>56</v>
      </c>
      <c r="F216" s="7" t="s">
        <v>2</v>
      </c>
      <c r="G216" s="243">
        <f>_xlfn.XLOOKUP($C216,'Site Level Financials - ''23 ''24'!$C$2:$C$1577,'Site Level Financials - ''23 ''24'!S$2:S$1577)</f>
        <v>0.97533201811809167</v>
      </c>
      <c r="H216" s="244">
        <f>_xlfn.XLOOKUP($C216,'Site Level Financials - ''23 ''24'!$C$2:$C$1577,'Site Level Financials - ''23 ''24'!T$2:T$1577)</f>
        <v>0.97533201811809167</v>
      </c>
      <c r="I216" s="244">
        <f>_xlfn.XLOOKUP($C216,'Site Level Financials - ''23 ''24'!$C$2:$C$1577,'Site Level Financials - ''23 ''24'!U$2:U$1577)</f>
        <v>0.97533201811809167</v>
      </c>
      <c r="J216" s="244">
        <f>_xlfn.XLOOKUP($C216,'Site Level Financials - ''23 ''24'!$C$2:$C$1577,'Site Level Financials - ''23 ''24'!V$2:V$1577)</f>
        <v>0.97533201811809167</v>
      </c>
      <c r="K216" s="244">
        <f>_xlfn.XLOOKUP($C216,'Site Level Financials - ''23 ''24'!$C$2:$C$1577,'Site Level Financials - ''23 ''24'!W$2:W$1577)</f>
        <v>0.97533201811809167</v>
      </c>
      <c r="L216" s="244">
        <f>_xlfn.XLOOKUP($C216,'Site Level Financials - ''23 ''24'!$C$2:$C$1577,'Site Level Financials - ''23 ''24'!X$2:X$1577)</f>
        <v>0.97533201811809167</v>
      </c>
      <c r="M216" s="244">
        <f>_xlfn.XLOOKUP($C216,'Site Level Financials - ''23 ''24'!$C$2:$C$1577,'Site Level Financials - ''23 ''24'!Y$2:Y$1577)</f>
        <v>0.97533201811809167</v>
      </c>
      <c r="N216" s="244">
        <f>_xlfn.XLOOKUP($C216,'Site Level Financials - ''23 ''24'!$C$2:$C$1577,'Site Level Financials - ''23 ''24'!Z$2:Z$1577)</f>
        <v>0.97533201811809167</v>
      </c>
      <c r="O216" s="244">
        <f>_xlfn.XLOOKUP($C216,'Site Level Financials - ''23 ''24'!$C$2:$C$1577,'Site Level Financials - ''23 ''24'!AA$2:AA$1577)</f>
        <v>0.97533201811809167</v>
      </c>
      <c r="P216" s="244">
        <f>_xlfn.XLOOKUP($C216,'Site Level Financials - ''23 ''24'!$C$2:$C$1577,'Site Level Financials - ''23 ''24'!AB$2:AB$1577)</f>
        <v>0.97533201811809167</v>
      </c>
      <c r="Q216" s="244">
        <f>_xlfn.XLOOKUP($C216,'Site Level Financials - ''23 ''24'!$C$2:$C$1577,'Site Level Financials - ''23 ''24'!AC$2:AC$1577)</f>
        <v>0.97533201811809167</v>
      </c>
      <c r="R216" s="244">
        <f>_xlfn.XLOOKUP($C216,'Site Level Financials - ''23 ''24'!$C$2:$C$1577,'Site Level Financials - ''23 ''24'!AD$2:AD$1577)</f>
        <v>0.97533201811809167</v>
      </c>
      <c r="S216" s="292">
        <f>SUM(G245:R245)/SUM(G215:R215)</f>
        <v>0.98460396137512984</v>
      </c>
      <c r="T216" s="203">
        <f>S216</f>
        <v>0.98460396137512984</v>
      </c>
      <c r="U216" s="203">
        <f t="shared" ref="U216:AD216" si="526">T216</f>
        <v>0.98460396137512984</v>
      </c>
      <c r="V216" s="203">
        <f t="shared" si="526"/>
        <v>0.98460396137512984</v>
      </c>
      <c r="W216" s="203">
        <f t="shared" si="526"/>
        <v>0.98460396137512984</v>
      </c>
      <c r="X216" s="203">
        <f t="shared" si="526"/>
        <v>0.98460396137512984</v>
      </c>
      <c r="Y216" s="203">
        <f t="shared" si="526"/>
        <v>0.98460396137512984</v>
      </c>
      <c r="Z216" s="203">
        <f t="shared" si="526"/>
        <v>0.98460396137512984</v>
      </c>
      <c r="AA216" s="203">
        <f t="shared" si="526"/>
        <v>0.98460396137512984</v>
      </c>
      <c r="AB216" s="203">
        <f t="shared" si="526"/>
        <v>0.98460396137512984</v>
      </c>
      <c r="AC216" s="203">
        <f t="shared" si="526"/>
        <v>0.98460396137512984</v>
      </c>
      <c r="AD216" s="204">
        <f t="shared" si="526"/>
        <v>0.98460396137512984</v>
      </c>
      <c r="AE216" s="15"/>
      <c r="AF216" s="231">
        <f>_xlfn.XLOOKUP($C216,'Site Level Financials - ''23 ''24'!$C$2:$C$1577,'Site Level Financials - ''23 ''24'!$AF$2:$AF$1577)</f>
        <v>0.98624246208177946</v>
      </c>
      <c r="AG216" s="103">
        <f>AG217/AG215</f>
        <v>0.97533201811809167</v>
      </c>
      <c r="AH216" s="103">
        <f>AH217/AH215</f>
        <v>0.98460396137513007</v>
      </c>
    </row>
    <row r="217" spans="2:34" x14ac:dyDescent="0.2">
      <c r="B217" s="9">
        <f>G205</f>
        <v>5</v>
      </c>
      <c r="C217" s="9" t="str">
        <f t="shared" si="520"/>
        <v>5 - Total Revenue</v>
      </c>
      <c r="D217" s="9" t="s">
        <v>56</v>
      </c>
      <c r="F217" s="8" t="s">
        <v>3</v>
      </c>
      <c r="G217" s="241">
        <f>_xlfn.XLOOKUP($C217,'Site Level Financials - ''23 ''24'!$C$2:$C$1577,'Site Level Financials - ''23 ''24'!S$2:S$1577)</f>
        <v>239.67282533474182</v>
      </c>
      <c r="H217" s="242">
        <f>_xlfn.XLOOKUP($C217,'Site Level Financials - ''23 ''24'!$C$2:$C$1577,'Site Level Financials - ''23 ''24'!T$2:T$1577)</f>
        <v>231.20588331482455</v>
      </c>
      <c r="I217" s="242">
        <f>_xlfn.XLOOKUP($C217,'Site Level Financials - ''23 ''24'!$C$2:$C$1577,'Site Level Financials - ''23 ''24'!U$2:U$1577)</f>
        <v>244.5870196015303</v>
      </c>
      <c r="J217" s="242">
        <f>_xlfn.XLOOKUP($C217,'Site Level Financials - ''23 ''24'!$C$2:$C$1577,'Site Level Financials - ''23 ''24'!V$2:V$1577)</f>
        <v>256.92211953775728</v>
      </c>
      <c r="K217" s="242">
        <f>_xlfn.XLOOKUP($C217,'Site Level Financials - ''23 ''24'!$C$2:$C$1577,'Site Level Financials - ''23 ''24'!W$2:W$1577)</f>
        <v>336.47352383754856</v>
      </c>
      <c r="L217" s="242">
        <f>_xlfn.XLOOKUP($C217,'Site Level Financials - ''23 ''24'!$C$2:$C$1577,'Site Level Financials - ''23 ''24'!X$2:X$1577)</f>
        <v>282.28157295378332</v>
      </c>
      <c r="M217" s="242">
        <f>_xlfn.XLOOKUP($C217,'Site Level Financials - ''23 ''24'!$C$2:$C$1577,'Site Level Financials - ''23 ''24'!Y$2:Y$1577)</f>
        <v>304.83859923503479</v>
      </c>
      <c r="N217" s="242">
        <f>_xlfn.XLOOKUP($C217,'Site Level Financials - ''23 ''24'!$C$2:$C$1577,'Site Level Financials - ''23 ''24'!Z$2:Z$1577)</f>
        <v>242.97495473474626</v>
      </c>
      <c r="O217" s="242">
        <f>_xlfn.XLOOKUP($C217,'Site Level Financials - ''23 ''24'!$C$2:$C$1577,'Site Level Financials - ''23 ''24'!AA$2:AA$1577)</f>
        <v>216.5819150946717</v>
      </c>
      <c r="P217" s="242">
        <f>_xlfn.XLOOKUP($C217,'Site Level Financials - ''23 ''24'!$C$2:$C$1577,'Site Level Financials - ''23 ''24'!AB$2:AB$1577)</f>
        <v>284.45760150574563</v>
      </c>
      <c r="Q217" s="242">
        <f>_xlfn.XLOOKUP($C217,'Site Level Financials - ''23 ''24'!$C$2:$C$1577,'Site Level Financials - ''23 ''24'!AC$2:AC$1577)</f>
        <v>225.21181652633629</v>
      </c>
      <c r="R217" s="242">
        <f>_xlfn.XLOOKUP($C217,'Site Level Financials - ''23 ''24'!$C$2:$C$1577,'Site Level Financials - ''23 ''24'!AD$2:AD$1577)</f>
        <v>179.70770286880233</v>
      </c>
      <c r="S217" s="134">
        <f t="shared" ref="S217:AD217" si="527">S216*S215</f>
        <v>268.33583964563223</v>
      </c>
      <c r="T217" s="135">
        <f t="shared" si="527"/>
        <v>277.85607646458857</v>
      </c>
      <c r="U217" s="135">
        <f t="shared" si="527"/>
        <v>298.35886356292337</v>
      </c>
      <c r="V217" s="135">
        <f t="shared" si="527"/>
        <v>412.25506635062197</v>
      </c>
      <c r="W217" s="135">
        <f t="shared" si="527"/>
        <v>489.96996412071752</v>
      </c>
      <c r="X217" s="135">
        <f t="shared" si="527"/>
        <v>411.45166298125991</v>
      </c>
      <c r="Y217" s="135">
        <f t="shared" si="527"/>
        <v>414.51169170736858</v>
      </c>
      <c r="Z217" s="135">
        <f t="shared" si="527"/>
        <v>355.43997499963046</v>
      </c>
      <c r="AA217" s="135">
        <f t="shared" si="527"/>
        <v>325.88053352364841</v>
      </c>
      <c r="AB217" s="135">
        <f t="shared" si="527"/>
        <v>374.27142722763256</v>
      </c>
      <c r="AC217" s="135">
        <f t="shared" si="527"/>
        <v>295.84994602246343</v>
      </c>
      <c r="AD217" s="136">
        <f t="shared" si="527"/>
        <v>241.47643965375218</v>
      </c>
      <c r="AE217" s="15"/>
      <c r="AF217" s="113">
        <f>_xlfn.XLOOKUP($C217,'Site Level Financials - ''23 ''24'!$C$2:$C$1577,'Site Level Financials - ''23 ''24'!$AF$2:$AF$1577)</f>
        <v>3132.5587116803795</v>
      </c>
      <c r="AG217" s="95">
        <f>SUM(G217:R217)</f>
        <v>3044.9155345455229</v>
      </c>
      <c r="AH217" s="95">
        <f t="shared" ref="AH217" si="528">SUM(S217:AD217)</f>
        <v>4165.6574862602401</v>
      </c>
    </row>
    <row r="218" spans="2:34" x14ac:dyDescent="0.2">
      <c r="B218" s="9">
        <f>G205</f>
        <v>5</v>
      </c>
      <c r="C218" s="9" t="str">
        <f t="shared" si="520"/>
        <v>5 - % YoY Revenue Growth</v>
      </c>
      <c r="D218" s="9" t="s">
        <v>56</v>
      </c>
      <c r="F218" s="16" t="s">
        <v>174</v>
      </c>
      <c r="G218" s="245">
        <f>_xlfn.XLOOKUP($C218,'Site Level Financials - ''23 ''24'!$C$2:$C$1577,'Site Level Financials - ''23 ''24'!S$2:S$1577)</f>
        <v>4.3694172998628655E-2</v>
      </c>
      <c r="H218" s="246">
        <f>_xlfn.XLOOKUP($C218,'Site Level Financials - ''23 ''24'!$C$2:$C$1577,'Site Level Financials - ''23 ''24'!T$2:T$1577)</f>
        <v>1.3601504560144084E-2</v>
      </c>
      <c r="I218" s="246">
        <f>_xlfn.XLOOKUP($C218,'Site Level Financials - ''23 ''24'!$C$2:$C$1577,'Site Level Financials - ''23 ''24'!U$2:U$1577)</f>
        <v>-0.17199372164933979</v>
      </c>
      <c r="J218" s="246">
        <f>_xlfn.XLOOKUP($C218,'Site Level Financials - ''23 ''24'!$C$2:$C$1577,'Site Level Financials - ''23 ''24'!V$2:V$1577)</f>
        <v>-4.5065980230231339E-2</v>
      </c>
      <c r="K218" s="246">
        <f>_xlfn.XLOOKUP($C218,'Site Level Financials - ''23 ''24'!$C$2:$C$1577,'Site Level Financials - ''23 ''24'!W$2:W$1577)</f>
        <v>2.8700481511312104E-2</v>
      </c>
      <c r="L218" s="246">
        <f>_xlfn.XLOOKUP($C218,'Site Level Financials - ''23 ''24'!$C$2:$C$1577,'Site Level Financials - ''23 ''24'!X$2:X$1577)</f>
        <v>-0.11330912381317715</v>
      </c>
      <c r="M218" s="246">
        <f>_xlfn.XLOOKUP($C218,'Site Level Financials - ''23 ''24'!$C$2:$C$1577,'Site Level Financials - ''23 ''24'!Y$2:Y$1577)</f>
        <v>7.7793542605274268E-2</v>
      </c>
      <c r="N218" s="246">
        <f>_xlfn.XLOOKUP($C218,'Site Level Financials - ''23 ''24'!$C$2:$C$1577,'Site Level Financials - ''23 ''24'!Z$2:Z$1577)</f>
        <v>-7.3601871829005683E-2</v>
      </c>
      <c r="O218" s="246">
        <f>_xlfn.XLOOKUP($C218,'Site Level Financials - ''23 ''24'!$C$2:$C$1577,'Site Level Financials - ''23 ''24'!AA$2:AA$1577)</f>
        <v>-0.12153833425698013</v>
      </c>
      <c r="P218" s="246">
        <f>_xlfn.XLOOKUP($C218,'Site Level Financials - ''23 ''24'!$C$2:$C$1577,'Site Level Financials - ''23 ''24'!AB$2:AB$1577)</f>
        <v>0.10636542580846142</v>
      </c>
      <c r="Q218" s="246">
        <f>_xlfn.XLOOKUP($C218,'Site Level Financials - ''23 ''24'!$C$2:$C$1577,'Site Level Financials - ''23 ''24'!AC$2:AC$1577)</f>
        <v>-2.3553053209631414E-2</v>
      </c>
      <c r="R218" s="246">
        <f>_xlfn.XLOOKUP($C218,'Site Level Financials - ''23 ''24'!$C$2:$C$1577,'Site Level Financials - ''23 ''24'!AD$2:AD$1577)</f>
        <v>-3.1333827226256217E-2</v>
      </c>
      <c r="S218" s="148">
        <f>S217/G217-1</f>
        <v>0.11959225778249105</v>
      </c>
      <c r="T218" s="149">
        <f t="shared" ref="T218" si="529">T217/H217-1</f>
        <v>0.20176905743459028</v>
      </c>
      <c r="U218" s="149">
        <f t="shared" ref="U218" si="530">U217/I217-1</f>
        <v>0.21984749660466707</v>
      </c>
      <c r="V218" s="149">
        <f t="shared" ref="V218" si="531">V217/J217-1</f>
        <v>0.60459156686210092</v>
      </c>
      <c r="W218" s="149">
        <f t="shared" ref="W218" si="532">W217/K217-1</f>
        <v>0.4561917339959205</v>
      </c>
      <c r="X218" s="149">
        <f t="shared" ref="X218" si="533">X217/L217-1</f>
        <v>0.45759306452718751</v>
      </c>
      <c r="Y218" s="149">
        <f t="shared" ref="Y218" si="534">Y217/M217-1</f>
        <v>0.35977429612768397</v>
      </c>
      <c r="Z218" s="149">
        <f t="shared" ref="Z218" si="535">Z217/N217-1</f>
        <v>0.46286671968994231</v>
      </c>
      <c r="AA218" s="149">
        <f t="shared" ref="AA218" si="536">AA217/O217-1</f>
        <v>0.50465256243209589</v>
      </c>
      <c r="AB218" s="149">
        <f t="shared" ref="AB218" si="537">AB217/P217-1</f>
        <v>0.31573712654000863</v>
      </c>
      <c r="AC218" s="149">
        <f t="shared" ref="AC218" si="538">AC217/Q217-1</f>
        <v>0.31365196811450025</v>
      </c>
      <c r="AD218" s="150">
        <f t="shared" ref="AD218" si="539">AD217/R217-1</f>
        <v>0.34371780284813291</v>
      </c>
      <c r="AE218" s="15"/>
      <c r="AF218" s="11"/>
      <c r="AG218" s="97">
        <f>AG217/AF217-1</f>
        <v>-2.797814349274963E-2</v>
      </c>
      <c r="AH218" s="97">
        <f>AH217/AG217-1</f>
        <v>0.36806996417455529</v>
      </c>
    </row>
    <row r="219" spans="2:34" ht="6" customHeight="1" x14ac:dyDescent="0.2">
      <c r="B219" s="9">
        <f>G205</f>
        <v>5</v>
      </c>
      <c r="C219" s="9" t="str">
        <f t="shared" si="520"/>
        <v xml:space="preserve">5 - </v>
      </c>
      <c r="D219" s="9" t="s">
        <v>56</v>
      </c>
      <c r="G219" s="80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80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81"/>
      <c r="AE219" s="15"/>
      <c r="AF219" s="11"/>
      <c r="AG219" s="15"/>
      <c r="AH219" s="15"/>
    </row>
    <row r="220" spans="2:34" x14ac:dyDescent="0.2">
      <c r="B220" s="9">
        <f>G205</f>
        <v>5</v>
      </c>
      <c r="C220" s="9" t="str">
        <f t="shared" si="520"/>
        <v>5 - Doctor Compensation</v>
      </c>
      <c r="D220" s="9" t="s">
        <v>56</v>
      </c>
      <c r="F220" t="s">
        <v>4</v>
      </c>
      <c r="G220" s="178">
        <f>_xlfn.XLOOKUP($C220,'Site Level Financials - ''23 ''24'!$C$2:$C$1577,'Site Level Financials - ''23 ''24'!S$2:S$1577)</f>
        <v>-68.606000730365153</v>
      </c>
      <c r="H220" s="179">
        <f>_xlfn.XLOOKUP($C220,'Site Level Financials - ''23 ''24'!$C$2:$C$1577,'Site Level Financials - ''23 ''24'!T$2:T$1577)</f>
        <v>-67.571460928487042</v>
      </c>
      <c r="I220" s="179">
        <f>_xlfn.XLOOKUP($C220,'Site Level Financials - ''23 ''24'!$C$2:$C$1577,'Site Level Financials - ''23 ''24'!U$2:U$1577)</f>
        <v>-69.832821229370637</v>
      </c>
      <c r="J220" s="179">
        <f>_xlfn.XLOOKUP($C220,'Site Level Financials - ''23 ''24'!$C$2:$C$1577,'Site Level Financials - ''23 ''24'!V$2:V$1577)</f>
        <v>-72.602972289047415</v>
      </c>
      <c r="K220" s="179">
        <f>_xlfn.XLOOKUP($C220,'Site Level Financials - ''23 ''24'!$C$2:$C$1577,'Site Level Financials - ''23 ''24'!W$2:W$1577)</f>
        <v>-93.188237650776202</v>
      </c>
      <c r="L220" s="179">
        <f>_xlfn.XLOOKUP($C220,'Site Level Financials - ''23 ''24'!$C$2:$C$1577,'Site Level Financials - ''23 ''24'!X$2:X$1577)</f>
        <v>-80.411275317358374</v>
      </c>
      <c r="M220" s="179">
        <f>_xlfn.XLOOKUP($C220,'Site Level Financials - ''23 ''24'!$C$2:$C$1577,'Site Level Financials - ''23 ''24'!Y$2:Y$1577)</f>
        <v>-86.509152718879164</v>
      </c>
      <c r="N220" s="179">
        <f>_xlfn.XLOOKUP($C220,'Site Level Financials - ''23 ''24'!$C$2:$C$1577,'Site Level Financials - ''23 ''24'!Z$2:Z$1577)</f>
        <v>-66.774429171398722</v>
      </c>
      <c r="O220" s="179">
        <f>_xlfn.XLOOKUP($C220,'Site Level Financials - ''23 ''24'!$C$2:$C$1577,'Site Level Financials - ''23 ''24'!AA$2:AA$1577)</f>
        <v>-61.142848167539498</v>
      </c>
      <c r="P220" s="179">
        <f>_xlfn.XLOOKUP($C220,'Site Level Financials - ''23 ''24'!$C$2:$C$1577,'Site Level Financials - ''23 ''24'!AB$2:AB$1577)</f>
        <v>-82.163184326489215</v>
      </c>
      <c r="Q220" s="179">
        <f>_xlfn.XLOOKUP($C220,'Site Level Financials - ''23 ''24'!$C$2:$C$1577,'Site Level Financials - ''23 ''24'!AC$2:AC$1577)</f>
        <v>-64.572877224022363</v>
      </c>
      <c r="R220" s="179">
        <f>_xlfn.XLOOKUP($C220,'Site Level Financials - ''23 ''24'!$C$2:$C$1577,'Site Level Financials - ''23 ''24'!AD$2:AD$1577)</f>
        <v>-53.086629432631817</v>
      </c>
      <c r="S220" s="155">
        <f>S221*S217</f>
        <v>-76.810747255136747</v>
      </c>
      <c r="T220" s="154">
        <f t="shared" ref="T220" si="540">T221*T217</f>
        <v>-81.205290909506118</v>
      </c>
      <c r="U220" s="154">
        <f t="shared" ref="U220" si="541">U221*U217</f>
        <v>-85.185392157489019</v>
      </c>
      <c r="V220" s="154">
        <f t="shared" ref="V220" si="542">V221*V217</f>
        <v>-116.49811706412828</v>
      </c>
      <c r="W220" s="154">
        <f t="shared" ref="W220" si="543">W221*W217</f>
        <v>-135.69994137270771</v>
      </c>
      <c r="X220" s="154">
        <f t="shared" ref="X220" si="544">X221*X217</f>
        <v>-117.20691721236778</v>
      </c>
      <c r="Y220" s="154">
        <f t="shared" ref="Y220" si="545">Y221*Y217</f>
        <v>-117.63292224691624</v>
      </c>
      <c r="Z220" s="154">
        <f t="shared" ref="Z220" si="546">Z221*Z217</f>
        <v>-97.682090161132436</v>
      </c>
      <c r="AA220" s="154">
        <f t="shared" ref="AA220" si="547">AA221*AA217</f>
        <v>-91.998743169684886</v>
      </c>
      <c r="AB220" s="154">
        <f t="shared" ref="AB220" si="548">AB221*AB217</f>
        <v>-108.10515205311199</v>
      </c>
      <c r="AC220" s="154">
        <f t="shared" ref="AC220" si="549">AC221*AC217</f>
        <v>-84.82628725215298</v>
      </c>
      <c r="AD220" s="156">
        <f t="shared" ref="AD220" si="550">AD221*AD217</f>
        <v>-71.333449061829043</v>
      </c>
      <c r="AE220" s="15"/>
      <c r="AF220" s="115">
        <f>_xlfn.XLOOKUP($C220,'Site Level Financials - ''23 ''24'!$C$2:$C$1577,'Site Level Financials - ''23 ''24'!$AF$2:$AF$1577)</f>
        <v>-974.76374043101634</v>
      </c>
      <c r="AG220" s="93">
        <f>SUM(G220:R220)</f>
        <v>-866.46188918636562</v>
      </c>
      <c r="AH220" s="93">
        <f t="shared" ref="AH220" si="551">SUM(S220:AD220)</f>
        <v>-1184.1850499161633</v>
      </c>
    </row>
    <row r="221" spans="2:34" x14ac:dyDescent="0.2">
      <c r="B221" s="9">
        <f>G205</f>
        <v>5</v>
      </c>
      <c r="C221" s="9" t="str">
        <f t="shared" si="520"/>
        <v>5 - % of Revenue - Doctor Compensation</v>
      </c>
      <c r="D221" s="9" t="s">
        <v>56</v>
      </c>
      <c r="F221" s="16" t="str">
        <f>"% of Revenue - "&amp;F220</f>
        <v>% of Revenue - Doctor Compensation</v>
      </c>
      <c r="G221" s="148">
        <f>G220/G217</f>
        <v>-0.28624855836094804</v>
      </c>
      <c r="H221" s="149">
        <f t="shared" ref="H221:R221" si="552">H220/H217</f>
        <v>-0.29225666734646827</v>
      </c>
      <c r="I221" s="149">
        <f t="shared" si="552"/>
        <v>-0.28551319421259147</v>
      </c>
      <c r="J221" s="149">
        <f t="shared" si="552"/>
        <v>-0.28258747210894652</v>
      </c>
      <c r="K221" s="149">
        <f t="shared" si="552"/>
        <v>-0.27695563260950079</v>
      </c>
      <c r="L221" s="149">
        <f t="shared" si="552"/>
        <v>-0.28486193581797753</v>
      </c>
      <c r="M221" s="149">
        <f t="shared" si="552"/>
        <v>-0.28378674136400756</v>
      </c>
      <c r="N221" s="149">
        <f t="shared" si="552"/>
        <v>-0.27482021447147015</v>
      </c>
      <c r="O221" s="149">
        <f t="shared" si="552"/>
        <v>-0.28230818875533953</v>
      </c>
      <c r="P221" s="149">
        <f t="shared" si="552"/>
        <v>-0.28884158444551056</v>
      </c>
      <c r="Q221" s="149">
        <f t="shared" si="552"/>
        <v>-0.28672064468016584</v>
      </c>
      <c r="R221" s="149">
        <f t="shared" si="552"/>
        <v>-0.2954054199412271</v>
      </c>
      <c r="S221" s="245">
        <f>_xlfn.XLOOKUP($F221,'Budget Assumption Driver'!$A$33:$A$39,'Budget Assumption Driver'!E$33:E$39)+G221</f>
        <v>-0.28624855836094804</v>
      </c>
      <c r="T221" s="246">
        <f>_xlfn.XLOOKUP($F221,'Budget Assumption Driver'!$A$33:$A$39,'Budget Assumption Driver'!F$33:F$39)+H221</f>
        <v>-0.29225666734646827</v>
      </c>
      <c r="U221" s="246">
        <f>_xlfn.XLOOKUP($F221,'Budget Assumption Driver'!$A$33:$A$39,'Budget Assumption Driver'!G$33:G$39)+I221</f>
        <v>-0.28551319421259147</v>
      </c>
      <c r="V221" s="246">
        <f>_xlfn.XLOOKUP($F221,'Budget Assumption Driver'!$A$33:$A$39,'Budget Assumption Driver'!H$33:H$39)+J221</f>
        <v>-0.28258747210894652</v>
      </c>
      <c r="W221" s="246">
        <f>_xlfn.XLOOKUP($F221,'Budget Assumption Driver'!$A$33:$A$39,'Budget Assumption Driver'!I$33:I$39)+K221</f>
        <v>-0.27695563260950079</v>
      </c>
      <c r="X221" s="246">
        <f>_xlfn.XLOOKUP($F221,'Budget Assumption Driver'!$A$33:$A$39,'Budget Assumption Driver'!J$33:J$39)+L221</f>
        <v>-0.28486193581797753</v>
      </c>
      <c r="Y221" s="246">
        <f>_xlfn.XLOOKUP($F221,'Budget Assumption Driver'!$A$33:$A$39,'Budget Assumption Driver'!K$33:K$39)+M221</f>
        <v>-0.28378674136400756</v>
      </c>
      <c r="Z221" s="246">
        <f>_xlfn.XLOOKUP($F221,'Budget Assumption Driver'!$A$33:$A$39,'Budget Assumption Driver'!L$33:L$39)+N221</f>
        <v>-0.27482021447147015</v>
      </c>
      <c r="AA221" s="246">
        <f>_xlfn.XLOOKUP($F221,'Budget Assumption Driver'!$A$33:$A$39,'Budget Assumption Driver'!M$33:M$39)+O221</f>
        <v>-0.28230818875533953</v>
      </c>
      <c r="AB221" s="246">
        <f>_xlfn.XLOOKUP($F221,'Budget Assumption Driver'!$A$33:$A$39,'Budget Assumption Driver'!N$33:N$39)+P221</f>
        <v>-0.28884158444551056</v>
      </c>
      <c r="AC221" s="246">
        <f>_xlfn.XLOOKUP($F221,'Budget Assumption Driver'!$A$33:$A$39,'Budget Assumption Driver'!O$33:O$39)+Q221</f>
        <v>-0.28672064468016584</v>
      </c>
      <c r="AD221" s="296">
        <f>_xlfn.XLOOKUP($F221,'Budget Assumption Driver'!$A$33:$A$39,'Budget Assumption Driver'!P$33:P$39)+R221</f>
        <v>-0.2954054199412271</v>
      </c>
      <c r="AE221" s="15"/>
      <c r="AF221" s="232">
        <f>_xlfn.XLOOKUP($C221,'Site Level Financials - ''23 ''24'!$C$2:$C$1577,'Site Level Financials - ''23 ''24'!$AF$2:$AF$1577)</f>
        <v>-0.31117173855238928</v>
      </c>
      <c r="AG221" s="97">
        <f t="shared" ref="AG221:AH221" si="553">AG220/AG217</f>
        <v>-0.28456023799546604</v>
      </c>
      <c r="AH221" s="97">
        <f t="shared" si="553"/>
        <v>-0.28427326390179936</v>
      </c>
    </row>
    <row r="222" spans="2:34" ht="3" customHeight="1" x14ac:dyDescent="0.2">
      <c r="B222" s="9">
        <f>G205</f>
        <v>5</v>
      </c>
      <c r="C222" s="9" t="str">
        <f t="shared" si="520"/>
        <v xml:space="preserve">5 - </v>
      </c>
      <c r="D222" s="9" t="s">
        <v>56</v>
      </c>
      <c r="F222" s="16"/>
      <c r="G222" s="84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4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6"/>
      <c r="AE222" s="15"/>
      <c r="AF222" s="36"/>
      <c r="AG222" s="38"/>
      <c r="AH222" s="38"/>
    </row>
    <row r="223" spans="2:34" x14ac:dyDescent="0.2">
      <c r="B223" s="9">
        <f>G205</f>
        <v>5</v>
      </c>
      <c r="C223" s="9" t="str">
        <f t="shared" si="520"/>
        <v>5 - Administrative Staff Compensation</v>
      </c>
      <c r="D223" s="9" t="s">
        <v>56</v>
      </c>
      <c r="F223" t="s">
        <v>5</v>
      </c>
      <c r="G223" s="178">
        <f>_xlfn.XLOOKUP($C223,'Site Level Financials - ''23 ''24'!$C$2:$C$1577,'Site Level Financials - ''23 ''24'!S$2:S$1577)</f>
        <v>-52.417088754985521</v>
      </c>
      <c r="H223" s="179">
        <f>_xlfn.XLOOKUP($C223,'Site Level Financials - ''23 ''24'!$C$2:$C$1577,'Site Level Financials - ''23 ''24'!T$2:T$1577)</f>
        <v>-51.945326994677572</v>
      </c>
      <c r="I223" s="179">
        <f>_xlfn.XLOOKUP($C223,'Site Level Financials - ''23 ''24'!$C$2:$C$1577,'Site Level Financials - ''23 ''24'!U$2:U$1577)</f>
        <v>-53.916993369612435</v>
      </c>
      <c r="J223" s="179">
        <f>_xlfn.XLOOKUP($C223,'Site Level Financials - ''23 ''24'!$C$2:$C$1577,'Site Level Financials - ''23 ''24'!V$2:V$1577)</f>
        <v>-54.644695928438686</v>
      </c>
      <c r="K223" s="179">
        <f>_xlfn.XLOOKUP($C223,'Site Level Financials - ''23 ''24'!$C$2:$C$1577,'Site Level Financials - ''23 ''24'!W$2:W$1577)</f>
        <v>-75.003106005660442</v>
      </c>
      <c r="L223" s="179">
        <f>_xlfn.XLOOKUP($C223,'Site Level Financials - ''23 ''24'!$C$2:$C$1577,'Site Level Financials - ''23 ''24'!X$2:X$1577)</f>
        <v>-65.003276859252594</v>
      </c>
      <c r="M223" s="179">
        <f>_xlfn.XLOOKUP($C223,'Site Level Financials - ''23 ''24'!$C$2:$C$1577,'Site Level Financials - ''23 ''24'!Y$2:Y$1577)</f>
        <v>-67.047284280189757</v>
      </c>
      <c r="N223" s="179">
        <f>_xlfn.XLOOKUP($C223,'Site Level Financials - ''23 ''24'!$C$2:$C$1577,'Site Level Financials - ''23 ''24'!Z$2:Z$1577)</f>
        <v>-51.136811496435364</v>
      </c>
      <c r="O223" s="179">
        <f>_xlfn.XLOOKUP($C223,'Site Level Financials - ''23 ''24'!$C$2:$C$1577,'Site Level Financials - ''23 ''24'!AA$2:AA$1577)</f>
        <v>-46.076733214692027</v>
      </c>
      <c r="P223" s="179">
        <f>_xlfn.XLOOKUP($C223,'Site Level Financials - ''23 ''24'!$C$2:$C$1577,'Site Level Financials - ''23 ''24'!AB$2:AB$1577)</f>
        <v>-60.492418949673301</v>
      </c>
      <c r="Q223" s="179">
        <f>_xlfn.XLOOKUP($C223,'Site Level Financials - ''23 ''24'!$C$2:$C$1577,'Site Level Financials - ''23 ''24'!AC$2:AC$1577)</f>
        <v>-46.595655543933795</v>
      </c>
      <c r="R223" s="179">
        <f>_xlfn.XLOOKUP($C223,'Site Level Financials - ''23 ''24'!$C$2:$C$1577,'Site Level Financials - ''23 ''24'!AD$2:AD$1577)</f>
        <v>-35.145063413174782</v>
      </c>
      <c r="S223" s="155">
        <f>S224*S217</f>
        <v>-58.685766745579464</v>
      </c>
      <c r="T223" s="154">
        <f t="shared" ref="T223" si="554">T224*T217</f>
        <v>-62.42628666052525</v>
      </c>
      <c r="U223" s="154">
        <f t="shared" ref="U223" si="555">U224*U217</f>
        <v>-65.770509386372154</v>
      </c>
      <c r="V223" s="154">
        <f t="shared" ref="V223" si="556">V224*V217</f>
        <v>-87.682418260516499</v>
      </c>
      <c r="W223" s="154">
        <f t="shared" ref="W223" si="557">W224*W217</f>
        <v>-109.21890298946251</v>
      </c>
      <c r="X223" s="154">
        <f t="shared" ref="X223" si="558">X224*X217</f>
        <v>-94.748325521587205</v>
      </c>
      <c r="Y223" s="154">
        <f t="shared" ref="Y223" si="559">Y224*Y217</f>
        <v>-91.169173789367761</v>
      </c>
      <c r="Z223" s="154">
        <f t="shared" ref="Z223" si="560">Z224*Z217</f>
        <v>-74.806339689193322</v>
      </c>
      <c r="AA223" s="154">
        <f t="shared" ref="AA223" si="561">AA224*AA217</f>
        <v>-69.32947469998642</v>
      </c>
      <c r="AB223" s="154">
        <f t="shared" ref="AB223" si="562">AB224*AB217</f>
        <v>-79.592121486297515</v>
      </c>
      <c r="AC223" s="154">
        <f t="shared" ref="AC223" si="563">AC224*AC217</f>
        <v>-61.210474610873959</v>
      </c>
      <c r="AD223" s="156">
        <f t="shared" ref="AD223" si="564">AD224*AD217</f>
        <v>-47.225047390509523</v>
      </c>
      <c r="AE223" s="15"/>
      <c r="AF223" s="115">
        <f>_xlfn.XLOOKUP($C223,'Site Level Financials - ''23 ''24'!$C$2:$C$1577,'Site Level Financials - ''23 ''24'!$AF$2:$AF$1577)</f>
        <v>-568.12872922955637</v>
      </c>
      <c r="AG223" s="93">
        <f>SUM(G223:R223)</f>
        <v>-659.42445481072627</v>
      </c>
      <c r="AH223" s="93">
        <f t="shared" ref="AH223" si="565">SUM(S223:AD223)</f>
        <v>-901.86484123027162</v>
      </c>
    </row>
    <row r="224" spans="2:34" x14ac:dyDescent="0.2">
      <c r="B224" s="9">
        <f>G205</f>
        <v>5</v>
      </c>
      <c r="C224" s="9" t="str">
        <f t="shared" si="520"/>
        <v>5 - % of Revenue - Administrative Staff Compensation</v>
      </c>
      <c r="D224" s="9" t="s">
        <v>56</v>
      </c>
      <c r="F224" s="16" t="str">
        <f>"% of Revenue - "&amp;F223</f>
        <v>% of Revenue - Administrative Staff Compensation</v>
      </c>
      <c r="G224" s="148">
        <f>G223/G217</f>
        <v>-0.21870267804360627</v>
      </c>
      <c r="H224" s="149">
        <f t="shared" ref="H224:R224" si="566">H223/H217</f>
        <v>-0.22467130269321708</v>
      </c>
      <c r="I224" s="149">
        <f t="shared" si="566"/>
        <v>-0.22044094350326304</v>
      </c>
      <c r="J224" s="149">
        <f t="shared" si="566"/>
        <v>-0.21268972880479486</v>
      </c>
      <c r="K224" s="149">
        <f t="shared" si="566"/>
        <v>-0.22290938422207743</v>
      </c>
      <c r="L224" s="149">
        <f t="shared" si="566"/>
        <v>-0.2302781445457486</v>
      </c>
      <c r="M224" s="149">
        <f t="shared" si="566"/>
        <v>-0.21994355192695059</v>
      </c>
      <c r="N224" s="149">
        <f t="shared" si="566"/>
        <v>-0.21046124507878186</v>
      </c>
      <c r="O224" s="149">
        <f t="shared" si="566"/>
        <v>-0.21274506319953396</v>
      </c>
      <c r="P224" s="149">
        <f t="shared" si="566"/>
        <v>-0.21265882377360706</v>
      </c>
      <c r="Q224" s="149">
        <f t="shared" si="566"/>
        <v>-0.2068970281516507</v>
      </c>
      <c r="R224" s="149">
        <f t="shared" si="566"/>
        <v>-0.19556792976666582</v>
      </c>
      <c r="S224" s="245">
        <f>_xlfn.XLOOKUP($F224,'Budget Assumption Driver'!$A$33:$A$39,'Budget Assumption Driver'!E$33:E$39)+G224</f>
        <v>-0.21870267804360627</v>
      </c>
      <c r="T224" s="246">
        <f>_xlfn.XLOOKUP($F224,'Budget Assumption Driver'!$A$33:$A$39,'Budget Assumption Driver'!F$33:F$39)+H224</f>
        <v>-0.22467130269321708</v>
      </c>
      <c r="U224" s="246">
        <f>_xlfn.XLOOKUP($F224,'Budget Assumption Driver'!$A$33:$A$39,'Budget Assumption Driver'!G$33:G$39)+I224</f>
        <v>-0.22044094350326304</v>
      </c>
      <c r="V224" s="246">
        <f>_xlfn.XLOOKUP($F224,'Budget Assumption Driver'!$A$33:$A$39,'Budget Assumption Driver'!H$33:H$39)+J224</f>
        <v>-0.21268972880479486</v>
      </c>
      <c r="W224" s="246">
        <f>_xlfn.XLOOKUP($F224,'Budget Assumption Driver'!$A$33:$A$39,'Budget Assumption Driver'!I$33:I$39)+K224</f>
        <v>-0.22290938422207743</v>
      </c>
      <c r="X224" s="246">
        <f>_xlfn.XLOOKUP($F224,'Budget Assumption Driver'!$A$33:$A$39,'Budget Assumption Driver'!J$33:J$39)+L224</f>
        <v>-0.2302781445457486</v>
      </c>
      <c r="Y224" s="246">
        <f>_xlfn.XLOOKUP($F224,'Budget Assumption Driver'!$A$33:$A$39,'Budget Assumption Driver'!K$33:K$39)+M224</f>
        <v>-0.21994355192695059</v>
      </c>
      <c r="Z224" s="246">
        <f>_xlfn.XLOOKUP($F224,'Budget Assumption Driver'!$A$33:$A$39,'Budget Assumption Driver'!L$33:L$39)+N224</f>
        <v>-0.21046124507878186</v>
      </c>
      <c r="AA224" s="246">
        <f>_xlfn.XLOOKUP($F224,'Budget Assumption Driver'!$A$33:$A$39,'Budget Assumption Driver'!M$33:M$39)+O224</f>
        <v>-0.21274506319953396</v>
      </c>
      <c r="AB224" s="246">
        <f>_xlfn.XLOOKUP($F224,'Budget Assumption Driver'!$A$33:$A$39,'Budget Assumption Driver'!N$33:N$39)+P224</f>
        <v>-0.21265882377360706</v>
      </c>
      <c r="AC224" s="246">
        <f>_xlfn.XLOOKUP($F224,'Budget Assumption Driver'!$A$33:$A$39,'Budget Assumption Driver'!O$33:O$39)+Q224</f>
        <v>-0.2068970281516507</v>
      </c>
      <c r="AD224" s="296">
        <f>_xlfn.XLOOKUP($F224,'Budget Assumption Driver'!$A$33:$A$39,'Budget Assumption Driver'!P$33:P$39)+R224</f>
        <v>-0.19556792976666582</v>
      </c>
      <c r="AE224" s="15"/>
      <c r="AF224" s="232">
        <f>_xlfn.XLOOKUP($C224,'Site Level Financials - ''23 ''24'!$C$2:$C$1577,'Site Level Financials - ''23 ''24'!$AF$2:$AF$1577)</f>
        <v>-0.1813625159238591</v>
      </c>
      <c r="AG224" s="97">
        <f t="shared" ref="AG224:AH224" si="567">AG223/AG217</f>
        <v>-0.21656576260633464</v>
      </c>
      <c r="AH224" s="97">
        <f t="shared" si="567"/>
        <v>-0.21649999890891886</v>
      </c>
    </row>
    <row r="225" spans="2:34" ht="3" customHeight="1" x14ac:dyDescent="0.2">
      <c r="B225" s="9">
        <f>G205</f>
        <v>5</v>
      </c>
      <c r="C225" s="9" t="str">
        <f t="shared" si="520"/>
        <v xml:space="preserve">5 - </v>
      </c>
      <c r="D225" s="9" t="s">
        <v>56</v>
      </c>
      <c r="F225" s="16"/>
      <c r="G225" s="84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4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6"/>
      <c r="AE225" s="15"/>
      <c r="AF225" s="36"/>
      <c r="AG225" s="38"/>
      <c r="AH225" s="38"/>
    </row>
    <row r="226" spans="2:34" x14ac:dyDescent="0.2">
      <c r="B226" s="9">
        <f>G205</f>
        <v>5</v>
      </c>
      <c r="C226" s="9" t="str">
        <f t="shared" si="520"/>
        <v>5 - Office Supplies</v>
      </c>
      <c r="D226" s="9" t="s">
        <v>56</v>
      </c>
      <c r="F226" t="s">
        <v>6</v>
      </c>
      <c r="G226" s="178">
        <f>_xlfn.XLOOKUP($C226,'Site Level Financials - ''23 ''24'!$C$2:$C$1577,'Site Level Financials - ''23 ''24'!S$2:S$1577)</f>
        <v>-14.009673723210838</v>
      </c>
      <c r="H226" s="179">
        <f>_xlfn.XLOOKUP($C226,'Site Level Financials - ''23 ''24'!$C$2:$C$1577,'Site Level Financials - ''23 ''24'!T$2:T$1577)</f>
        <v>-13.362920196338502</v>
      </c>
      <c r="I226" s="179">
        <f>_xlfn.XLOOKUP($C226,'Site Level Financials - ''23 ''24'!$C$2:$C$1577,'Site Level Financials - ''23 ''24'!U$2:U$1577)</f>
        <v>-15.002696252943627</v>
      </c>
      <c r="J226" s="179">
        <f>_xlfn.XLOOKUP($C226,'Site Level Financials - ''23 ''24'!$C$2:$C$1577,'Site Level Financials - ''23 ''24'!V$2:V$1577)</f>
        <v>-15.33765106624795</v>
      </c>
      <c r="K226" s="179">
        <f>_xlfn.XLOOKUP($C226,'Site Level Financials - ''23 ''24'!$C$2:$C$1577,'Site Level Financials - ''23 ''24'!W$2:W$1577)</f>
        <v>-20.088244538779595</v>
      </c>
      <c r="L226" s="179">
        <f>_xlfn.XLOOKUP($C226,'Site Level Financials - ''23 ''24'!$C$2:$C$1577,'Site Level Financials - ''23 ''24'!X$2:X$1577)</f>
        <v>-17.080981849749051</v>
      </c>
      <c r="M226" s="179">
        <f>_xlfn.XLOOKUP($C226,'Site Level Financials - ''23 ''24'!$C$2:$C$1577,'Site Level Financials - ''23 ''24'!Y$2:Y$1577)</f>
        <v>-17.717139320771896</v>
      </c>
      <c r="N226" s="179">
        <f>_xlfn.XLOOKUP($C226,'Site Level Financials - ''23 ''24'!$C$2:$C$1577,'Site Level Financials - ''23 ''24'!Z$2:Z$1577)</f>
        <v>-14.095290174166804</v>
      </c>
      <c r="O226" s="179">
        <f>_xlfn.XLOOKUP($C226,'Site Level Financials - ''23 ''24'!$C$2:$C$1577,'Site Level Financials - ''23 ''24'!AA$2:AA$1577)</f>
        <v>-13.255970501801876</v>
      </c>
      <c r="P226" s="179">
        <f>_xlfn.XLOOKUP($C226,'Site Level Financials - ''23 ''24'!$C$2:$C$1577,'Site Level Financials - ''23 ''24'!AB$2:AB$1577)</f>
        <v>-18.728481085676389</v>
      </c>
      <c r="Q226" s="179">
        <f>_xlfn.XLOOKUP($C226,'Site Level Financials - ''23 ''24'!$C$2:$C$1577,'Site Level Financials - ''23 ''24'!AC$2:AC$1577)</f>
        <v>-15.103671785362925</v>
      </c>
      <c r="R226" s="179">
        <f>_xlfn.XLOOKUP($C226,'Site Level Financials - ''23 ''24'!$C$2:$C$1577,'Site Level Financials - ''23 ''24'!AD$2:AD$1577)</f>
        <v>-12.244866524860489</v>
      </c>
      <c r="S226" s="155">
        <f>S227*S217</f>
        <v>-15.685122234565663</v>
      </c>
      <c r="T226" s="154">
        <f t="shared" ref="T226" si="568">T227*T217</f>
        <v>-16.059144008927372</v>
      </c>
      <c r="U226" s="154">
        <f t="shared" ref="U226" si="569">U227*U217</f>
        <v>-18.301001466473501</v>
      </c>
      <c r="V226" s="154">
        <f t="shared" ref="V226" si="570">V227*V217</f>
        <v>-24.610665556374972</v>
      </c>
      <c r="W226" s="154">
        <f t="shared" ref="W226" si="571">W227*W217</f>
        <v>-29.252335647859539</v>
      </c>
      <c r="X226" s="154">
        <f t="shared" ref="X226" si="572">X227*X217</f>
        <v>-24.897120679508987</v>
      </c>
      <c r="Y226" s="154">
        <f t="shared" ref="Y226" si="573">Y227*Y217</f>
        <v>-24.091310649298716</v>
      </c>
      <c r="Z226" s="154">
        <f t="shared" ref="Z226" si="574">Z227*Z217</f>
        <v>-20.619530900161266</v>
      </c>
      <c r="AA226" s="154">
        <f t="shared" ref="AA226" si="575">AA227*AA217</f>
        <v>-19.945629983060471</v>
      </c>
      <c r="AB226" s="154">
        <f t="shared" ref="AB226" si="576">AB227*AB217</f>
        <v>-24.641757888126754</v>
      </c>
      <c r="AC226" s="154">
        <f t="shared" ref="AC226" si="577">AC227*AC217</f>
        <v>-19.840968166597456</v>
      </c>
      <c r="AD226" s="156">
        <f t="shared" ref="AD226" si="578">AD227*AD217</f>
        <v>-16.453645142954187</v>
      </c>
      <c r="AE226" s="15"/>
      <c r="AF226" s="115">
        <f>_xlfn.XLOOKUP($C226,'Site Level Financials - ''23 ''24'!$C$2:$C$1577,'Site Level Financials - ''23 ''24'!$AF$2:$AF$1577)</f>
        <v>-181.84921305036784</v>
      </c>
      <c r="AG226" s="93">
        <f>SUM(G226:R226)</f>
        <v>-186.02758701990996</v>
      </c>
      <c r="AH226" s="93">
        <f t="shared" ref="AH226" si="579">SUM(S226:AD226)</f>
        <v>-254.39823232390887</v>
      </c>
    </row>
    <row r="227" spans="2:34" x14ac:dyDescent="0.2">
      <c r="B227" s="9">
        <f>G205</f>
        <v>5</v>
      </c>
      <c r="C227" s="9" t="str">
        <f t="shared" si="520"/>
        <v>5 - % of Revenue - Office Supplies</v>
      </c>
      <c r="D227" s="9" t="s">
        <v>56</v>
      </c>
      <c r="F227" s="16" t="str">
        <f>"% of Revenue - "&amp;F226</f>
        <v>% of Revenue - Office Supplies</v>
      </c>
      <c r="G227" s="148">
        <f>G226/G217</f>
        <v>-5.8453325710347288E-2</v>
      </c>
      <c r="H227" s="149">
        <f t="shared" ref="H227:R227" si="580">H226/H217</f>
        <v>-5.7796626992154453E-2</v>
      </c>
      <c r="I227" s="149">
        <f t="shared" si="580"/>
        <v>-6.1338889845361851E-2</v>
      </c>
      <c r="J227" s="149">
        <f t="shared" si="580"/>
        <v>-5.9697666724230526E-2</v>
      </c>
      <c r="K227" s="149">
        <f t="shared" si="580"/>
        <v>-5.9702303793977916E-2</v>
      </c>
      <c r="L227" s="149">
        <f t="shared" si="580"/>
        <v>-6.0510438818284613E-2</v>
      </c>
      <c r="M227" s="149">
        <f t="shared" si="580"/>
        <v>-5.8119737347014033E-2</v>
      </c>
      <c r="N227" s="149">
        <f t="shared" si="580"/>
        <v>-5.8011288404414003E-2</v>
      </c>
      <c r="O227" s="149">
        <f t="shared" si="580"/>
        <v>-6.1205343465577274E-2</v>
      </c>
      <c r="P227" s="149">
        <f t="shared" si="580"/>
        <v>-6.5839270902022642E-2</v>
      </c>
      <c r="Q227" s="149">
        <f t="shared" si="580"/>
        <v>-6.7064295374557756E-2</v>
      </c>
      <c r="R227" s="149">
        <f t="shared" si="580"/>
        <v>-6.8137683189907525E-2</v>
      </c>
      <c r="S227" s="245">
        <f>_xlfn.XLOOKUP($F227,'Budget Assumption Driver'!$A$33:$A$39,'Budget Assumption Driver'!E$33:E$39)+G227</f>
        <v>-5.8453325710347288E-2</v>
      </c>
      <c r="T227" s="246">
        <f>_xlfn.XLOOKUP($F227,'Budget Assumption Driver'!$A$33:$A$39,'Budget Assumption Driver'!F$33:F$39)+H227</f>
        <v>-5.7796626992154453E-2</v>
      </c>
      <c r="U227" s="246">
        <f>_xlfn.XLOOKUP($F227,'Budget Assumption Driver'!$A$33:$A$39,'Budget Assumption Driver'!G$33:G$39)+I227</f>
        <v>-6.1338889845361851E-2</v>
      </c>
      <c r="V227" s="246">
        <f>_xlfn.XLOOKUP($F227,'Budget Assumption Driver'!$A$33:$A$39,'Budget Assumption Driver'!H$33:H$39)+J227</f>
        <v>-5.9697666724230526E-2</v>
      </c>
      <c r="W227" s="246">
        <f>_xlfn.XLOOKUP($F227,'Budget Assumption Driver'!$A$33:$A$39,'Budget Assumption Driver'!I$33:I$39)+K227</f>
        <v>-5.9702303793977916E-2</v>
      </c>
      <c r="X227" s="246">
        <f>_xlfn.XLOOKUP($F227,'Budget Assumption Driver'!$A$33:$A$39,'Budget Assumption Driver'!J$33:J$39)+L227</f>
        <v>-6.0510438818284613E-2</v>
      </c>
      <c r="Y227" s="246">
        <f>_xlfn.XLOOKUP($F227,'Budget Assumption Driver'!$A$33:$A$39,'Budget Assumption Driver'!K$33:K$39)+M227</f>
        <v>-5.8119737347014033E-2</v>
      </c>
      <c r="Z227" s="246">
        <f>_xlfn.XLOOKUP($F227,'Budget Assumption Driver'!$A$33:$A$39,'Budget Assumption Driver'!L$33:L$39)+N227</f>
        <v>-5.8011288404414003E-2</v>
      </c>
      <c r="AA227" s="246">
        <f>_xlfn.XLOOKUP($F227,'Budget Assumption Driver'!$A$33:$A$39,'Budget Assumption Driver'!M$33:M$39)+O227</f>
        <v>-6.1205343465577274E-2</v>
      </c>
      <c r="AB227" s="246">
        <f>_xlfn.XLOOKUP($F227,'Budget Assumption Driver'!$A$33:$A$39,'Budget Assumption Driver'!N$33:N$39)+P227</f>
        <v>-6.5839270902022642E-2</v>
      </c>
      <c r="AC227" s="246">
        <f>_xlfn.XLOOKUP($F227,'Budget Assumption Driver'!$A$33:$A$39,'Budget Assumption Driver'!O$33:O$39)+Q227</f>
        <v>-6.7064295374557756E-2</v>
      </c>
      <c r="AD227" s="296">
        <f>_xlfn.XLOOKUP($F227,'Budget Assumption Driver'!$A$33:$A$39,'Budget Assumption Driver'!P$33:P$39)+R227</f>
        <v>-6.8137683189907525E-2</v>
      </c>
      <c r="AE227" s="15"/>
      <c r="AF227" s="232">
        <f>_xlfn.XLOOKUP($C227,'Site Level Financials - ''23 ''24'!$C$2:$C$1577,'Site Level Financials - ''23 ''24'!$AF$2:$AF$1577)</f>
        <v>-5.8051334320504903E-2</v>
      </c>
      <c r="AG227" s="97">
        <f t="shared" ref="AG227:AH227" si="581">AG226/AG217</f>
        <v>-6.1094498323309321E-2</v>
      </c>
      <c r="AH227" s="97">
        <f t="shared" si="581"/>
        <v>-6.1070367202056587E-2</v>
      </c>
    </row>
    <row r="228" spans="2:34" ht="6" customHeight="1" x14ac:dyDescent="0.2">
      <c r="B228" s="9">
        <f>G205</f>
        <v>5</v>
      </c>
      <c r="C228" s="9" t="str">
        <f t="shared" si="520"/>
        <v xml:space="preserve">5 - </v>
      </c>
      <c r="D228" s="9" t="s">
        <v>56</v>
      </c>
      <c r="F228" s="16"/>
      <c r="G228" s="80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80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81"/>
      <c r="AE228" s="15"/>
      <c r="AF228" s="11"/>
      <c r="AG228" s="15"/>
      <c r="AH228" s="15"/>
    </row>
    <row r="229" spans="2:34" x14ac:dyDescent="0.2">
      <c r="B229" s="9">
        <f>G205</f>
        <v>5</v>
      </c>
      <c r="C229" s="9" t="str">
        <f t="shared" si="520"/>
        <v>5 - Office Gross Profit</v>
      </c>
      <c r="D229" s="9" t="s">
        <v>56</v>
      </c>
      <c r="F229" s="8" t="s">
        <v>11</v>
      </c>
      <c r="G229" s="241">
        <f>_xlfn.XLOOKUP($C229,'Site Level Financials - ''23 ''24'!$C$2:$C$1577,'Site Level Financials - ''23 ''24'!S$2:S$1577)</f>
        <v>104.64006212618033</v>
      </c>
      <c r="H229" s="242">
        <f>_xlfn.XLOOKUP($C229,'Site Level Financials - ''23 ''24'!$C$2:$C$1577,'Site Level Financials - ''23 ''24'!T$2:T$1577)</f>
        <v>98.32617519532144</v>
      </c>
      <c r="I229" s="242">
        <f>_xlfn.XLOOKUP($C229,'Site Level Financials - ''23 ''24'!$C$2:$C$1577,'Site Level Financials - ''23 ''24'!U$2:U$1577)</f>
        <v>105.8345087496036</v>
      </c>
      <c r="J229" s="242">
        <f>_xlfn.XLOOKUP($C229,'Site Level Financials - ''23 ''24'!$C$2:$C$1577,'Site Level Financials - ''23 ''24'!V$2:V$1577)</f>
        <v>114.33680025402322</v>
      </c>
      <c r="K229" s="242">
        <f>_xlfn.XLOOKUP($C229,'Site Level Financials - ''23 ''24'!$C$2:$C$1577,'Site Level Financials - ''23 ''24'!W$2:W$1577)</f>
        <v>148.19393564233229</v>
      </c>
      <c r="L229" s="242">
        <f>_xlfn.XLOOKUP($C229,'Site Level Financials - ''23 ''24'!$C$2:$C$1577,'Site Level Financials - ''23 ''24'!X$2:X$1577)</f>
        <v>119.78603892742329</v>
      </c>
      <c r="M229" s="242">
        <f>_xlfn.XLOOKUP($C229,'Site Level Financials - ''23 ''24'!$C$2:$C$1577,'Site Level Financials - ''23 ''24'!Y$2:Y$1577)</f>
        <v>133.56502291519396</v>
      </c>
      <c r="N229" s="242">
        <f>_xlfn.XLOOKUP($C229,'Site Level Financials - ''23 ''24'!$C$2:$C$1577,'Site Level Financials - ''23 ''24'!Z$2:Z$1577)</f>
        <v>110.96842389274535</v>
      </c>
      <c r="O229" s="242">
        <f>_xlfn.XLOOKUP($C229,'Site Level Financials - ''23 ''24'!$C$2:$C$1577,'Site Level Financials - ''23 ''24'!AA$2:AA$1577)</f>
        <v>96.106363210638307</v>
      </c>
      <c r="P229" s="242">
        <f>_xlfn.XLOOKUP($C229,'Site Level Financials - ''23 ''24'!$C$2:$C$1577,'Site Level Financials - ''23 ''24'!AB$2:AB$1577)</f>
        <v>123.07351714390673</v>
      </c>
      <c r="Q229" s="242">
        <f>_xlfn.XLOOKUP($C229,'Site Level Financials - ''23 ''24'!$C$2:$C$1577,'Site Level Financials - ''23 ''24'!AC$2:AC$1577)</f>
        <v>98.939611973017222</v>
      </c>
      <c r="R229" s="242">
        <f>_xlfn.XLOOKUP($C229,'Site Level Financials - ''23 ''24'!$C$2:$C$1577,'Site Level Financials - ''23 ''24'!AD$2:AD$1577)</f>
        <v>79.231143498135253</v>
      </c>
      <c r="S229" s="134">
        <f t="shared" ref="S229:AD229" si="582">S217+S220+S223+S226</f>
        <v>117.15420341035038</v>
      </c>
      <c r="T229" s="135">
        <f t="shared" si="582"/>
        <v>118.16535488562982</v>
      </c>
      <c r="U229" s="135">
        <f t="shared" si="582"/>
        <v>129.10196055258871</v>
      </c>
      <c r="V229" s="135">
        <f t="shared" si="582"/>
        <v>183.46386546960221</v>
      </c>
      <c r="W229" s="135">
        <f t="shared" si="582"/>
        <v>215.79878411068779</v>
      </c>
      <c r="X229" s="135">
        <f t="shared" si="582"/>
        <v>174.59929956779592</v>
      </c>
      <c r="Y229" s="135">
        <f t="shared" si="582"/>
        <v>181.61828502178588</v>
      </c>
      <c r="Z229" s="135">
        <f t="shared" si="582"/>
        <v>162.33201424914347</v>
      </c>
      <c r="AA229" s="135">
        <f t="shared" si="582"/>
        <v>144.60668567091665</v>
      </c>
      <c r="AB229" s="135">
        <f t="shared" si="582"/>
        <v>161.93239580009632</v>
      </c>
      <c r="AC229" s="135">
        <f t="shared" si="582"/>
        <v>129.97221599283904</v>
      </c>
      <c r="AD229" s="136">
        <f t="shared" si="582"/>
        <v>106.46429805845942</v>
      </c>
      <c r="AE229" s="15"/>
      <c r="AF229" s="114">
        <f>_xlfn.XLOOKUP($C229,'Site Level Financials - ''23 ''24'!$C$2:$C$1577,'Site Level Financials - ''23 ''24'!$AF$2:$AF$1577)</f>
        <v>1407.8170289694392</v>
      </c>
      <c r="AG229" s="95">
        <f>SUM(G229:R229)</f>
        <v>1333.0016035285209</v>
      </c>
      <c r="AH229" s="95">
        <f t="shared" ref="AH229" si="583">SUM(S229:AD229)</f>
        <v>1825.2093627898955</v>
      </c>
    </row>
    <row r="230" spans="2:34" x14ac:dyDescent="0.2">
      <c r="B230" s="9">
        <f>G205</f>
        <v>5</v>
      </c>
      <c r="C230" s="9" t="str">
        <f t="shared" si="520"/>
        <v>5 - % of Revenue - Office Gross Profit</v>
      </c>
      <c r="D230" s="9" t="s">
        <v>56</v>
      </c>
      <c r="F230" s="16" t="str">
        <f>"% of Revenue - "&amp;F229</f>
        <v>% of Revenue - Office Gross Profit</v>
      </c>
      <c r="G230" s="148">
        <f>G229/G217</f>
        <v>0.43659543788509847</v>
      </c>
      <c r="H230" s="149">
        <f t="shared" ref="H230:AD230" si="584">H229/H217</f>
        <v>0.42527540296816024</v>
      </c>
      <c r="I230" s="149">
        <f t="shared" si="584"/>
        <v>0.43270697243878364</v>
      </c>
      <c r="J230" s="149">
        <f t="shared" si="584"/>
        <v>0.44502513236202801</v>
      </c>
      <c r="K230" s="149">
        <f t="shared" si="584"/>
        <v>0.4404326793744438</v>
      </c>
      <c r="L230" s="149">
        <f t="shared" si="584"/>
        <v>0.42434948081798918</v>
      </c>
      <c r="M230" s="149">
        <f t="shared" si="584"/>
        <v>0.43814996936202777</v>
      </c>
      <c r="N230" s="149">
        <f t="shared" si="584"/>
        <v>0.45670725204533386</v>
      </c>
      <c r="O230" s="149">
        <f t="shared" si="584"/>
        <v>0.4437414045795493</v>
      </c>
      <c r="P230" s="149">
        <f t="shared" si="584"/>
        <v>0.43266032087885975</v>
      </c>
      <c r="Q230" s="149">
        <f t="shared" si="584"/>
        <v>0.43931803179362577</v>
      </c>
      <c r="R230" s="149">
        <f t="shared" si="584"/>
        <v>0.4408889671021996</v>
      </c>
      <c r="S230" s="148">
        <f t="shared" si="584"/>
        <v>0.43659543788509847</v>
      </c>
      <c r="T230" s="149">
        <f t="shared" si="584"/>
        <v>0.42527540296816013</v>
      </c>
      <c r="U230" s="149">
        <f t="shared" si="584"/>
        <v>0.4327069724387837</v>
      </c>
      <c r="V230" s="149">
        <f t="shared" si="584"/>
        <v>0.44502513236202806</v>
      </c>
      <c r="W230" s="149">
        <f t="shared" si="584"/>
        <v>0.44043267937444397</v>
      </c>
      <c r="X230" s="149">
        <f t="shared" si="584"/>
        <v>0.42434948081798923</v>
      </c>
      <c r="Y230" s="149">
        <f t="shared" si="584"/>
        <v>0.43814996936202788</v>
      </c>
      <c r="Z230" s="149">
        <f t="shared" si="584"/>
        <v>0.45670725204533408</v>
      </c>
      <c r="AA230" s="149">
        <f t="shared" si="584"/>
        <v>0.4437414045795493</v>
      </c>
      <c r="AB230" s="149">
        <f t="shared" si="584"/>
        <v>0.43266032087885975</v>
      </c>
      <c r="AC230" s="149">
        <f t="shared" si="584"/>
        <v>0.43931803179362572</v>
      </c>
      <c r="AD230" s="150">
        <f t="shared" si="584"/>
        <v>0.44088896710219955</v>
      </c>
      <c r="AE230" s="15"/>
      <c r="AF230" s="233">
        <f>_xlfn.XLOOKUP($C230,'Site Level Financials - ''23 ''24'!$C$2:$C$1577,'Site Level Financials - ''23 ''24'!$AF$2:$AF$1577)</f>
        <v>0.44941441120324682</v>
      </c>
      <c r="AG230" s="97">
        <f t="shared" ref="AG230:AH230" si="585">AG229/AG217</f>
        <v>0.43777950107489</v>
      </c>
      <c r="AH230" s="97">
        <f t="shared" si="585"/>
        <v>0.43815636998722501</v>
      </c>
    </row>
    <row r="231" spans="2:34" ht="6" customHeight="1" x14ac:dyDescent="0.2">
      <c r="B231" s="9">
        <f>G205</f>
        <v>5</v>
      </c>
      <c r="C231" s="9" t="str">
        <f t="shared" si="520"/>
        <v xml:space="preserve">5 - </v>
      </c>
      <c r="D231" s="9" t="s">
        <v>56</v>
      </c>
      <c r="F231" s="16"/>
      <c r="G231" s="80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80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81"/>
      <c r="AE231" s="15"/>
      <c r="AF231" s="11"/>
      <c r="AG231" s="15"/>
      <c r="AH231" s="15"/>
    </row>
    <row r="232" spans="2:34" x14ac:dyDescent="0.2">
      <c r="B232" s="9">
        <f>G205</f>
        <v>5</v>
      </c>
      <c r="C232" s="9" t="str">
        <f t="shared" si="520"/>
        <v>5 - General and Administrative Expense</v>
      </c>
      <c r="D232" s="9" t="s">
        <v>56</v>
      </c>
      <c r="F232" t="s">
        <v>10</v>
      </c>
      <c r="G232" s="178">
        <f>_xlfn.XLOOKUP($C232,'Site Level Financials - ''23 ''24'!$C$2:$C$1577,'Site Level Financials - ''23 ''24'!S$2:S$1577)</f>
        <v>-9.2749638371231331</v>
      </c>
      <c r="H232" s="179">
        <f>_xlfn.XLOOKUP($C232,'Site Level Financials - ''23 ''24'!$C$2:$C$1577,'Site Level Financials - ''23 ''24'!T$2:T$1577)</f>
        <v>-7.8750077872314623</v>
      </c>
      <c r="I232" s="179">
        <f>_xlfn.XLOOKUP($C232,'Site Level Financials - ''23 ''24'!$C$2:$C$1577,'Site Level Financials - ''23 ''24'!U$2:U$1577)</f>
        <v>-8.6764701501927579</v>
      </c>
      <c r="J232" s="179">
        <f>_xlfn.XLOOKUP($C232,'Site Level Financials - ''23 ''24'!$C$2:$C$1577,'Site Level Financials - ''23 ''24'!V$2:V$1577)</f>
        <v>-9.0978160971776987</v>
      </c>
      <c r="K232" s="179">
        <f>_xlfn.XLOOKUP($C232,'Site Level Financials - ''23 ''24'!$C$2:$C$1577,'Site Level Financials - ''23 ''24'!W$2:W$1577)</f>
        <v>-11.305648850153156</v>
      </c>
      <c r="L232" s="179">
        <f>_xlfn.XLOOKUP($C232,'Site Level Financials - ''23 ''24'!$C$2:$C$1577,'Site Level Financials - ''23 ''24'!X$2:X$1577)</f>
        <v>-8.483709498900339</v>
      </c>
      <c r="M232" s="179">
        <f>_xlfn.XLOOKUP($C232,'Site Level Financials - ''23 ''24'!$C$2:$C$1577,'Site Level Financials - ''23 ''24'!Y$2:Y$1577)</f>
        <v>-9.2260854775245651</v>
      </c>
      <c r="N232" s="179">
        <f>_xlfn.XLOOKUP($C232,'Site Level Financials - ''23 ''24'!$C$2:$C$1577,'Site Level Financials - ''23 ''24'!Z$2:Z$1577)</f>
        <v>-7.1737737128759891</v>
      </c>
      <c r="O232" s="179">
        <f>_xlfn.XLOOKUP($C232,'Site Level Financials - ''23 ''24'!$C$2:$C$1577,'Site Level Financials - ''23 ''24'!AA$2:AA$1577)</f>
        <v>-7.2623249897753217</v>
      </c>
      <c r="P232" s="179">
        <f>_xlfn.XLOOKUP($C232,'Site Level Financials - ''23 ''24'!$C$2:$C$1577,'Site Level Financials - ''23 ''24'!AB$2:AB$1577)</f>
        <v>-10.323548715666551</v>
      </c>
      <c r="Q232" s="179">
        <f>_xlfn.XLOOKUP($C232,'Site Level Financials - ''23 ''24'!$C$2:$C$1577,'Site Level Financials - ''23 ''24'!AC$2:AC$1577)</f>
        <v>-8.004081522306846</v>
      </c>
      <c r="R232" s="179">
        <f>_xlfn.XLOOKUP($C232,'Site Level Financials - ''23 ''24'!$C$2:$C$1577,'Site Level Financials - ''23 ''24'!AD$2:AD$1577)</f>
        <v>-7.1611240999483652</v>
      </c>
      <c r="S232" s="155">
        <f>S233*S217</f>
        <v>-10.384177703255647</v>
      </c>
      <c r="T232" s="154">
        <f t="shared" ref="T232" si="586">T233*T217</f>
        <v>-9.4639406857512132</v>
      </c>
      <c r="U232" s="154">
        <f t="shared" ref="U232" si="587">U233*U217</f>
        <v>-10.583970392077756</v>
      </c>
      <c r="V232" s="154">
        <f t="shared" ref="V232" si="588">V233*V217</f>
        <v>-14.598278986393607</v>
      </c>
      <c r="W232" s="154">
        <f t="shared" ref="W232" si="589">W233*W217</f>
        <v>-16.463192403053508</v>
      </c>
      <c r="X232" s="154">
        <f t="shared" ref="X232" si="590">X233*X217</f>
        <v>-12.365796127060555</v>
      </c>
      <c r="Y232" s="154">
        <f t="shared" ref="Y232" si="591">Y233*Y217</f>
        <v>-12.545393886214812</v>
      </c>
      <c r="Z232" s="154">
        <f t="shared" ref="Z232" si="592">Z233*Z217</f>
        <v>-10.494274819152835</v>
      </c>
      <c r="AA232" s="154">
        <f t="shared" ref="AA232" si="593">AA233*AA217</f>
        <v>-10.927275905080082</v>
      </c>
      <c r="AB232" s="154">
        <f t="shared" ref="AB232" si="594">AB233*AB217</f>
        <v>-13.583076322846901</v>
      </c>
      <c r="AC232" s="154">
        <f t="shared" ref="AC232" si="595">AC233*AC217</f>
        <v>-10.514577444727294</v>
      </c>
      <c r="AD232" s="156">
        <f t="shared" ref="AD232" si="596">AD233*AD217</f>
        <v>-9.6225299415054302</v>
      </c>
      <c r="AE232" s="15"/>
      <c r="AF232" s="115">
        <f>_xlfn.XLOOKUP($C232,'Site Level Financials - ''23 ''24'!$C$2:$C$1577,'Site Level Financials - ''23 ''24'!$AF$2:$AF$1577)</f>
        <v>-96.355124468728931</v>
      </c>
      <c r="AG232" s="93">
        <f>SUM(G232:R232)</f>
        <v>-103.86455473887618</v>
      </c>
      <c r="AH232" s="93">
        <f t="shared" ref="AH232" si="597">SUM(S232:AD232)</f>
        <v>-141.54648461711963</v>
      </c>
    </row>
    <row r="233" spans="2:34" x14ac:dyDescent="0.2">
      <c r="B233" s="9">
        <f>G205</f>
        <v>5</v>
      </c>
      <c r="C233" s="9" t="str">
        <f t="shared" si="520"/>
        <v>5 - % of Revenue - General and Administrative Expense</v>
      </c>
      <c r="D233" s="9" t="s">
        <v>56</v>
      </c>
      <c r="F233" s="16" t="str">
        <f>"% of Revenue - "&amp;F232</f>
        <v>% of Revenue - General and Administrative Expense</v>
      </c>
      <c r="G233" s="148">
        <f>G232/G217</f>
        <v>-3.8698437439326501E-2</v>
      </c>
      <c r="H233" s="149">
        <f t="shared" ref="H233:R233" si="598">H232/H217</f>
        <v>-3.4060585631847239E-2</v>
      </c>
      <c r="I233" s="149">
        <f t="shared" si="598"/>
        <v>-3.5473960001344534E-2</v>
      </c>
      <c r="J233" s="149">
        <f t="shared" si="598"/>
        <v>-3.5410793409092527E-2</v>
      </c>
      <c r="K233" s="149">
        <f t="shared" si="598"/>
        <v>-3.3600411471339395E-2</v>
      </c>
      <c r="L233" s="149">
        <f t="shared" si="598"/>
        <v>-3.0054067681879248E-2</v>
      </c>
      <c r="M233" s="149">
        <f t="shared" si="598"/>
        <v>-3.0265476552761367E-2</v>
      </c>
      <c r="N233" s="149">
        <f t="shared" si="598"/>
        <v>-2.9524745547159535E-2</v>
      </c>
      <c r="O233" s="149">
        <f t="shared" si="598"/>
        <v>-3.3531539263566092E-2</v>
      </c>
      <c r="P233" s="149">
        <f t="shared" si="598"/>
        <v>-3.6292047254212784E-2</v>
      </c>
      <c r="Q233" s="149">
        <f t="shared" si="598"/>
        <v>-3.5540237833705531E-2</v>
      </c>
      <c r="R233" s="149">
        <f t="shared" si="598"/>
        <v>-3.9848732055611583E-2</v>
      </c>
      <c r="S233" s="245">
        <f>_xlfn.XLOOKUP($F233,'Budget Assumption Driver'!$A$33:$A$39,'Budget Assumption Driver'!E$33:E$39)+G233</f>
        <v>-3.8698437439326501E-2</v>
      </c>
      <c r="T233" s="246">
        <f>_xlfn.XLOOKUP($F233,'Budget Assumption Driver'!$A$33:$A$39,'Budget Assumption Driver'!F$33:F$39)+H233</f>
        <v>-3.4060585631847239E-2</v>
      </c>
      <c r="U233" s="246">
        <f>_xlfn.XLOOKUP($F233,'Budget Assumption Driver'!$A$33:$A$39,'Budget Assumption Driver'!G$33:G$39)+I233</f>
        <v>-3.5473960001344534E-2</v>
      </c>
      <c r="V233" s="246">
        <f>_xlfn.XLOOKUP($F233,'Budget Assumption Driver'!$A$33:$A$39,'Budget Assumption Driver'!H$33:H$39)+J233</f>
        <v>-3.5410793409092527E-2</v>
      </c>
      <c r="W233" s="246">
        <f>_xlfn.XLOOKUP($F233,'Budget Assumption Driver'!$A$33:$A$39,'Budget Assumption Driver'!I$33:I$39)+K233</f>
        <v>-3.3600411471339395E-2</v>
      </c>
      <c r="X233" s="246">
        <f>_xlfn.XLOOKUP($F233,'Budget Assumption Driver'!$A$33:$A$39,'Budget Assumption Driver'!J$33:J$39)+L233</f>
        <v>-3.0054067681879248E-2</v>
      </c>
      <c r="Y233" s="246">
        <f>_xlfn.XLOOKUP($F233,'Budget Assumption Driver'!$A$33:$A$39,'Budget Assumption Driver'!K$33:K$39)+M233</f>
        <v>-3.0265476552761367E-2</v>
      </c>
      <c r="Z233" s="246">
        <f>_xlfn.XLOOKUP($F233,'Budget Assumption Driver'!$A$33:$A$39,'Budget Assumption Driver'!L$33:L$39)+N233</f>
        <v>-2.9524745547159535E-2</v>
      </c>
      <c r="AA233" s="246">
        <f>_xlfn.XLOOKUP($F233,'Budget Assumption Driver'!$A$33:$A$39,'Budget Assumption Driver'!M$33:M$39)+O233</f>
        <v>-3.3531539263566092E-2</v>
      </c>
      <c r="AB233" s="246">
        <f>_xlfn.XLOOKUP($F233,'Budget Assumption Driver'!$A$33:$A$39,'Budget Assumption Driver'!N$33:N$39)+P233</f>
        <v>-3.6292047254212784E-2</v>
      </c>
      <c r="AC233" s="246">
        <f>_xlfn.XLOOKUP($F233,'Budget Assumption Driver'!$A$33:$A$39,'Budget Assumption Driver'!O$33:O$39)+Q233</f>
        <v>-3.5540237833705531E-2</v>
      </c>
      <c r="AD233" s="296">
        <f>_xlfn.XLOOKUP($F233,'Budget Assumption Driver'!$A$33:$A$39,'Budget Assumption Driver'!P$33:P$39)+R233</f>
        <v>-3.9848732055611583E-2</v>
      </c>
      <c r="AE233" s="15"/>
      <c r="AF233" s="232">
        <f>_xlfn.XLOOKUP($C233,'Site Level Financials - ''23 ''24'!$C$2:$C$1577,'Site Level Financials - ''23 ''24'!$AF$2:$AF$1577)</f>
        <v>-3.0759239758044867E-2</v>
      </c>
      <c r="AG233" s="97">
        <f t="shared" ref="AG233:AH233" si="599">AG232/AG217</f>
        <v>-3.411081639556178E-2</v>
      </c>
      <c r="AH233" s="97">
        <f t="shared" si="599"/>
        <v>-3.3979386227501476E-2</v>
      </c>
    </row>
    <row r="234" spans="2:34" ht="3" customHeight="1" x14ac:dyDescent="0.2">
      <c r="B234" s="9">
        <f>G205</f>
        <v>5</v>
      </c>
      <c r="C234" s="9" t="str">
        <f t="shared" si="520"/>
        <v xml:space="preserve">5 - </v>
      </c>
      <c r="D234" s="9" t="s">
        <v>56</v>
      </c>
      <c r="F234" s="16"/>
      <c r="G234" s="84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4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6"/>
      <c r="AE234" s="15"/>
      <c r="AF234" s="36"/>
      <c r="AG234" s="38"/>
      <c r="AH234" s="38"/>
    </row>
    <row r="235" spans="2:34" x14ac:dyDescent="0.2">
      <c r="B235" s="9">
        <f>G205</f>
        <v>5</v>
      </c>
      <c r="C235" s="9" t="str">
        <f t="shared" si="520"/>
        <v>5 - Marketing</v>
      </c>
      <c r="D235" s="9" t="s">
        <v>56</v>
      </c>
      <c r="F235" t="s">
        <v>7</v>
      </c>
      <c r="G235" s="178">
        <f>_xlfn.XLOOKUP($C235,'Site Level Financials - ''23 ''24'!$C$2:$C$1577,'Site Level Financials - ''23 ''24'!S$2:S$1577)</f>
        <v>-9.7738513223605459</v>
      </c>
      <c r="H235" s="179">
        <f>_xlfn.XLOOKUP($C235,'Site Level Financials - ''23 ''24'!$C$2:$C$1577,'Site Level Financials - ''23 ''24'!T$2:T$1577)</f>
        <v>-9.0362598603045825</v>
      </c>
      <c r="I235" s="179">
        <f>_xlfn.XLOOKUP($C235,'Site Level Financials - ''23 ''24'!$C$2:$C$1577,'Site Level Financials - ''23 ''24'!U$2:U$1577)</f>
        <v>-8.9921014089060716</v>
      </c>
      <c r="J235" s="179">
        <f>_xlfn.XLOOKUP($C235,'Site Level Financials - ''23 ''24'!$C$2:$C$1577,'Site Level Financials - ''23 ''24'!V$2:V$1577)</f>
        <v>-9.156464323364057</v>
      </c>
      <c r="K235" s="179">
        <f>_xlfn.XLOOKUP($C235,'Site Level Financials - ''23 ''24'!$C$2:$C$1577,'Site Level Financials - ''23 ''24'!W$2:W$1577)</f>
        <v>-13.486327194756837</v>
      </c>
      <c r="L235" s="179">
        <f>_xlfn.XLOOKUP($C235,'Site Level Financials - ''23 ''24'!$C$2:$C$1577,'Site Level Financials - ''23 ''24'!X$2:X$1577)</f>
        <v>-12.212761687470927</v>
      </c>
      <c r="M235" s="179">
        <f>_xlfn.XLOOKUP($C235,'Site Level Financials - ''23 ''24'!$C$2:$C$1577,'Site Level Financials - ''23 ''24'!Y$2:Y$1577)</f>
        <v>-13.226455460422375</v>
      </c>
      <c r="N235" s="179">
        <f>_xlfn.XLOOKUP($C235,'Site Level Financials - ''23 ''24'!$C$2:$C$1577,'Site Level Financials - ''23 ''24'!Z$2:Z$1577)</f>
        <v>-10.924412863964491</v>
      </c>
      <c r="O235" s="179">
        <f>_xlfn.XLOOKUP($C235,'Site Level Financials - ''23 ''24'!$C$2:$C$1577,'Site Level Financials - ''23 ''24'!AA$2:AA$1577)</f>
        <v>-9.7681136337999792</v>
      </c>
      <c r="P235" s="179">
        <f>_xlfn.XLOOKUP($C235,'Site Level Financials - ''23 ''24'!$C$2:$C$1577,'Site Level Financials - ''23 ''24'!AB$2:AB$1577)</f>
        <v>-11.428167839445075</v>
      </c>
      <c r="Q235" s="179">
        <f>_xlfn.XLOOKUP($C235,'Site Level Financials - ''23 ''24'!$C$2:$C$1577,'Site Level Financials - ''23 ''24'!AC$2:AC$1577)</f>
        <v>-8.6357384232456802</v>
      </c>
      <c r="R235" s="179">
        <f>_xlfn.XLOOKUP($C235,'Site Level Financials - ''23 ''24'!$C$2:$C$1577,'Site Level Financials - ''23 ''24'!AD$2:AD$1577)</f>
        <v>-7.4061775662089966</v>
      </c>
      <c r="S235" s="155">
        <f>S236*S217</f>
        <v>-10.942728269232031</v>
      </c>
      <c r="T235" s="154">
        <f t="shared" ref="T235" si="600">T236*T217</f>
        <v>-10.85949749505226</v>
      </c>
      <c r="U235" s="154">
        <f t="shared" ref="U235" si="601">U236*U217</f>
        <v>-10.968992392869373</v>
      </c>
      <c r="V235" s="154">
        <f t="shared" ref="V235" si="602">V236*V217</f>
        <v>-14.69238543554366</v>
      </c>
      <c r="W235" s="154">
        <f t="shared" ref="W235" si="603">W236*W217</f>
        <v>-19.638678182969297</v>
      </c>
      <c r="X235" s="154">
        <f t="shared" ref="X235" si="604">X236*X217</f>
        <v>-17.801236734380975</v>
      </c>
      <c r="Y235" s="154">
        <f t="shared" ref="Y235" si="605">Y236*Y217</f>
        <v>-17.98499416396</v>
      </c>
      <c r="Z235" s="154">
        <f t="shared" ref="Z235" si="606">Z236*Z217</f>
        <v>-15.980960010846342</v>
      </c>
      <c r="AA235" s="154">
        <f t="shared" ref="AA235" si="607">AA236*AA217</f>
        <v>-14.697617209225031</v>
      </c>
      <c r="AB235" s="154">
        <f t="shared" ref="AB235" si="608">AB236*AB217</f>
        <v>-15.0364647146884</v>
      </c>
      <c r="AC235" s="154">
        <f t="shared" ref="AC235" si="609">AC236*AC217</f>
        <v>-11.344354775818701</v>
      </c>
      <c r="AD235" s="156">
        <f t="shared" ref="AD235" si="610">AD236*AD217</f>
        <v>-9.9518126467694845</v>
      </c>
      <c r="AE235" s="15"/>
      <c r="AF235" s="115">
        <f>_xlfn.XLOOKUP($C235,'Site Level Financials - ''23 ''24'!$C$2:$C$1577,'Site Level Financials - ''23 ''24'!$AF$2:$AF$1577)</f>
        <v>-115.29200033298166</v>
      </c>
      <c r="AG235" s="93">
        <f>SUM(G235:R235)</f>
        <v>-124.04683158424963</v>
      </c>
      <c r="AH235" s="93">
        <f t="shared" ref="AH235" si="611">SUM(S235:AD235)</f>
        <v>-169.89972203135557</v>
      </c>
    </row>
    <row r="236" spans="2:34" x14ac:dyDescent="0.2">
      <c r="B236" s="9">
        <f>G205</f>
        <v>5</v>
      </c>
      <c r="C236" s="9" t="str">
        <f t="shared" si="520"/>
        <v>5 - % of Revenue - Marketing</v>
      </c>
      <c r="D236" s="9" t="s">
        <v>56</v>
      </c>
      <c r="F236" s="16" t="str">
        <f>"% of Revenue - "&amp;F235</f>
        <v>% of Revenue - Marketing</v>
      </c>
      <c r="G236" s="148">
        <f>G235/G217</f>
        <v>-4.0779972901432544E-2</v>
      </c>
      <c r="H236" s="149">
        <f t="shared" ref="H236:R236" si="612">H235/H217</f>
        <v>-3.908317440175274E-2</v>
      </c>
      <c r="I236" s="149">
        <f t="shared" si="612"/>
        <v>-3.6764426107140036E-2</v>
      </c>
      <c r="J236" s="149">
        <f t="shared" si="612"/>
        <v>-3.5639065798764059E-2</v>
      </c>
      <c r="K236" s="149">
        <f t="shared" si="612"/>
        <v>-4.0081391964938429E-2</v>
      </c>
      <c r="L236" s="149">
        <f t="shared" si="612"/>
        <v>-4.326446660926913E-2</v>
      </c>
      <c r="M236" s="149">
        <f t="shared" si="612"/>
        <v>-4.338838812936742E-2</v>
      </c>
      <c r="N236" s="149">
        <f t="shared" si="612"/>
        <v>-4.4961065538176893E-2</v>
      </c>
      <c r="O236" s="149">
        <f t="shared" si="612"/>
        <v>-4.5101243238754113E-2</v>
      </c>
      <c r="P236" s="149">
        <f t="shared" si="612"/>
        <v>-4.0175294240517044E-2</v>
      </c>
      <c r="Q236" s="149">
        <f t="shared" si="612"/>
        <v>-3.8344961452037384E-2</v>
      </c>
      <c r="R236" s="149">
        <f t="shared" si="612"/>
        <v>-4.1212354551190059E-2</v>
      </c>
      <c r="S236" s="245">
        <f>_xlfn.XLOOKUP($F236,'Budget Assumption Driver'!$A$33:$A$39,'Budget Assumption Driver'!E$33:E$39)+G236</f>
        <v>-4.0779972901432544E-2</v>
      </c>
      <c r="T236" s="246">
        <f>_xlfn.XLOOKUP($F236,'Budget Assumption Driver'!$A$33:$A$39,'Budget Assumption Driver'!F$33:F$39)+H236</f>
        <v>-3.908317440175274E-2</v>
      </c>
      <c r="U236" s="246">
        <f>_xlfn.XLOOKUP($F236,'Budget Assumption Driver'!$A$33:$A$39,'Budget Assumption Driver'!G$33:G$39)+I236</f>
        <v>-3.6764426107140036E-2</v>
      </c>
      <c r="V236" s="246">
        <f>_xlfn.XLOOKUP($F236,'Budget Assumption Driver'!$A$33:$A$39,'Budget Assumption Driver'!H$33:H$39)+J236</f>
        <v>-3.5639065798764059E-2</v>
      </c>
      <c r="W236" s="246">
        <f>_xlfn.XLOOKUP($F236,'Budget Assumption Driver'!$A$33:$A$39,'Budget Assumption Driver'!I$33:I$39)+K236</f>
        <v>-4.0081391964938429E-2</v>
      </c>
      <c r="X236" s="246">
        <f>_xlfn.XLOOKUP($F236,'Budget Assumption Driver'!$A$33:$A$39,'Budget Assumption Driver'!J$33:J$39)+L236</f>
        <v>-4.326446660926913E-2</v>
      </c>
      <c r="Y236" s="246">
        <f>_xlfn.XLOOKUP($F236,'Budget Assumption Driver'!$A$33:$A$39,'Budget Assumption Driver'!K$33:K$39)+M236</f>
        <v>-4.338838812936742E-2</v>
      </c>
      <c r="Z236" s="246">
        <f>_xlfn.XLOOKUP($F236,'Budget Assumption Driver'!$A$33:$A$39,'Budget Assumption Driver'!L$33:L$39)+N236</f>
        <v>-4.4961065538176893E-2</v>
      </c>
      <c r="AA236" s="246">
        <f>_xlfn.XLOOKUP($F236,'Budget Assumption Driver'!$A$33:$A$39,'Budget Assumption Driver'!M$33:M$39)+O236</f>
        <v>-4.5101243238754113E-2</v>
      </c>
      <c r="AB236" s="246">
        <f>_xlfn.XLOOKUP($F236,'Budget Assumption Driver'!$A$33:$A$39,'Budget Assumption Driver'!N$33:N$39)+P236</f>
        <v>-4.0175294240517044E-2</v>
      </c>
      <c r="AC236" s="246">
        <f>_xlfn.XLOOKUP($F236,'Budget Assumption Driver'!$A$33:$A$39,'Budget Assumption Driver'!O$33:O$39)+Q236</f>
        <v>-3.8344961452037384E-2</v>
      </c>
      <c r="AD236" s="296">
        <f>_xlfn.XLOOKUP($F236,'Budget Assumption Driver'!$A$33:$A$39,'Budget Assumption Driver'!P$33:P$39)+R236</f>
        <v>-4.1212354551190059E-2</v>
      </c>
      <c r="AE236" s="15"/>
      <c r="AF236" s="232">
        <f>_xlfn.XLOOKUP($C236,'Site Level Financials - ''23 ''24'!$C$2:$C$1577,'Site Level Financials - ''23 ''24'!$AF$2:$AF$1577)</f>
        <v>-3.6804418031525503E-2</v>
      </c>
      <c r="AG236" s="97">
        <f t="shared" ref="AG236:AH236" si="613">AG235/AG217</f>
        <v>-4.0739005787483878E-2</v>
      </c>
      <c r="AH236" s="97">
        <f t="shared" si="613"/>
        <v>-4.0785811745623068E-2</v>
      </c>
    </row>
    <row r="237" spans="2:34" ht="3" customHeight="1" x14ac:dyDescent="0.2">
      <c r="B237" s="9">
        <f>G205</f>
        <v>5</v>
      </c>
      <c r="C237" s="9" t="str">
        <f t="shared" si="520"/>
        <v xml:space="preserve">5 - </v>
      </c>
      <c r="D237" s="9" t="s">
        <v>56</v>
      </c>
      <c r="F237" s="16"/>
      <c r="G237" s="84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4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6"/>
      <c r="AE237" s="15"/>
      <c r="AF237" s="36"/>
      <c r="AG237" s="38"/>
      <c r="AH237" s="38"/>
    </row>
    <row r="238" spans="2:34" x14ac:dyDescent="0.2">
      <c r="B238" s="9">
        <f>G205</f>
        <v>5</v>
      </c>
      <c r="C238" s="9" t="str">
        <f t="shared" si="520"/>
        <v>5 - Office Rent</v>
      </c>
      <c r="D238" s="9" t="s">
        <v>56</v>
      </c>
      <c r="F238" t="s">
        <v>162</v>
      </c>
      <c r="G238" s="178">
        <f>_xlfn.XLOOKUP($C238,'Site Level Financials - ''23 ''24'!$C$2:$C$1577,'Site Level Financials - ''23 ''24'!S$2:S$1577)</f>
        <v>-22.288675687606535</v>
      </c>
      <c r="H238" s="179">
        <f>_xlfn.XLOOKUP($C238,'Site Level Financials - ''23 ''24'!$C$2:$C$1577,'Site Level Financials - ''23 ''24'!T$2:T$1577)</f>
        <v>-22.288675687606535</v>
      </c>
      <c r="I238" s="179">
        <f>_xlfn.XLOOKUP($C238,'Site Level Financials - ''23 ''24'!$C$2:$C$1577,'Site Level Financials - ''23 ''24'!U$2:U$1577)</f>
        <v>-22.288675687606535</v>
      </c>
      <c r="J238" s="179">
        <f>_xlfn.XLOOKUP($C238,'Site Level Financials - ''23 ''24'!$C$2:$C$1577,'Site Level Financials - ''23 ''24'!V$2:V$1577)</f>
        <v>-22.288675687606535</v>
      </c>
      <c r="K238" s="179">
        <f>_xlfn.XLOOKUP($C238,'Site Level Financials - ''23 ''24'!$C$2:$C$1577,'Site Level Financials - ''23 ''24'!W$2:W$1577)</f>
        <v>-22.288675687606535</v>
      </c>
      <c r="L238" s="179">
        <f>_xlfn.XLOOKUP($C238,'Site Level Financials - ''23 ''24'!$C$2:$C$1577,'Site Level Financials - ''23 ''24'!X$2:X$1577)</f>
        <v>-22.288675687606535</v>
      </c>
      <c r="M238" s="179">
        <f>_xlfn.XLOOKUP($C238,'Site Level Financials - ''23 ''24'!$C$2:$C$1577,'Site Level Financials - ''23 ''24'!Y$2:Y$1577)</f>
        <v>-22.288675687606535</v>
      </c>
      <c r="N238" s="179">
        <f>_xlfn.XLOOKUP($C238,'Site Level Financials - ''23 ''24'!$C$2:$C$1577,'Site Level Financials - ''23 ''24'!Z$2:Z$1577)</f>
        <v>-22.957335958234729</v>
      </c>
      <c r="O238" s="179">
        <f>_xlfn.XLOOKUP($C238,'Site Level Financials - ''23 ''24'!$C$2:$C$1577,'Site Level Financials - ''23 ''24'!AA$2:AA$1577)</f>
        <v>-22.957335958234729</v>
      </c>
      <c r="P238" s="179">
        <f>_xlfn.XLOOKUP($C238,'Site Level Financials - ''23 ''24'!$C$2:$C$1577,'Site Level Financials - ''23 ''24'!AB$2:AB$1577)</f>
        <v>-22.957335958234729</v>
      </c>
      <c r="Q238" s="179">
        <f>_xlfn.XLOOKUP($C238,'Site Level Financials - ''23 ''24'!$C$2:$C$1577,'Site Level Financials - ''23 ''24'!AC$2:AC$1577)</f>
        <v>-22.957335958234729</v>
      </c>
      <c r="R238" s="179">
        <f>_xlfn.XLOOKUP($C238,'Site Level Financials - ''23 ''24'!$C$2:$C$1577,'Site Level Financials - ''23 ''24'!AD$2:AD$1577)</f>
        <v>-22.957335958234729</v>
      </c>
      <c r="S238" s="155">
        <f>G238*(1+S239)</f>
        <v>-22.957335958234733</v>
      </c>
      <c r="T238" s="154">
        <f t="shared" ref="T238" si="614">H238*(1+T239)</f>
        <v>-22.957335958234733</v>
      </c>
      <c r="U238" s="154">
        <f t="shared" ref="U238" si="615">I238*(1+U239)</f>
        <v>-22.957335958234733</v>
      </c>
      <c r="V238" s="154">
        <f t="shared" ref="V238" si="616">J238*(1+V239)</f>
        <v>-22.957335958234733</v>
      </c>
      <c r="W238" s="154">
        <f t="shared" ref="W238" si="617">K238*(1+W239)</f>
        <v>-22.957335958234733</v>
      </c>
      <c r="X238" s="154">
        <f t="shared" ref="X238" si="618">L238*(1+X239)</f>
        <v>-22.957335958234733</v>
      </c>
      <c r="Y238" s="154">
        <f t="shared" ref="Y238" si="619">M238*(1+Y239)</f>
        <v>-22.957335958234733</v>
      </c>
      <c r="Z238" s="154">
        <f t="shared" ref="Z238" si="620">N238*(1+Z239)</f>
        <v>-23.646056036981772</v>
      </c>
      <c r="AA238" s="154">
        <f t="shared" ref="AA238" si="621">O238*(1+AA239)</f>
        <v>-23.646056036981772</v>
      </c>
      <c r="AB238" s="154">
        <f t="shared" ref="AB238" si="622">P238*(1+AB239)</f>
        <v>-23.646056036981772</v>
      </c>
      <c r="AC238" s="154">
        <f t="shared" ref="AC238" si="623">Q238*(1+AC239)</f>
        <v>-23.646056036981772</v>
      </c>
      <c r="AD238" s="156">
        <f t="shared" ref="AD238" si="624">R238*(1+AD239)</f>
        <v>-23.646056036981772</v>
      </c>
      <c r="AE238" s="15"/>
      <c r="AF238" s="115">
        <f>_xlfn.XLOOKUP($C238,'Site Level Financials - ''23 ''24'!$C$2:$C$1577,'Site Level Financials - ''23 ''24'!$AF$2:$AF$1577)</f>
        <v>-262.91705156902185</v>
      </c>
      <c r="AG238" s="93">
        <f>SUM(G238:R238)</f>
        <v>-270.80740960441938</v>
      </c>
      <c r="AH238" s="93">
        <f t="shared" ref="AH238" si="625">SUM(S238:AD238)</f>
        <v>-278.93163189255199</v>
      </c>
    </row>
    <row r="239" spans="2:34" x14ac:dyDescent="0.2">
      <c r="B239" s="9">
        <f>G205</f>
        <v>5</v>
      </c>
      <c r="C239" s="9" t="str">
        <f t="shared" si="520"/>
        <v>5 - % YoY Growth</v>
      </c>
      <c r="D239" s="9" t="s">
        <v>56</v>
      </c>
      <c r="F239" s="16" t="s">
        <v>8</v>
      </c>
      <c r="G239" s="245">
        <f>_xlfn.XLOOKUP($C239,'Site Level Financials - ''23 ''24'!$C$2:$C$1577,'Site Level Financials - ''23 ''24'!S$2:S$1577)</f>
        <v>3.0010826564157655E-2</v>
      </c>
      <c r="H239" s="246">
        <f>_xlfn.XLOOKUP($C239,'Site Level Financials - ''23 ''24'!$C$2:$C$1577,'Site Level Financials - ''23 ''24'!T$2:T$1577)</f>
        <v>3.0010826564157655E-2</v>
      </c>
      <c r="I239" s="246">
        <f>_xlfn.XLOOKUP($C239,'Site Level Financials - ''23 ''24'!$C$2:$C$1577,'Site Level Financials - ''23 ''24'!U$2:U$1577)</f>
        <v>3.0010826564157655E-2</v>
      </c>
      <c r="J239" s="246">
        <f>_xlfn.XLOOKUP($C239,'Site Level Financials - ''23 ''24'!$C$2:$C$1577,'Site Level Financials - ''23 ''24'!V$2:V$1577)</f>
        <v>3.0010826564157655E-2</v>
      </c>
      <c r="K239" s="246">
        <f>_xlfn.XLOOKUP($C239,'Site Level Financials - ''23 ''24'!$C$2:$C$1577,'Site Level Financials - ''23 ''24'!W$2:W$1577)</f>
        <v>3.0010826564157655E-2</v>
      </c>
      <c r="L239" s="246">
        <f>_xlfn.XLOOKUP($C239,'Site Level Financials - ''23 ''24'!$C$2:$C$1577,'Site Level Financials - ''23 ''24'!X$2:X$1577)</f>
        <v>3.0010826564157655E-2</v>
      </c>
      <c r="M239" s="246">
        <f>_xlfn.XLOOKUP($C239,'Site Level Financials - ''23 ''24'!$C$2:$C$1577,'Site Level Financials - ''23 ''24'!Y$2:Y$1577)</f>
        <v>3.0010826564157655E-2</v>
      </c>
      <c r="N239" s="246">
        <f>_xlfn.XLOOKUP($C239,'Site Level Financials - ''23 ''24'!$C$2:$C$1577,'Site Level Financials - ''23 ''24'!Z$2:Z$1577)</f>
        <v>3.0010826564157878E-2</v>
      </c>
      <c r="O239" s="246">
        <f>_xlfn.XLOOKUP($C239,'Site Level Financials - ''23 ''24'!$C$2:$C$1577,'Site Level Financials - ''23 ''24'!AA$2:AA$1577)</f>
        <v>3.0010826564157878E-2</v>
      </c>
      <c r="P239" s="246">
        <f>_xlfn.XLOOKUP($C239,'Site Level Financials - ''23 ''24'!$C$2:$C$1577,'Site Level Financials - ''23 ''24'!AB$2:AB$1577)</f>
        <v>3.0010826564157878E-2</v>
      </c>
      <c r="Q239" s="246">
        <f>_xlfn.XLOOKUP($C239,'Site Level Financials - ''23 ''24'!$C$2:$C$1577,'Site Level Financials - ''23 ''24'!AC$2:AC$1577)</f>
        <v>3.0010826564157878E-2</v>
      </c>
      <c r="R239" s="246">
        <f>_xlfn.XLOOKUP($C239,'Site Level Financials - ''23 ''24'!$C$2:$C$1577,'Site Level Financials - ''23 ''24'!AD$2:AD$1577)</f>
        <v>3.0010826564157878E-2</v>
      </c>
      <c r="S239" s="245">
        <f>_xlfn.XLOOKUP($F239,'Budget Assumption Driver'!$A$33:$A$39,'Budget Assumption Driver'!E$33:E$39)</f>
        <v>0.03</v>
      </c>
      <c r="T239" s="246">
        <f>_xlfn.XLOOKUP($F239,'Budget Assumption Driver'!$A$33:$A$39,'Budget Assumption Driver'!F$33:F$39)</f>
        <v>0.03</v>
      </c>
      <c r="U239" s="246">
        <f>_xlfn.XLOOKUP($F239,'Budget Assumption Driver'!$A$33:$A$39,'Budget Assumption Driver'!G$33:G$39)</f>
        <v>0.03</v>
      </c>
      <c r="V239" s="246">
        <f>_xlfn.XLOOKUP($F239,'Budget Assumption Driver'!$A$33:$A$39,'Budget Assumption Driver'!H$33:H$39)</f>
        <v>0.03</v>
      </c>
      <c r="W239" s="246">
        <f>_xlfn.XLOOKUP($F239,'Budget Assumption Driver'!$A$33:$A$39,'Budget Assumption Driver'!I$33:I$39)</f>
        <v>0.03</v>
      </c>
      <c r="X239" s="246">
        <f>_xlfn.XLOOKUP($F239,'Budget Assumption Driver'!$A$33:$A$39,'Budget Assumption Driver'!J$33:J$39)</f>
        <v>0.03</v>
      </c>
      <c r="Y239" s="246">
        <f>_xlfn.XLOOKUP($F239,'Budget Assumption Driver'!$A$33:$A$39,'Budget Assumption Driver'!K$33:K$39)</f>
        <v>0.03</v>
      </c>
      <c r="Z239" s="246">
        <f>_xlfn.XLOOKUP($F239,'Budget Assumption Driver'!$A$33:$A$39,'Budget Assumption Driver'!L$33:L$39)</f>
        <v>0.03</v>
      </c>
      <c r="AA239" s="246">
        <f>_xlfn.XLOOKUP($F239,'Budget Assumption Driver'!$A$33:$A$39,'Budget Assumption Driver'!M$33:M$39)</f>
        <v>0.03</v>
      </c>
      <c r="AB239" s="246">
        <f>_xlfn.XLOOKUP($F239,'Budget Assumption Driver'!$A$33:$A$39,'Budget Assumption Driver'!N$33:N$39)</f>
        <v>0.03</v>
      </c>
      <c r="AC239" s="246">
        <f>_xlfn.XLOOKUP($F239,'Budget Assumption Driver'!$A$33:$A$39,'Budget Assumption Driver'!O$33:O$39)</f>
        <v>0.03</v>
      </c>
      <c r="AD239" s="296">
        <f>_xlfn.XLOOKUP($F239,'Budget Assumption Driver'!$A$33:$A$39,'Budget Assumption Driver'!P$33:P$39)</f>
        <v>0.03</v>
      </c>
      <c r="AE239" s="15"/>
      <c r="AF239" s="11"/>
      <c r="AG239" s="97">
        <f>AG238/AF238-1</f>
        <v>3.0010826564157433E-2</v>
      </c>
      <c r="AH239" s="97">
        <f>AH238/AG238-1</f>
        <v>3.0000000000000027E-2</v>
      </c>
    </row>
    <row r="240" spans="2:34" ht="6" customHeight="1" x14ac:dyDescent="0.2">
      <c r="B240" s="9">
        <f>G205</f>
        <v>5</v>
      </c>
      <c r="C240" s="9" t="str">
        <f t="shared" si="520"/>
        <v xml:space="preserve">5 - </v>
      </c>
      <c r="D240" s="9" t="s">
        <v>56</v>
      </c>
      <c r="F240" s="16"/>
      <c r="G240" s="80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80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81"/>
      <c r="AE240" s="15"/>
      <c r="AF240" s="11"/>
      <c r="AG240" s="15"/>
      <c r="AH240" s="15"/>
    </row>
    <row r="241" spans="2:35" x14ac:dyDescent="0.2">
      <c r="B241" s="9">
        <f>G205</f>
        <v>5</v>
      </c>
      <c r="C241" s="9" t="str">
        <f t="shared" si="520"/>
        <v>5 - Office EBITDA</v>
      </c>
      <c r="D241" s="9" t="s">
        <v>56</v>
      </c>
      <c r="F241" s="8" t="s">
        <v>12</v>
      </c>
      <c r="G241" s="241">
        <f>_xlfn.XLOOKUP($C241,'Site Level Financials - ''23 ''24'!$C$2:$C$1577,'Site Level Financials - ''23 ''24'!S$2:S$1577)</f>
        <v>63.30257127909011</v>
      </c>
      <c r="H241" s="242">
        <f>_xlfn.XLOOKUP($C241,'Site Level Financials - ''23 ''24'!$C$2:$C$1577,'Site Level Financials - ''23 ''24'!T$2:T$1577)</f>
        <v>59.126231860178855</v>
      </c>
      <c r="I241" s="242">
        <f>_xlfn.XLOOKUP($C241,'Site Level Financials - ''23 ''24'!$C$2:$C$1577,'Site Level Financials - ''23 ''24'!U$2:U$1577)</f>
        <v>65.87726150289825</v>
      </c>
      <c r="J241" s="242">
        <f>_xlfn.XLOOKUP($C241,'Site Level Financials - ''23 ''24'!$C$2:$C$1577,'Site Level Financials - ''23 ''24'!V$2:V$1577)</f>
        <v>73.793844145874914</v>
      </c>
      <c r="K241" s="242">
        <f>_xlfn.XLOOKUP($C241,'Site Level Financials - ''23 ''24'!$C$2:$C$1577,'Site Level Financials - ''23 ''24'!W$2:W$1577)</f>
        <v>101.11328390981578</v>
      </c>
      <c r="L241" s="242">
        <f>_xlfn.XLOOKUP($C241,'Site Level Financials - ''23 ''24'!$C$2:$C$1577,'Site Level Financials - ''23 ''24'!X$2:X$1577)</f>
        <v>76.800892053445494</v>
      </c>
      <c r="M241" s="242">
        <f>_xlfn.XLOOKUP($C241,'Site Level Financials - ''23 ''24'!$C$2:$C$1577,'Site Level Financials - ''23 ''24'!Y$2:Y$1577)</f>
        <v>88.823806289640487</v>
      </c>
      <c r="N241" s="242">
        <f>_xlfn.XLOOKUP($C241,'Site Level Financials - ''23 ''24'!$C$2:$C$1577,'Site Level Financials - ''23 ''24'!Z$2:Z$1577)</f>
        <v>69.912901357670137</v>
      </c>
      <c r="O241" s="242">
        <f>_xlfn.XLOOKUP($C241,'Site Level Financials - ''23 ''24'!$C$2:$C$1577,'Site Level Financials - ''23 ''24'!AA$2:AA$1577)</f>
        <v>56.11858862882827</v>
      </c>
      <c r="P241" s="242">
        <f>_xlfn.XLOOKUP($C241,'Site Level Financials - ''23 ''24'!$C$2:$C$1577,'Site Level Financials - ''23 ''24'!AB$2:AB$1577)</f>
        <v>78.364464630560377</v>
      </c>
      <c r="Q241" s="242">
        <f>_xlfn.XLOOKUP($C241,'Site Level Financials - ''23 ''24'!$C$2:$C$1577,'Site Level Financials - ''23 ''24'!AC$2:AC$1577)</f>
        <v>59.342456069229961</v>
      </c>
      <c r="R241" s="242">
        <f>_xlfn.XLOOKUP($C241,'Site Level Financials - ''23 ''24'!$C$2:$C$1577,'Site Level Financials - ''23 ''24'!AD$2:AD$1577)</f>
        <v>41.706505873743161</v>
      </c>
      <c r="S241" s="134">
        <f t="shared" ref="S241:AD241" si="626">S229+S232+S235+S238</f>
        <v>72.86996147962796</v>
      </c>
      <c r="T241" s="135">
        <f t="shared" si="626"/>
        <v>74.884580746591624</v>
      </c>
      <c r="U241" s="135">
        <f t="shared" si="626"/>
        <v>84.591661809406844</v>
      </c>
      <c r="V241" s="135">
        <f t="shared" si="626"/>
        <v>131.21586508943022</v>
      </c>
      <c r="W241" s="135">
        <f t="shared" si="626"/>
        <v>156.73957756643026</v>
      </c>
      <c r="X241" s="135">
        <f t="shared" si="626"/>
        <v>121.47493074811966</v>
      </c>
      <c r="Y241" s="135">
        <f t="shared" si="626"/>
        <v>128.13056101337634</v>
      </c>
      <c r="Z241" s="135">
        <f t="shared" si="626"/>
        <v>112.21072338216251</v>
      </c>
      <c r="AA241" s="135">
        <f t="shared" si="626"/>
        <v>95.335736519629762</v>
      </c>
      <c r="AB241" s="135">
        <f t="shared" si="626"/>
        <v>109.66679872557924</v>
      </c>
      <c r="AC241" s="135">
        <f t="shared" si="626"/>
        <v>84.467227735311269</v>
      </c>
      <c r="AD241" s="136">
        <f t="shared" si="626"/>
        <v>63.243899433202728</v>
      </c>
      <c r="AE241" s="15"/>
      <c r="AF241" s="113">
        <f>_xlfn.XLOOKUP($C241,'Site Level Financials - ''23 ''24'!$C$2:$C$1577,'Site Level Financials - ''23 ''24'!$AF$2:$AF$1577)</f>
        <v>933.2528525987068</v>
      </c>
      <c r="AG241" s="95">
        <f>SUM(G241:R241)</f>
        <v>834.28280760097584</v>
      </c>
      <c r="AH241" s="95">
        <f t="shared" ref="AH241" si="627">SUM(S241:AD241)</f>
        <v>1234.8315242488684</v>
      </c>
    </row>
    <row r="242" spans="2:35" x14ac:dyDescent="0.2">
      <c r="B242" s="9">
        <f>G205</f>
        <v>5</v>
      </c>
      <c r="C242" s="9" t="str">
        <f t="shared" si="520"/>
        <v>5 - % of Revenue - Office EBITDA</v>
      </c>
      <c r="D242" s="9" t="s">
        <v>56</v>
      </c>
      <c r="F242" s="16" t="str">
        <f>"% of Revenue - "&amp;F241</f>
        <v>% of Revenue - Office EBITDA</v>
      </c>
      <c r="G242" s="148">
        <f>G241/G217</f>
        <v>0.26412077043226673</v>
      </c>
      <c r="H242" s="149">
        <f t="shared" ref="H242:AD242" si="628">H241/H217</f>
        <v>0.25572978945206526</v>
      </c>
      <c r="I242" s="149">
        <f t="shared" si="628"/>
        <v>0.26934079171585801</v>
      </c>
      <c r="J242" s="149">
        <f t="shared" si="628"/>
        <v>0.28722261936279164</v>
      </c>
      <c r="K242" s="149">
        <f t="shared" si="628"/>
        <v>0.30050888627609784</v>
      </c>
      <c r="L242" s="149">
        <f t="shared" si="628"/>
        <v>0.2720719289247398</v>
      </c>
      <c r="M242" s="149">
        <f t="shared" si="628"/>
        <v>0.29137978757459154</v>
      </c>
      <c r="N242" s="149">
        <f t="shared" si="628"/>
        <v>0.2877370691723905</v>
      </c>
      <c r="O242" s="149">
        <f t="shared" si="628"/>
        <v>0.259110224435396</v>
      </c>
      <c r="P242" s="149">
        <f t="shared" si="628"/>
        <v>0.27548732821955374</v>
      </c>
      <c r="Q242" s="149">
        <f t="shared" si="628"/>
        <v>0.26349619209385688</v>
      </c>
      <c r="R242" s="149">
        <f t="shared" si="628"/>
        <v>0.23207967832181059</v>
      </c>
      <c r="S242" s="148">
        <f t="shared" si="628"/>
        <v>0.27156253736310798</v>
      </c>
      <c r="T242" s="149">
        <f t="shared" si="628"/>
        <v>0.26950852289939142</v>
      </c>
      <c r="U242" s="149">
        <f t="shared" si="628"/>
        <v>0.28352320691678262</v>
      </c>
      <c r="V242" s="149">
        <f t="shared" si="628"/>
        <v>0.31828805950399514</v>
      </c>
      <c r="W242" s="149">
        <f t="shared" si="628"/>
        <v>0.31989629782247869</v>
      </c>
      <c r="X242" s="149">
        <f t="shared" si="628"/>
        <v>0.29523499763726169</v>
      </c>
      <c r="Y242" s="149">
        <f t="shared" si="628"/>
        <v>0.30911205540574288</v>
      </c>
      <c r="Z242" s="149">
        <f t="shared" si="628"/>
        <v>0.3156952826768547</v>
      </c>
      <c r="AA242" s="149">
        <f t="shared" si="628"/>
        <v>0.29254811721581847</v>
      </c>
      <c r="AB242" s="149">
        <f t="shared" si="628"/>
        <v>0.29301408215401836</v>
      </c>
      <c r="AC242" s="149">
        <f t="shared" si="628"/>
        <v>0.28550699052315459</v>
      </c>
      <c r="AD242" s="150">
        <f t="shared" si="628"/>
        <v>0.26190505178843443</v>
      </c>
      <c r="AE242" s="15"/>
      <c r="AF242" s="232">
        <f>_xlfn.XLOOKUP($C242,'Site Level Financials - ''23 ''24'!$C$2:$C$1577,'Site Level Financials - ''23 ''24'!$AF$2:$AF$1577)</f>
        <v>0.29792030684656751</v>
      </c>
      <c r="AG242" s="97">
        <f t="shared" ref="AG242:AH242" si="629">AG241/AG217</f>
        <v>0.27399210196006274</v>
      </c>
      <c r="AH242" s="97">
        <f t="shared" si="629"/>
        <v>0.29643136247321439</v>
      </c>
    </row>
    <row r="243" spans="2:35" ht="6" customHeight="1" x14ac:dyDescent="0.2">
      <c r="B243" s="9">
        <f>G205</f>
        <v>5</v>
      </c>
      <c r="C243" s="9" t="str">
        <f t="shared" si="520"/>
        <v xml:space="preserve">5 - </v>
      </c>
      <c r="D243" s="9" t="s">
        <v>56</v>
      </c>
      <c r="G243" s="80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80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81"/>
      <c r="AE243" s="15"/>
      <c r="AF243" s="11"/>
      <c r="AG243" s="15"/>
      <c r="AH243" s="15"/>
    </row>
    <row r="244" spans="2:35" x14ac:dyDescent="0.2">
      <c r="B244" s="9">
        <f>G205</f>
        <v>5</v>
      </c>
      <c r="C244" s="9" t="str">
        <f t="shared" si="520"/>
        <v>5 - Memo:</v>
      </c>
      <c r="D244" s="9" t="s">
        <v>56</v>
      </c>
      <c r="F244" s="6" t="s">
        <v>13</v>
      </c>
      <c r="G244" s="80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80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81"/>
      <c r="AE244" s="15"/>
      <c r="AF244" s="11"/>
      <c r="AG244" s="15"/>
      <c r="AH244" s="15"/>
    </row>
    <row r="245" spans="2:35" s="24" customFormat="1" x14ac:dyDescent="0.2">
      <c r="B245" s="9">
        <f>G205</f>
        <v>5</v>
      </c>
      <c r="C245" s="9" t="str">
        <f t="shared" si="520"/>
        <v>5 - Collections</v>
      </c>
      <c r="D245" s="9" t="s">
        <v>56</v>
      </c>
      <c r="E245" s="49"/>
      <c r="F245" s="24" t="s">
        <v>15</v>
      </c>
      <c r="G245" s="247">
        <f>_xlfn.XLOOKUP($C245,'Site Level Financials - ''23 ''24'!$C$2:$C$1577,'Site Level Financials - ''23 ''24'!S$2:S$1577)</f>
        <v>236.69426214198489</v>
      </c>
      <c r="H245" s="248">
        <f>_xlfn.XLOOKUP($C245,'Site Level Financials - ''23 ''24'!$C$2:$C$1577,'Site Level Financials - ''23 ''24'!T$2:T$1577)</f>
        <v>233.12457457250656</v>
      </c>
      <c r="I245" s="248">
        <f>_xlfn.XLOOKUP($C245,'Site Level Financials - ''23 ''24'!$C$2:$C$1577,'Site Level Financials - ''23 ''24'!U$2:U$1577)</f>
        <v>248.15622386029594</v>
      </c>
      <c r="J245" s="248">
        <f>_xlfn.XLOOKUP($C245,'Site Level Financials - ''23 ''24'!$C$2:$C$1577,'Site Level Financials - ''23 ''24'!V$2:V$1577)</f>
        <v>262.85379586935443</v>
      </c>
      <c r="K245" s="248">
        <f>_xlfn.XLOOKUP($C245,'Site Level Financials - ''23 ''24'!$C$2:$C$1577,'Site Level Financials - ''23 ''24'!W$2:W$1577)</f>
        <v>340.74158893491898</v>
      </c>
      <c r="L245" s="248">
        <f>_xlfn.XLOOKUP($C245,'Site Level Financials - ''23 ''24'!$C$2:$C$1577,'Site Level Financials - ''23 ''24'!X$2:X$1577)</f>
        <v>285.91580481188464</v>
      </c>
      <c r="M245" s="248">
        <f>_xlfn.XLOOKUP($C245,'Site Level Financials - ''23 ''24'!$C$2:$C$1577,'Site Level Financials - ''23 ''24'!Y$2:Y$1577)</f>
        <v>306.4997814920082</v>
      </c>
      <c r="N245" s="248">
        <f>_xlfn.XLOOKUP($C245,'Site Level Financials - ''23 ''24'!$C$2:$C$1577,'Site Level Financials - ''23 ''24'!Z$2:Z$1577)</f>
        <v>243.35927747964342</v>
      </c>
      <c r="O245" s="248">
        <f>_xlfn.XLOOKUP($C245,'Site Level Financials - ''23 ''24'!$C$2:$C$1577,'Site Level Financials - ''23 ''24'!AA$2:AA$1577)</f>
        <v>214.90857990863984</v>
      </c>
      <c r="P245" s="248">
        <f>_xlfn.XLOOKUP($C245,'Site Level Financials - ''23 ''24'!$C$2:$C$1577,'Site Level Financials - ''23 ''24'!AB$2:AB$1577)</f>
        <v>289.50937875751964</v>
      </c>
      <c r="Q245" s="248">
        <f>_xlfn.XLOOKUP($C245,'Site Level Financials - ''23 ''24'!$C$2:$C$1577,'Site Level Financials - ''23 ''24'!AC$2:AC$1577)</f>
        <v>230.32168871277764</v>
      </c>
      <c r="R245" s="248">
        <f>_xlfn.XLOOKUP($C245,'Site Level Financials - ''23 ''24'!$C$2:$C$1577,'Site Level Financials - ''23 ''24'!AD$2:AD$1577)</f>
        <v>181.77690964729362</v>
      </c>
      <c r="S245" s="169">
        <f t="shared" ref="S245:AD245" si="630">S246*S215</f>
        <v>268.33583964563223</v>
      </c>
      <c r="T245" s="170">
        <f t="shared" si="630"/>
        <v>277.85607646458857</v>
      </c>
      <c r="U245" s="170">
        <f t="shared" si="630"/>
        <v>298.35886356292337</v>
      </c>
      <c r="V245" s="170">
        <f t="shared" si="630"/>
        <v>412.25506635062197</v>
      </c>
      <c r="W245" s="170">
        <f t="shared" si="630"/>
        <v>489.96996412071752</v>
      </c>
      <c r="X245" s="170">
        <f t="shared" si="630"/>
        <v>411.45166298125991</v>
      </c>
      <c r="Y245" s="170">
        <f t="shared" si="630"/>
        <v>414.51169170736858</v>
      </c>
      <c r="Z245" s="170">
        <f t="shared" si="630"/>
        <v>355.43997499963046</v>
      </c>
      <c r="AA245" s="170">
        <f t="shared" si="630"/>
        <v>325.88053352364841</v>
      </c>
      <c r="AB245" s="170">
        <f t="shared" si="630"/>
        <v>374.27142722763256</v>
      </c>
      <c r="AC245" s="170">
        <f t="shared" si="630"/>
        <v>295.84994602246343</v>
      </c>
      <c r="AD245" s="171">
        <f t="shared" si="630"/>
        <v>241.47643965375218</v>
      </c>
      <c r="AE245" s="26"/>
      <c r="AF245" s="234">
        <f>_xlfn.XLOOKUP($C245,'Site Level Financials - ''23 ''24'!$C$2:$C$1577,'Site Level Financials - ''23 ''24'!$AF$2:$AF$1577)</f>
        <v>3116.2531494189229</v>
      </c>
      <c r="AG245" s="99">
        <f>SUM(G245:R245)</f>
        <v>3073.8618661888277</v>
      </c>
      <c r="AH245" s="99">
        <f t="shared" ref="AH245" si="631">SUM(S245:AD245)</f>
        <v>4165.6574862602401</v>
      </c>
    </row>
    <row r="246" spans="2:35" x14ac:dyDescent="0.2">
      <c r="B246" s="9">
        <f>G205</f>
        <v>5</v>
      </c>
      <c r="C246" s="9" t="str">
        <f t="shared" si="520"/>
        <v>5 - Collections as a % of Production</v>
      </c>
      <c r="D246" s="9" t="s">
        <v>56</v>
      </c>
      <c r="F246" s="16" t="s">
        <v>17</v>
      </c>
      <c r="G246" s="245">
        <f>_xlfn.XLOOKUP($C246,'Site Level Financials - ''23 ''24'!$C$2:$C$1577,'Site Level Financials - ''23 ''24'!S$2:S$1577)</f>
        <v>0.96321096081496838</v>
      </c>
      <c r="H246" s="246">
        <f>_xlfn.XLOOKUP($C246,'Site Level Financials - ''23 ''24'!$C$2:$C$1577,'Site Level Financials - ''23 ''24'!T$2:T$1577)</f>
        <v>0.98342593419700208</v>
      </c>
      <c r="I246" s="246">
        <f>_xlfn.XLOOKUP($C246,'Site Level Financials - ''23 ''24'!$C$2:$C$1577,'Site Level Financials - ''23 ''24'!U$2:U$1577)</f>
        <v>0.98956482245271626</v>
      </c>
      <c r="J246" s="246">
        <f>_xlfn.XLOOKUP($C246,'Site Level Financials - ''23 ''24'!$C$2:$C$1577,'Site Level Financials - ''23 ''24'!V$2:V$1577)</f>
        <v>0.99784994634369073</v>
      </c>
      <c r="K246" s="246">
        <f>_xlfn.XLOOKUP($C246,'Site Level Financials - ''23 ''24'!$C$2:$C$1577,'Site Level Financials - ''23 ''24'!W$2:W$1577)</f>
        <v>0.98770381039880462</v>
      </c>
      <c r="L246" s="246">
        <f>_xlfn.XLOOKUP($C246,'Site Level Financials - ''23 ''24'!$C$2:$C$1577,'Site Level Financials - ''23 ''24'!X$2:X$1577)</f>
        <v>0.98788892240121817</v>
      </c>
      <c r="M246" s="246">
        <f>_xlfn.XLOOKUP($C246,'Site Level Financials - ''23 ''24'!$C$2:$C$1577,'Site Level Financials - ''23 ''24'!Y$2:Y$1577)</f>
        <v>0.98064697576197812</v>
      </c>
      <c r="N246" s="246">
        <f>_xlfn.XLOOKUP($C246,'Site Level Financials - ''23 ''24'!$C$2:$C$1577,'Site Level Financials - ''23 ''24'!Z$2:Z$1577)</f>
        <v>0.97687473793791202</v>
      </c>
      <c r="O246" s="246">
        <f>_xlfn.XLOOKUP($C246,'Site Level Financials - ''23 ''24'!$C$2:$C$1577,'Site Level Financials - ''23 ''24'!AA$2:AA$1577)</f>
        <v>0.96779649797428335</v>
      </c>
      <c r="P246" s="246">
        <f>_xlfn.XLOOKUP($C246,'Site Level Financials - ''23 ''24'!$C$2:$C$1577,'Site Level Financials - ''23 ''24'!AB$2:AB$1577)</f>
        <v>0.99265326415256017</v>
      </c>
      <c r="Q246" s="246">
        <f>_xlfn.XLOOKUP($C246,'Site Level Financials - ''23 ''24'!$C$2:$C$1577,'Site Level Financials - ''23 ''24'!AC$2:AC$1577)</f>
        <v>0.9974615050553125</v>
      </c>
      <c r="R246" s="246">
        <f>_xlfn.XLOOKUP($C246,'Site Level Financials - ''23 ''24'!$C$2:$C$1577,'Site Level Financials - ''23 ''24'!AD$2:AD$1577)</f>
        <v>0.98656227475680092</v>
      </c>
      <c r="S246" s="148">
        <f>S216</f>
        <v>0.98460396137512984</v>
      </c>
      <c r="T246" s="149">
        <f t="shared" ref="T246:AD246" si="632">T216</f>
        <v>0.98460396137512984</v>
      </c>
      <c r="U246" s="149">
        <f t="shared" si="632"/>
        <v>0.98460396137512984</v>
      </c>
      <c r="V246" s="149">
        <f t="shared" si="632"/>
        <v>0.98460396137512984</v>
      </c>
      <c r="W246" s="149">
        <f t="shared" si="632"/>
        <v>0.98460396137512984</v>
      </c>
      <c r="X246" s="149">
        <f t="shared" si="632"/>
        <v>0.98460396137512984</v>
      </c>
      <c r="Y246" s="149">
        <f t="shared" si="632"/>
        <v>0.98460396137512984</v>
      </c>
      <c r="Z246" s="149">
        <f t="shared" si="632"/>
        <v>0.98460396137512984</v>
      </c>
      <c r="AA246" s="149">
        <f t="shared" si="632"/>
        <v>0.98460396137512984</v>
      </c>
      <c r="AB246" s="149">
        <f t="shared" si="632"/>
        <v>0.98460396137512984</v>
      </c>
      <c r="AC246" s="149">
        <f t="shared" si="632"/>
        <v>0.98460396137512984</v>
      </c>
      <c r="AD246" s="150">
        <f t="shared" si="632"/>
        <v>0.98460396137512984</v>
      </c>
      <c r="AE246" s="15"/>
      <c r="AF246" s="232">
        <f>_xlfn.XLOOKUP($C246,'Site Level Financials - ''23 ''24'!$C$2:$C$1577,'Site Level Financials - ''23 ''24'!$AF$2:$AF$1577)</f>
        <v>0.98110888300139232</v>
      </c>
      <c r="AG246" s="97">
        <f t="shared" ref="AG246:AH246" si="633">AG245/AG215</f>
        <v>0.98460396137512984</v>
      </c>
      <c r="AH246" s="97">
        <f t="shared" si="633"/>
        <v>0.98460396137513007</v>
      </c>
    </row>
    <row r="247" spans="2:35" ht="6" customHeight="1" x14ac:dyDescent="0.2">
      <c r="B247" s="9">
        <f>G205</f>
        <v>5</v>
      </c>
      <c r="C247" s="9" t="str">
        <f t="shared" si="520"/>
        <v xml:space="preserve">5 - </v>
      </c>
      <c r="D247" s="9" t="s">
        <v>56</v>
      </c>
      <c r="F247" s="27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81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81"/>
      <c r="AE247" s="15"/>
      <c r="AF247" s="11"/>
      <c r="AH247" s="224"/>
    </row>
    <row r="248" spans="2:35" s="24" customFormat="1" x14ac:dyDescent="0.2">
      <c r="B248" s="9">
        <f>G205</f>
        <v>5</v>
      </c>
      <c r="C248" s="9" t="str">
        <f t="shared" si="520"/>
        <v>5 - Production per Vet Workday - YoY Change</v>
      </c>
      <c r="D248" s="9" t="s">
        <v>56</v>
      </c>
      <c r="E248" s="49"/>
      <c r="F248" s="24" t="s">
        <v>55</v>
      </c>
      <c r="G248" s="249">
        <f>_xlfn.XLOOKUP($C248,'Site Level Financials - ''23 ''24'!$C$2:$C$1577,'Site Level Financials - ''23 ''24'!S$2:S$1577)</f>
        <v>9.4837190680805428E-3</v>
      </c>
      <c r="H248" s="250">
        <f>_xlfn.XLOOKUP($C248,'Site Level Financials - ''23 ''24'!$C$2:$C$1577,'Site Level Financials - ''23 ''24'!T$2:T$1577)</f>
        <v>-2.1648137995251671E-2</v>
      </c>
      <c r="I248" s="250">
        <f>_xlfn.XLOOKUP($C248,'Site Level Financials - ''23 ''24'!$C$2:$C$1577,'Site Level Financials - ''23 ''24'!U$2:U$1577)</f>
        <v>-8.6615986340111584E-2</v>
      </c>
      <c r="J248" s="250">
        <f>_xlfn.XLOOKUP($C248,'Site Level Financials - ''23 ''24'!$C$2:$C$1577,'Site Level Financials - ''23 ''24'!V$2:V$1577)</f>
        <v>-7.8275365486105808E-2</v>
      </c>
      <c r="K248" s="250">
        <f>_xlfn.XLOOKUP($C248,'Site Level Financials - ''23 ''24'!$C$2:$C$1577,'Site Level Financials - ''23 ''24'!W$2:W$1577)</f>
        <v>-3.134071012551698E-3</v>
      </c>
      <c r="L248" s="250">
        <f>_xlfn.XLOOKUP($C248,'Site Level Financials - ''23 ''24'!$C$2:$C$1577,'Site Level Financials - ''23 ''24'!X$2:X$1577)</f>
        <v>-1.7998849837556952E-2</v>
      </c>
      <c r="M248" s="250">
        <f>_xlfn.XLOOKUP($C248,'Site Level Financials - ''23 ''24'!$C$2:$C$1577,'Site Level Financials - ''23 ''24'!Y$2:Y$1577)</f>
        <v>4.246537148977958E-2</v>
      </c>
      <c r="N248" s="250">
        <f>_xlfn.XLOOKUP($C248,'Site Level Financials - ''23 ''24'!$C$2:$C$1577,'Site Level Financials - ''23 ''24'!Z$2:Z$1577)</f>
        <v>-2.2510074529283108E-2</v>
      </c>
      <c r="O248" s="250">
        <f>_xlfn.XLOOKUP($C248,'Site Level Financials - ''23 ''24'!$C$2:$C$1577,'Site Level Financials - ''23 ''24'!AA$2:AA$1577)</f>
        <v>-6.9412068359392842E-2</v>
      </c>
      <c r="P248" s="250">
        <f>_xlfn.XLOOKUP($C248,'Site Level Financials - ''23 ''24'!$C$2:$C$1577,'Site Level Financials - ''23 ''24'!AB$2:AB$1577)</f>
        <v>2.5513188813511833E-2</v>
      </c>
      <c r="Q248" s="250">
        <f>_xlfn.XLOOKUP($C248,'Site Level Financials - ''23 ''24'!$C$2:$C$1577,'Site Level Financials - ''23 ''24'!AC$2:AC$1577)</f>
        <v>3.2250311088791728E-2</v>
      </c>
      <c r="R248" s="251">
        <f>_xlfn.XLOOKUP($C248,'Site Level Financials - ''23 ''24'!$C$2:$C$1577,'Site Level Financials - ''23 ''24'!AD$2:AD$1577)</f>
        <v>-2.0497950005737953E-2</v>
      </c>
      <c r="S248" s="151">
        <f>S214/G214-1</f>
        <v>0.10904913964321383</v>
      </c>
      <c r="T248" s="152">
        <f t="shared" ref="T248" si="634">T214/H214-1</f>
        <v>0.19045208640287159</v>
      </c>
      <c r="U248" s="152">
        <f t="shared" ref="U248" si="635">U214/I214-1</f>
        <v>0.20836028223782455</v>
      </c>
      <c r="V248" s="152">
        <f t="shared" ref="V248" si="636">V214/J214-1</f>
        <v>5.9654163877992827E-2</v>
      </c>
      <c r="W248" s="152">
        <f t="shared" ref="W248" si="637">W214/K214-1</f>
        <v>-3.8347411141478216E-2</v>
      </c>
      <c r="X248" s="152">
        <f t="shared" ref="X248" si="638">X214/L214-1</f>
        <v>-3.742198827182508E-2</v>
      </c>
      <c r="Y248" s="152">
        <f t="shared" ref="Y248" si="639">Y214/M214-1</f>
        <v>-0.10202039909524363</v>
      </c>
      <c r="Z248" s="152">
        <f t="shared" ref="Z248" si="640">Z214/N214-1</f>
        <v>-3.3939325912457297E-2</v>
      </c>
      <c r="AA248" s="152">
        <f t="shared" ref="AA248" si="641">AA214/O214-1</f>
        <v>-6.3444268943452231E-3</v>
      </c>
      <c r="AB248" s="152">
        <f t="shared" ref="AB248" si="642">AB214/P214-1</f>
        <v>-0.13110204895723132</v>
      </c>
      <c r="AC248" s="152">
        <f t="shared" ref="AC248" si="643">AC214/Q214-1</f>
        <v>-0.13247906405164322</v>
      </c>
      <c r="AD248" s="153">
        <f t="shared" ref="AD248" si="644">AD214/R214-1</f>
        <v>-0.11262392606891969</v>
      </c>
      <c r="AF248" s="43"/>
      <c r="AG248" s="177">
        <f>AG214/AF214-1</f>
        <v>-1.7104728286546522E-2</v>
      </c>
      <c r="AH248" s="225">
        <f>AH214/AG214-1</f>
        <v>-1.4742460888899078E-2</v>
      </c>
    </row>
    <row r="249" spans="2:35" s="24" customFormat="1" ht="6" customHeight="1" x14ac:dyDescent="0.2">
      <c r="D249" s="9" t="s">
        <v>56</v>
      </c>
      <c r="E249" s="49"/>
      <c r="G249" s="28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29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29"/>
      <c r="AE249" s="25"/>
      <c r="AF249" s="28"/>
      <c r="AG249" s="30"/>
      <c r="AH249" s="226"/>
    </row>
    <row r="250" spans="2:35" s="24" customFormat="1" ht="6" customHeight="1" x14ac:dyDescent="0.2">
      <c r="D250" s="9" t="s">
        <v>56</v>
      </c>
      <c r="E250" s="49"/>
    </row>
    <row r="251" spans="2:35" x14ac:dyDescent="0.2">
      <c r="D251" s="9" t="s">
        <v>56</v>
      </c>
      <c r="F251" s="16"/>
    </row>
    <row r="252" spans="2:35" ht="15.75" thickBot="1" x14ac:dyDescent="0.4">
      <c r="B252" s="35" t="s">
        <v>52</v>
      </c>
      <c r="C252" s="35"/>
      <c r="D252" s="9" t="s">
        <v>56</v>
      </c>
      <c r="E252" s="48" t="s">
        <v>0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74"/>
      <c r="AH252" s="3">
        <f ca="1">TODAY()</f>
        <v>45999</v>
      </c>
      <c r="AI252" s="1"/>
    </row>
    <row r="253" spans="2:35" x14ac:dyDescent="0.2">
      <c r="B253" s="9">
        <f>G255</f>
        <v>6</v>
      </c>
      <c r="C253" s="9"/>
      <c r="D253" s="9" t="s">
        <v>56</v>
      </c>
      <c r="F253" t="s">
        <v>159</v>
      </c>
      <c r="AG253" s="6"/>
      <c r="AH253" s="6" t="s">
        <v>16</v>
      </c>
    </row>
    <row r="254" spans="2:35" x14ac:dyDescent="0.2">
      <c r="B254" s="9"/>
      <c r="C254" s="9"/>
      <c r="D254" s="9" t="s">
        <v>56</v>
      </c>
      <c r="AG254" s="6"/>
      <c r="AH254" s="6"/>
    </row>
    <row r="255" spans="2:35" x14ac:dyDescent="0.2">
      <c r="B255" s="9">
        <f>G255</f>
        <v>6</v>
      </c>
      <c r="C255" s="9"/>
      <c r="D255" s="9" t="s">
        <v>56</v>
      </c>
      <c r="F255" s="40" t="s">
        <v>53</v>
      </c>
      <c r="G255" s="42">
        <v>6</v>
      </c>
    </row>
    <row r="256" spans="2:35" x14ac:dyDescent="0.2">
      <c r="B256" s="9">
        <f>G255</f>
        <v>6</v>
      </c>
      <c r="C256" s="9"/>
      <c r="D256" s="9" t="s">
        <v>56</v>
      </c>
      <c r="F256" s="39" t="s">
        <v>23</v>
      </c>
      <c r="G256" s="41"/>
      <c r="H256" s="11"/>
    </row>
    <row r="257" spans="2:34" x14ac:dyDescent="0.2">
      <c r="B257" s="9">
        <f>G255</f>
        <v>6</v>
      </c>
      <c r="C257" s="9"/>
      <c r="D257" s="9" t="s">
        <v>56</v>
      </c>
      <c r="G257" s="23"/>
    </row>
    <row r="258" spans="2:34" x14ac:dyDescent="0.2">
      <c r="B258" s="9">
        <f>G255</f>
        <v>6</v>
      </c>
      <c r="C258" s="9"/>
      <c r="D258" s="9" t="s">
        <v>56</v>
      </c>
      <c r="G258" s="208" t="s">
        <v>229</v>
      </c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10"/>
      <c r="S258" s="266" t="s">
        <v>230</v>
      </c>
      <c r="T258" s="267"/>
      <c r="U258" s="267"/>
      <c r="V258" s="267"/>
      <c r="W258" s="267"/>
      <c r="X258" s="267"/>
      <c r="Y258" s="267"/>
      <c r="Z258" s="267"/>
      <c r="AA258" s="267"/>
      <c r="AB258" s="267"/>
      <c r="AC258" s="267"/>
      <c r="AD258" s="268"/>
      <c r="AF258" s="17" t="s">
        <v>231</v>
      </c>
      <c r="AG258" s="50"/>
      <c r="AH258" s="269" t="s">
        <v>232</v>
      </c>
    </row>
    <row r="259" spans="2:34" ht="15" customHeight="1" x14ac:dyDescent="0.35">
      <c r="B259" s="9">
        <f>G255</f>
        <v>6</v>
      </c>
      <c r="C259" s="9"/>
      <c r="D259" s="9" t="s">
        <v>56</v>
      </c>
      <c r="G259" s="211">
        <v>44957</v>
      </c>
      <c r="H259" s="212">
        <f>EOMONTH(G259,1)</f>
        <v>44985</v>
      </c>
      <c r="I259" s="212">
        <f t="shared" ref="I259" si="645">EOMONTH(H259,1)</f>
        <v>45016</v>
      </c>
      <c r="J259" s="212">
        <f t="shared" ref="J259" si="646">EOMONTH(I259,1)</f>
        <v>45046</v>
      </c>
      <c r="K259" s="212">
        <f t="shared" ref="K259" si="647">EOMONTH(J259,1)</f>
        <v>45077</v>
      </c>
      <c r="L259" s="212">
        <f t="shared" ref="L259" si="648">EOMONTH(K259,1)</f>
        <v>45107</v>
      </c>
      <c r="M259" s="212">
        <f t="shared" ref="M259" si="649">EOMONTH(L259,1)</f>
        <v>45138</v>
      </c>
      <c r="N259" s="212">
        <f t="shared" ref="N259" si="650">EOMONTH(M259,1)</f>
        <v>45169</v>
      </c>
      <c r="O259" s="212">
        <f t="shared" ref="O259" si="651">EOMONTH(N259,1)</f>
        <v>45199</v>
      </c>
      <c r="P259" s="212">
        <f t="shared" ref="P259" si="652">EOMONTH(O259,1)</f>
        <v>45230</v>
      </c>
      <c r="Q259" s="212">
        <f t="shared" ref="Q259" si="653">EOMONTH(P259,1)</f>
        <v>45260</v>
      </c>
      <c r="R259" s="213">
        <f t="shared" ref="R259" si="654">EOMONTH(Q259,1)</f>
        <v>45291</v>
      </c>
      <c r="S259" s="4">
        <f t="shared" ref="S259" si="655">EOMONTH(R259,1)</f>
        <v>45322</v>
      </c>
      <c r="T259" s="19">
        <f t="shared" ref="T259" si="656">EOMONTH(S259,1)</f>
        <v>45351</v>
      </c>
      <c r="U259" s="19">
        <f t="shared" ref="U259" si="657">EOMONTH(T259,1)</f>
        <v>45382</v>
      </c>
      <c r="V259" s="19">
        <f t="shared" ref="V259" si="658">EOMONTH(U259,1)</f>
        <v>45412</v>
      </c>
      <c r="W259" s="19">
        <f t="shared" ref="W259" si="659">EOMONTH(V259,1)</f>
        <v>45443</v>
      </c>
      <c r="X259" s="19">
        <f t="shared" ref="X259" si="660">EOMONTH(W259,1)</f>
        <v>45473</v>
      </c>
      <c r="Y259" s="19">
        <f t="shared" ref="Y259" si="661">EOMONTH(X259,1)</f>
        <v>45504</v>
      </c>
      <c r="Z259" s="19">
        <f t="shared" ref="Z259" si="662">EOMONTH(Y259,1)</f>
        <v>45535</v>
      </c>
      <c r="AA259" s="19">
        <f t="shared" ref="AA259" si="663">EOMONTH(Z259,1)</f>
        <v>45565</v>
      </c>
      <c r="AB259" s="19">
        <f t="shared" ref="AB259" si="664">EOMONTH(AA259,1)</f>
        <v>45596</v>
      </c>
      <c r="AC259" s="19">
        <f t="shared" ref="AC259" si="665">EOMONTH(AB259,1)</f>
        <v>45626</v>
      </c>
      <c r="AD259" s="5">
        <f t="shared" ref="AD259" si="666">EOMONTH(AC259,1)</f>
        <v>45657</v>
      </c>
      <c r="AE259" s="168"/>
      <c r="AF259" s="13">
        <v>45291</v>
      </c>
      <c r="AG259" s="14">
        <v>45657</v>
      </c>
      <c r="AH259" s="14">
        <v>46022</v>
      </c>
    </row>
    <row r="260" spans="2:34" ht="0.95" customHeight="1" x14ac:dyDescent="0.2">
      <c r="B260" s="9">
        <f>G255</f>
        <v>6</v>
      </c>
      <c r="C260" s="9"/>
      <c r="D260" s="9" t="s">
        <v>56</v>
      </c>
      <c r="G260" s="11"/>
      <c r="S260" s="11"/>
      <c r="AD260" s="15"/>
      <c r="AE260" s="15"/>
      <c r="AF260" s="11"/>
      <c r="AG260" s="15"/>
      <c r="AH260" s="15"/>
    </row>
    <row r="261" spans="2:34" x14ac:dyDescent="0.2">
      <c r="B261" s="9">
        <f>G255</f>
        <v>6</v>
      </c>
      <c r="C261" s="9" t="str">
        <f>B261&amp;" - "&amp;F261</f>
        <v>6 - Employed Vets</v>
      </c>
      <c r="D261" s="9" t="s">
        <v>56</v>
      </c>
      <c r="F261" s="7" t="s">
        <v>160</v>
      </c>
      <c r="G261" s="178">
        <f>_xlfn.XLOOKUP($C261,'Site Level Financials - ''23 ''24'!$C$2:$C$1577,'Site Level Financials - ''23 ''24'!S$2:S$1577)</f>
        <v>4</v>
      </c>
      <c r="H261" s="179">
        <f>_xlfn.XLOOKUP($C261,'Site Level Financials - ''23 ''24'!$C$2:$C$1577,'Site Level Financials - ''23 ''24'!T$2:T$1577)</f>
        <v>4</v>
      </c>
      <c r="I261" s="179">
        <f>_xlfn.XLOOKUP($C261,'Site Level Financials - ''23 ''24'!$C$2:$C$1577,'Site Level Financials - ''23 ''24'!U$2:U$1577)</f>
        <v>4</v>
      </c>
      <c r="J261" s="179">
        <f>_xlfn.XLOOKUP($C261,'Site Level Financials - ''23 ''24'!$C$2:$C$1577,'Site Level Financials - ''23 ''24'!V$2:V$1577)</f>
        <v>4</v>
      </c>
      <c r="K261" s="179">
        <f>_xlfn.XLOOKUP($C261,'Site Level Financials - ''23 ''24'!$C$2:$C$1577,'Site Level Financials - ''23 ''24'!W$2:W$1577)</f>
        <v>4</v>
      </c>
      <c r="L261" s="179">
        <f>_xlfn.XLOOKUP($C261,'Site Level Financials - ''23 ''24'!$C$2:$C$1577,'Site Level Financials - ''23 ''24'!X$2:X$1577)</f>
        <v>4</v>
      </c>
      <c r="M261" s="179">
        <f>_xlfn.XLOOKUP($C261,'Site Level Financials - ''23 ''24'!$C$2:$C$1577,'Site Level Financials - ''23 ''24'!Y$2:Y$1577)</f>
        <v>5</v>
      </c>
      <c r="N261" s="179">
        <f>_xlfn.XLOOKUP($C261,'Site Level Financials - ''23 ''24'!$C$2:$C$1577,'Site Level Financials - ''23 ''24'!Z$2:Z$1577)</f>
        <v>5</v>
      </c>
      <c r="O261" s="179">
        <f>_xlfn.XLOOKUP($C261,'Site Level Financials - ''23 ''24'!$C$2:$C$1577,'Site Level Financials - ''23 ''24'!AA$2:AA$1577)</f>
        <v>5</v>
      </c>
      <c r="P261" s="179">
        <f>_xlfn.XLOOKUP($C261,'Site Level Financials - ''23 ''24'!$C$2:$C$1577,'Site Level Financials - ''23 ''24'!AB$2:AB$1577)</f>
        <v>5</v>
      </c>
      <c r="Q261" s="179">
        <f>_xlfn.XLOOKUP($C261,'Site Level Financials - ''23 ''24'!$C$2:$C$1577,'Site Level Financials - ''23 ''24'!AC$2:AC$1577)</f>
        <v>5</v>
      </c>
      <c r="R261" s="179">
        <f>_xlfn.XLOOKUP($C261,'Site Level Financials - ''23 ''24'!$C$2:$C$1577,'Site Level Financials - ''23 ''24'!AD$2:AD$1577)</f>
        <v>4</v>
      </c>
      <c r="S261" s="178">
        <f>R261+_xlfn.XLOOKUP($R261,'Budget Assumption Driver'!$A$7:$A$11,'Budget Assumption Driver'!E$7:E$11)</f>
        <v>4</v>
      </c>
      <c r="T261" s="179">
        <f>S261+_xlfn.XLOOKUP($R261,'Budget Assumption Driver'!$A$7:$A$11,'Budget Assumption Driver'!F$7:F$11)</f>
        <v>4</v>
      </c>
      <c r="U261" s="179">
        <f>T261+_xlfn.XLOOKUP($R261,'Budget Assumption Driver'!$A$7:$A$11,'Budget Assumption Driver'!G$7:G$11)</f>
        <v>4</v>
      </c>
      <c r="V261" s="179">
        <f>U261+_xlfn.XLOOKUP($R261,'Budget Assumption Driver'!$A$7:$A$11,'Budget Assumption Driver'!H$7:H$11)</f>
        <v>4</v>
      </c>
      <c r="W261" s="179">
        <f>V261+_xlfn.XLOOKUP($R261,'Budget Assumption Driver'!$A$7:$A$11,'Budget Assumption Driver'!I$7:I$11)</f>
        <v>4</v>
      </c>
      <c r="X261" s="179">
        <f>W261+_xlfn.XLOOKUP($R261,'Budget Assumption Driver'!$A$7:$A$11,'Budget Assumption Driver'!J$7:J$11)</f>
        <v>4</v>
      </c>
      <c r="Y261" s="179">
        <f>X261+_xlfn.XLOOKUP($R261,'Budget Assumption Driver'!$A$7:$A$11,'Budget Assumption Driver'!K$7:K$11)</f>
        <v>4</v>
      </c>
      <c r="Z261" s="179">
        <f>Y261+_xlfn.XLOOKUP($R261,'Budget Assumption Driver'!$A$7:$A$11,'Budget Assumption Driver'!L$7:L$11)</f>
        <v>4</v>
      </c>
      <c r="AA261" s="179">
        <f>Z261+_xlfn.XLOOKUP($R261,'Budget Assumption Driver'!$A$7:$A$11,'Budget Assumption Driver'!M$7:M$11)</f>
        <v>4</v>
      </c>
      <c r="AB261" s="179">
        <f>AA261+_xlfn.XLOOKUP($R261,'Budget Assumption Driver'!$A$7:$A$11,'Budget Assumption Driver'!N$7:N$11)</f>
        <v>4</v>
      </c>
      <c r="AC261" s="179">
        <f>AB261+_xlfn.XLOOKUP($R261,'Budget Assumption Driver'!$A$7:$A$11,'Budget Assumption Driver'!O$7:O$11)</f>
        <v>4</v>
      </c>
      <c r="AD261" s="290">
        <f>AC261+_xlfn.XLOOKUP($R261,'Budget Assumption Driver'!$A$7:$A$11,'Budget Assumption Driver'!P$7:P$11)</f>
        <v>4</v>
      </c>
      <c r="AE261" s="15"/>
      <c r="AF261" s="229">
        <f>_xlfn.XLOOKUP($C261,'Site Level Financials - ''23 ''24'!$C$2:$C$1577,'Site Level Financials - ''23 ''24'!$AF$2:$AF$1577)</f>
        <v>4.083333333333333</v>
      </c>
      <c r="AG261" s="91">
        <f t="shared" ref="AG261:AH261" si="667">AG263/AG262</f>
        <v>4.4200743494423795</v>
      </c>
      <c r="AH261" s="91">
        <f t="shared" si="667"/>
        <v>4</v>
      </c>
    </row>
    <row r="262" spans="2:34" x14ac:dyDescent="0.2">
      <c r="B262" s="9">
        <f>G255</f>
        <v>6</v>
      </c>
      <c r="C262" s="9" t="str">
        <f t="shared" ref="C262:C298" si="668">B262&amp;" - "&amp;F262</f>
        <v>6 - Workdays in Month / Year</v>
      </c>
      <c r="D262" s="9" t="s">
        <v>56</v>
      </c>
      <c r="F262" s="7" t="s">
        <v>54</v>
      </c>
      <c r="G262" s="178">
        <f>_xlfn.XLOOKUP($C262,'Site Level Financials - ''23 ''24'!$C$2:$C$1577,'Site Level Financials - ''23 ''24'!S$2:S$1577)</f>
        <v>23</v>
      </c>
      <c r="H262" s="235">
        <f>_xlfn.XLOOKUP($C262,'Site Level Financials - ''23 ''24'!$C$2:$C$1577,'Site Level Financials - ''23 ''24'!T$2:T$1577)</f>
        <v>22</v>
      </c>
      <c r="I262" s="235">
        <f>_xlfn.XLOOKUP($C262,'Site Level Financials - ''23 ''24'!$C$2:$C$1577,'Site Level Financials - ''23 ''24'!U$2:U$1577)</f>
        <v>22</v>
      </c>
      <c r="J262" s="179">
        <f>_xlfn.XLOOKUP($C262,'Site Level Financials - ''23 ''24'!$C$2:$C$1577,'Site Level Financials - ''23 ''24'!V$2:V$1577)</f>
        <v>22</v>
      </c>
      <c r="K262" s="179">
        <f>_xlfn.XLOOKUP($C262,'Site Level Financials - ''23 ''24'!$C$2:$C$1577,'Site Level Financials - ''23 ''24'!W$2:W$1577)</f>
        <v>24</v>
      </c>
      <c r="L262" s="179">
        <f>_xlfn.XLOOKUP($C262,'Site Level Financials - ''23 ''24'!$C$2:$C$1577,'Site Level Financials - ''23 ''24'!X$2:X$1577)</f>
        <v>21</v>
      </c>
      <c r="M262" s="179">
        <f>_xlfn.XLOOKUP($C262,'Site Level Financials - ''23 ''24'!$C$2:$C$1577,'Site Level Financials - ''23 ''24'!Y$2:Y$1577)</f>
        <v>23</v>
      </c>
      <c r="N262" s="179">
        <f>_xlfn.XLOOKUP($C262,'Site Level Financials - ''23 ''24'!$C$2:$C$1577,'Site Level Financials - ''23 ''24'!Z$2:Z$1577)</f>
        <v>23</v>
      </c>
      <c r="O262" s="179">
        <f>_xlfn.XLOOKUP($C262,'Site Level Financials - ''23 ''24'!$C$2:$C$1577,'Site Level Financials - ''23 ''24'!AA$2:AA$1577)</f>
        <v>21</v>
      </c>
      <c r="P262" s="179">
        <f>_xlfn.XLOOKUP($C262,'Site Level Financials - ''23 ''24'!$C$2:$C$1577,'Site Level Financials - ''23 ''24'!AB$2:AB$1577)</f>
        <v>24</v>
      </c>
      <c r="Q262" s="179">
        <f>_xlfn.XLOOKUP($C262,'Site Level Financials - ''23 ''24'!$C$2:$C$1577,'Site Level Financials - ''23 ''24'!AC$2:AC$1577)</f>
        <v>22</v>
      </c>
      <c r="R262" s="179">
        <f>_xlfn.XLOOKUP($C262,'Site Level Financials - ''23 ''24'!$C$2:$C$1577,'Site Level Financials - ''23 ''24'!AD$2:AD$1577)</f>
        <v>22</v>
      </c>
      <c r="S262" s="155">
        <f>NETWORKDAYS(R259,S259)</f>
        <v>23</v>
      </c>
      <c r="T262" s="154">
        <f t="shared" ref="T262:AD262" si="669">NETWORKDAYS(S259,T259)</f>
        <v>22</v>
      </c>
      <c r="U262" s="154">
        <f t="shared" si="669"/>
        <v>22</v>
      </c>
      <c r="V262" s="154">
        <f t="shared" si="669"/>
        <v>22</v>
      </c>
      <c r="W262" s="154">
        <f t="shared" si="669"/>
        <v>24</v>
      </c>
      <c r="X262" s="154">
        <f t="shared" si="669"/>
        <v>21</v>
      </c>
      <c r="Y262" s="154">
        <f t="shared" si="669"/>
        <v>23</v>
      </c>
      <c r="Z262" s="154">
        <f t="shared" si="669"/>
        <v>23</v>
      </c>
      <c r="AA262" s="154">
        <f t="shared" si="669"/>
        <v>21</v>
      </c>
      <c r="AB262" s="154">
        <f t="shared" si="669"/>
        <v>24</v>
      </c>
      <c r="AC262" s="154">
        <f t="shared" si="669"/>
        <v>22</v>
      </c>
      <c r="AD262" s="156">
        <f t="shared" si="669"/>
        <v>22</v>
      </c>
      <c r="AE262" s="15"/>
      <c r="AF262" s="115">
        <f>_xlfn.XLOOKUP($C262,'Site Level Financials - ''23 ''24'!$C$2:$C$1577,'Site Level Financials - ''23 ''24'!$AF$2:$AF$1577)</f>
        <v>269</v>
      </c>
      <c r="AG262" s="93">
        <f>SUM(G262:R262)</f>
        <v>269</v>
      </c>
      <c r="AH262" s="93">
        <f>SUM(S262:AD262)</f>
        <v>269</v>
      </c>
    </row>
    <row r="263" spans="2:34" ht="12.75" customHeight="1" x14ac:dyDescent="0.2">
      <c r="B263" s="9">
        <f>G255</f>
        <v>6</v>
      </c>
      <c r="C263" s="9" t="str">
        <f t="shared" si="668"/>
        <v>6 - Total Vet Days</v>
      </c>
      <c r="D263" s="9" t="s">
        <v>56</v>
      </c>
      <c r="F263" s="8" t="s">
        <v>51</v>
      </c>
      <c r="G263" s="236">
        <f>_xlfn.XLOOKUP($C263,'Site Level Financials - ''23 ''24'!$C$2:$C$1577,'Site Level Financials - ''23 ''24'!S$2:S$1577)</f>
        <v>92</v>
      </c>
      <c r="H263" s="237">
        <f>_xlfn.XLOOKUP($C263,'Site Level Financials - ''23 ''24'!$C$2:$C$1577,'Site Level Financials - ''23 ''24'!T$2:T$1577)</f>
        <v>88</v>
      </c>
      <c r="I263" s="237">
        <f>_xlfn.XLOOKUP($C263,'Site Level Financials - ''23 ''24'!$C$2:$C$1577,'Site Level Financials - ''23 ''24'!U$2:U$1577)</f>
        <v>88</v>
      </c>
      <c r="J263" s="238">
        <f>_xlfn.XLOOKUP($C263,'Site Level Financials - ''23 ''24'!$C$2:$C$1577,'Site Level Financials - ''23 ''24'!V$2:V$1577)</f>
        <v>88</v>
      </c>
      <c r="K263" s="238">
        <f>_xlfn.XLOOKUP($C263,'Site Level Financials - ''23 ''24'!$C$2:$C$1577,'Site Level Financials - ''23 ''24'!W$2:W$1577)</f>
        <v>96</v>
      </c>
      <c r="L263" s="238">
        <f>_xlfn.XLOOKUP($C263,'Site Level Financials - ''23 ''24'!$C$2:$C$1577,'Site Level Financials - ''23 ''24'!X$2:X$1577)</f>
        <v>84</v>
      </c>
      <c r="M263" s="238">
        <f>_xlfn.XLOOKUP($C263,'Site Level Financials - ''23 ''24'!$C$2:$C$1577,'Site Level Financials - ''23 ''24'!Y$2:Y$1577)</f>
        <v>115</v>
      </c>
      <c r="N263" s="238">
        <f>_xlfn.XLOOKUP($C263,'Site Level Financials - ''23 ''24'!$C$2:$C$1577,'Site Level Financials - ''23 ''24'!Z$2:Z$1577)</f>
        <v>115</v>
      </c>
      <c r="O263" s="238">
        <f>_xlfn.XLOOKUP($C263,'Site Level Financials - ''23 ''24'!$C$2:$C$1577,'Site Level Financials - ''23 ''24'!AA$2:AA$1577)</f>
        <v>105</v>
      </c>
      <c r="P263" s="238">
        <f>_xlfn.XLOOKUP($C263,'Site Level Financials - ''23 ''24'!$C$2:$C$1577,'Site Level Financials - ''23 ''24'!AB$2:AB$1577)</f>
        <v>120</v>
      </c>
      <c r="Q263" s="238">
        <f>_xlfn.XLOOKUP($C263,'Site Level Financials - ''23 ''24'!$C$2:$C$1577,'Site Level Financials - ''23 ''24'!AC$2:AC$1577)</f>
        <v>110</v>
      </c>
      <c r="R263" s="238">
        <f>_xlfn.XLOOKUP($C263,'Site Level Financials - ''23 ''24'!$C$2:$C$1577,'Site Level Financials - ''23 ''24'!AD$2:AD$1577)</f>
        <v>88</v>
      </c>
      <c r="S263" s="125">
        <f t="shared" ref="S263:AD263" si="670">S261*S262</f>
        <v>92</v>
      </c>
      <c r="T263" s="127">
        <f t="shared" si="670"/>
        <v>88</v>
      </c>
      <c r="U263" s="127">
        <f t="shared" si="670"/>
        <v>88</v>
      </c>
      <c r="V263" s="127">
        <f t="shared" si="670"/>
        <v>88</v>
      </c>
      <c r="W263" s="127">
        <f t="shared" si="670"/>
        <v>96</v>
      </c>
      <c r="X263" s="127">
        <f t="shared" si="670"/>
        <v>84</v>
      </c>
      <c r="Y263" s="127">
        <f t="shared" si="670"/>
        <v>92</v>
      </c>
      <c r="Z263" s="127">
        <f t="shared" si="670"/>
        <v>92</v>
      </c>
      <c r="AA263" s="127">
        <f t="shared" si="670"/>
        <v>84</v>
      </c>
      <c r="AB263" s="127">
        <f t="shared" si="670"/>
        <v>96</v>
      </c>
      <c r="AC263" s="127">
        <f t="shared" si="670"/>
        <v>88</v>
      </c>
      <c r="AD263" s="128">
        <f t="shared" si="670"/>
        <v>88</v>
      </c>
      <c r="AF263" s="112">
        <f>_xlfn.XLOOKUP($C263,'Site Level Financials - ''23 ''24'!$C$2:$C$1577,'Site Level Financials - ''23 ''24'!$AF$2:$AF$1577)</f>
        <v>1098</v>
      </c>
      <c r="AG263" s="120">
        <f>SUM(G263:R263)</f>
        <v>1189</v>
      </c>
      <c r="AH263" s="120">
        <f t="shared" ref="AH263" si="671">SUM(S263:AD263)</f>
        <v>1076</v>
      </c>
    </row>
    <row r="264" spans="2:34" x14ac:dyDescent="0.2">
      <c r="B264" s="9">
        <f>G255</f>
        <v>6</v>
      </c>
      <c r="C264" s="9" t="str">
        <f t="shared" si="668"/>
        <v>6 - Production per Vet Workday</v>
      </c>
      <c r="D264" s="9" t="s">
        <v>56</v>
      </c>
      <c r="F264" s="7" t="s">
        <v>50</v>
      </c>
      <c r="G264" s="239">
        <f>_xlfn.XLOOKUP($C264,'Site Level Financials - ''23 ''24'!$C$2:$C$1577,'Site Level Financials - ''23 ''24'!S$2:S$1577)</f>
        <v>4.8958423005905924</v>
      </c>
      <c r="H264" s="240">
        <f>_xlfn.XLOOKUP($C264,'Site Level Financials - ''23 ''24'!$C$2:$C$1577,'Site Level Financials - ''23 ''24'!T$2:T$1577)</f>
        <v>5.3439486186007885</v>
      </c>
      <c r="I264" s="240">
        <f>_xlfn.XLOOKUP($C264,'Site Level Financials - ''23 ''24'!$C$2:$C$1577,'Site Level Financials - ''23 ''24'!U$2:U$1577)</f>
        <v>5.8484590570316248</v>
      </c>
      <c r="J264" s="240">
        <f>_xlfn.XLOOKUP($C264,'Site Level Financials - ''23 ''24'!$C$2:$C$1577,'Site Level Financials - ''23 ''24'!V$2:V$1577)</f>
        <v>6.3360424700881133</v>
      </c>
      <c r="K264" s="240">
        <f>_xlfn.XLOOKUP($C264,'Site Level Financials - ''23 ''24'!$C$2:$C$1577,'Site Level Financials - ''23 ''24'!W$2:W$1577)</f>
        <v>6.3594586600823773</v>
      </c>
      <c r="L264" s="240">
        <f>_xlfn.XLOOKUP($C264,'Site Level Financials - ''23 ''24'!$C$2:$C$1577,'Site Level Financials - ''23 ''24'!X$2:X$1577)</f>
        <v>6.3640699308776689</v>
      </c>
      <c r="M264" s="240">
        <f>_xlfn.XLOOKUP($C264,'Site Level Financials - ''23 ''24'!$C$2:$C$1577,'Site Level Financials - ''23 ''24'!Y$2:Y$1577)</f>
        <v>5.6113381292133546</v>
      </c>
      <c r="N264" s="240">
        <f>_xlfn.XLOOKUP($C264,'Site Level Financials - ''23 ''24'!$C$2:$C$1577,'Site Level Financials - ''23 ''24'!Z$2:Z$1577)</f>
        <v>4.7834403906371294</v>
      </c>
      <c r="O264" s="240">
        <f>_xlfn.XLOOKUP($C264,'Site Level Financials - ''23 ''24'!$C$2:$C$1577,'Site Level Financials - ''23 ''24'!AA$2:AA$1577)</f>
        <v>4.8514407646967399</v>
      </c>
      <c r="P264" s="240">
        <f>_xlfn.XLOOKUP($C264,'Site Level Financials - ''23 ''24'!$C$2:$C$1577,'Site Level Financials - ''23 ''24'!AB$2:AB$1577)</f>
        <v>5.0595605749053894</v>
      </c>
      <c r="Q264" s="240">
        <f>_xlfn.XLOOKUP($C264,'Site Level Financials - ''23 ''24'!$C$2:$C$1577,'Site Level Financials - ''23 ''24'!AC$2:AC$1577)</f>
        <v>4.0736177186656413</v>
      </c>
      <c r="R264" s="240">
        <f>_xlfn.XLOOKUP($C264,'Site Level Financials - ''23 ''24'!$C$2:$C$1577,'Site Level Financials - ''23 ''24'!AD$2:AD$1577)</f>
        <v>3.6721457721567958</v>
      </c>
      <c r="S264" s="239">
        <f>R264*(1+_xlfn.XLOOKUP($R261,'Budget Assumption Driver'!$A$15:$A$19,'Budget Assumption Driver'!E$15:E$19))</f>
        <v>5.1953839657486212</v>
      </c>
      <c r="T264" s="240">
        <f>S264*(1+_xlfn.XLOOKUP($R261,'Budget Assumption Driver'!$A$15:$A$19,'Budget Assumption Driver'!F$15:F$19))</f>
        <v>5.6242422904541529</v>
      </c>
      <c r="U264" s="240">
        <f>T264*(1+_xlfn.XLOOKUP($R261,'Budget Assumption Driver'!$A$15:$A$19,'Budget Assumption Driver'!G$15:G$19))</f>
        <v>6.0392508219855072</v>
      </c>
      <c r="V264" s="240">
        <f>U264*(1+_xlfn.XLOOKUP($R261,'Budget Assumption Driver'!$A$15:$A$19,'Budget Assumption Driver'!H$15:H$19))</f>
        <v>6.4690132244485081</v>
      </c>
      <c r="W264" s="240">
        <f>V264*(1+_xlfn.XLOOKUP($R261,'Budget Assumption Driver'!$A$15:$A$19,'Budget Assumption Driver'!I$15:I$19))</f>
        <v>7.0477896651286978</v>
      </c>
      <c r="X264" s="240">
        <f>W264*(1+_xlfn.XLOOKUP($R261,'Budget Assumption Driver'!$A$15:$A$19,'Budget Assumption Driver'!J$15:J$19))</f>
        <v>6.7638543243902385</v>
      </c>
      <c r="Y264" s="240">
        <f>X264*(1+_xlfn.XLOOKUP($R261,'Budget Assumption Driver'!$A$15:$A$19,'Budget Assumption Driver'!K$15:K$19))</f>
        <v>6.2216226494429669</v>
      </c>
      <c r="Z264" s="240">
        <f>Y264*(1+_xlfn.XLOOKUP($R261,'Budget Assumption Driver'!$A$15:$A$19,'Budget Assumption Driver'!L$15:L$19))</f>
        <v>5.3349843761133933</v>
      </c>
      <c r="AA264" s="240">
        <f>Z264*(1+_xlfn.XLOOKUP($R261,'Budget Assumption Driver'!$A$15:$A$19,'Budget Assumption Driver'!M$15:M$19))</f>
        <v>5.3571504364266493</v>
      </c>
      <c r="AB264" s="240">
        <f>AA264*(1+_xlfn.XLOOKUP($R261,'Budget Assumption Driver'!$A$15:$A$19,'Budget Assumption Driver'!N$15:N$19))</f>
        <v>5.3835673407074092</v>
      </c>
      <c r="AC264" s="240">
        <f>AB264*(1+_xlfn.XLOOKUP($R261,'Budget Assumption Driver'!$A$15:$A$19,'Budget Assumption Driver'!O$15:O$19))</f>
        <v>4.6424104140516773</v>
      </c>
      <c r="AD264" s="291">
        <f>AC264*(1+_xlfn.XLOOKUP($R261,'Budget Assumption Driver'!$A$15:$A$19,'Budget Assumption Driver'!P$15:P$19))</f>
        <v>3.7891936546494493</v>
      </c>
      <c r="AE264" s="15"/>
      <c r="AF264" s="230">
        <f>_xlfn.XLOOKUP($C264,'Site Level Financials - ''23 ''24'!$C$2:$C$1577,'Site Level Financials - ''23 ''24'!$AF$2:$AF$1577)</f>
        <v>5.0542307330639771</v>
      </c>
      <c r="AG264" s="101">
        <f>AG265/AG263</f>
        <v>5.2323009807460066</v>
      </c>
      <c r="AH264" s="101">
        <f>AH265/AH263</f>
        <v>5.6602226388111534</v>
      </c>
    </row>
    <row r="265" spans="2:34" x14ac:dyDescent="0.2">
      <c r="B265" s="9">
        <f>G255</f>
        <v>6</v>
      </c>
      <c r="C265" s="9" t="str">
        <f t="shared" si="668"/>
        <v>6 - Total Production</v>
      </c>
      <c r="D265" s="9" t="s">
        <v>56</v>
      </c>
      <c r="F265" s="8" t="s">
        <v>1</v>
      </c>
      <c r="G265" s="241">
        <f>_xlfn.XLOOKUP($C265,'Site Level Financials - ''23 ''24'!$C$2:$C$1577,'Site Level Financials - ''23 ''24'!S$2:S$1577)</f>
        <v>450.41749165433453</v>
      </c>
      <c r="H265" s="242">
        <f>_xlfn.XLOOKUP($C265,'Site Level Financials - ''23 ''24'!$C$2:$C$1577,'Site Level Financials - ''23 ''24'!T$2:T$1577)</f>
        <v>470.2674784368694</v>
      </c>
      <c r="I265" s="242">
        <f>_xlfn.XLOOKUP($C265,'Site Level Financials - ''23 ''24'!$C$2:$C$1577,'Site Level Financials - ''23 ''24'!U$2:U$1577)</f>
        <v>514.66439701878301</v>
      </c>
      <c r="J265" s="242">
        <f>_xlfn.XLOOKUP($C265,'Site Level Financials - ''23 ''24'!$C$2:$C$1577,'Site Level Financials - ''23 ''24'!V$2:V$1577)</f>
        <v>557.57173736775394</v>
      </c>
      <c r="K265" s="242">
        <f>_xlfn.XLOOKUP($C265,'Site Level Financials - ''23 ''24'!$C$2:$C$1577,'Site Level Financials - ''23 ''24'!W$2:W$1577)</f>
        <v>610.50803136790819</v>
      </c>
      <c r="L265" s="242">
        <f>_xlfn.XLOOKUP($C265,'Site Level Financials - ''23 ''24'!$C$2:$C$1577,'Site Level Financials - ''23 ''24'!X$2:X$1577)</f>
        <v>534.58187419372416</v>
      </c>
      <c r="M265" s="242">
        <f>_xlfn.XLOOKUP($C265,'Site Level Financials - ''23 ''24'!$C$2:$C$1577,'Site Level Financials - ''23 ''24'!Y$2:Y$1577)</f>
        <v>645.30388485953574</v>
      </c>
      <c r="N265" s="242">
        <f>_xlfn.XLOOKUP($C265,'Site Level Financials - ''23 ''24'!$C$2:$C$1577,'Site Level Financials - ''23 ''24'!Z$2:Z$1577)</f>
        <v>550.0956449232699</v>
      </c>
      <c r="O265" s="242">
        <f>_xlfn.XLOOKUP($C265,'Site Level Financials - ''23 ''24'!$C$2:$C$1577,'Site Level Financials - ''23 ''24'!AA$2:AA$1577)</f>
        <v>509.4012802931577</v>
      </c>
      <c r="P265" s="242">
        <f>_xlfn.XLOOKUP($C265,'Site Level Financials - ''23 ''24'!$C$2:$C$1577,'Site Level Financials - ''23 ''24'!AB$2:AB$1577)</f>
        <v>607.14726898864672</v>
      </c>
      <c r="Q265" s="242">
        <f>_xlfn.XLOOKUP($C265,'Site Level Financials - ''23 ''24'!$C$2:$C$1577,'Site Level Financials - ''23 ''24'!AC$2:AC$1577)</f>
        <v>448.09794905322053</v>
      </c>
      <c r="R265" s="242">
        <f>_xlfn.XLOOKUP($C265,'Site Level Financials - ''23 ''24'!$C$2:$C$1577,'Site Level Financials - ''23 ''24'!AD$2:AD$1577)</f>
        <v>323.14882794979803</v>
      </c>
      <c r="S265" s="134">
        <f t="shared" ref="S265:AD265" si="672">S264*S263</f>
        <v>477.97532484887313</v>
      </c>
      <c r="T265" s="135">
        <f t="shared" si="672"/>
        <v>494.93332155996546</v>
      </c>
      <c r="U265" s="135">
        <f t="shared" si="672"/>
        <v>531.45407233472463</v>
      </c>
      <c r="V265" s="135">
        <f t="shared" si="672"/>
        <v>569.2731637514687</v>
      </c>
      <c r="W265" s="135">
        <f t="shared" si="672"/>
        <v>676.58780785235501</v>
      </c>
      <c r="X265" s="135">
        <f t="shared" si="672"/>
        <v>568.16376324878001</v>
      </c>
      <c r="Y265" s="135">
        <f t="shared" si="672"/>
        <v>572.38928374875297</v>
      </c>
      <c r="Z265" s="135">
        <f t="shared" si="672"/>
        <v>490.81856260243217</v>
      </c>
      <c r="AA265" s="135">
        <f t="shared" si="672"/>
        <v>450.00063665983856</v>
      </c>
      <c r="AB265" s="135">
        <f t="shared" si="672"/>
        <v>516.82246470791131</v>
      </c>
      <c r="AC265" s="135">
        <f t="shared" si="672"/>
        <v>408.5321164365476</v>
      </c>
      <c r="AD265" s="136">
        <f t="shared" si="672"/>
        <v>333.44904160915155</v>
      </c>
      <c r="AE265" s="15"/>
      <c r="AF265" s="113">
        <f>_xlfn.XLOOKUP($C265,'Site Level Financials - ''23 ''24'!$C$2:$C$1577,'Site Level Financials - ''23 ''24'!$AF$2:$AF$1577)</f>
        <v>5346.1116414015869</v>
      </c>
      <c r="AG265" s="95">
        <f>SUM(G265:R265)</f>
        <v>6221.2058661070014</v>
      </c>
      <c r="AH265" s="95">
        <f t="shared" ref="AH265" si="673">SUM(S265:AD265)</f>
        <v>6090.3995593608006</v>
      </c>
    </row>
    <row r="266" spans="2:34" x14ac:dyDescent="0.2">
      <c r="B266" s="9">
        <f>G255</f>
        <v>6</v>
      </c>
      <c r="C266" s="9" t="str">
        <f t="shared" si="668"/>
        <v>6 - Revenue as a % of Production</v>
      </c>
      <c r="D266" s="9" t="s">
        <v>56</v>
      </c>
      <c r="F266" s="7" t="s">
        <v>2</v>
      </c>
      <c r="G266" s="243">
        <f>_xlfn.XLOOKUP($C266,'Site Level Financials - ''23 ''24'!$C$2:$C$1577,'Site Level Financials - ''23 ''24'!S$2:S$1577)</f>
        <v>0.97794937729879283</v>
      </c>
      <c r="H266" s="244">
        <f>_xlfn.XLOOKUP($C266,'Site Level Financials - ''23 ''24'!$C$2:$C$1577,'Site Level Financials - ''23 ''24'!T$2:T$1577)</f>
        <v>0.97794937729879283</v>
      </c>
      <c r="I266" s="244">
        <f>_xlfn.XLOOKUP($C266,'Site Level Financials - ''23 ''24'!$C$2:$C$1577,'Site Level Financials - ''23 ''24'!U$2:U$1577)</f>
        <v>0.97794937729879283</v>
      </c>
      <c r="J266" s="244">
        <f>_xlfn.XLOOKUP($C266,'Site Level Financials - ''23 ''24'!$C$2:$C$1577,'Site Level Financials - ''23 ''24'!V$2:V$1577)</f>
        <v>0.97794937729879283</v>
      </c>
      <c r="K266" s="244">
        <f>_xlfn.XLOOKUP($C266,'Site Level Financials - ''23 ''24'!$C$2:$C$1577,'Site Level Financials - ''23 ''24'!W$2:W$1577)</f>
        <v>0.97794937729879283</v>
      </c>
      <c r="L266" s="244">
        <f>_xlfn.XLOOKUP($C266,'Site Level Financials - ''23 ''24'!$C$2:$C$1577,'Site Level Financials - ''23 ''24'!X$2:X$1577)</f>
        <v>0.97794937729879283</v>
      </c>
      <c r="M266" s="244">
        <f>_xlfn.XLOOKUP($C266,'Site Level Financials - ''23 ''24'!$C$2:$C$1577,'Site Level Financials - ''23 ''24'!Y$2:Y$1577)</f>
        <v>0.97794937729879283</v>
      </c>
      <c r="N266" s="244">
        <f>_xlfn.XLOOKUP($C266,'Site Level Financials - ''23 ''24'!$C$2:$C$1577,'Site Level Financials - ''23 ''24'!Z$2:Z$1577)</f>
        <v>0.97794937729879283</v>
      </c>
      <c r="O266" s="244">
        <f>_xlfn.XLOOKUP($C266,'Site Level Financials - ''23 ''24'!$C$2:$C$1577,'Site Level Financials - ''23 ''24'!AA$2:AA$1577)</f>
        <v>0.97794937729879283</v>
      </c>
      <c r="P266" s="244">
        <f>_xlfn.XLOOKUP($C266,'Site Level Financials - ''23 ''24'!$C$2:$C$1577,'Site Level Financials - ''23 ''24'!AB$2:AB$1577)</f>
        <v>0.97794937729879283</v>
      </c>
      <c r="Q266" s="244">
        <f>_xlfn.XLOOKUP($C266,'Site Level Financials - ''23 ''24'!$C$2:$C$1577,'Site Level Financials - ''23 ''24'!AC$2:AC$1577)</f>
        <v>0.97794937729879283</v>
      </c>
      <c r="R266" s="244">
        <f>_xlfn.XLOOKUP($C266,'Site Level Financials - ''23 ''24'!$C$2:$C$1577,'Site Level Financials - ''23 ''24'!AD$2:AD$1577)</f>
        <v>0.97794937729879283</v>
      </c>
      <c r="S266" s="292">
        <f>SUM(G295:R295)/SUM(G265:R265)</f>
        <v>0.9768036019635985</v>
      </c>
      <c r="T266" s="203">
        <f>S266</f>
        <v>0.9768036019635985</v>
      </c>
      <c r="U266" s="203">
        <f t="shared" ref="U266:AD266" si="674">T266</f>
        <v>0.9768036019635985</v>
      </c>
      <c r="V266" s="203">
        <f t="shared" si="674"/>
        <v>0.9768036019635985</v>
      </c>
      <c r="W266" s="203">
        <f t="shared" si="674"/>
        <v>0.9768036019635985</v>
      </c>
      <c r="X266" s="203">
        <f t="shared" si="674"/>
        <v>0.9768036019635985</v>
      </c>
      <c r="Y266" s="203">
        <f t="shared" si="674"/>
        <v>0.9768036019635985</v>
      </c>
      <c r="Z266" s="203">
        <f t="shared" si="674"/>
        <v>0.9768036019635985</v>
      </c>
      <c r="AA266" s="203">
        <f t="shared" si="674"/>
        <v>0.9768036019635985</v>
      </c>
      <c r="AB266" s="203">
        <f t="shared" si="674"/>
        <v>0.9768036019635985</v>
      </c>
      <c r="AC266" s="203">
        <f t="shared" si="674"/>
        <v>0.9768036019635985</v>
      </c>
      <c r="AD266" s="204">
        <f t="shared" si="674"/>
        <v>0.9768036019635985</v>
      </c>
      <c r="AE266" s="15"/>
      <c r="AF266" s="231">
        <f>_xlfn.XLOOKUP($C266,'Site Level Financials - ''23 ''24'!$C$2:$C$1577,'Site Level Financials - ''23 ''24'!$AF$2:$AF$1577)</f>
        <v>0.98716866645960022</v>
      </c>
      <c r="AG266" s="103">
        <f>AG267/AG265</f>
        <v>0.97794937729879294</v>
      </c>
      <c r="AH266" s="103">
        <f>AH267/AH265</f>
        <v>0.97680360196359861</v>
      </c>
    </row>
    <row r="267" spans="2:34" x14ac:dyDescent="0.2">
      <c r="B267" s="9">
        <f>G255</f>
        <v>6</v>
      </c>
      <c r="C267" s="9" t="str">
        <f t="shared" si="668"/>
        <v>6 - Total Revenue</v>
      </c>
      <c r="D267" s="9" t="s">
        <v>56</v>
      </c>
      <c r="F267" s="8" t="s">
        <v>3</v>
      </c>
      <c r="G267" s="241">
        <f>_xlfn.XLOOKUP($C267,'Site Level Financials - ''23 ''24'!$C$2:$C$1577,'Site Level Financials - ''23 ''24'!S$2:S$1577)</f>
        <v>440.48550548784067</v>
      </c>
      <c r="H267" s="242">
        <f>_xlfn.XLOOKUP($C267,'Site Level Financials - ''23 ''24'!$C$2:$C$1577,'Site Level Financials - ''23 ''24'!T$2:T$1577)</f>
        <v>459.89778770120989</v>
      </c>
      <c r="I267" s="242">
        <f>_xlfn.XLOOKUP($C267,'Site Level Financials - ''23 ''24'!$C$2:$C$1577,'Site Level Financials - ''23 ''24'!U$2:U$1577)</f>
        <v>503.31572658237752</v>
      </c>
      <c r="J267" s="242">
        <f>_xlfn.XLOOKUP($C267,'Site Level Financials - ''23 ''24'!$C$2:$C$1577,'Site Level Financials - ''23 ''24'!V$2:V$1577)</f>
        <v>545.27693335820106</v>
      </c>
      <c r="K267" s="242">
        <f>_xlfn.XLOOKUP($C267,'Site Level Financials - ''23 ''24'!$C$2:$C$1577,'Site Level Financials - ''23 ''24'!W$2:W$1577)</f>
        <v>597.0459491121577</v>
      </c>
      <c r="L267" s="242">
        <f>_xlfn.XLOOKUP($C267,'Site Level Financials - ''23 ''24'!$C$2:$C$1577,'Site Level Financials - ''23 ''24'!X$2:X$1577)</f>
        <v>522.7940109829741</v>
      </c>
      <c r="M267" s="242">
        <f>_xlfn.XLOOKUP($C267,'Site Level Financials - ''23 ''24'!$C$2:$C$1577,'Site Level Financials - ''23 ''24'!Y$2:Y$1577)</f>
        <v>631.07453236687491</v>
      </c>
      <c r="N267" s="242">
        <f>_xlfn.XLOOKUP($C267,'Site Level Financials - ''23 ''24'!$C$2:$C$1577,'Site Level Financials - ''23 ''24'!Z$2:Z$1577)</f>
        <v>537.96569340748965</v>
      </c>
      <c r="O267" s="242">
        <f>_xlfn.XLOOKUP($C267,'Site Level Financials - ''23 ''24'!$C$2:$C$1577,'Site Level Financials - ''23 ''24'!AA$2:AA$1577)</f>
        <v>498.16866485790138</v>
      </c>
      <c r="P267" s="242">
        <f>_xlfn.XLOOKUP($C267,'Site Level Financials - ''23 ''24'!$C$2:$C$1577,'Site Level Financials - ''23 ''24'!AB$2:AB$1577)</f>
        <v>593.75929363610976</v>
      </c>
      <c r="Q267" s="242">
        <f>_xlfn.XLOOKUP($C267,'Site Level Financials - ''23 ''24'!$C$2:$C$1577,'Site Level Financials - ''23 ''24'!AC$2:AC$1577)</f>
        <v>438.21711024546323</v>
      </c>
      <c r="R267" s="242">
        <f>_xlfn.XLOOKUP($C267,'Site Level Financials - ''23 ''24'!$C$2:$C$1577,'Site Level Financials - ''23 ''24'!AD$2:AD$1577)</f>
        <v>316.0231950683397</v>
      </c>
      <c r="S267" s="134">
        <f t="shared" ref="S267:AD267" si="675">S266*S265</f>
        <v>466.88801896210038</v>
      </c>
      <c r="T267" s="135">
        <f t="shared" si="675"/>
        <v>483.45265123158219</v>
      </c>
      <c r="U267" s="135">
        <f t="shared" si="675"/>
        <v>519.12625213478179</v>
      </c>
      <c r="V267" s="135">
        <f t="shared" si="675"/>
        <v>556.06807685364811</v>
      </c>
      <c r="W267" s="135">
        <f t="shared" si="675"/>
        <v>660.89340775483549</v>
      </c>
      <c r="X267" s="135">
        <f t="shared" si="675"/>
        <v>554.98441044660149</v>
      </c>
      <c r="Y267" s="135">
        <f t="shared" si="675"/>
        <v>559.1119140911461</v>
      </c>
      <c r="Z267" s="135">
        <f t="shared" si="675"/>
        <v>479.4333398606517</v>
      </c>
      <c r="AA267" s="135">
        <f t="shared" si="675"/>
        <v>439.56224277524285</v>
      </c>
      <c r="AB267" s="135">
        <f t="shared" si="675"/>
        <v>504.83404510239251</v>
      </c>
      <c r="AC267" s="135">
        <f t="shared" si="675"/>
        <v>399.05564285303194</v>
      </c>
      <c r="AD267" s="136">
        <f t="shared" si="675"/>
        <v>325.71422491512908</v>
      </c>
      <c r="AE267" s="15"/>
      <c r="AF267" s="113">
        <f>_xlfn.XLOOKUP($C267,'Site Level Financials - ''23 ''24'!$C$2:$C$1577,'Site Level Financials - ''23 ''24'!$AF$2:$AF$1577)</f>
        <v>5277.5138997865497</v>
      </c>
      <c r="AG267" s="95">
        <f>SUM(G267:R267)</f>
        <v>6084.0244028069401</v>
      </c>
      <c r="AH267" s="95">
        <f t="shared" ref="AH267" si="676">SUM(S267:AD267)</f>
        <v>5949.1242269811437</v>
      </c>
    </row>
    <row r="268" spans="2:34" x14ac:dyDescent="0.2">
      <c r="B268" s="9">
        <f>G255</f>
        <v>6</v>
      </c>
      <c r="C268" s="9" t="str">
        <f t="shared" si="668"/>
        <v>6 - % YoY Revenue Growth</v>
      </c>
      <c r="D268" s="9" t="s">
        <v>56</v>
      </c>
      <c r="F268" s="16" t="s">
        <v>174</v>
      </c>
      <c r="G268" s="245">
        <f>_xlfn.XLOOKUP($C268,'Site Level Financials - ''23 ''24'!$C$2:$C$1577,'Site Level Financials - ''23 ''24'!S$2:S$1577)</f>
        <v>2.2770946708846829E-2</v>
      </c>
      <c r="H268" s="246">
        <f>_xlfn.XLOOKUP($C268,'Site Level Financials - ''23 ''24'!$C$2:$C$1577,'Site Level Financials - ''23 ''24'!T$2:T$1577)</f>
        <v>5.9779864927302917E-2</v>
      </c>
      <c r="I268" s="246">
        <f>_xlfn.XLOOKUP($C268,'Site Level Financials - ''23 ''24'!$C$2:$C$1577,'Site Level Financials - ''23 ''24'!U$2:U$1577)</f>
        <v>0.21613145253256905</v>
      </c>
      <c r="J268" s="246">
        <f>_xlfn.XLOOKUP($C268,'Site Level Financials - ''23 ''24'!$C$2:$C$1577,'Site Level Financials - ''23 ''24'!V$2:V$1577)</f>
        <v>0.41090978316341054</v>
      </c>
      <c r="K268" s="246">
        <f>_xlfn.XLOOKUP($C268,'Site Level Financials - ''23 ''24'!$C$2:$C$1577,'Site Level Financials - ''23 ''24'!W$2:W$1577)</f>
        <v>0.35888362792574502</v>
      </c>
      <c r="L268" s="246">
        <f>_xlfn.XLOOKUP($C268,'Site Level Financials - ''23 ''24'!$C$2:$C$1577,'Site Level Financials - ''23 ''24'!X$2:X$1577)</f>
        <v>0.26502533043296128</v>
      </c>
      <c r="M268" s="246">
        <f>_xlfn.XLOOKUP($C268,'Site Level Financials - ''23 ''24'!$C$2:$C$1577,'Site Level Financials - ''23 ''24'!Y$2:Y$1577)</f>
        <v>0.37117768010417773</v>
      </c>
      <c r="N268" s="246">
        <f>_xlfn.XLOOKUP($C268,'Site Level Financials - ''23 ''24'!$C$2:$C$1577,'Site Level Financials - ''23 ''24'!Z$2:Z$1577)</f>
        <v>1.4313577656440257E-2</v>
      </c>
      <c r="O268" s="246">
        <f>_xlfn.XLOOKUP($C268,'Site Level Financials - ''23 ''24'!$C$2:$C$1577,'Site Level Financials - ''23 ''24'!AA$2:AA$1577)</f>
        <v>2.3563544961870964E-2</v>
      </c>
      <c r="P268" s="246">
        <f>_xlfn.XLOOKUP($C268,'Site Level Financials - ''23 ''24'!$C$2:$C$1577,'Site Level Financials - ''23 ''24'!AB$2:AB$1577)</f>
        <v>0.1673105975823852</v>
      </c>
      <c r="Q268" s="246">
        <f>_xlfn.XLOOKUP($C268,'Site Level Financials - ''23 ''24'!$C$2:$C$1577,'Site Level Financials - ''23 ''24'!AC$2:AC$1577)</f>
        <v>-7.8676945336519921E-4</v>
      </c>
      <c r="R268" s="246">
        <f>_xlfn.XLOOKUP($C268,'Site Level Financials - ''23 ''24'!$C$2:$C$1577,'Site Level Financials - ''23 ''24'!AD$2:AD$1577)</f>
        <v>-5.7697985418264874E-2</v>
      </c>
      <c r="S268" s="148">
        <f>S267/G267-1</f>
        <v>5.9939573823249326E-2</v>
      </c>
      <c r="T268" s="149">
        <f t="shared" ref="T268" si="677">T267/H267-1</f>
        <v>5.1217605651270537E-2</v>
      </c>
      <c r="U268" s="149">
        <f t="shared" ref="U268" si="678">U267/I267-1</f>
        <v>3.1412738997370848E-2</v>
      </c>
      <c r="V268" s="149">
        <f t="shared" ref="V268" si="679">V267/J267-1</f>
        <v>1.9790207205332422E-2</v>
      </c>
      <c r="W268" s="149">
        <f t="shared" ref="W268" si="680">W267/K267-1</f>
        <v>0.10693893617002637</v>
      </c>
      <c r="X268" s="149">
        <f t="shared" ref="X268" si="681">X267/L267-1</f>
        <v>6.1573772436876117E-2</v>
      </c>
      <c r="Y268" s="149">
        <f t="shared" ref="Y268" si="682">Y267/M267-1</f>
        <v>-0.11403188464257874</v>
      </c>
      <c r="Z268" s="149">
        <f t="shared" ref="Z268" si="683">Z267/N267-1</f>
        <v>-0.1088031342223561</v>
      </c>
      <c r="AA268" s="149">
        <f t="shared" ref="AA268" si="684">AA267/O267-1</f>
        <v>-0.1176437343753356</v>
      </c>
      <c r="AB268" s="149">
        <f t="shared" ref="AB268" si="685">AB267/P267-1</f>
        <v>-0.14976649542468601</v>
      </c>
      <c r="AC268" s="149">
        <f t="shared" ref="AC268" si="686">AC267/Q267-1</f>
        <v>-8.936544575015648E-2</v>
      </c>
      <c r="AD268" s="150">
        <f t="shared" ref="AD268" si="687">AD267/R267-1</f>
        <v>3.0665565053519916E-2</v>
      </c>
      <c r="AE268" s="15"/>
      <c r="AF268" s="11"/>
      <c r="AG268" s="97">
        <f>AG267/AF267-1</f>
        <v>0.15282015705406482</v>
      </c>
      <c r="AH268" s="97">
        <f>AH267/AG267-1</f>
        <v>-2.2172852522346687E-2</v>
      </c>
    </row>
    <row r="269" spans="2:34" ht="6" customHeight="1" x14ac:dyDescent="0.2">
      <c r="B269" s="9">
        <f>G255</f>
        <v>6</v>
      </c>
      <c r="C269" s="9" t="str">
        <f t="shared" si="668"/>
        <v xml:space="preserve">6 - </v>
      </c>
      <c r="D269" s="9" t="s">
        <v>56</v>
      </c>
      <c r="G269" s="80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80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81"/>
      <c r="AE269" s="15"/>
      <c r="AF269" s="11"/>
      <c r="AG269" s="15"/>
      <c r="AH269" s="15"/>
    </row>
    <row r="270" spans="2:34" x14ac:dyDescent="0.2">
      <c r="B270" s="9">
        <f>G255</f>
        <v>6</v>
      </c>
      <c r="C270" s="9" t="str">
        <f t="shared" si="668"/>
        <v>6 - Doctor Compensation</v>
      </c>
      <c r="D270" s="9" t="s">
        <v>56</v>
      </c>
      <c r="F270" t="s">
        <v>4</v>
      </c>
      <c r="G270" s="178">
        <f>_xlfn.XLOOKUP($C270,'Site Level Financials - ''23 ''24'!$C$2:$C$1577,'Site Level Financials - ''23 ''24'!S$2:S$1577)</f>
        <v>-139.42328007341453</v>
      </c>
      <c r="H270" s="179">
        <f>_xlfn.XLOOKUP($C270,'Site Level Financials - ''23 ''24'!$C$2:$C$1577,'Site Level Financials - ''23 ''24'!T$2:T$1577)</f>
        <v>-142.01178660543923</v>
      </c>
      <c r="I270" s="179">
        <f>_xlfn.XLOOKUP($C270,'Site Level Financials - ''23 ''24'!$C$2:$C$1577,'Site Level Financials - ''23 ''24'!U$2:U$1577)</f>
        <v>-158.31906683100846</v>
      </c>
      <c r="J270" s="179">
        <f>_xlfn.XLOOKUP($C270,'Site Level Financials - ''23 ''24'!$C$2:$C$1577,'Site Level Financials - ''23 ''24'!V$2:V$1577)</f>
        <v>-168.8469152328687</v>
      </c>
      <c r="K270" s="179">
        <f>_xlfn.XLOOKUP($C270,'Site Level Financials - ''23 ''24'!$C$2:$C$1577,'Site Level Financials - ''23 ''24'!W$2:W$1577)</f>
        <v>-196.81172306166931</v>
      </c>
      <c r="L270" s="179">
        <f>_xlfn.XLOOKUP($C270,'Site Level Financials - ''23 ''24'!$C$2:$C$1577,'Site Level Financials - ''23 ''24'!X$2:X$1577)</f>
        <v>-155.35773815813681</v>
      </c>
      <c r="M270" s="179">
        <f>_xlfn.XLOOKUP($C270,'Site Level Financials - ''23 ''24'!$C$2:$C$1577,'Site Level Financials - ''23 ''24'!Y$2:Y$1577)</f>
        <v>-146.41265070700621</v>
      </c>
      <c r="N270" s="179">
        <f>_xlfn.XLOOKUP($C270,'Site Level Financials - ''23 ''24'!$C$2:$C$1577,'Site Level Financials - ''23 ''24'!Z$2:Z$1577)</f>
        <v>-127.8696779119872</v>
      </c>
      <c r="O270" s="179">
        <f>_xlfn.XLOOKUP($C270,'Site Level Financials - ''23 ''24'!$C$2:$C$1577,'Site Level Financials - ''23 ''24'!AA$2:AA$1577)</f>
        <v>-114.65505987936588</v>
      </c>
      <c r="P270" s="179">
        <f>_xlfn.XLOOKUP($C270,'Site Level Financials - ''23 ''24'!$C$2:$C$1577,'Site Level Financials - ''23 ''24'!AB$2:AB$1577)</f>
        <v>-139.13979647110307</v>
      </c>
      <c r="Q270" s="179">
        <f>_xlfn.XLOOKUP($C270,'Site Level Financials - ''23 ''24'!$C$2:$C$1577,'Site Level Financials - ''23 ''24'!AC$2:AC$1577)</f>
        <v>-102.38857219525266</v>
      </c>
      <c r="R270" s="179">
        <f>_xlfn.XLOOKUP($C270,'Site Level Financials - ''23 ''24'!$C$2:$C$1577,'Site Level Financials - ''23 ''24'!AD$2:AD$1577)</f>
        <v>-95.22459730488282</v>
      </c>
      <c r="S270" s="155">
        <f>S271*S267</f>
        <v>-147.78025206205453</v>
      </c>
      <c r="T270" s="154">
        <f t="shared" ref="T270" si="688">T271*T267</f>
        <v>-149.28529028962899</v>
      </c>
      <c r="U270" s="154">
        <f t="shared" ref="U270" si="689">U271*U267</f>
        <v>-163.29230235567823</v>
      </c>
      <c r="V270" s="154">
        <f t="shared" ref="V270" si="690">V271*V267</f>
        <v>-172.18843067130837</v>
      </c>
      <c r="W270" s="154">
        <f t="shared" ref="W270" si="691">W271*W267</f>
        <v>-217.85855935167405</v>
      </c>
      <c r="X270" s="154">
        <f t="shared" ref="X270" si="692">X271*X267</f>
        <v>-164.92370017379372</v>
      </c>
      <c r="Y270" s="154">
        <f t="shared" ref="Y270" si="693">Y271*Y267</f>
        <v>-129.71694021137071</v>
      </c>
      <c r="Z270" s="154">
        <f t="shared" ref="Z270" si="694">Z271*Z267</f>
        <v>-113.95705618315981</v>
      </c>
      <c r="AA270" s="154">
        <f t="shared" ref="AA270" si="695">AA271*AA267</f>
        <v>-101.16661047012957</v>
      </c>
      <c r="AB270" s="154">
        <f t="shared" ref="AB270" si="696">AB271*AB267</f>
        <v>-118.30131677952185</v>
      </c>
      <c r="AC270" s="154">
        <f t="shared" ref="AC270" si="697">AC271*AC267</f>
        <v>-93.238571801301831</v>
      </c>
      <c r="AD270" s="156">
        <f t="shared" ref="AD270" si="698">AD271*AD267</f>
        <v>-98.14471338823094</v>
      </c>
      <c r="AE270" s="15"/>
      <c r="AF270" s="115">
        <f>_xlfn.XLOOKUP($C270,'Site Level Financials - ''23 ''24'!$C$2:$C$1577,'Site Level Financials - ''23 ''24'!$AF$2:$AF$1577)</f>
        <v>-1653.6035606097969</v>
      </c>
      <c r="AG270" s="93">
        <f>SUM(G270:R270)</f>
        <v>-1686.4608644321347</v>
      </c>
      <c r="AH270" s="93">
        <f t="shared" ref="AH270" si="699">SUM(S270:AD270)</f>
        <v>-1669.8537437378527</v>
      </c>
    </row>
    <row r="271" spans="2:34" x14ac:dyDescent="0.2">
      <c r="B271" s="9">
        <f>G255</f>
        <v>6</v>
      </c>
      <c r="C271" s="9" t="str">
        <f t="shared" si="668"/>
        <v>6 - % of Revenue - Doctor Compensation</v>
      </c>
      <c r="D271" s="9" t="s">
        <v>56</v>
      </c>
      <c r="F271" s="16" t="str">
        <f>"% of Revenue - "&amp;F270</f>
        <v>% of Revenue - Doctor Compensation</v>
      </c>
      <c r="G271" s="148">
        <f>G270/G267</f>
        <v>-0.31652183405899431</v>
      </c>
      <c r="H271" s="149">
        <f t="shared" ref="H271:R271" si="700">H270/H267</f>
        <v>-0.30878988854302247</v>
      </c>
      <c r="I271" s="149">
        <f t="shared" si="700"/>
        <v>-0.31455219550962399</v>
      </c>
      <c r="J271" s="149">
        <f t="shared" si="700"/>
        <v>-0.30965350797619468</v>
      </c>
      <c r="K271" s="149">
        <f t="shared" si="700"/>
        <v>-0.32964250633362452</v>
      </c>
      <c r="L271" s="149">
        <f t="shared" si="700"/>
        <v>-0.29716816737442764</v>
      </c>
      <c r="M271" s="149">
        <f t="shared" si="700"/>
        <v>-0.23200532298123114</v>
      </c>
      <c r="N271" s="149">
        <f t="shared" si="700"/>
        <v>-0.23769113807621653</v>
      </c>
      <c r="O271" s="149">
        <f t="shared" si="700"/>
        <v>-0.23015309465935663</v>
      </c>
      <c r="P271" s="149">
        <f t="shared" si="700"/>
        <v>-0.23433704189963556</v>
      </c>
      <c r="Q271" s="149">
        <f t="shared" si="700"/>
        <v>-0.23364804751211257</v>
      </c>
      <c r="R271" s="149">
        <f t="shared" si="700"/>
        <v>-0.301321544718547</v>
      </c>
      <c r="S271" s="245">
        <f>_xlfn.XLOOKUP($F271,'Budget Assumption Driver'!$A$33:$A$39,'Budget Assumption Driver'!E$33:E$39)+G271</f>
        <v>-0.31652183405899431</v>
      </c>
      <c r="T271" s="246">
        <f>_xlfn.XLOOKUP($F271,'Budget Assumption Driver'!$A$33:$A$39,'Budget Assumption Driver'!F$33:F$39)+H271</f>
        <v>-0.30878988854302247</v>
      </c>
      <c r="U271" s="246">
        <f>_xlfn.XLOOKUP($F271,'Budget Assumption Driver'!$A$33:$A$39,'Budget Assumption Driver'!G$33:G$39)+I271</f>
        <v>-0.31455219550962399</v>
      </c>
      <c r="V271" s="246">
        <f>_xlfn.XLOOKUP($F271,'Budget Assumption Driver'!$A$33:$A$39,'Budget Assumption Driver'!H$33:H$39)+J271</f>
        <v>-0.30965350797619468</v>
      </c>
      <c r="W271" s="246">
        <f>_xlfn.XLOOKUP($F271,'Budget Assumption Driver'!$A$33:$A$39,'Budget Assumption Driver'!I$33:I$39)+K271</f>
        <v>-0.32964250633362452</v>
      </c>
      <c r="X271" s="246">
        <f>_xlfn.XLOOKUP($F271,'Budget Assumption Driver'!$A$33:$A$39,'Budget Assumption Driver'!J$33:J$39)+L271</f>
        <v>-0.29716816737442764</v>
      </c>
      <c r="Y271" s="246">
        <f>_xlfn.XLOOKUP($F271,'Budget Assumption Driver'!$A$33:$A$39,'Budget Assumption Driver'!K$33:K$39)+M271</f>
        <v>-0.23200532298123114</v>
      </c>
      <c r="Z271" s="246">
        <f>_xlfn.XLOOKUP($F271,'Budget Assumption Driver'!$A$33:$A$39,'Budget Assumption Driver'!L$33:L$39)+N271</f>
        <v>-0.23769113807621653</v>
      </c>
      <c r="AA271" s="246">
        <f>_xlfn.XLOOKUP($F271,'Budget Assumption Driver'!$A$33:$A$39,'Budget Assumption Driver'!M$33:M$39)+O271</f>
        <v>-0.23015309465935663</v>
      </c>
      <c r="AB271" s="246">
        <f>_xlfn.XLOOKUP($F271,'Budget Assumption Driver'!$A$33:$A$39,'Budget Assumption Driver'!N$33:N$39)+P271</f>
        <v>-0.23433704189963556</v>
      </c>
      <c r="AC271" s="246">
        <f>_xlfn.XLOOKUP($F271,'Budget Assumption Driver'!$A$33:$A$39,'Budget Assumption Driver'!O$33:O$39)+Q271</f>
        <v>-0.23364804751211257</v>
      </c>
      <c r="AD271" s="296">
        <f>_xlfn.XLOOKUP($F271,'Budget Assumption Driver'!$A$33:$A$39,'Budget Assumption Driver'!P$33:P$39)+R271</f>
        <v>-0.301321544718547</v>
      </c>
      <c r="AE271" s="15"/>
      <c r="AF271" s="232">
        <f>_xlfn.XLOOKUP($C271,'Site Level Financials - ''23 ''24'!$C$2:$C$1577,'Site Level Financials - ''23 ''24'!$AF$2:$AF$1577)</f>
        <v>-0.31333002470664784</v>
      </c>
      <c r="AG271" s="97">
        <f t="shared" ref="AG271:AH271" si="701">AG270/AG267</f>
        <v>-0.2771949539936206</v>
      </c>
      <c r="AH271" s="97">
        <f t="shared" si="701"/>
        <v>-0.28068900228449467</v>
      </c>
    </row>
    <row r="272" spans="2:34" ht="3" customHeight="1" x14ac:dyDescent="0.2">
      <c r="B272" s="9">
        <f>G255</f>
        <v>6</v>
      </c>
      <c r="C272" s="9" t="str">
        <f t="shared" si="668"/>
        <v xml:space="preserve">6 - </v>
      </c>
      <c r="D272" s="9" t="s">
        <v>56</v>
      </c>
      <c r="F272" s="16"/>
      <c r="G272" s="84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4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6"/>
      <c r="AE272" s="15"/>
      <c r="AF272" s="36"/>
      <c r="AG272" s="38"/>
      <c r="AH272" s="38"/>
    </row>
    <row r="273" spans="2:34" x14ac:dyDescent="0.2">
      <c r="B273" s="9">
        <f>G255</f>
        <v>6</v>
      </c>
      <c r="C273" s="9" t="str">
        <f t="shared" si="668"/>
        <v>6 - Administrative Staff Compensation</v>
      </c>
      <c r="D273" s="9" t="s">
        <v>56</v>
      </c>
      <c r="F273" t="s">
        <v>5</v>
      </c>
      <c r="G273" s="178">
        <f>_xlfn.XLOOKUP($C273,'Site Level Financials - ''23 ''24'!$C$2:$C$1577,'Site Level Financials - ''23 ''24'!S$2:S$1577)</f>
        <v>-96.774914882533437</v>
      </c>
      <c r="H273" s="179">
        <f>_xlfn.XLOOKUP($C273,'Site Level Financials - ''23 ''24'!$C$2:$C$1577,'Site Level Financials - ''23 ''24'!T$2:T$1577)</f>
        <v>-103.86423863779868</v>
      </c>
      <c r="I273" s="179">
        <f>_xlfn.XLOOKUP($C273,'Site Level Financials - ''23 ''24'!$C$2:$C$1577,'Site Level Financials - ''23 ''24'!U$2:U$1577)</f>
        <v>-111.94516238631432</v>
      </c>
      <c r="J273" s="179">
        <f>_xlfn.XLOOKUP($C273,'Site Level Financials - ''23 ''24'!$C$2:$C$1577,'Site Level Financials - ''23 ''24'!V$2:V$1577)</f>
        <v>-123.55790807890507</v>
      </c>
      <c r="K273" s="179">
        <f>_xlfn.XLOOKUP($C273,'Site Level Financials - ''23 ''24'!$C$2:$C$1577,'Site Level Financials - ''23 ''24'!W$2:W$1577)</f>
        <v>-121.01374982320119</v>
      </c>
      <c r="L273" s="179">
        <f>_xlfn.XLOOKUP($C273,'Site Level Financials - ''23 ''24'!$C$2:$C$1577,'Site Level Financials - ''23 ''24'!X$2:X$1577)</f>
        <v>-115.46021597811344</v>
      </c>
      <c r="M273" s="179">
        <f>_xlfn.XLOOKUP($C273,'Site Level Financials - ''23 ''24'!$C$2:$C$1577,'Site Level Financials - ''23 ''24'!Y$2:Y$1577)</f>
        <v>-112.91774761167869</v>
      </c>
      <c r="N273" s="179">
        <f>_xlfn.XLOOKUP($C273,'Site Level Financials - ''23 ''24'!$C$2:$C$1577,'Site Level Financials - ''23 ''24'!Z$2:Z$1577)</f>
        <v>-97.681387591625423</v>
      </c>
      <c r="O273" s="179">
        <f>_xlfn.XLOOKUP($C273,'Site Level Financials - ''23 ''24'!$C$2:$C$1577,'Site Level Financials - ''23 ''24'!AA$2:AA$1577)</f>
        <v>-92.259555826315633</v>
      </c>
      <c r="P273" s="179">
        <f>_xlfn.XLOOKUP($C273,'Site Level Financials - ''23 ''24'!$C$2:$C$1577,'Site Level Financials - ''23 ''24'!AB$2:AB$1577)</f>
        <v>-106.31040389329138</v>
      </c>
      <c r="Q273" s="179">
        <f>_xlfn.XLOOKUP($C273,'Site Level Financials - ''23 ''24'!$C$2:$C$1577,'Site Level Financials - ''23 ''24'!AC$2:AC$1577)</f>
        <v>-80.935114145793221</v>
      </c>
      <c r="R273" s="179">
        <f>_xlfn.XLOOKUP($C273,'Site Level Financials - ''23 ''24'!$C$2:$C$1577,'Site Level Financials - ''23 ''24'!AD$2:AD$1577)</f>
        <v>-74.646943282174391</v>
      </c>
      <c r="S273" s="155">
        <f>S274*S267</f>
        <v>-102.57556203737371</v>
      </c>
      <c r="T273" s="154">
        <f t="shared" ref="T273" si="702">T274*T267</f>
        <v>-109.18391625361892</v>
      </c>
      <c r="U273" s="154">
        <f t="shared" ref="U273" si="703">U274*U267</f>
        <v>-115.46166655437391</v>
      </c>
      <c r="V273" s="154">
        <f t="shared" ref="V273" si="704">V274*V267</f>
        <v>-126.00314468164403</v>
      </c>
      <c r="W273" s="154">
        <f t="shared" ref="W273" si="705">W274*W267</f>
        <v>-133.95483149124004</v>
      </c>
      <c r="X273" s="154">
        <f t="shared" ref="X273" si="706">X274*X267</f>
        <v>-122.56953704226237</v>
      </c>
      <c r="Y273" s="154">
        <f t="shared" ref="Y273" si="707">Y274*Y267</f>
        <v>-100.04152404192392</v>
      </c>
      <c r="Z273" s="154">
        <f t="shared" ref="Z273" si="708">Z274*Z267</f>
        <v>-87.053346466467815</v>
      </c>
      <c r="AA273" s="154">
        <f t="shared" ref="AA273" si="709">AA274*AA267</f>
        <v>-81.405797147098113</v>
      </c>
      <c r="AB273" s="154">
        <f t="shared" ref="AB273" si="710">AB274*AB267</f>
        <v>-90.388667275010221</v>
      </c>
      <c r="AC273" s="154">
        <f t="shared" ref="AC273" si="711">AC274*AC267</f>
        <v>-73.702311593314619</v>
      </c>
      <c r="AD273" s="156">
        <f t="shared" ref="AD273" si="712">AD274*AD267</f>
        <v>-76.936033977440317</v>
      </c>
      <c r="AE273" s="15"/>
      <c r="AF273" s="115">
        <f>_xlfn.XLOOKUP($C273,'Site Level Financials - ''23 ''24'!$C$2:$C$1577,'Site Level Financials - ''23 ''24'!$AF$2:$AF$1577)</f>
        <v>-1015.3949074432298</v>
      </c>
      <c r="AG273" s="93">
        <f>SUM(G273:R273)</f>
        <v>-1237.3673421377448</v>
      </c>
      <c r="AH273" s="93">
        <f t="shared" ref="AH273" si="713">SUM(S273:AD273)</f>
        <v>-1219.2763385617679</v>
      </c>
    </row>
    <row r="274" spans="2:34" x14ac:dyDescent="0.2">
      <c r="B274" s="9">
        <f>G255</f>
        <v>6</v>
      </c>
      <c r="C274" s="9" t="str">
        <f t="shared" si="668"/>
        <v>6 - % of Revenue - Administrative Staff Compensation</v>
      </c>
      <c r="D274" s="9" t="s">
        <v>56</v>
      </c>
      <c r="F274" s="16" t="str">
        <f>"% of Revenue - "&amp;F273</f>
        <v>% of Revenue - Administrative Staff Compensation</v>
      </c>
      <c r="G274" s="148">
        <f>G273/G267</f>
        <v>-0.219700566027376</v>
      </c>
      <c r="H274" s="149">
        <f t="shared" ref="H274:R274" si="714">H273/H267</f>
        <v>-0.22584200536593588</v>
      </c>
      <c r="I274" s="149">
        <f t="shared" si="714"/>
        <v>-0.22241538754698995</v>
      </c>
      <c r="J274" s="149">
        <f t="shared" si="714"/>
        <v>-0.22659661636142955</v>
      </c>
      <c r="K274" s="149">
        <f t="shared" si="714"/>
        <v>-0.20268749834607491</v>
      </c>
      <c r="L274" s="149">
        <f t="shared" si="714"/>
        <v>-0.22085221626969564</v>
      </c>
      <c r="M274" s="149">
        <f t="shared" si="714"/>
        <v>-0.17892933690126162</v>
      </c>
      <c r="N274" s="149">
        <f t="shared" si="714"/>
        <v>-0.18157549596315112</v>
      </c>
      <c r="O274" s="149">
        <f t="shared" si="714"/>
        <v>-0.18519742877170312</v>
      </c>
      <c r="P274" s="149">
        <f t="shared" si="714"/>
        <v>-0.17904629878255779</v>
      </c>
      <c r="Q274" s="149">
        <f t="shared" si="714"/>
        <v>-0.18469181657571102</v>
      </c>
      <c r="R274" s="149">
        <f t="shared" si="714"/>
        <v>-0.23620716595195509</v>
      </c>
      <c r="S274" s="245">
        <f>_xlfn.XLOOKUP($F274,'Budget Assumption Driver'!$A$33:$A$39,'Budget Assumption Driver'!E$33:E$39)+G274</f>
        <v>-0.219700566027376</v>
      </c>
      <c r="T274" s="246">
        <f>_xlfn.XLOOKUP($F274,'Budget Assumption Driver'!$A$33:$A$39,'Budget Assumption Driver'!F$33:F$39)+H274</f>
        <v>-0.22584200536593588</v>
      </c>
      <c r="U274" s="246">
        <f>_xlfn.XLOOKUP($F274,'Budget Assumption Driver'!$A$33:$A$39,'Budget Assumption Driver'!G$33:G$39)+I274</f>
        <v>-0.22241538754698995</v>
      </c>
      <c r="V274" s="246">
        <f>_xlfn.XLOOKUP($F274,'Budget Assumption Driver'!$A$33:$A$39,'Budget Assumption Driver'!H$33:H$39)+J274</f>
        <v>-0.22659661636142955</v>
      </c>
      <c r="W274" s="246">
        <f>_xlfn.XLOOKUP($F274,'Budget Assumption Driver'!$A$33:$A$39,'Budget Assumption Driver'!I$33:I$39)+K274</f>
        <v>-0.20268749834607491</v>
      </c>
      <c r="X274" s="246">
        <f>_xlfn.XLOOKUP($F274,'Budget Assumption Driver'!$A$33:$A$39,'Budget Assumption Driver'!J$33:J$39)+L274</f>
        <v>-0.22085221626969564</v>
      </c>
      <c r="Y274" s="246">
        <f>_xlfn.XLOOKUP($F274,'Budget Assumption Driver'!$A$33:$A$39,'Budget Assumption Driver'!K$33:K$39)+M274</f>
        <v>-0.17892933690126162</v>
      </c>
      <c r="Z274" s="246">
        <f>_xlfn.XLOOKUP($F274,'Budget Assumption Driver'!$A$33:$A$39,'Budget Assumption Driver'!L$33:L$39)+N274</f>
        <v>-0.18157549596315112</v>
      </c>
      <c r="AA274" s="246">
        <f>_xlfn.XLOOKUP($F274,'Budget Assumption Driver'!$A$33:$A$39,'Budget Assumption Driver'!M$33:M$39)+O274</f>
        <v>-0.18519742877170312</v>
      </c>
      <c r="AB274" s="246">
        <f>_xlfn.XLOOKUP($F274,'Budget Assumption Driver'!$A$33:$A$39,'Budget Assumption Driver'!N$33:N$39)+P274</f>
        <v>-0.17904629878255779</v>
      </c>
      <c r="AC274" s="246">
        <f>_xlfn.XLOOKUP($F274,'Budget Assumption Driver'!$A$33:$A$39,'Budget Assumption Driver'!O$33:O$39)+Q274</f>
        <v>-0.18469181657571102</v>
      </c>
      <c r="AD274" s="296">
        <f>_xlfn.XLOOKUP($F274,'Budget Assumption Driver'!$A$33:$A$39,'Budget Assumption Driver'!P$33:P$39)+R274</f>
        <v>-0.23620716595195509</v>
      </c>
      <c r="AE274" s="15"/>
      <c r="AF274" s="232">
        <f>_xlfn.XLOOKUP($C274,'Site Level Financials - ''23 ''24'!$C$2:$C$1577,'Site Level Financials - ''23 ''24'!$AF$2:$AF$1577)</f>
        <v>-0.19240023365628611</v>
      </c>
      <c r="AG274" s="97">
        <f t="shared" ref="AG274:AH274" si="715">AG273/AG267</f>
        <v>-0.20337974672929812</v>
      </c>
      <c r="AH274" s="97">
        <f t="shared" si="715"/>
        <v>-0.20495055945074528</v>
      </c>
    </row>
    <row r="275" spans="2:34" ht="3" customHeight="1" x14ac:dyDescent="0.2">
      <c r="B275" s="9">
        <f>G255</f>
        <v>6</v>
      </c>
      <c r="C275" s="9" t="str">
        <f t="shared" si="668"/>
        <v xml:space="preserve">6 - </v>
      </c>
      <c r="D275" s="9" t="s">
        <v>56</v>
      </c>
      <c r="F275" s="16"/>
      <c r="G275" s="84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4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6"/>
      <c r="AE275" s="15"/>
      <c r="AF275" s="36"/>
      <c r="AG275" s="38"/>
      <c r="AH275" s="38"/>
    </row>
    <row r="276" spans="2:34" x14ac:dyDescent="0.2">
      <c r="B276" s="9">
        <f>G255</f>
        <v>6</v>
      </c>
      <c r="C276" s="9" t="str">
        <f t="shared" si="668"/>
        <v>6 - Office Supplies</v>
      </c>
      <c r="D276" s="9" t="s">
        <v>56</v>
      </c>
      <c r="F276" t="s">
        <v>6</v>
      </c>
      <c r="G276" s="178">
        <f>_xlfn.XLOOKUP($C276,'Site Level Financials - ''23 ''24'!$C$2:$C$1577,'Site Level Financials - ''23 ''24'!S$2:S$1577)</f>
        <v>-50.573573364666785</v>
      </c>
      <c r="H276" s="179">
        <f>_xlfn.XLOOKUP($C276,'Site Level Financials - ''23 ''24'!$C$2:$C$1577,'Site Level Financials - ''23 ''24'!T$2:T$1577)</f>
        <v>-54.733635533838161</v>
      </c>
      <c r="I276" s="179">
        <f>_xlfn.XLOOKUP($C276,'Site Level Financials - ''23 ''24'!$C$2:$C$1577,'Site Level Financials - ''23 ''24'!U$2:U$1577)</f>
        <v>-59.171584076104438</v>
      </c>
      <c r="J276" s="179">
        <f>_xlfn.XLOOKUP($C276,'Site Level Financials - ''23 ''24'!$C$2:$C$1577,'Site Level Financials - ''23 ''24'!V$2:V$1577)</f>
        <v>-66.98900815158602</v>
      </c>
      <c r="K276" s="179">
        <f>_xlfn.XLOOKUP($C276,'Site Level Financials - ''23 ''24'!$C$2:$C$1577,'Site Level Financials - ''23 ''24'!W$2:W$1577)</f>
        <v>-82.042733986140107</v>
      </c>
      <c r="L276" s="179">
        <f>_xlfn.XLOOKUP($C276,'Site Level Financials - ''23 ''24'!$C$2:$C$1577,'Site Level Financials - ''23 ''24'!X$2:X$1577)</f>
        <v>-64.714817536656156</v>
      </c>
      <c r="M276" s="179">
        <f>_xlfn.XLOOKUP($C276,'Site Level Financials - ''23 ''24'!$C$2:$C$1577,'Site Level Financials - ''23 ''24'!Y$2:Y$1577)</f>
        <v>-61.967908321046998</v>
      </c>
      <c r="N276" s="179">
        <f>_xlfn.XLOOKUP($C276,'Site Level Financials - ''23 ''24'!$C$2:$C$1577,'Site Level Financials - ''23 ''24'!Z$2:Z$1577)</f>
        <v>-52.954134982126021</v>
      </c>
      <c r="O276" s="179">
        <f>_xlfn.XLOOKUP($C276,'Site Level Financials - ''23 ''24'!$C$2:$C$1577,'Site Level Financials - ''23 ''24'!AA$2:AA$1577)</f>
        <v>-46.72793162198888</v>
      </c>
      <c r="P276" s="179">
        <f>_xlfn.XLOOKUP($C276,'Site Level Financials - ''23 ''24'!$C$2:$C$1577,'Site Level Financials - ''23 ''24'!AB$2:AB$1577)</f>
        <v>-53.836668577733484</v>
      </c>
      <c r="Q276" s="179">
        <f>_xlfn.XLOOKUP($C276,'Site Level Financials - ''23 ''24'!$C$2:$C$1577,'Site Level Financials - ''23 ''24'!AC$2:AC$1577)</f>
        <v>-38.515211354037653</v>
      </c>
      <c r="R276" s="179">
        <f>_xlfn.XLOOKUP($C276,'Site Level Financials - ''23 ''24'!$C$2:$C$1577,'Site Level Financials - ''23 ''24'!AD$2:AD$1577)</f>
        <v>-33.936902020452905</v>
      </c>
      <c r="S276" s="155">
        <f>S277*S267</f>
        <v>-53.604931798863738</v>
      </c>
      <c r="T276" s="154">
        <f t="shared" ref="T276" si="716">T277*T267</f>
        <v>-57.53696129447065</v>
      </c>
      <c r="U276" s="154">
        <f t="shared" ref="U276" si="717">U277*U267</f>
        <v>-61.030325602748086</v>
      </c>
      <c r="V276" s="154">
        <f t="shared" ref="V276" si="718">V277*V267</f>
        <v>-68.314734503385608</v>
      </c>
      <c r="W276" s="154">
        <f t="shared" ref="W276" si="719">W277*W267</f>
        <v>-90.816296679098386</v>
      </c>
      <c r="X276" s="154">
        <f t="shared" ref="X276" si="720">X277*X267</f>
        <v>-68.699552984952192</v>
      </c>
      <c r="Y276" s="154">
        <f t="shared" ref="Y276" si="721">Y277*Y267</f>
        <v>-54.901590947839466</v>
      </c>
      <c r="Z276" s="154">
        <f t="shared" ref="Z276" si="722">Z277*Z267</f>
        <v>-47.192559126037004</v>
      </c>
      <c r="AA276" s="154">
        <f t="shared" ref="AA276" si="723">AA277*AA267</f>
        <v>-41.230683246342778</v>
      </c>
      <c r="AB276" s="154">
        <f t="shared" ref="AB276" si="724">AB277*AB267</f>
        <v>-45.77373939950602</v>
      </c>
      <c r="AC276" s="154">
        <f t="shared" ref="AC276" si="725">AC277*AC267</f>
        <v>-35.073282323222585</v>
      </c>
      <c r="AD276" s="156">
        <f t="shared" ref="AD276" si="726">AD277*AD267</f>
        <v>-34.977596297076033</v>
      </c>
      <c r="AE276" s="15"/>
      <c r="AF276" s="115">
        <f>_xlfn.XLOOKUP($C276,'Site Level Financials - ''23 ''24'!$C$2:$C$1577,'Site Level Financials - ''23 ''24'!$AF$2:$AF$1577)</f>
        <v>-525.42177468594912</v>
      </c>
      <c r="AG276" s="93">
        <f>SUM(G276:R276)</f>
        <v>-666.1641095263775</v>
      </c>
      <c r="AH276" s="93">
        <f t="shared" ref="AH276" si="727">SUM(S276:AD276)</f>
        <v>-659.1522542035425</v>
      </c>
    </row>
    <row r="277" spans="2:34" x14ac:dyDescent="0.2">
      <c r="B277" s="9">
        <f>G255</f>
        <v>6</v>
      </c>
      <c r="C277" s="9" t="str">
        <f t="shared" si="668"/>
        <v>6 - % of Revenue - Office Supplies</v>
      </c>
      <c r="D277" s="9" t="s">
        <v>56</v>
      </c>
      <c r="F277" s="16" t="str">
        <f>"% of Revenue - "&amp;F276</f>
        <v>% of Revenue - Office Supplies</v>
      </c>
      <c r="G277" s="148">
        <f>G276/G267</f>
        <v>-0.11481325204709338</v>
      </c>
      <c r="H277" s="149">
        <f t="shared" ref="H277:R277" si="728">H276/H267</f>
        <v>-0.1190126088829937</v>
      </c>
      <c r="I277" s="149">
        <f t="shared" si="728"/>
        <v>-0.11756355097006857</v>
      </c>
      <c r="J277" s="149">
        <f t="shared" si="728"/>
        <v>-0.12285318533285522</v>
      </c>
      <c r="K277" s="149">
        <f t="shared" si="728"/>
        <v>-0.13741443871806258</v>
      </c>
      <c r="L277" s="149">
        <f t="shared" si="728"/>
        <v>-0.12378645542434061</v>
      </c>
      <c r="M277" s="149">
        <f t="shared" si="728"/>
        <v>-9.8194278397883403E-2</v>
      </c>
      <c r="N277" s="149">
        <f t="shared" si="728"/>
        <v>-9.8434037023277562E-2</v>
      </c>
      <c r="O277" s="149">
        <f t="shared" si="728"/>
        <v>-9.3799419590787886E-2</v>
      </c>
      <c r="P277" s="149">
        <f t="shared" si="728"/>
        <v>-9.0670864700145182E-2</v>
      </c>
      <c r="Q277" s="149">
        <f t="shared" si="728"/>
        <v>-8.789070634979021E-2</v>
      </c>
      <c r="R277" s="149">
        <f t="shared" si="728"/>
        <v>-0.10738737709779209</v>
      </c>
      <c r="S277" s="245">
        <f>_xlfn.XLOOKUP($F277,'Budget Assumption Driver'!$A$33:$A$39,'Budget Assumption Driver'!E$33:E$39)+G277</f>
        <v>-0.11481325204709338</v>
      </c>
      <c r="T277" s="246">
        <f>_xlfn.XLOOKUP($F277,'Budget Assumption Driver'!$A$33:$A$39,'Budget Assumption Driver'!F$33:F$39)+H277</f>
        <v>-0.1190126088829937</v>
      </c>
      <c r="U277" s="246">
        <f>_xlfn.XLOOKUP($F277,'Budget Assumption Driver'!$A$33:$A$39,'Budget Assumption Driver'!G$33:G$39)+I277</f>
        <v>-0.11756355097006857</v>
      </c>
      <c r="V277" s="246">
        <f>_xlfn.XLOOKUP($F277,'Budget Assumption Driver'!$A$33:$A$39,'Budget Assumption Driver'!H$33:H$39)+J277</f>
        <v>-0.12285318533285522</v>
      </c>
      <c r="W277" s="246">
        <f>_xlfn.XLOOKUP($F277,'Budget Assumption Driver'!$A$33:$A$39,'Budget Assumption Driver'!I$33:I$39)+K277</f>
        <v>-0.13741443871806258</v>
      </c>
      <c r="X277" s="246">
        <f>_xlfn.XLOOKUP($F277,'Budget Assumption Driver'!$A$33:$A$39,'Budget Assumption Driver'!J$33:J$39)+L277</f>
        <v>-0.12378645542434061</v>
      </c>
      <c r="Y277" s="246">
        <f>_xlfn.XLOOKUP($F277,'Budget Assumption Driver'!$A$33:$A$39,'Budget Assumption Driver'!K$33:K$39)+M277</f>
        <v>-9.8194278397883403E-2</v>
      </c>
      <c r="Z277" s="246">
        <f>_xlfn.XLOOKUP($F277,'Budget Assumption Driver'!$A$33:$A$39,'Budget Assumption Driver'!L$33:L$39)+N277</f>
        <v>-9.8434037023277562E-2</v>
      </c>
      <c r="AA277" s="246">
        <f>_xlfn.XLOOKUP($F277,'Budget Assumption Driver'!$A$33:$A$39,'Budget Assumption Driver'!M$33:M$39)+O277</f>
        <v>-9.3799419590787886E-2</v>
      </c>
      <c r="AB277" s="246">
        <f>_xlfn.XLOOKUP($F277,'Budget Assumption Driver'!$A$33:$A$39,'Budget Assumption Driver'!N$33:N$39)+P277</f>
        <v>-9.0670864700145182E-2</v>
      </c>
      <c r="AC277" s="246">
        <f>_xlfn.XLOOKUP($F277,'Budget Assumption Driver'!$A$33:$A$39,'Budget Assumption Driver'!O$33:O$39)+Q277</f>
        <v>-8.789070634979021E-2</v>
      </c>
      <c r="AD277" s="296">
        <f>_xlfn.XLOOKUP($F277,'Budget Assumption Driver'!$A$33:$A$39,'Budget Assumption Driver'!P$33:P$39)+R277</f>
        <v>-0.10738737709779209</v>
      </c>
      <c r="AE277" s="15"/>
      <c r="AF277" s="232">
        <f>_xlfn.XLOOKUP($C277,'Site Level Financials - ''23 ''24'!$C$2:$C$1577,'Site Level Financials - ''23 ''24'!$AF$2:$AF$1577)</f>
        <v>-9.9558577137466173E-2</v>
      </c>
      <c r="AG277" s="97">
        <f t="shared" ref="AG277:AH277" si="729">AG276/AG267</f>
        <v>-0.10949399039540907</v>
      </c>
      <c r="AH277" s="97">
        <f t="shared" si="729"/>
        <v>-0.11079819971048517</v>
      </c>
    </row>
    <row r="278" spans="2:34" ht="6" customHeight="1" x14ac:dyDescent="0.2">
      <c r="B278" s="9">
        <f>G255</f>
        <v>6</v>
      </c>
      <c r="C278" s="9" t="str">
        <f t="shared" si="668"/>
        <v xml:space="preserve">6 - </v>
      </c>
      <c r="D278" s="9" t="s">
        <v>56</v>
      </c>
      <c r="F278" s="16"/>
      <c r="G278" s="80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80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81"/>
      <c r="AE278" s="15"/>
      <c r="AF278" s="11"/>
      <c r="AG278" s="15"/>
      <c r="AH278" s="15"/>
    </row>
    <row r="279" spans="2:34" x14ac:dyDescent="0.2">
      <c r="B279" s="9">
        <f>G255</f>
        <v>6</v>
      </c>
      <c r="C279" s="9" t="str">
        <f t="shared" si="668"/>
        <v>6 - Office Gross Profit</v>
      </c>
      <c r="D279" s="9" t="s">
        <v>56</v>
      </c>
      <c r="F279" s="8" t="s">
        <v>11</v>
      </c>
      <c r="G279" s="241">
        <f>_xlfn.XLOOKUP($C279,'Site Level Financials - ''23 ''24'!$C$2:$C$1577,'Site Level Financials - ''23 ''24'!S$2:S$1577)</f>
        <v>153.71373716722593</v>
      </c>
      <c r="H279" s="242">
        <f>_xlfn.XLOOKUP($C279,'Site Level Financials - ''23 ''24'!$C$2:$C$1577,'Site Level Financials - ''23 ''24'!T$2:T$1577)</f>
        <v>159.28812692413382</v>
      </c>
      <c r="I279" s="242">
        <f>_xlfn.XLOOKUP($C279,'Site Level Financials - ''23 ''24'!$C$2:$C$1577,'Site Level Financials - ''23 ''24'!U$2:U$1577)</f>
        <v>173.87991328895029</v>
      </c>
      <c r="J279" s="242">
        <f>_xlfn.XLOOKUP($C279,'Site Level Financials - ''23 ''24'!$C$2:$C$1577,'Site Level Financials - ''23 ''24'!V$2:V$1577)</f>
        <v>185.88310189484127</v>
      </c>
      <c r="K279" s="242">
        <f>_xlfn.XLOOKUP($C279,'Site Level Financials - ''23 ''24'!$C$2:$C$1577,'Site Level Financials - ''23 ''24'!W$2:W$1577)</f>
        <v>197.17774224114709</v>
      </c>
      <c r="L279" s="242">
        <f>_xlfn.XLOOKUP($C279,'Site Level Financials - ''23 ''24'!$C$2:$C$1577,'Site Level Financials - ''23 ''24'!X$2:X$1577)</f>
        <v>187.26123931006765</v>
      </c>
      <c r="M279" s="242">
        <f>_xlfn.XLOOKUP($C279,'Site Level Financials - ''23 ''24'!$C$2:$C$1577,'Site Level Financials - ''23 ''24'!Y$2:Y$1577)</f>
        <v>309.77622572714301</v>
      </c>
      <c r="N279" s="242">
        <f>_xlfn.XLOOKUP($C279,'Site Level Financials - ''23 ''24'!$C$2:$C$1577,'Site Level Financials - ''23 ''24'!Z$2:Z$1577)</f>
        <v>259.46049292175098</v>
      </c>
      <c r="O279" s="242">
        <f>_xlfn.XLOOKUP($C279,'Site Level Financials - ''23 ''24'!$C$2:$C$1577,'Site Level Financials - ''23 ''24'!AA$2:AA$1577)</f>
        <v>244.52611753023098</v>
      </c>
      <c r="P279" s="242">
        <f>_xlfn.XLOOKUP($C279,'Site Level Financials - ''23 ''24'!$C$2:$C$1577,'Site Level Financials - ''23 ''24'!AB$2:AB$1577)</f>
        <v>294.47242469398185</v>
      </c>
      <c r="Q279" s="242">
        <f>_xlfn.XLOOKUP($C279,'Site Level Financials - ''23 ''24'!$C$2:$C$1577,'Site Level Financials - ''23 ''24'!AC$2:AC$1577)</f>
        <v>216.37821255037969</v>
      </c>
      <c r="R279" s="242">
        <f>_xlfn.XLOOKUP($C279,'Site Level Financials - ''23 ''24'!$C$2:$C$1577,'Site Level Financials - ''23 ''24'!AD$2:AD$1577)</f>
        <v>112.21475246082959</v>
      </c>
      <c r="S279" s="134">
        <f t="shared" ref="S279:AD279" si="730">S267+S270+S273+S276</f>
        <v>162.92727306380837</v>
      </c>
      <c r="T279" s="135">
        <f t="shared" si="730"/>
        <v>167.44648339386367</v>
      </c>
      <c r="U279" s="135">
        <f t="shared" si="730"/>
        <v>179.34195762198161</v>
      </c>
      <c r="V279" s="135">
        <f t="shared" si="730"/>
        <v>189.56176699731012</v>
      </c>
      <c r="W279" s="135">
        <f t="shared" si="730"/>
        <v>218.263720232823</v>
      </c>
      <c r="X279" s="135">
        <f t="shared" si="730"/>
        <v>198.79162024559324</v>
      </c>
      <c r="Y279" s="135">
        <f t="shared" si="730"/>
        <v>274.45185889001203</v>
      </c>
      <c r="Z279" s="135">
        <f t="shared" si="730"/>
        <v>231.23037808498708</v>
      </c>
      <c r="AA279" s="135">
        <f t="shared" si="730"/>
        <v>215.7591519116724</v>
      </c>
      <c r="AB279" s="135">
        <f t="shared" si="730"/>
        <v>250.37032164835441</v>
      </c>
      <c r="AC279" s="135">
        <f t="shared" si="730"/>
        <v>197.04147713519291</v>
      </c>
      <c r="AD279" s="136">
        <f t="shared" si="730"/>
        <v>115.6558812523818</v>
      </c>
      <c r="AE279" s="15"/>
      <c r="AF279" s="114">
        <f>_xlfn.XLOOKUP($C279,'Site Level Financials - ''23 ''24'!$C$2:$C$1577,'Site Level Financials - ''23 ''24'!$AF$2:$AF$1577)</f>
        <v>2083.0936570475733</v>
      </c>
      <c r="AG279" s="95">
        <f>SUM(G279:R279)</f>
        <v>2494.0320867106821</v>
      </c>
      <c r="AH279" s="95">
        <f t="shared" ref="AH279" si="731">SUM(S279:AD279)</f>
        <v>2400.8418904779805</v>
      </c>
    </row>
    <row r="280" spans="2:34" x14ac:dyDescent="0.2">
      <c r="B280" s="9">
        <f>G255</f>
        <v>6</v>
      </c>
      <c r="C280" s="9" t="str">
        <f t="shared" si="668"/>
        <v>6 - % of Revenue - Office Gross Profit</v>
      </c>
      <c r="D280" s="9" t="s">
        <v>56</v>
      </c>
      <c r="F280" s="16" t="str">
        <f>"% of Revenue - "&amp;F279</f>
        <v>% of Revenue - Office Gross Profit</v>
      </c>
      <c r="G280" s="148">
        <f>G279/G267</f>
        <v>0.34896434786653635</v>
      </c>
      <c r="H280" s="149">
        <f t="shared" ref="H280:AD280" si="732">H279/H267</f>
        <v>0.34635549720804792</v>
      </c>
      <c r="I280" s="149">
        <f t="shared" si="732"/>
        <v>0.3454688659733175</v>
      </c>
      <c r="J280" s="149">
        <f t="shared" si="732"/>
        <v>0.34089669032952052</v>
      </c>
      <c r="K280" s="149">
        <f t="shared" si="732"/>
        <v>0.33025555660223799</v>
      </c>
      <c r="L280" s="149">
        <f t="shared" si="732"/>
        <v>0.35819316093153603</v>
      </c>
      <c r="M280" s="149">
        <f t="shared" si="732"/>
        <v>0.49087106171962386</v>
      </c>
      <c r="N280" s="149">
        <f t="shared" si="732"/>
        <v>0.48229932893735472</v>
      </c>
      <c r="O280" s="149">
        <f t="shared" si="732"/>
        <v>0.49085005697815237</v>
      </c>
      <c r="P280" s="149">
        <f t="shared" si="732"/>
        <v>0.49594579461766147</v>
      </c>
      <c r="Q280" s="149">
        <f t="shared" si="732"/>
        <v>0.49376942956238618</v>
      </c>
      <c r="R280" s="149">
        <f t="shared" si="732"/>
        <v>0.35508391223170582</v>
      </c>
      <c r="S280" s="148">
        <f t="shared" si="732"/>
        <v>0.34896434786653624</v>
      </c>
      <c r="T280" s="149">
        <f t="shared" si="732"/>
        <v>0.34635549720804798</v>
      </c>
      <c r="U280" s="149">
        <f t="shared" si="732"/>
        <v>0.34546886597331761</v>
      </c>
      <c r="V280" s="149">
        <f t="shared" si="732"/>
        <v>0.34089669032952058</v>
      </c>
      <c r="W280" s="149">
        <f t="shared" si="732"/>
        <v>0.33025555660223793</v>
      </c>
      <c r="X280" s="149">
        <f t="shared" si="732"/>
        <v>0.35819316093153614</v>
      </c>
      <c r="Y280" s="149">
        <f t="shared" si="732"/>
        <v>0.49087106171962391</v>
      </c>
      <c r="Z280" s="149">
        <f t="shared" si="732"/>
        <v>0.48229932893735483</v>
      </c>
      <c r="AA280" s="149">
        <f t="shared" si="732"/>
        <v>0.49085005697815237</v>
      </c>
      <c r="AB280" s="149">
        <f t="shared" si="732"/>
        <v>0.49594579461766147</v>
      </c>
      <c r="AC280" s="149">
        <f t="shared" si="732"/>
        <v>0.49376942956238623</v>
      </c>
      <c r="AD280" s="150">
        <f t="shared" si="732"/>
        <v>0.35508391223170588</v>
      </c>
      <c r="AE280" s="15"/>
      <c r="AF280" s="233">
        <f>_xlfn.XLOOKUP($C280,'Site Level Financials - ''23 ''24'!$C$2:$C$1577,'Site Level Financials - ''23 ''24'!$AF$2:$AF$1577)</f>
        <v>0.39471116449959981</v>
      </c>
      <c r="AG280" s="97">
        <f t="shared" ref="AG280:AH280" si="733">AG279/AG267</f>
        <v>0.40993130888167206</v>
      </c>
      <c r="AH280" s="97">
        <f t="shared" si="733"/>
        <v>0.40356223855427492</v>
      </c>
    </row>
    <row r="281" spans="2:34" ht="6" customHeight="1" x14ac:dyDescent="0.2">
      <c r="B281" s="9">
        <f>G255</f>
        <v>6</v>
      </c>
      <c r="C281" s="9" t="str">
        <f t="shared" si="668"/>
        <v xml:space="preserve">6 - </v>
      </c>
      <c r="D281" s="9" t="s">
        <v>56</v>
      </c>
      <c r="F281" s="16"/>
      <c r="G281" s="80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80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81"/>
      <c r="AE281" s="15"/>
      <c r="AF281" s="11"/>
      <c r="AG281" s="15"/>
      <c r="AH281" s="15"/>
    </row>
    <row r="282" spans="2:34" x14ac:dyDescent="0.2">
      <c r="B282" s="9">
        <f>G255</f>
        <v>6</v>
      </c>
      <c r="C282" s="9" t="str">
        <f t="shared" si="668"/>
        <v>6 - General and Administrative Expense</v>
      </c>
      <c r="D282" s="9" t="s">
        <v>56</v>
      </c>
      <c r="F282" t="s">
        <v>10</v>
      </c>
      <c r="G282" s="178">
        <f>_xlfn.XLOOKUP($C282,'Site Level Financials - ''23 ''24'!$C$2:$C$1577,'Site Level Financials - ''23 ''24'!S$2:S$1577)</f>
        <v>-25.469553511525692</v>
      </c>
      <c r="H282" s="179">
        <f>_xlfn.XLOOKUP($C282,'Site Level Financials - ''23 ''24'!$C$2:$C$1577,'Site Level Financials - ''23 ''24'!T$2:T$1577)</f>
        <v>-26.362380249181317</v>
      </c>
      <c r="I282" s="179">
        <f>_xlfn.XLOOKUP($C282,'Site Level Financials - ''23 ''24'!$C$2:$C$1577,'Site Level Financials - ''23 ''24'!U$2:U$1577)</f>
        <v>-30.975934313772296</v>
      </c>
      <c r="J282" s="179">
        <f>_xlfn.XLOOKUP($C282,'Site Level Financials - ''23 ''24'!$C$2:$C$1577,'Site Level Financials - ''23 ''24'!V$2:V$1577)</f>
        <v>-36.139748951297648</v>
      </c>
      <c r="K282" s="179">
        <f>_xlfn.XLOOKUP($C282,'Site Level Financials - ''23 ''24'!$C$2:$C$1577,'Site Level Financials - ''23 ''24'!W$2:W$1577)</f>
        <v>-40.25228696660168</v>
      </c>
      <c r="L282" s="179">
        <f>_xlfn.XLOOKUP($C282,'Site Level Financials - ''23 ''24'!$C$2:$C$1577,'Site Level Financials - ''23 ''24'!X$2:X$1577)</f>
        <v>-33.412673907136117</v>
      </c>
      <c r="M282" s="179">
        <f>_xlfn.XLOOKUP($C282,'Site Level Financials - ''23 ''24'!$C$2:$C$1577,'Site Level Financials - ''23 ''24'!Y$2:Y$1577)</f>
        <v>-32.124547159883257</v>
      </c>
      <c r="N282" s="179">
        <f>_xlfn.XLOOKUP($C282,'Site Level Financials - ''23 ''24'!$C$2:$C$1577,'Site Level Financials - ''23 ''24'!Z$2:Z$1577)</f>
        <v>-28.805225283898842</v>
      </c>
      <c r="O282" s="179">
        <f>_xlfn.XLOOKUP($C282,'Site Level Financials - ''23 ''24'!$C$2:$C$1577,'Site Level Financials - ''23 ''24'!AA$2:AA$1577)</f>
        <v>-27.540696495932586</v>
      </c>
      <c r="P282" s="179">
        <f>_xlfn.XLOOKUP($C282,'Site Level Financials - ''23 ''24'!$C$2:$C$1577,'Site Level Financials - ''23 ''24'!AB$2:AB$1577)</f>
        <v>-30.532632383719008</v>
      </c>
      <c r="Q282" s="179">
        <f>_xlfn.XLOOKUP($C282,'Site Level Financials - ''23 ''24'!$C$2:$C$1577,'Site Level Financials - ''23 ''24'!AC$2:AC$1577)</f>
        <v>-20.974149889327904</v>
      </c>
      <c r="R282" s="179">
        <f>_xlfn.XLOOKUP($C282,'Site Level Financials - ''23 ''24'!$C$2:$C$1577,'Site Level Financials - ''23 ''24'!AD$2:AD$1577)</f>
        <v>-17.663401812618783</v>
      </c>
      <c r="S282" s="155">
        <f>S283*S267</f>
        <v>-26.996187694474983</v>
      </c>
      <c r="T282" s="154">
        <f t="shared" ref="T282" si="734">T283*T267</f>
        <v>-27.712598244812728</v>
      </c>
      <c r="U282" s="154">
        <f t="shared" ref="U282" si="735">U283*U267</f>
        <v>-31.948973253570525</v>
      </c>
      <c r="V282" s="154">
        <f t="shared" ref="V282" si="736">V283*V267</f>
        <v>-36.854962071392521</v>
      </c>
      <c r="W282" s="154">
        <f t="shared" ref="W282" si="737">W283*W267</f>
        <v>-44.55682371322068</v>
      </c>
      <c r="X282" s="154">
        <f t="shared" ref="X282" si="738">X283*X267</f>
        <v>-35.470018286801668</v>
      </c>
      <c r="Y282" s="154">
        <f t="shared" ref="Y282" si="739">Y283*Y267</f>
        <v>-28.461324503952365</v>
      </c>
      <c r="Z282" s="154">
        <f t="shared" ref="Z282" si="740">Z283*Z267</f>
        <v>-25.671126491029593</v>
      </c>
      <c r="AA282" s="154">
        <f t="shared" ref="AA282" si="741">AA283*AA267</f>
        <v>-24.300706112853355</v>
      </c>
      <c r="AB282" s="154">
        <f t="shared" ref="AB282" si="742">AB283*AB267</f>
        <v>-25.959867035519132</v>
      </c>
      <c r="AC282" s="154">
        <f t="shared" ref="AC282" si="743">AC283*AC267</f>
        <v>-19.09978563523752</v>
      </c>
      <c r="AD282" s="156">
        <f t="shared" ref="AD282" si="744">AD283*AD267</f>
        <v>-18.205060009970104</v>
      </c>
      <c r="AE282" s="15"/>
      <c r="AF282" s="115">
        <f>_xlfn.XLOOKUP($C282,'Site Level Financials - ''23 ''24'!$C$2:$C$1577,'Site Level Financials - ''23 ''24'!$AF$2:$AF$1577)</f>
        <v>-251.16032029879324</v>
      </c>
      <c r="AG282" s="93">
        <f>SUM(G282:R282)</f>
        <v>-350.25323092489515</v>
      </c>
      <c r="AH282" s="93">
        <f t="shared" ref="AH282" si="745">SUM(S282:AD282)</f>
        <v>-345.23743305283517</v>
      </c>
    </row>
    <row r="283" spans="2:34" x14ac:dyDescent="0.2">
      <c r="B283" s="9">
        <f>G255</f>
        <v>6</v>
      </c>
      <c r="C283" s="9" t="str">
        <f t="shared" si="668"/>
        <v>6 - % of Revenue - General and Administrative Expense</v>
      </c>
      <c r="D283" s="9" t="s">
        <v>56</v>
      </c>
      <c r="F283" s="16" t="str">
        <f>"% of Revenue - "&amp;F282</f>
        <v>% of Revenue - General and Administrative Expense</v>
      </c>
      <c r="G283" s="148">
        <f>G282/G267</f>
        <v>-5.7821547347665821E-2</v>
      </c>
      <c r="H283" s="149">
        <f t="shared" ref="H283:R283" si="746">H282/H267</f>
        <v>-5.7322259324084072E-2</v>
      </c>
      <c r="I283" s="149">
        <f t="shared" si="746"/>
        <v>-6.154374417049429E-2</v>
      </c>
      <c r="J283" s="149">
        <f t="shared" si="746"/>
        <v>-6.6277787928279874E-2</v>
      </c>
      <c r="K283" s="149">
        <f t="shared" si="746"/>
        <v>-6.7419077252695858E-2</v>
      </c>
      <c r="L283" s="149">
        <f t="shared" si="746"/>
        <v>-6.3911738094154014E-2</v>
      </c>
      <c r="M283" s="149">
        <f t="shared" si="746"/>
        <v>-5.0904521593350661E-2</v>
      </c>
      <c r="N283" s="149">
        <f t="shared" si="746"/>
        <v>-5.3544725317790705E-2</v>
      </c>
      <c r="O283" s="149">
        <f t="shared" si="746"/>
        <v>-5.5283879614925896E-2</v>
      </c>
      <c r="P283" s="149">
        <f t="shared" si="746"/>
        <v>-5.1422575968017067E-2</v>
      </c>
      <c r="Q283" s="149">
        <f t="shared" si="746"/>
        <v>-4.7862462233798746E-2</v>
      </c>
      <c r="R283" s="149">
        <f t="shared" si="746"/>
        <v>-5.589273853395188E-2</v>
      </c>
      <c r="S283" s="245">
        <f>_xlfn.XLOOKUP($F283,'Budget Assumption Driver'!$A$33:$A$39,'Budget Assumption Driver'!E$33:E$39)+G283</f>
        <v>-5.7821547347665821E-2</v>
      </c>
      <c r="T283" s="246">
        <f>_xlfn.XLOOKUP($F283,'Budget Assumption Driver'!$A$33:$A$39,'Budget Assumption Driver'!F$33:F$39)+H283</f>
        <v>-5.7322259324084072E-2</v>
      </c>
      <c r="U283" s="246">
        <f>_xlfn.XLOOKUP($F283,'Budget Assumption Driver'!$A$33:$A$39,'Budget Assumption Driver'!G$33:G$39)+I283</f>
        <v>-6.154374417049429E-2</v>
      </c>
      <c r="V283" s="246">
        <f>_xlfn.XLOOKUP($F283,'Budget Assumption Driver'!$A$33:$A$39,'Budget Assumption Driver'!H$33:H$39)+J283</f>
        <v>-6.6277787928279874E-2</v>
      </c>
      <c r="W283" s="246">
        <f>_xlfn.XLOOKUP($F283,'Budget Assumption Driver'!$A$33:$A$39,'Budget Assumption Driver'!I$33:I$39)+K283</f>
        <v>-6.7419077252695858E-2</v>
      </c>
      <c r="X283" s="246">
        <f>_xlfn.XLOOKUP($F283,'Budget Assumption Driver'!$A$33:$A$39,'Budget Assumption Driver'!J$33:J$39)+L283</f>
        <v>-6.3911738094154014E-2</v>
      </c>
      <c r="Y283" s="246">
        <f>_xlfn.XLOOKUP($F283,'Budget Assumption Driver'!$A$33:$A$39,'Budget Assumption Driver'!K$33:K$39)+M283</f>
        <v>-5.0904521593350661E-2</v>
      </c>
      <c r="Z283" s="246">
        <f>_xlfn.XLOOKUP($F283,'Budget Assumption Driver'!$A$33:$A$39,'Budget Assumption Driver'!L$33:L$39)+N283</f>
        <v>-5.3544725317790705E-2</v>
      </c>
      <c r="AA283" s="246">
        <f>_xlfn.XLOOKUP($F283,'Budget Assumption Driver'!$A$33:$A$39,'Budget Assumption Driver'!M$33:M$39)+O283</f>
        <v>-5.5283879614925896E-2</v>
      </c>
      <c r="AB283" s="246">
        <f>_xlfn.XLOOKUP($F283,'Budget Assumption Driver'!$A$33:$A$39,'Budget Assumption Driver'!N$33:N$39)+P283</f>
        <v>-5.1422575968017067E-2</v>
      </c>
      <c r="AC283" s="246">
        <f>_xlfn.XLOOKUP($F283,'Budget Assumption Driver'!$A$33:$A$39,'Budget Assumption Driver'!O$33:O$39)+Q283</f>
        <v>-4.7862462233798746E-2</v>
      </c>
      <c r="AD283" s="296">
        <f>_xlfn.XLOOKUP($F283,'Budget Assumption Driver'!$A$33:$A$39,'Budget Assumption Driver'!P$33:P$39)+R283</f>
        <v>-5.589273853395188E-2</v>
      </c>
      <c r="AE283" s="15"/>
      <c r="AF283" s="232">
        <f>_xlfn.XLOOKUP($C283,'Site Level Financials - ''23 ''24'!$C$2:$C$1577,'Site Level Financials - ''23 ''24'!$AF$2:$AF$1577)</f>
        <v>-4.7590650648774505E-2</v>
      </c>
      <c r="AG283" s="97">
        <f t="shared" ref="AG283:AH283" si="747">AG282/AG267</f>
        <v>-5.7569333673826405E-2</v>
      </c>
      <c r="AH283" s="97">
        <f t="shared" si="747"/>
        <v>-5.8031639596140078E-2</v>
      </c>
    </row>
    <row r="284" spans="2:34" ht="3" customHeight="1" x14ac:dyDescent="0.2">
      <c r="B284" s="9">
        <f>G255</f>
        <v>6</v>
      </c>
      <c r="C284" s="9" t="str">
        <f t="shared" si="668"/>
        <v xml:space="preserve">6 - </v>
      </c>
      <c r="D284" s="9" t="s">
        <v>56</v>
      </c>
      <c r="F284" s="16"/>
      <c r="G284" s="84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4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6"/>
      <c r="AE284" s="15"/>
      <c r="AF284" s="36"/>
      <c r="AG284" s="38"/>
      <c r="AH284" s="38"/>
    </row>
    <row r="285" spans="2:34" x14ac:dyDescent="0.2">
      <c r="B285" s="9">
        <f>G255</f>
        <v>6</v>
      </c>
      <c r="C285" s="9" t="str">
        <f t="shared" si="668"/>
        <v>6 - Marketing</v>
      </c>
      <c r="D285" s="9" t="s">
        <v>56</v>
      </c>
      <c r="F285" t="s">
        <v>7</v>
      </c>
      <c r="G285" s="178">
        <f>_xlfn.XLOOKUP($C285,'Site Level Financials - ''23 ''24'!$C$2:$C$1577,'Site Level Financials - ''23 ''24'!S$2:S$1577)</f>
        <v>-7.7400897880790298</v>
      </c>
      <c r="H285" s="179">
        <f>_xlfn.XLOOKUP($C285,'Site Level Financials - ''23 ''24'!$C$2:$C$1577,'Site Level Financials - ''23 ''24'!T$2:T$1577)</f>
        <v>-8.273390160063542</v>
      </c>
      <c r="I285" s="179">
        <f>_xlfn.XLOOKUP($C285,'Site Level Financials - ''23 ''24'!$C$2:$C$1577,'Site Level Financials - ''23 ''24'!U$2:U$1577)</f>
        <v>-7.4607501577998612</v>
      </c>
      <c r="J285" s="179">
        <f>_xlfn.XLOOKUP($C285,'Site Level Financials - ''23 ''24'!$C$2:$C$1577,'Site Level Financials - ''23 ''24'!V$2:V$1577)</f>
        <v>-9.8083640632524887</v>
      </c>
      <c r="K285" s="179">
        <f>_xlfn.XLOOKUP($C285,'Site Level Financials - ''23 ''24'!$C$2:$C$1577,'Site Level Financials - ''23 ''24'!W$2:W$1577)</f>
        <v>-9.2054879499437625</v>
      </c>
      <c r="L285" s="179">
        <f>_xlfn.XLOOKUP($C285,'Site Level Financials - ''23 ''24'!$C$2:$C$1577,'Site Level Financials - ''23 ''24'!X$2:X$1577)</f>
        <v>-9.2312384837445887</v>
      </c>
      <c r="M285" s="179">
        <f>_xlfn.XLOOKUP($C285,'Site Level Financials - ''23 ''24'!$C$2:$C$1577,'Site Level Financials - ''23 ''24'!Y$2:Y$1577)</f>
        <v>-9.85822562909064</v>
      </c>
      <c r="N285" s="179">
        <f>_xlfn.XLOOKUP($C285,'Site Level Financials - ''23 ''24'!$C$2:$C$1577,'Site Level Financials - ''23 ''24'!Z$2:Z$1577)</f>
        <v>-9.0131582987345809</v>
      </c>
      <c r="O285" s="179">
        <f>_xlfn.XLOOKUP($C285,'Site Level Financials - ''23 ''24'!$C$2:$C$1577,'Site Level Financials - ''23 ''24'!AA$2:AA$1577)</f>
        <v>-6.4264678704051956</v>
      </c>
      <c r="P285" s="179">
        <f>_xlfn.XLOOKUP($C285,'Site Level Financials - ''23 ''24'!$C$2:$C$1577,'Site Level Financials - ''23 ''24'!AB$2:AB$1577)</f>
        <v>-7.3849920203327306</v>
      </c>
      <c r="Q285" s="179">
        <f>_xlfn.XLOOKUP($C285,'Site Level Financials - ''23 ''24'!$C$2:$C$1577,'Site Level Financials - ''23 ''24'!AC$2:AC$1577)</f>
        <v>-7.1575120468678239</v>
      </c>
      <c r="R285" s="179">
        <f>_xlfn.XLOOKUP($C285,'Site Level Financials - ''23 ''24'!$C$2:$C$1577,'Site Level Financials - ''23 ''24'!AD$2:AD$1577)</f>
        <v>-6.9480648731174917</v>
      </c>
      <c r="S285" s="155">
        <f>S286*S267</f>
        <v>-8.2040274713301695</v>
      </c>
      <c r="T285" s="154">
        <f t="shared" ref="T285" si="748">T286*T267</f>
        <v>-8.6971333946807796</v>
      </c>
      <c r="U285" s="154">
        <f t="shared" ref="U285" si="749">U286*U267</f>
        <v>-7.6951127552314214</v>
      </c>
      <c r="V285" s="154">
        <f t="shared" ref="V285" si="750">V286*V267</f>
        <v>-10.002473620409592</v>
      </c>
      <c r="W285" s="154">
        <f t="shared" ref="W285" si="751">W286*W267</f>
        <v>-10.189913038236744</v>
      </c>
      <c r="X285" s="154">
        <f t="shared" ref="X285" si="752">X286*X267</f>
        <v>-9.7996406614532123</v>
      </c>
      <c r="Y285" s="154">
        <f t="shared" ref="Y285" si="753">Y286*Y267</f>
        <v>-8.7340735813736625</v>
      </c>
      <c r="Z285" s="154">
        <f t="shared" ref="Z285" si="754">Z286*Z267</f>
        <v>-8.0324984265900206</v>
      </c>
      <c r="AA285" s="154">
        <f t="shared" ref="AA285" si="755">AA286*AA267</f>
        <v>-5.6704341912876188</v>
      </c>
      <c r="AB285" s="154">
        <f t="shared" ref="AB285" si="756">AB286*AB267</f>
        <v>-6.2789676467082254</v>
      </c>
      <c r="AC285" s="154">
        <f t="shared" ref="AC285" si="757">AC286*AC267</f>
        <v>-6.5178777923373659</v>
      </c>
      <c r="AD285" s="156">
        <f t="shared" ref="AD285" si="758">AD286*AD267</f>
        <v>-7.1611312084801524</v>
      </c>
      <c r="AE285" s="15"/>
      <c r="AF285" s="115">
        <f>_xlfn.XLOOKUP($C285,'Site Level Financials - ''23 ''24'!$C$2:$C$1577,'Site Level Financials - ''23 ''24'!$AF$2:$AF$1577)</f>
        <v>-92.866769366226791</v>
      </c>
      <c r="AG285" s="93">
        <f>SUM(G285:R285)</f>
        <v>-98.507741341431725</v>
      </c>
      <c r="AH285" s="93">
        <f t="shared" ref="AH285" si="759">SUM(S285:AD285)</f>
        <v>-96.983283788118968</v>
      </c>
    </row>
    <row r="286" spans="2:34" x14ac:dyDescent="0.2">
      <c r="B286" s="9">
        <f>G255</f>
        <v>6</v>
      </c>
      <c r="C286" s="9" t="str">
        <f t="shared" si="668"/>
        <v>6 - % of Revenue - Marketing</v>
      </c>
      <c r="D286" s="9" t="s">
        <v>56</v>
      </c>
      <c r="F286" s="16" t="str">
        <f>"% of Revenue - "&amp;F285</f>
        <v>% of Revenue - Marketing</v>
      </c>
      <c r="G286" s="148">
        <f>G285/G267</f>
        <v>-1.7571724135410149E-2</v>
      </c>
      <c r="H286" s="149">
        <f t="shared" ref="H286:R286" si="760">H285/H267</f>
        <v>-1.7989628089793434E-2</v>
      </c>
      <c r="I286" s="149">
        <f t="shared" si="760"/>
        <v>-1.4823200952729942E-2</v>
      </c>
      <c r="J286" s="149">
        <f t="shared" si="760"/>
        <v>-1.7987858028113615E-2</v>
      </c>
      <c r="K286" s="149">
        <f t="shared" si="760"/>
        <v>-1.5418391103118382E-2</v>
      </c>
      <c r="L286" s="149">
        <f t="shared" si="760"/>
        <v>-1.7657506187547401E-2</v>
      </c>
      <c r="M286" s="149">
        <f t="shared" si="760"/>
        <v>-1.5621333334617226E-2</v>
      </c>
      <c r="N286" s="149">
        <f t="shared" si="760"/>
        <v>-1.6754150699917286E-2</v>
      </c>
      <c r="O286" s="149">
        <f t="shared" si="760"/>
        <v>-1.290018486457452E-2</v>
      </c>
      <c r="P286" s="149">
        <f t="shared" si="760"/>
        <v>-1.2437686617261915E-2</v>
      </c>
      <c r="Q286" s="149">
        <f t="shared" si="760"/>
        <v>-1.6333255547366945E-2</v>
      </c>
      <c r="R286" s="149">
        <f t="shared" si="760"/>
        <v>-2.1985933252826519E-2</v>
      </c>
      <c r="S286" s="245">
        <f>_xlfn.XLOOKUP($F286,'Budget Assumption Driver'!$A$33:$A$39,'Budget Assumption Driver'!E$33:E$39)+G286</f>
        <v>-1.7571724135410149E-2</v>
      </c>
      <c r="T286" s="246">
        <f>_xlfn.XLOOKUP($F286,'Budget Assumption Driver'!$A$33:$A$39,'Budget Assumption Driver'!F$33:F$39)+H286</f>
        <v>-1.7989628089793434E-2</v>
      </c>
      <c r="U286" s="246">
        <f>_xlfn.XLOOKUP($F286,'Budget Assumption Driver'!$A$33:$A$39,'Budget Assumption Driver'!G$33:G$39)+I286</f>
        <v>-1.4823200952729942E-2</v>
      </c>
      <c r="V286" s="246">
        <f>_xlfn.XLOOKUP($F286,'Budget Assumption Driver'!$A$33:$A$39,'Budget Assumption Driver'!H$33:H$39)+J286</f>
        <v>-1.7987858028113615E-2</v>
      </c>
      <c r="W286" s="246">
        <f>_xlfn.XLOOKUP($F286,'Budget Assumption Driver'!$A$33:$A$39,'Budget Assumption Driver'!I$33:I$39)+K286</f>
        <v>-1.5418391103118382E-2</v>
      </c>
      <c r="X286" s="246">
        <f>_xlfn.XLOOKUP($F286,'Budget Assumption Driver'!$A$33:$A$39,'Budget Assumption Driver'!J$33:J$39)+L286</f>
        <v>-1.7657506187547401E-2</v>
      </c>
      <c r="Y286" s="246">
        <f>_xlfn.XLOOKUP($F286,'Budget Assumption Driver'!$A$33:$A$39,'Budget Assumption Driver'!K$33:K$39)+M286</f>
        <v>-1.5621333334617226E-2</v>
      </c>
      <c r="Z286" s="246">
        <f>_xlfn.XLOOKUP($F286,'Budget Assumption Driver'!$A$33:$A$39,'Budget Assumption Driver'!L$33:L$39)+N286</f>
        <v>-1.6754150699917286E-2</v>
      </c>
      <c r="AA286" s="246">
        <f>_xlfn.XLOOKUP($F286,'Budget Assumption Driver'!$A$33:$A$39,'Budget Assumption Driver'!M$33:M$39)+O286</f>
        <v>-1.290018486457452E-2</v>
      </c>
      <c r="AB286" s="246">
        <f>_xlfn.XLOOKUP($F286,'Budget Assumption Driver'!$A$33:$A$39,'Budget Assumption Driver'!N$33:N$39)+P286</f>
        <v>-1.2437686617261915E-2</v>
      </c>
      <c r="AC286" s="246">
        <f>_xlfn.XLOOKUP($F286,'Budget Assumption Driver'!$A$33:$A$39,'Budget Assumption Driver'!O$33:O$39)+Q286</f>
        <v>-1.6333255547366945E-2</v>
      </c>
      <c r="AD286" s="296">
        <f>_xlfn.XLOOKUP($F286,'Budget Assumption Driver'!$A$33:$A$39,'Budget Assumption Driver'!P$33:P$39)+R286</f>
        <v>-2.1985933252826519E-2</v>
      </c>
      <c r="AE286" s="15"/>
      <c r="AF286" s="232">
        <f>_xlfn.XLOOKUP($C286,'Site Level Financials - ''23 ''24'!$C$2:$C$1577,'Site Level Financials - ''23 ''24'!$AF$2:$AF$1577)</f>
        <v>-1.7596688730650772E-2</v>
      </c>
      <c r="AG286" s="97">
        <f t="shared" ref="AG286:AH286" si="761">AG285/AG267</f>
        <v>-1.619121404180824E-2</v>
      </c>
      <c r="AH286" s="97">
        <f t="shared" si="761"/>
        <v>-1.6302111048256376E-2</v>
      </c>
    </row>
    <row r="287" spans="2:34" ht="3" customHeight="1" x14ac:dyDescent="0.2">
      <c r="B287" s="9">
        <f>G255</f>
        <v>6</v>
      </c>
      <c r="C287" s="9" t="str">
        <f t="shared" si="668"/>
        <v xml:space="preserve">6 - </v>
      </c>
      <c r="D287" s="9" t="s">
        <v>56</v>
      </c>
      <c r="F287" s="16"/>
      <c r="G287" s="84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4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6"/>
      <c r="AE287" s="15"/>
      <c r="AF287" s="36"/>
      <c r="AG287" s="38"/>
      <c r="AH287" s="38"/>
    </row>
    <row r="288" spans="2:34" x14ac:dyDescent="0.2">
      <c r="B288" s="9">
        <f>G255</f>
        <v>6</v>
      </c>
      <c r="C288" s="9" t="str">
        <f t="shared" si="668"/>
        <v>6 - Office Rent</v>
      </c>
      <c r="D288" s="9" t="s">
        <v>56</v>
      </c>
      <c r="F288" t="s">
        <v>162</v>
      </c>
      <c r="G288" s="178">
        <f>_xlfn.XLOOKUP($C288,'Site Level Financials - ''23 ''24'!$C$2:$C$1577,'Site Level Financials - ''23 ''24'!S$2:S$1577)</f>
        <v>-32.804590456927784</v>
      </c>
      <c r="H288" s="179">
        <f>_xlfn.XLOOKUP($C288,'Site Level Financials - ''23 ''24'!$C$2:$C$1577,'Site Level Financials - ''23 ''24'!T$2:T$1577)</f>
        <v>-32.804590456927784</v>
      </c>
      <c r="I288" s="179">
        <f>_xlfn.XLOOKUP($C288,'Site Level Financials - ''23 ''24'!$C$2:$C$1577,'Site Level Financials - ''23 ''24'!U$2:U$1577)</f>
        <v>-32.804590456927784</v>
      </c>
      <c r="J288" s="179">
        <f>_xlfn.XLOOKUP($C288,'Site Level Financials - ''23 ''24'!$C$2:$C$1577,'Site Level Financials - ''23 ''24'!V$2:V$1577)</f>
        <v>-32.804590456927784</v>
      </c>
      <c r="K288" s="179">
        <f>_xlfn.XLOOKUP($C288,'Site Level Financials - ''23 ''24'!$C$2:$C$1577,'Site Level Financials - ''23 ''24'!W$2:W$1577)</f>
        <v>-32.804590456927784</v>
      </c>
      <c r="L288" s="179">
        <f>_xlfn.XLOOKUP($C288,'Site Level Financials - ''23 ''24'!$C$2:$C$1577,'Site Level Financials - ''23 ''24'!X$2:X$1577)</f>
        <v>-32.804590456927784</v>
      </c>
      <c r="M288" s="179">
        <f>_xlfn.XLOOKUP($C288,'Site Level Financials - ''23 ''24'!$C$2:$C$1577,'Site Level Financials - ''23 ''24'!Y$2:Y$1577)</f>
        <v>-32.804590456927784</v>
      </c>
      <c r="N288" s="179">
        <f>_xlfn.XLOOKUP($C288,'Site Level Financials - ''23 ''24'!$C$2:$C$1577,'Site Level Financials - ''23 ''24'!Z$2:Z$1577)</f>
        <v>-32.804590456927784</v>
      </c>
      <c r="O288" s="179">
        <f>_xlfn.XLOOKUP($C288,'Site Level Financials - ''23 ''24'!$C$2:$C$1577,'Site Level Financials - ''23 ''24'!AA$2:AA$1577)</f>
        <v>-32.804590456927784</v>
      </c>
      <c r="P288" s="179">
        <f>_xlfn.XLOOKUP($C288,'Site Level Financials - ''23 ''24'!$C$2:$C$1577,'Site Level Financials - ''23 ''24'!AB$2:AB$1577)</f>
        <v>-33.788728170635615</v>
      </c>
      <c r="Q288" s="179">
        <f>_xlfn.XLOOKUP($C288,'Site Level Financials - ''23 ''24'!$C$2:$C$1577,'Site Level Financials - ''23 ''24'!AC$2:AC$1577)</f>
        <v>-33.788728170635615</v>
      </c>
      <c r="R288" s="179">
        <f>_xlfn.XLOOKUP($C288,'Site Level Financials - ''23 ''24'!$C$2:$C$1577,'Site Level Financials - ''23 ''24'!AD$2:AD$1577)</f>
        <v>-33.788728170635615</v>
      </c>
      <c r="S288" s="155">
        <f>G288*(1+S289)</f>
        <v>-33.788728170635615</v>
      </c>
      <c r="T288" s="154">
        <f t="shared" ref="T288" si="762">H288*(1+T289)</f>
        <v>-33.788728170635615</v>
      </c>
      <c r="U288" s="154">
        <f t="shared" ref="U288" si="763">I288*(1+U289)</f>
        <v>-33.788728170635615</v>
      </c>
      <c r="V288" s="154">
        <f t="shared" ref="V288" si="764">J288*(1+V289)</f>
        <v>-33.788728170635615</v>
      </c>
      <c r="W288" s="154">
        <f t="shared" ref="W288" si="765">K288*(1+W289)</f>
        <v>-33.788728170635615</v>
      </c>
      <c r="X288" s="154">
        <f t="shared" ref="X288" si="766">L288*(1+X289)</f>
        <v>-33.788728170635615</v>
      </c>
      <c r="Y288" s="154">
        <f t="shared" ref="Y288" si="767">M288*(1+Y289)</f>
        <v>-33.788728170635615</v>
      </c>
      <c r="Z288" s="154">
        <f t="shared" ref="Z288" si="768">N288*(1+Z289)</f>
        <v>-33.788728170635615</v>
      </c>
      <c r="AA288" s="154">
        <f t="shared" ref="AA288" si="769">O288*(1+AA289)</f>
        <v>-33.788728170635615</v>
      </c>
      <c r="AB288" s="154">
        <f t="shared" ref="AB288" si="770">P288*(1+AB289)</f>
        <v>-34.802390015754682</v>
      </c>
      <c r="AC288" s="154">
        <f t="shared" ref="AC288" si="771">Q288*(1+AC289)</f>
        <v>-34.802390015754682</v>
      </c>
      <c r="AD288" s="156">
        <f t="shared" ref="AD288" si="772">R288*(1+AD289)</f>
        <v>-34.802390015754682</v>
      </c>
      <c r="AE288" s="15"/>
      <c r="AF288" s="115">
        <f>_xlfn.XLOOKUP($C288,'Site Level Financials - ''23 ''24'!$C$2:$C$1577,'Site Level Financials - ''23 ''24'!$AF$2:$AF$1577)</f>
        <v>-385.06048950803915</v>
      </c>
      <c r="AG288" s="93">
        <f>SUM(G288:R288)</f>
        <v>-396.60749862425689</v>
      </c>
      <c r="AH288" s="93">
        <f t="shared" ref="AH288" si="773">SUM(S288:AD288)</f>
        <v>-408.50572358298456</v>
      </c>
    </row>
    <row r="289" spans="2:35" x14ac:dyDescent="0.2">
      <c r="B289" s="9">
        <f>G255</f>
        <v>6</v>
      </c>
      <c r="C289" s="9" t="str">
        <f t="shared" si="668"/>
        <v>6 - % YoY Growth</v>
      </c>
      <c r="D289" s="9" t="s">
        <v>56</v>
      </c>
      <c r="F289" s="16" t="s">
        <v>8</v>
      </c>
      <c r="G289" s="245">
        <f>_xlfn.XLOOKUP($C289,'Site Level Financials - ''23 ''24'!$C$2:$C$1577,'Site Level Financials - ''23 ''24'!S$2:S$1577)</f>
        <v>2.9987519963345255E-2</v>
      </c>
      <c r="H289" s="246">
        <f>_xlfn.XLOOKUP($C289,'Site Level Financials - ''23 ''24'!$C$2:$C$1577,'Site Level Financials - ''23 ''24'!T$2:T$1577)</f>
        <v>2.9987519963345255E-2</v>
      </c>
      <c r="I289" s="246">
        <f>_xlfn.XLOOKUP($C289,'Site Level Financials - ''23 ''24'!$C$2:$C$1577,'Site Level Financials - ''23 ''24'!U$2:U$1577)</f>
        <v>2.9987519963345255E-2</v>
      </c>
      <c r="J289" s="246">
        <f>_xlfn.XLOOKUP($C289,'Site Level Financials - ''23 ''24'!$C$2:$C$1577,'Site Level Financials - ''23 ''24'!V$2:V$1577)</f>
        <v>2.9987519963345255E-2</v>
      </c>
      <c r="K289" s="246">
        <f>_xlfn.XLOOKUP($C289,'Site Level Financials - ''23 ''24'!$C$2:$C$1577,'Site Level Financials - ''23 ''24'!W$2:W$1577)</f>
        <v>2.9987519963345255E-2</v>
      </c>
      <c r="L289" s="246">
        <f>_xlfn.XLOOKUP($C289,'Site Level Financials - ''23 ''24'!$C$2:$C$1577,'Site Level Financials - ''23 ''24'!X$2:X$1577)</f>
        <v>2.9987519963345255E-2</v>
      </c>
      <c r="M289" s="246">
        <f>_xlfn.XLOOKUP($C289,'Site Level Financials - ''23 ''24'!$C$2:$C$1577,'Site Level Financials - ''23 ''24'!Y$2:Y$1577)</f>
        <v>2.9987519963345255E-2</v>
      </c>
      <c r="N289" s="246">
        <f>_xlfn.XLOOKUP($C289,'Site Level Financials - ''23 ''24'!$C$2:$C$1577,'Site Level Financials - ''23 ''24'!Z$2:Z$1577)</f>
        <v>2.9987519963345255E-2</v>
      </c>
      <c r="O289" s="246">
        <f>_xlfn.XLOOKUP($C289,'Site Level Financials - ''23 ''24'!$C$2:$C$1577,'Site Level Financials - ''23 ''24'!AA$2:AA$1577)</f>
        <v>2.9987519963345255E-2</v>
      </c>
      <c r="P289" s="246">
        <f>_xlfn.XLOOKUP($C289,'Site Level Financials - ''23 ''24'!$C$2:$C$1577,'Site Level Financials - ''23 ''24'!AB$2:AB$1577)</f>
        <v>2.9987519963345033E-2</v>
      </c>
      <c r="Q289" s="246">
        <f>_xlfn.XLOOKUP($C289,'Site Level Financials - ''23 ''24'!$C$2:$C$1577,'Site Level Financials - ''23 ''24'!AC$2:AC$1577)</f>
        <v>2.9987519963345033E-2</v>
      </c>
      <c r="R289" s="246">
        <f>_xlfn.XLOOKUP($C289,'Site Level Financials - ''23 ''24'!$C$2:$C$1577,'Site Level Financials - ''23 ''24'!AD$2:AD$1577)</f>
        <v>2.9987519963345033E-2</v>
      </c>
      <c r="S289" s="245">
        <f>_xlfn.XLOOKUP($F289,'Budget Assumption Driver'!$A$33:$A$39,'Budget Assumption Driver'!E$33:E$39)</f>
        <v>0.03</v>
      </c>
      <c r="T289" s="246">
        <f>_xlfn.XLOOKUP($F289,'Budget Assumption Driver'!$A$33:$A$39,'Budget Assumption Driver'!F$33:F$39)</f>
        <v>0.03</v>
      </c>
      <c r="U289" s="246">
        <f>_xlfn.XLOOKUP($F289,'Budget Assumption Driver'!$A$33:$A$39,'Budget Assumption Driver'!G$33:G$39)</f>
        <v>0.03</v>
      </c>
      <c r="V289" s="246">
        <f>_xlfn.XLOOKUP($F289,'Budget Assumption Driver'!$A$33:$A$39,'Budget Assumption Driver'!H$33:H$39)</f>
        <v>0.03</v>
      </c>
      <c r="W289" s="246">
        <f>_xlfn.XLOOKUP($F289,'Budget Assumption Driver'!$A$33:$A$39,'Budget Assumption Driver'!I$33:I$39)</f>
        <v>0.03</v>
      </c>
      <c r="X289" s="246">
        <f>_xlfn.XLOOKUP($F289,'Budget Assumption Driver'!$A$33:$A$39,'Budget Assumption Driver'!J$33:J$39)</f>
        <v>0.03</v>
      </c>
      <c r="Y289" s="246">
        <f>_xlfn.XLOOKUP($F289,'Budget Assumption Driver'!$A$33:$A$39,'Budget Assumption Driver'!K$33:K$39)</f>
        <v>0.03</v>
      </c>
      <c r="Z289" s="246">
        <f>_xlfn.XLOOKUP($F289,'Budget Assumption Driver'!$A$33:$A$39,'Budget Assumption Driver'!L$33:L$39)</f>
        <v>0.03</v>
      </c>
      <c r="AA289" s="246">
        <f>_xlfn.XLOOKUP($F289,'Budget Assumption Driver'!$A$33:$A$39,'Budget Assumption Driver'!M$33:M$39)</f>
        <v>0.03</v>
      </c>
      <c r="AB289" s="246">
        <f>_xlfn.XLOOKUP($F289,'Budget Assumption Driver'!$A$33:$A$39,'Budget Assumption Driver'!N$33:N$39)</f>
        <v>0.03</v>
      </c>
      <c r="AC289" s="246">
        <f>_xlfn.XLOOKUP($F289,'Budget Assumption Driver'!$A$33:$A$39,'Budget Assumption Driver'!O$33:O$39)</f>
        <v>0.03</v>
      </c>
      <c r="AD289" s="296">
        <f>_xlfn.XLOOKUP($F289,'Budget Assumption Driver'!$A$33:$A$39,'Budget Assumption Driver'!P$33:P$39)</f>
        <v>0.03</v>
      </c>
      <c r="AE289" s="15"/>
      <c r="AF289" s="11"/>
      <c r="AG289" s="97">
        <f>AG288/AF288-1</f>
        <v>2.9987519963345033E-2</v>
      </c>
      <c r="AH289" s="97">
        <f>AH288/AG288-1</f>
        <v>2.9999999999999805E-2</v>
      </c>
    </row>
    <row r="290" spans="2:35" ht="6" customHeight="1" x14ac:dyDescent="0.2">
      <c r="B290" s="9">
        <f>G255</f>
        <v>6</v>
      </c>
      <c r="C290" s="9" t="str">
        <f t="shared" si="668"/>
        <v xml:space="preserve">6 - </v>
      </c>
      <c r="D290" s="9" t="s">
        <v>56</v>
      </c>
      <c r="F290" s="16"/>
      <c r="G290" s="80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80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81"/>
      <c r="AE290" s="15"/>
      <c r="AF290" s="11"/>
      <c r="AG290" s="15"/>
      <c r="AH290" s="15"/>
    </row>
    <row r="291" spans="2:35" x14ac:dyDescent="0.2">
      <c r="B291" s="9">
        <f>G255</f>
        <v>6</v>
      </c>
      <c r="C291" s="9" t="str">
        <f t="shared" si="668"/>
        <v>6 - Office EBITDA</v>
      </c>
      <c r="D291" s="9" t="s">
        <v>56</v>
      </c>
      <c r="F291" s="8" t="s">
        <v>12</v>
      </c>
      <c r="G291" s="241">
        <f>_xlfn.XLOOKUP($C291,'Site Level Financials - ''23 ''24'!$C$2:$C$1577,'Site Level Financials - ''23 ''24'!S$2:S$1577)</f>
        <v>87.69950341069341</v>
      </c>
      <c r="H291" s="242">
        <f>_xlfn.XLOOKUP($C291,'Site Level Financials - ''23 ''24'!$C$2:$C$1577,'Site Level Financials - ''23 ''24'!T$2:T$1577)</f>
        <v>91.847766057961181</v>
      </c>
      <c r="I291" s="242">
        <f>_xlfn.XLOOKUP($C291,'Site Level Financials - ''23 ''24'!$C$2:$C$1577,'Site Level Financials - ''23 ''24'!U$2:U$1577)</f>
        <v>102.63863836045037</v>
      </c>
      <c r="J291" s="242">
        <f>_xlfn.XLOOKUP($C291,'Site Level Financials - ''23 ''24'!$C$2:$C$1577,'Site Level Financials - ''23 ''24'!V$2:V$1577)</f>
        <v>107.13039842336336</v>
      </c>
      <c r="K291" s="242">
        <f>_xlfn.XLOOKUP($C291,'Site Level Financials - ''23 ''24'!$C$2:$C$1577,'Site Level Financials - ''23 ''24'!W$2:W$1577)</f>
        <v>114.91537686767386</v>
      </c>
      <c r="L291" s="242">
        <f>_xlfn.XLOOKUP($C291,'Site Level Financials - ''23 ''24'!$C$2:$C$1577,'Site Level Financials - ''23 ''24'!X$2:X$1577)</f>
        <v>111.81273646225917</v>
      </c>
      <c r="M291" s="242">
        <f>_xlfn.XLOOKUP($C291,'Site Level Financials - ''23 ''24'!$C$2:$C$1577,'Site Level Financials - ''23 ''24'!Y$2:Y$1577)</f>
        <v>234.98886248124137</v>
      </c>
      <c r="N291" s="242">
        <f>_xlfn.XLOOKUP($C291,'Site Level Financials - ''23 ''24'!$C$2:$C$1577,'Site Level Financials - ''23 ''24'!Z$2:Z$1577)</f>
        <v>188.83751888218978</v>
      </c>
      <c r="O291" s="242">
        <f>_xlfn.XLOOKUP($C291,'Site Level Financials - ''23 ''24'!$C$2:$C$1577,'Site Level Financials - ''23 ''24'!AA$2:AA$1577)</f>
        <v>177.75436270696542</v>
      </c>
      <c r="P291" s="242">
        <f>_xlfn.XLOOKUP($C291,'Site Level Financials - ''23 ''24'!$C$2:$C$1577,'Site Level Financials - ''23 ''24'!AB$2:AB$1577)</f>
        <v>222.76607211929448</v>
      </c>
      <c r="Q291" s="242">
        <f>_xlfn.XLOOKUP($C291,'Site Level Financials - ''23 ''24'!$C$2:$C$1577,'Site Level Financials - ''23 ''24'!AC$2:AC$1577)</f>
        <v>154.45782244354837</v>
      </c>
      <c r="R291" s="242">
        <f>_xlfn.XLOOKUP($C291,'Site Level Financials - ''23 ''24'!$C$2:$C$1577,'Site Level Financials - ''23 ''24'!AD$2:AD$1577)</f>
        <v>53.814557604457697</v>
      </c>
      <c r="S291" s="134">
        <f t="shared" ref="S291:AD291" si="774">S279+S282+S285+S288</f>
        <v>93.938329727367631</v>
      </c>
      <c r="T291" s="135">
        <f t="shared" si="774"/>
        <v>97.24802358373455</v>
      </c>
      <c r="U291" s="135">
        <f t="shared" si="774"/>
        <v>105.90914344254404</v>
      </c>
      <c r="V291" s="135">
        <f t="shared" si="774"/>
        <v>108.91560313487238</v>
      </c>
      <c r="W291" s="135">
        <f t="shared" si="774"/>
        <v>129.72825531072996</v>
      </c>
      <c r="X291" s="135">
        <f t="shared" si="774"/>
        <v>119.73323312670274</v>
      </c>
      <c r="Y291" s="135">
        <f t="shared" si="774"/>
        <v>203.46773263405041</v>
      </c>
      <c r="Z291" s="135">
        <f t="shared" si="774"/>
        <v>163.73802499673187</v>
      </c>
      <c r="AA291" s="135">
        <f t="shared" si="774"/>
        <v>151.99928343689581</v>
      </c>
      <c r="AB291" s="135">
        <f t="shared" si="774"/>
        <v>183.32909695037239</v>
      </c>
      <c r="AC291" s="135">
        <f t="shared" si="774"/>
        <v>136.62142369186336</v>
      </c>
      <c r="AD291" s="136">
        <f t="shared" si="774"/>
        <v>55.487300018176867</v>
      </c>
      <c r="AE291" s="15"/>
      <c r="AF291" s="113">
        <f>_xlfn.XLOOKUP($C291,'Site Level Financials - ''23 ''24'!$C$2:$C$1577,'Site Level Financials - ''23 ''24'!$AF$2:$AF$1577)</f>
        <v>1354.0060778745142</v>
      </c>
      <c r="AG291" s="95">
        <f>SUM(G291:R291)</f>
        <v>1648.6636158200981</v>
      </c>
      <c r="AH291" s="95">
        <f t="shared" ref="AH291" si="775">SUM(S291:AD291)</f>
        <v>1550.1154500540422</v>
      </c>
    </row>
    <row r="292" spans="2:35" x14ac:dyDescent="0.2">
      <c r="B292" s="9">
        <f>G255</f>
        <v>6</v>
      </c>
      <c r="C292" s="9" t="str">
        <f t="shared" si="668"/>
        <v>6 - % of Revenue - Office EBITDA</v>
      </c>
      <c r="D292" s="9" t="s">
        <v>56</v>
      </c>
      <c r="F292" s="16" t="str">
        <f>"% of Revenue - "&amp;F291</f>
        <v>% of Revenue - Office EBITDA</v>
      </c>
      <c r="G292" s="148">
        <f>G291/G267</f>
        <v>0.19909736488052113</v>
      </c>
      <c r="H292" s="149">
        <f t="shared" ref="H292:AD292" si="776">H291/H267</f>
        <v>0.19971343310229964</v>
      </c>
      <c r="I292" s="149">
        <f t="shared" si="776"/>
        <v>0.20392495791337356</v>
      </c>
      <c r="J292" s="149">
        <f t="shared" si="776"/>
        <v>0.19646970533592645</v>
      </c>
      <c r="K292" s="149">
        <f t="shared" si="776"/>
        <v>0.19247325442632976</v>
      </c>
      <c r="L292" s="149">
        <f t="shared" si="776"/>
        <v>0.21387532013235053</v>
      </c>
      <c r="M292" s="149">
        <f t="shared" si="776"/>
        <v>0.37236308934842371</v>
      </c>
      <c r="N292" s="149">
        <f t="shared" si="776"/>
        <v>0.35102148928138466</v>
      </c>
      <c r="O292" s="149">
        <f t="shared" si="776"/>
        <v>0.35681562339467582</v>
      </c>
      <c r="P292" s="149">
        <f t="shared" si="776"/>
        <v>0.37517909110121395</v>
      </c>
      <c r="Q292" s="149">
        <f t="shared" si="776"/>
        <v>0.35246871660723211</v>
      </c>
      <c r="R292" s="149">
        <f t="shared" si="776"/>
        <v>0.17028673351910245</v>
      </c>
      <c r="S292" s="148">
        <f t="shared" si="776"/>
        <v>0.20120098591562502</v>
      </c>
      <c r="T292" s="149">
        <f t="shared" si="776"/>
        <v>0.20115314981932131</v>
      </c>
      <c r="U292" s="149">
        <f t="shared" si="776"/>
        <v>0.2040142316190294</v>
      </c>
      <c r="V292" s="149">
        <f t="shared" si="776"/>
        <v>0.19586739046618198</v>
      </c>
      <c r="W292" s="149">
        <f t="shared" si="776"/>
        <v>0.19629225195548305</v>
      </c>
      <c r="X292" s="149">
        <f t="shared" si="776"/>
        <v>0.21574161521105109</v>
      </c>
      <c r="Y292" s="149">
        <f t="shared" si="776"/>
        <v>0.36391235369182495</v>
      </c>
      <c r="Z292" s="149">
        <f t="shared" si="776"/>
        <v>0.34152406890251452</v>
      </c>
      <c r="AA292" s="149">
        <f t="shared" si="776"/>
        <v>0.34579695125137522</v>
      </c>
      <c r="AB292" s="149">
        <f t="shared" si="776"/>
        <v>0.36314725349632238</v>
      </c>
      <c r="AC292" s="149">
        <f t="shared" si="776"/>
        <v>0.34236183885308347</v>
      </c>
      <c r="AD292" s="150">
        <f t="shared" si="776"/>
        <v>0.17035577746914529</v>
      </c>
      <c r="AE292" s="15"/>
      <c r="AF292" s="232">
        <f>_xlfn.XLOOKUP($C292,'Site Level Financials - ''23 ''24'!$C$2:$C$1577,'Site Level Financials - ''23 ''24'!$AF$2:$AF$1577)</f>
        <v>0.25656134755595383</v>
      </c>
      <c r="AG292" s="97">
        <f t="shared" ref="AG292:AH292" si="777">AG291/AG267</f>
        <v>0.27098241339391516</v>
      </c>
      <c r="AH292" s="97">
        <f t="shared" si="777"/>
        <v>0.26056195683791283</v>
      </c>
    </row>
    <row r="293" spans="2:35" ht="6" customHeight="1" x14ac:dyDescent="0.2">
      <c r="B293" s="9">
        <f>G255</f>
        <v>6</v>
      </c>
      <c r="C293" s="9" t="str">
        <f t="shared" si="668"/>
        <v xml:space="preserve">6 - </v>
      </c>
      <c r="D293" s="9" t="s">
        <v>56</v>
      </c>
      <c r="G293" s="80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80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81"/>
      <c r="AE293" s="15"/>
      <c r="AF293" s="11"/>
      <c r="AG293" s="15"/>
      <c r="AH293" s="15"/>
    </row>
    <row r="294" spans="2:35" x14ac:dyDescent="0.2">
      <c r="B294" s="9">
        <f>G255</f>
        <v>6</v>
      </c>
      <c r="C294" s="9" t="str">
        <f t="shared" si="668"/>
        <v>6 - Memo:</v>
      </c>
      <c r="D294" s="9" t="s">
        <v>56</v>
      </c>
      <c r="F294" s="6" t="s">
        <v>13</v>
      </c>
      <c r="G294" s="80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80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81"/>
      <c r="AE294" s="15"/>
      <c r="AF294" s="11"/>
      <c r="AG294" s="15"/>
      <c r="AH294" s="15"/>
    </row>
    <row r="295" spans="2:35" s="24" customFormat="1" x14ac:dyDescent="0.2">
      <c r="B295" s="9">
        <f>G255</f>
        <v>6</v>
      </c>
      <c r="C295" s="9" t="str">
        <f t="shared" si="668"/>
        <v>6 - Collections</v>
      </c>
      <c r="D295" s="9" t="s">
        <v>56</v>
      </c>
      <c r="E295" s="49"/>
      <c r="F295" s="24" t="s">
        <v>15</v>
      </c>
      <c r="G295" s="247">
        <f>_xlfn.XLOOKUP($C295,'Site Level Financials - ''23 ''24'!$C$2:$C$1577,'Site Level Financials - ''23 ''24'!S$2:S$1577)</f>
        <v>432.83458505842975</v>
      </c>
      <c r="H295" s="248">
        <f>_xlfn.XLOOKUP($C295,'Site Level Financials - ''23 ''24'!$C$2:$C$1577,'Site Level Financials - ''23 ''24'!T$2:T$1577)</f>
        <v>458.40807232232112</v>
      </c>
      <c r="I295" s="248">
        <f>_xlfn.XLOOKUP($C295,'Site Level Financials - ''23 ''24'!$C$2:$C$1577,'Site Level Financials - ''23 ''24'!U$2:U$1577)</f>
        <v>508.87584821458063</v>
      </c>
      <c r="J295" s="248">
        <f>_xlfn.XLOOKUP($C295,'Site Level Financials - ''23 ''24'!$C$2:$C$1577,'Site Level Financials - ''23 ''24'!V$2:V$1577)</f>
        <v>554.20811861866935</v>
      </c>
      <c r="K295" s="248">
        <f>_xlfn.XLOOKUP($C295,'Site Level Financials - ''23 ''24'!$C$2:$C$1577,'Site Level Financials - ''23 ''24'!W$2:W$1577)</f>
        <v>590.90115909116128</v>
      </c>
      <c r="L295" s="248">
        <f>_xlfn.XLOOKUP($C295,'Site Level Financials - ''23 ''24'!$C$2:$C$1577,'Site Level Financials - ''23 ''24'!X$2:X$1577)</f>
        <v>531.19919306660609</v>
      </c>
      <c r="M295" s="248">
        <f>_xlfn.XLOOKUP($C295,'Site Level Financials - ''23 ''24'!$C$2:$C$1577,'Site Level Financials - ''23 ''24'!Y$2:Y$1577)</f>
        <v>631.49558301361321</v>
      </c>
      <c r="N295" s="248">
        <f>_xlfn.XLOOKUP($C295,'Site Level Financials - ''23 ''24'!$C$2:$C$1577,'Site Level Financials - ''23 ''24'!Z$2:Z$1577)</f>
        <v>532.39993855014109</v>
      </c>
      <c r="O295" s="248">
        <f>_xlfn.XLOOKUP($C295,'Site Level Financials - ''23 ''24'!$C$2:$C$1577,'Site Level Financials - ''23 ''24'!AA$2:AA$1577)</f>
        <v>490.02328570820362</v>
      </c>
      <c r="P295" s="248">
        <f>_xlfn.XLOOKUP($C295,'Site Level Financials - ''23 ''24'!$C$2:$C$1577,'Site Level Financials - ''23 ''24'!AB$2:AB$1577)</f>
        <v>585.13070481352054</v>
      </c>
      <c r="Q295" s="248">
        <f>_xlfn.XLOOKUP($C295,'Site Level Financials - ''23 ''24'!$C$2:$C$1577,'Site Level Financials - ''23 ''24'!AC$2:AC$1577)</f>
        <v>445.25088290858628</v>
      </c>
      <c r="R295" s="248">
        <f>_xlfn.XLOOKUP($C295,'Site Level Financials - ''23 ''24'!$C$2:$C$1577,'Site Level Financials - ''23 ''24'!AD$2:AD$1577)</f>
        <v>316.16892720455456</v>
      </c>
      <c r="S295" s="169">
        <f t="shared" ref="S295:AD295" si="778">S296*S265</f>
        <v>466.88801896210038</v>
      </c>
      <c r="T295" s="170">
        <f t="shared" si="778"/>
        <v>483.45265123158219</v>
      </c>
      <c r="U295" s="170">
        <f t="shared" si="778"/>
        <v>519.12625213478179</v>
      </c>
      <c r="V295" s="170">
        <f t="shared" si="778"/>
        <v>556.06807685364811</v>
      </c>
      <c r="W295" s="170">
        <f t="shared" si="778"/>
        <v>660.89340775483549</v>
      </c>
      <c r="X295" s="170">
        <f t="shared" si="778"/>
        <v>554.98441044660149</v>
      </c>
      <c r="Y295" s="170">
        <f t="shared" si="778"/>
        <v>559.1119140911461</v>
      </c>
      <c r="Z295" s="170">
        <f t="shared" si="778"/>
        <v>479.4333398606517</v>
      </c>
      <c r="AA295" s="170">
        <f t="shared" si="778"/>
        <v>439.56224277524285</v>
      </c>
      <c r="AB295" s="170">
        <f t="shared" si="778"/>
        <v>504.83404510239251</v>
      </c>
      <c r="AC295" s="170">
        <f t="shared" si="778"/>
        <v>399.05564285303194</v>
      </c>
      <c r="AD295" s="171">
        <f t="shared" si="778"/>
        <v>325.71422491512908</v>
      </c>
      <c r="AE295" s="26"/>
      <c r="AF295" s="234">
        <f>_xlfn.XLOOKUP($C295,'Site Level Financials - ''23 ''24'!$C$2:$C$1577,'Site Level Financials - ''23 ''24'!$AF$2:$AF$1577)</f>
        <v>5225.0207799755162</v>
      </c>
      <c r="AG295" s="99">
        <f>SUM(G295:R295)</f>
        <v>6076.8962985703874</v>
      </c>
      <c r="AH295" s="99">
        <f t="shared" ref="AH295" si="779">SUM(S295:AD295)</f>
        <v>5949.1242269811437</v>
      </c>
    </row>
    <row r="296" spans="2:35" x14ac:dyDescent="0.2">
      <c r="B296" s="9">
        <f>G255</f>
        <v>6</v>
      </c>
      <c r="C296" s="9" t="str">
        <f t="shared" si="668"/>
        <v>6 - Collections as a % of Production</v>
      </c>
      <c r="D296" s="9" t="s">
        <v>56</v>
      </c>
      <c r="F296" s="16" t="s">
        <v>17</v>
      </c>
      <c r="G296" s="245">
        <f>_xlfn.XLOOKUP($C296,'Site Level Financials - ''23 ''24'!$C$2:$C$1577,'Site Level Financials - ''23 ''24'!S$2:S$1577)</f>
        <v>0.96096309108395261</v>
      </c>
      <c r="H296" s="246">
        <f>_xlfn.XLOOKUP($C296,'Site Level Financials - ''23 ''24'!$C$2:$C$1577,'Site Level Financials - ''23 ''24'!T$2:T$1577)</f>
        <v>0.97478157291682599</v>
      </c>
      <c r="I296" s="246">
        <f>_xlfn.XLOOKUP($C296,'Site Level Financials - ''23 ''24'!$C$2:$C$1577,'Site Level Financials - ''23 ''24'!U$2:U$1577)</f>
        <v>0.98875277008137186</v>
      </c>
      <c r="J296" s="246">
        <f>_xlfn.XLOOKUP($C296,'Site Level Financials - ''23 ''24'!$C$2:$C$1577,'Site Level Financials - ''23 ''24'!V$2:V$1577)</f>
        <v>0.99396737939952995</v>
      </c>
      <c r="K296" s="246">
        <f>_xlfn.XLOOKUP($C296,'Site Level Financials - ''23 ''24'!$C$2:$C$1577,'Site Level Financials - ''23 ''24'!W$2:W$1577)</f>
        <v>0.96788433358883808</v>
      </c>
      <c r="L296" s="246">
        <f>_xlfn.XLOOKUP($C296,'Site Level Financials - ''23 ''24'!$C$2:$C$1577,'Site Level Financials - ''23 ''24'!X$2:X$1577)</f>
        <v>0.99367228615407144</v>
      </c>
      <c r="M296" s="246">
        <f>_xlfn.XLOOKUP($C296,'Site Level Financials - ''23 ''24'!$C$2:$C$1577,'Site Level Financials - ''23 ''24'!Y$2:Y$1577)</f>
        <v>0.97860186158815976</v>
      </c>
      <c r="N296" s="246">
        <f>_xlfn.XLOOKUP($C296,'Site Level Financials - ''23 ''24'!$C$2:$C$1577,'Site Level Financials - ''23 ''24'!Z$2:Z$1577)</f>
        <v>0.96783158249580925</v>
      </c>
      <c r="O296" s="246">
        <f>_xlfn.XLOOKUP($C296,'Site Level Financials - ''23 ''24'!$C$2:$C$1577,'Site Level Financials - ''23 ''24'!AA$2:AA$1577)</f>
        <v>0.9619592738875683</v>
      </c>
      <c r="P296" s="246">
        <f>_xlfn.XLOOKUP($C296,'Site Level Financials - ''23 ''24'!$C$2:$C$1577,'Site Level Financials - ''23 ''24'!AB$2:AB$1577)</f>
        <v>0.96373768721417419</v>
      </c>
      <c r="Q296" s="246">
        <f>_xlfn.XLOOKUP($C296,'Site Level Financials - ''23 ''24'!$C$2:$C$1577,'Site Level Financials - ''23 ''24'!AC$2:AC$1577)</f>
        <v>0.99364633078403997</v>
      </c>
      <c r="R296" s="246">
        <f>_xlfn.XLOOKUP($C296,'Site Level Financials - ''23 ''24'!$C$2:$C$1577,'Site Level Financials - ''23 ''24'!AD$2:AD$1577)</f>
        <v>0.97840035258822666</v>
      </c>
      <c r="S296" s="148">
        <f>S266</f>
        <v>0.9768036019635985</v>
      </c>
      <c r="T296" s="149">
        <f t="shared" ref="T296:AD296" si="780">T266</f>
        <v>0.9768036019635985</v>
      </c>
      <c r="U296" s="149">
        <f t="shared" si="780"/>
        <v>0.9768036019635985</v>
      </c>
      <c r="V296" s="149">
        <f t="shared" si="780"/>
        <v>0.9768036019635985</v>
      </c>
      <c r="W296" s="149">
        <f t="shared" si="780"/>
        <v>0.9768036019635985</v>
      </c>
      <c r="X296" s="149">
        <f t="shared" si="780"/>
        <v>0.9768036019635985</v>
      </c>
      <c r="Y296" s="149">
        <f t="shared" si="780"/>
        <v>0.9768036019635985</v>
      </c>
      <c r="Z296" s="149">
        <f t="shared" si="780"/>
        <v>0.9768036019635985</v>
      </c>
      <c r="AA296" s="149">
        <f t="shared" si="780"/>
        <v>0.9768036019635985</v>
      </c>
      <c r="AB296" s="149">
        <f t="shared" si="780"/>
        <v>0.9768036019635985</v>
      </c>
      <c r="AC296" s="149">
        <f t="shared" si="780"/>
        <v>0.9768036019635985</v>
      </c>
      <c r="AD296" s="150">
        <f t="shared" si="780"/>
        <v>0.9768036019635985</v>
      </c>
      <c r="AE296" s="15"/>
      <c r="AF296" s="232">
        <f>_xlfn.XLOOKUP($C296,'Site Level Financials - ''23 ''24'!$C$2:$C$1577,'Site Level Financials - ''23 ''24'!$AF$2:$AF$1577)</f>
        <v>0.97734973200179476</v>
      </c>
      <c r="AG296" s="97">
        <f t="shared" ref="AG296:AH296" si="781">AG295/AG265</f>
        <v>0.9768036019635985</v>
      </c>
      <c r="AH296" s="97">
        <f t="shared" si="781"/>
        <v>0.97680360196359861</v>
      </c>
    </row>
    <row r="297" spans="2:35" ht="6" customHeight="1" x14ac:dyDescent="0.2">
      <c r="B297" s="9">
        <f>G255</f>
        <v>6</v>
      </c>
      <c r="C297" s="9" t="str">
        <f t="shared" si="668"/>
        <v xml:space="preserve">6 - </v>
      </c>
      <c r="D297" s="9" t="s">
        <v>56</v>
      </c>
      <c r="F297" s="27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81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81"/>
      <c r="AE297" s="15"/>
      <c r="AF297" s="11"/>
      <c r="AH297" s="224"/>
    </row>
    <row r="298" spans="2:35" s="24" customFormat="1" x14ac:dyDescent="0.2">
      <c r="B298" s="9">
        <f>G255</f>
        <v>6</v>
      </c>
      <c r="C298" s="9" t="str">
        <f t="shared" si="668"/>
        <v>6 - Production per Vet Workday - YoY Change</v>
      </c>
      <c r="D298" s="9" t="s">
        <v>56</v>
      </c>
      <c r="E298" s="49"/>
      <c r="F298" s="24" t="s">
        <v>55</v>
      </c>
      <c r="G298" s="249">
        <f>_xlfn.XLOOKUP($C298,'Site Level Financials - ''23 ''24'!$C$2:$C$1577,'Site Level Financials - ''23 ''24'!S$2:S$1577)</f>
        <v>-1.2474735851646268E-2</v>
      </c>
      <c r="H298" s="250">
        <f>_xlfn.XLOOKUP($C298,'Site Level Financials - ''23 ''24'!$C$2:$C$1577,'Site Level Financials - ''23 ''24'!T$2:T$1577)</f>
        <v>2.114464790064341E-2</v>
      </c>
      <c r="I298" s="250">
        <f>_xlfn.XLOOKUP($C298,'Site Level Financials - ''23 ''24'!$C$2:$C$1577,'Site Level Financials - ''23 ''24'!U$2:U$1577)</f>
        <v>4.3968280545729765E-3</v>
      </c>
      <c r="J298" s="250">
        <f>_xlfn.XLOOKUP($C298,'Site Level Financials - ''23 ''24'!$C$2:$C$1577,'Site Level Financials - ''23 ''24'!V$2:V$1577)</f>
        <v>1.9605359632967279E-2</v>
      </c>
      <c r="K298" s="250">
        <f>_xlfn.XLOOKUP($C298,'Site Level Financials - ''23 ''24'!$C$2:$C$1577,'Site Level Financials - ''23 ''24'!W$2:W$1577)</f>
        <v>-1.4094903906068046E-2</v>
      </c>
      <c r="L298" s="250">
        <f>_xlfn.XLOOKUP($C298,'Site Level Financials - ''23 ''24'!$C$2:$C$1577,'Site Level Financials - ''23 ''24'!X$2:X$1577)</f>
        <v>4.8923979597269573E-2</v>
      </c>
      <c r="M298" s="250">
        <f>_xlfn.XLOOKUP($C298,'Site Level Financials - ''23 ''24'!$C$2:$C$1577,'Site Level Financials - ''23 ''24'!Y$2:Y$1577)</f>
        <v>5.9140449850631382E-2</v>
      </c>
      <c r="N298" s="250">
        <f>_xlfn.XLOOKUP($C298,'Site Level Financials - ''23 ''24'!$C$2:$C$1577,'Site Level Financials - ''23 ''24'!Z$2:Z$1577)</f>
        <v>6.8392011927980834E-2</v>
      </c>
      <c r="O298" s="250">
        <f>_xlfn.XLOOKUP($C298,'Site Level Financials - ''23 ''24'!$C$2:$C$1577,'Site Level Financials - ''23 ''24'!AA$2:AA$1577)</f>
        <v>8.2413458093352654E-2</v>
      </c>
      <c r="P298" s="250">
        <f>_xlfn.XLOOKUP($C298,'Site Level Financials - ''23 ''24'!$C$2:$C$1577,'Site Level Financials - ''23 ''24'!AB$2:AB$1577)</f>
        <v>8.0122107186398894E-2</v>
      </c>
      <c r="Q298" s="250">
        <f>_xlfn.XLOOKUP($C298,'Site Level Financials - ''23 ''24'!$C$2:$C$1577,'Site Level Financials - ''23 ''24'!AC$2:AC$1577)</f>
        <v>5.4479931063733389E-2</v>
      </c>
      <c r="R298" s="251">
        <f>_xlfn.XLOOKUP($C298,'Site Level Financials - ''23 ''24'!$C$2:$C$1577,'Site Level Financials - ''23 ''24'!AD$2:AD$1577)</f>
        <v>0.1889815627601743</v>
      </c>
      <c r="S298" s="151">
        <f>S264/G264-1</f>
        <v>6.1182866352107457E-2</v>
      </c>
      <c r="T298" s="152">
        <f t="shared" ref="T298" si="782">T264/H264-1</f>
        <v>5.2450667447987875E-2</v>
      </c>
      <c r="U298" s="152">
        <f t="shared" ref="U298" si="783">U264/I264-1</f>
        <v>3.2622569995508943E-2</v>
      </c>
      <c r="V298" s="152">
        <f t="shared" ref="V298" si="784">V264/J264-1</f>
        <v>2.0986405155605903E-2</v>
      </c>
      <c r="W298" s="152">
        <f t="shared" ref="W298" si="785">W264/K264-1</f>
        <v>0.10823735821523583</v>
      </c>
      <c r="X298" s="152">
        <f t="shared" ref="X298" si="786">X264/L264-1</f>
        <v>6.2818981855127909E-2</v>
      </c>
      <c r="Y298" s="152">
        <f t="shared" ref="Y298" si="787">Y264/M264-1</f>
        <v>0.10875917761084319</v>
      </c>
      <c r="Z298" s="152">
        <f t="shared" ref="Z298" si="788">Z264/N264-1</f>
        <v>0.11530278218911838</v>
      </c>
      <c r="AA298" s="152">
        <f t="shared" ref="AA298" si="789">AA264/O264-1</f>
        <v>0.1042390696408968</v>
      </c>
      <c r="AB298" s="152">
        <f t="shared" ref="AB298" si="790">AB264/P264-1</f>
        <v>6.4038518959342428E-2</v>
      </c>
      <c r="AC298" s="152">
        <f t="shared" ref="AC298" si="791">AC264/Q264-1</f>
        <v>0.13962839290976725</v>
      </c>
      <c r="AD298" s="153">
        <f t="shared" ref="AD298" si="792">AD264/R264-1</f>
        <v>3.1874519628317222E-2</v>
      </c>
      <c r="AF298" s="43"/>
      <c r="AG298" s="177">
        <f>AG264/AF264-1</f>
        <v>3.5231918977723486E-2</v>
      </c>
      <c r="AH298" s="225">
        <f>AH264/AG264-1</f>
        <v>8.1784602919409144E-2</v>
      </c>
    </row>
    <row r="299" spans="2:35" s="24" customFormat="1" ht="6" customHeight="1" x14ac:dyDescent="0.2">
      <c r="D299" s="9" t="s">
        <v>56</v>
      </c>
      <c r="E299" s="49"/>
      <c r="G299" s="28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29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29"/>
      <c r="AE299" s="25"/>
      <c r="AF299" s="28"/>
      <c r="AG299" s="30"/>
      <c r="AH299" s="226"/>
    </row>
    <row r="300" spans="2:35" s="24" customFormat="1" ht="6" customHeight="1" x14ac:dyDescent="0.2">
      <c r="D300" s="9" t="s">
        <v>56</v>
      </c>
      <c r="E300" s="49"/>
    </row>
    <row r="301" spans="2:35" x14ac:dyDescent="0.2">
      <c r="D301" s="9" t="s">
        <v>56</v>
      </c>
      <c r="F301" s="16"/>
    </row>
    <row r="302" spans="2:35" ht="15.75" thickBot="1" x14ac:dyDescent="0.4">
      <c r="B302" s="35" t="s">
        <v>52</v>
      </c>
      <c r="C302" s="35"/>
      <c r="D302" s="9" t="s">
        <v>56</v>
      </c>
      <c r="E302" s="48" t="s">
        <v>0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74"/>
      <c r="AH302" s="3">
        <f ca="1">TODAY()</f>
        <v>45999</v>
      </c>
      <c r="AI302" s="1"/>
    </row>
    <row r="303" spans="2:35" x14ac:dyDescent="0.2">
      <c r="B303" s="9">
        <f>G305</f>
        <v>7</v>
      </c>
      <c r="C303" s="9"/>
      <c r="D303" s="9" t="s">
        <v>56</v>
      </c>
      <c r="F303" t="s">
        <v>159</v>
      </c>
      <c r="AG303" s="6"/>
      <c r="AH303" s="6" t="s">
        <v>16</v>
      </c>
    </row>
    <row r="304" spans="2:35" x14ac:dyDescent="0.2">
      <c r="B304" s="9"/>
      <c r="C304" s="9"/>
      <c r="D304" s="9" t="s">
        <v>56</v>
      </c>
      <c r="AG304" s="6"/>
      <c r="AH304" s="6"/>
    </row>
    <row r="305" spans="2:34" x14ac:dyDescent="0.2">
      <c r="B305" s="9">
        <f>G305</f>
        <v>7</v>
      </c>
      <c r="C305" s="9"/>
      <c r="D305" s="9" t="s">
        <v>56</v>
      </c>
      <c r="F305" s="40" t="s">
        <v>53</v>
      </c>
      <c r="G305" s="42">
        <v>7</v>
      </c>
    </row>
    <row r="306" spans="2:34" x14ac:dyDescent="0.2">
      <c r="B306" s="9">
        <f>G305</f>
        <v>7</v>
      </c>
      <c r="C306" s="9"/>
      <c r="D306" s="9" t="s">
        <v>56</v>
      </c>
      <c r="F306" s="39" t="s">
        <v>24</v>
      </c>
      <c r="G306" s="41"/>
      <c r="H306" s="11"/>
    </row>
    <row r="307" spans="2:34" x14ac:dyDescent="0.2">
      <c r="B307" s="9">
        <f>G305</f>
        <v>7</v>
      </c>
      <c r="C307" s="9"/>
      <c r="D307" s="9" t="s">
        <v>56</v>
      </c>
      <c r="G307" s="23"/>
    </row>
    <row r="308" spans="2:34" x14ac:dyDescent="0.2">
      <c r="B308" s="9">
        <f>G305</f>
        <v>7</v>
      </c>
      <c r="C308" s="9"/>
      <c r="D308" s="9" t="s">
        <v>56</v>
      </c>
      <c r="G308" s="208" t="s">
        <v>229</v>
      </c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10"/>
      <c r="S308" s="266" t="s">
        <v>230</v>
      </c>
      <c r="T308" s="267"/>
      <c r="U308" s="267"/>
      <c r="V308" s="267"/>
      <c r="W308" s="267"/>
      <c r="X308" s="267"/>
      <c r="Y308" s="267"/>
      <c r="Z308" s="267"/>
      <c r="AA308" s="267"/>
      <c r="AB308" s="267"/>
      <c r="AC308" s="267"/>
      <c r="AD308" s="268"/>
      <c r="AF308" s="17" t="s">
        <v>231</v>
      </c>
      <c r="AG308" s="50"/>
      <c r="AH308" s="269" t="s">
        <v>232</v>
      </c>
    </row>
    <row r="309" spans="2:34" ht="15" customHeight="1" x14ac:dyDescent="0.35">
      <c r="B309" s="9">
        <f>G305</f>
        <v>7</v>
      </c>
      <c r="C309" s="9"/>
      <c r="D309" s="9" t="s">
        <v>56</v>
      </c>
      <c r="G309" s="211">
        <v>44957</v>
      </c>
      <c r="H309" s="212">
        <f>EOMONTH(G309,1)</f>
        <v>44985</v>
      </c>
      <c r="I309" s="212">
        <f t="shared" ref="I309" si="793">EOMONTH(H309,1)</f>
        <v>45016</v>
      </c>
      <c r="J309" s="212">
        <f t="shared" ref="J309" si="794">EOMONTH(I309,1)</f>
        <v>45046</v>
      </c>
      <c r="K309" s="212">
        <f t="shared" ref="K309" si="795">EOMONTH(J309,1)</f>
        <v>45077</v>
      </c>
      <c r="L309" s="212">
        <f t="shared" ref="L309" si="796">EOMONTH(K309,1)</f>
        <v>45107</v>
      </c>
      <c r="M309" s="212">
        <f t="shared" ref="M309" si="797">EOMONTH(L309,1)</f>
        <v>45138</v>
      </c>
      <c r="N309" s="212">
        <f t="shared" ref="N309" si="798">EOMONTH(M309,1)</f>
        <v>45169</v>
      </c>
      <c r="O309" s="212">
        <f t="shared" ref="O309" si="799">EOMONTH(N309,1)</f>
        <v>45199</v>
      </c>
      <c r="P309" s="212">
        <f t="shared" ref="P309" si="800">EOMONTH(O309,1)</f>
        <v>45230</v>
      </c>
      <c r="Q309" s="212">
        <f t="shared" ref="Q309" si="801">EOMONTH(P309,1)</f>
        <v>45260</v>
      </c>
      <c r="R309" s="213">
        <f t="shared" ref="R309" si="802">EOMONTH(Q309,1)</f>
        <v>45291</v>
      </c>
      <c r="S309" s="4">
        <f t="shared" ref="S309" si="803">EOMONTH(R309,1)</f>
        <v>45322</v>
      </c>
      <c r="T309" s="19">
        <f t="shared" ref="T309" si="804">EOMONTH(S309,1)</f>
        <v>45351</v>
      </c>
      <c r="U309" s="19">
        <f t="shared" ref="U309" si="805">EOMONTH(T309,1)</f>
        <v>45382</v>
      </c>
      <c r="V309" s="19">
        <f t="shared" ref="V309" si="806">EOMONTH(U309,1)</f>
        <v>45412</v>
      </c>
      <c r="W309" s="19">
        <f t="shared" ref="W309" si="807">EOMONTH(V309,1)</f>
        <v>45443</v>
      </c>
      <c r="X309" s="19">
        <f t="shared" ref="X309" si="808">EOMONTH(W309,1)</f>
        <v>45473</v>
      </c>
      <c r="Y309" s="19">
        <f t="shared" ref="Y309" si="809">EOMONTH(X309,1)</f>
        <v>45504</v>
      </c>
      <c r="Z309" s="19">
        <f t="shared" ref="Z309" si="810">EOMONTH(Y309,1)</f>
        <v>45535</v>
      </c>
      <c r="AA309" s="19">
        <f t="shared" ref="AA309" si="811">EOMONTH(Z309,1)</f>
        <v>45565</v>
      </c>
      <c r="AB309" s="19">
        <f t="shared" ref="AB309" si="812">EOMONTH(AA309,1)</f>
        <v>45596</v>
      </c>
      <c r="AC309" s="19">
        <f t="shared" ref="AC309" si="813">EOMONTH(AB309,1)</f>
        <v>45626</v>
      </c>
      <c r="AD309" s="5">
        <f t="shared" ref="AD309" si="814">EOMONTH(AC309,1)</f>
        <v>45657</v>
      </c>
      <c r="AE309" s="168"/>
      <c r="AF309" s="13">
        <v>45291</v>
      </c>
      <c r="AG309" s="14">
        <v>45657</v>
      </c>
      <c r="AH309" s="14">
        <v>46022</v>
      </c>
    </row>
    <row r="310" spans="2:34" ht="0.95" customHeight="1" x14ac:dyDescent="0.2">
      <c r="B310" s="9">
        <f>G305</f>
        <v>7</v>
      </c>
      <c r="C310" s="9"/>
      <c r="D310" s="9" t="s">
        <v>56</v>
      </c>
      <c r="G310" s="11"/>
      <c r="S310" s="11"/>
      <c r="AD310" s="15"/>
      <c r="AE310" s="15"/>
      <c r="AF310" s="11"/>
      <c r="AG310" s="15"/>
      <c r="AH310" s="15"/>
    </row>
    <row r="311" spans="2:34" x14ac:dyDescent="0.2">
      <c r="B311" s="9">
        <f>G305</f>
        <v>7</v>
      </c>
      <c r="C311" s="9" t="str">
        <f>B311&amp;" - "&amp;F311</f>
        <v>7 - Employed Vets</v>
      </c>
      <c r="D311" s="9" t="s">
        <v>56</v>
      </c>
      <c r="F311" s="7" t="s">
        <v>160</v>
      </c>
      <c r="G311" s="178">
        <f>_xlfn.XLOOKUP($C311,'Site Level Financials - ''23 ''24'!$C$2:$C$1577,'Site Level Financials - ''23 ''24'!S$2:S$1577)</f>
        <v>4</v>
      </c>
      <c r="H311" s="179">
        <f>_xlfn.XLOOKUP($C311,'Site Level Financials - ''23 ''24'!$C$2:$C$1577,'Site Level Financials - ''23 ''24'!T$2:T$1577)</f>
        <v>3</v>
      </c>
      <c r="I311" s="179">
        <f>_xlfn.XLOOKUP($C311,'Site Level Financials - ''23 ''24'!$C$2:$C$1577,'Site Level Financials - ''23 ''24'!U$2:U$1577)</f>
        <v>2</v>
      </c>
      <c r="J311" s="179">
        <f>_xlfn.XLOOKUP($C311,'Site Level Financials - ''23 ''24'!$C$2:$C$1577,'Site Level Financials - ''23 ''24'!V$2:V$1577)</f>
        <v>2</v>
      </c>
      <c r="K311" s="179">
        <f>_xlfn.XLOOKUP($C311,'Site Level Financials - ''23 ''24'!$C$2:$C$1577,'Site Level Financials - ''23 ''24'!W$2:W$1577)</f>
        <v>1</v>
      </c>
      <c r="L311" s="179">
        <f>_xlfn.XLOOKUP($C311,'Site Level Financials - ''23 ''24'!$C$2:$C$1577,'Site Level Financials - ''23 ''24'!X$2:X$1577)</f>
        <v>1</v>
      </c>
      <c r="M311" s="179">
        <f>_xlfn.XLOOKUP($C311,'Site Level Financials - ''23 ''24'!$C$2:$C$1577,'Site Level Financials - ''23 ''24'!Y$2:Y$1577)</f>
        <v>1</v>
      </c>
      <c r="N311" s="179">
        <f>_xlfn.XLOOKUP($C311,'Site Level Financials - ''23 ''24'!$C$2:$C$1577,'Site Level Financials - ''23 ''24'!Z$2:Z$1577)</f>
        <v>2</v>
      </c>
      <c r="O311" s="179">
        <f>_xlfn.XLOOKUP($C311,'Site Level Financials - ''23 ''24'!$C$2:$C$1577,'Site Level Financials - ''23 ''24'!AA$2:AA$1577)</f>
        <v>2</v>
      </c>
      <c r="P311" s="179">
        <f>_xlfn.XLOOKUP($C311,'Site Level Financials - ''23 ''24'!$C$2:$C$1577,'Site Level Financials - ''23 ''24'!AB$2:AB$1577)</f>
        <v>2</v>
      </c>
      <c r="Q311" s="179">
        <f>_xlfn.XLOOKUP($C311,'Site Level Financials - ''23 ''24'!$C$2:$C$1577,'Site Level Financials - ''23 ''24'!AC$2:AC$1577)</f>
        <v>3</v>
      </c>
      <c r="R311" s="179">
        <f>_xlfn.XLOOKUP($C311,'Site Level Financials - ''23 ''24'!$C$2:$C$1577,'Site Level Financials - ''23 ''24'!AD$2:AD$1577)</f>
        <v>2</v>
      </c>
      <c r="S311" s="178">
        <f>R311+_xlfn.XLOOKUP($R311,'Budget Assumption Driver'!$A$7:$A$11,'Budget Assumption Driver'!E$7:E$11)</f>
        <v>2</v>
      </c>
      <c r="T311" s="179">
        <f>S311+_xlfn.XLOOKUP($R311,'Budget Assumption Driver'!$A$7:$A$11,'Budget Assumption Driver'!F$7:F$11)</f>
        <v>2</v>
      </c>
      <c r="U311" s="179">
        <f>T311+_xlfn.XLOOKUP($R311,'Budget Assumption Driver'!$A$7:$A$11,'Budget Assumption Driver'!G$7:G$11)</f>
        <v>2</v>
      </c>
      <c r="V311" s="179">
        <f>U311+_xlfn.XLOOKUP($R311,'Budget Assumption Driver'!$A$7:$A$11,'Budget Assumption Driver'!H$7:H$11)</f>
        <v>3</v>
      </c>
      <c r="W311" s="179">
        <f>V311+_xlfn.XLOOKUP($R311,'Budget Assumption Driver'!$A$7:$A$11,'Budget Assumption Driver'!I$7:I$11)</f>
        <v>3</v>
      </c>
      <c r="X311" s="179">
        <f>W311+_xlfn.XLOOKUP($R311,'Budget Assumption Driver'!$A$7:$A$11,'Budget Assumption Driver'!J$7:J$11)</f>
        <v>3</v>
      </c>
      <c r="Y311" s="179">
        <f>X311+_xlfn.XLOOKUP($R311,'Budget Assumption Driver'!$A$7:$A$11,'Budget Assumption Driver'!K$7:K$11)</f>
        <v>3</v>
      </c>
      <c r="Z311" s="179">
        <f>Y311+_xlfn.XLOOKUP($R311,'Budget Assumption Driver'!$A$7:$A$11,'Budget Assumption Driver'!L$7:L$11)</f>
        <v>3</v>
      </c>
      <c r="AA311" s="179">
        <f>Z311+_xlfn.XLOOKUP($R311,'Budget Assumption Driver'!$A$7:$A$11,'Budget Assumption Driver'!M$7:M$11)</f>
        <v>3</v>
      </c>
      <c r="AB311" s="179">
        <f>AA311+_xlfn.XLOOKUP($R311,'Budget Assumption Driver'!$A$7:$A$11,'Budget Assumption Driver'!N$7:N$11)</f>
        <v>3</v>
      </c>
      <c r="AC311" s="179">
        <f>AB311+_xlfn.XLOOKUP($R311,'Budget Assumption Driver'!$A$7:$A$11,'Budget Assumption Driver'!O$7:O$11)</f>
        <v>3</v>
      </c>
      <c r="AD311" s="290">
        <f>AC311+_xlfn.XLOOKUP($R311,'Budget Assumption Driver'!$A$7:$A$11,'Budget Assumption Driver'!P$7:P$11)</f>
        <v>3</v>
      </c>
      <c r="AE311" s="15"/>
      <c r="AF311" s="229">
        <f>_xlfn.XLOOKUP($C311,'Site Level Financials - ''23 ''24'!$C$2:$C$1577,'Site Level Financials - ''23 ''24'!$AF$2:$AF$1577)</f>
        <v>3.1666666666666665</v>
      </c>
      <c r="AG311" s="91">
        <f t="shared" ref="AG311:AH311" si="815">AG313/AG312</f>
        <v>2.0817843866171004</v>
      </c>
      <c r="AH311" s="91">
        <f t="shared" si="815"/>
        <v>2.7509293680297398</v>
      </c>
    </row>
    <row r="312" spans="2:34" x14ac:dyDescent="0.2">
      <c r="B312" s="9">
        <f>G305</f>
        <v>7</v>
      </c>
      <c r="C312" s="9" t="str">
        <f t="shared" ref="C312:C348" si="816">B312&amp;" - "&amp;F312</f>
        <v>7 - Workdays in Month / Year</v>
      </c>
      <c r="D312" s="9" t="s">
        <v>56</v>
      </c>
      <c r="F312" s="7" t="s">
        <v>54</v>
      </c>
      <c r="G312" s="178">
        <f>_xlfn.XLOOKUP($C312,'Site Level Financials - ''23 ''24'!$C$2:$C$1577,'Site Level Financials - ''23 ''24'!S$2:S$1577)</f>
        <v>23</v>
      </c>
      <c r="H312" s="235">
        <f>_xlfn.XLOOKUP($C312,'Site Level Financials - ''23 ''24'!$C$2:$C$1577,'Site Level Financials - ''23 ''24'!T$2:T$1577)</f>
        <v>22</v>
      </c>
      <c r="I312" s="235">
        <f>_xlfn.XLOOKUP($C312,'Site Level Financials - ''23 ''24'!$C$2:$C$1577,'Site Level Financials - ''23 ''24'!U$2:U$1577)</f>
        <v>22</v>
      </c>
      <c r="J312" s="179">
        <f>_xlfn.XLOOKUP($C312,'Site Level Financials - ''23 ''24'!$C$2:$C$1577,'Site Level Financials - ''23 ''24'!V$2:V$1577)</f>
        <v>22</v>
      </c>
      <c r="K312" s="179">
        <f>_xlfn.XLOOKUP($C312,'Site Level Financials - ''23 ''24'!$C$2:$C$1577,'Site Level Financials - ''23 ''24'!W$2:W$1577)</f>
        <v>24</v>
      </c>
      <c r="L312" s="179">
        <f>_xlfn.XLOOKUP($C312,'Site Level Financials - ''23 ''24'!$C$2:$C$1577,'Site Level Financials - ''23 ''24'!X$2:X$1577)</f>
        <v>21</v>
      </c>
      <c r="M312" s="179">
        <f>_xlfn.XLOOKUP($C312,'Site Level Financials - ''23 ''24'!$C$2:$C$1577,'Site Level Financials - ''23 ''24'!Y$2:Y$1577)</f>
        <v>23</v>
      </c>
      <c r="N312" s="179">
        <f>_xlfn.XLOOKUP($C312,'Site Level Financials - ''23 ''24'!$C$2:$C$1577,'Site Level Financials - ''23 ''24'!Z$2:Z$1577)</f>
        <v>23</v>
      </c>
      <c r="O312" s="179">
        <f>_xlfn.XLOOKUP($C312,'Site Level Financials - ''23 ''24'!$C$2:$C$1577,'Site Level Financials - ''23 ''24'!AA$2:AA$1577)</f>
        <v>21</v>
      </c>
      <c r="P312" s="179">
        <f>_xlfn.XLOOKUP($C312,'Site Level Financials - ''23 ''24'!$C$2:$C$1577,'Site Level Financials - ''23 ''24'!AB$2:AB$1577)</f>
        <v>24</v>
      </c>
      <c r="Q312" s="179">
        <f>_xlfn.XLOOKUP($C312,'Site Level Financials - ''23 ''24'!$C$2:$C$1577,'Site Level Financials - ''23 ''24'!AC$2:AC$1577)</f>
        <v>22</v>
      </c>
      <c r="R312" s="179">
        <f>_xlfn.XLOOKUP($C312,'Site Level Financials - ''23 ''24'!$C$2:$C$1577,'Site Level Financials - ''23 ''24'!AD$2:AD$1577)</f>
        <v>22</v>
      </c>
      <c r="S312" s="155">
        <f>NETWORKDAYS(R309,S309)</f>
        <v>23</v>
      </c>
      <c r="T312" s="154">
        <f t="shared" ref="T312:AD312" si="817">NETWORKDAYS(S309,T309)</f>
        <v>22</v>
      </c>
      <c r="U312" s="154">
        <f t="shared" si="817"/>
        <v>22</v>
      </c>
      <c r="V312" s="154">
        <f t="shared" si="817"/>
        <v>22</v>
      </c>
      <c r="W312" s="154">
        <f t="shared" si="817"/>
        <v>24</v>
      </c>
      <c r="X312" s="154">
        <f t="shared" si="817"/>
        <v>21</v>
      </c>
      <c r="Y312" s="154">
        <f t="shared" si="817"/>
        <v>23</v>
      </c>
      <c r="Z312" s="154">
        <f t="shared" si="817"/>
        <v>23</v>
      </c>
      <c r="AA312" s="154">
        <f t="shared" si="817"/>
        <v>21</v>
      </c>
      <c r="AB312" s="154">
        <f t="shared" si="817"/>
        <v>24</v>
      </c>
      <c r="AC312" s="154">
        <f t="shared" si="817"/>
        <v>22</v>
      </c>
      <c r="AD312" s="156">
        <f t="shared" si="817"/>
        <v>22</v>
      </c>
      <c r="AE312" s="15"/>
      <c r="AF312" s="115">
        <f>_xlfn.XLOOKUP($C312,'Site Level Financials - ''23 ''24'!$C$2:$C$1577,'Site Level Financials - ''23 ''24'!$AF$2:$AF$1577)</f>
        <v>269</v>
      </c>
      <c r="AG312" s="93">
        <f>SUM(G312:R312)</f>
        <v>269</v>
      </c>
      <c r="AH312" s="93">
        <f>SUM(S312:AD312)</f>
        <v>269</v>
      </c>
    </row>
    <row r="313" spans="2:34" x14ac:dyDescent="0.2">
      <c r="B313" s="9">
        <f>G305</f>
        <v>7</v>
      </c>
      <c r="C313" s="9" t="str">
        <f t="shared" si="816"/>
        <v>7 - Total Vet Days</v>
      </c>
      <c r="D313" s="9" t="s">
        <v>56</v>
      </c>
      <c r="F313" s="8" t="s">
        <v>51</v>
      </c>
      <c r="G313" s="236">
        <f>_xlfn.XLOOKUP($C313,'Site Level Financials - ''23 ''24'!$C$2:$C$1577,'Site Level Financials - ''23 ''24'!S$2:S$1577)</f>
        <v>92</v>
      </c>
      <c r="H313" s="237">
        <f>_xlfn.XLOOKUP($C313,'Site Level Financials - ''23 ''24'!$C$2:$C$1577,'Site Level Financials - ''23 ''24'!T$2:T$1577)</f>
        <v>66</v>
      </c>
      <c r="I313" s="237">
        <f>_xlfn.XLOOKUP($C313,'Site Level Financials - ''23 ''24'!$C$2:$C$1577,'Site Level Financials - ''23 ''24'!U$2:U$1577)</f>
        <v>44</v>
      </c>
      <c r="J313" s="238">
        <f>_xlfn.XLOOKUP($C313,'Site Level Financials - ''23 ''24'!$C$2:$C$1577,'Site Level Financials - ''23 ''24'!V$2:V$1577)</f>
        <v>44</v>
      </c>
      <c r="K313" s="238">
        <f>_xlfn.XLOOKUP($C313,'Site Level Financials - ''23 ''24'!$C$2:$C$1577,'Site Level Financials - ''23 ''24'!W$2:W$1577)</f>
        <v>24</v>
      </c>
      <c r="L313" s="238">
        <f>_xlfn.XLOOKUP($C313,'Site Level Financials - ''23 ''24'!$C$2:$C$1577,'Site Level Financials - ''23 ''24'!X$2:X$1577)</f>
        <v>21</v>
      </c>
      <c r="M313" s="238">
        <f>_xlfn.XLOOKUP($C313,'Site Level Financials - ''23 ''24'!$C$2:$C$1577,'Site Level Financials - ''23 ''24'!Y$2:Y$1577)</f>
        <v>23</v>
      </c>
      <c r="N313" s="238">
        <f>_xlfn.XLOOKUP($C313,'Site Level Financials - ''23 ''24'!$C$2:$C$1577,'Site Level Financials - ''23 ''24'!Z$2:Z$1577)</f>
        <v>46</v>
      </c>
      <c r="O313" s="238">
        <f>_xlfn.XLOOKUP($C313,'Site Level Financials - ''23 ''24'!$C$2:$C$1577,'Site Level Financials - ''23 ''24'!AA$2:AA$1577)</f>
        <v>42</v>
      </c>
      <c r="P313" s="238">
        <f>_xlfn.XLOOKUP($C313,'Site Level Financials - ''23 ''24'!$C$2:$C$1577,'Site Level Financials - ''23 ''24'!AB$2:AB$1577)</f>
        <v>48</v>
      </c>
      <c r="Q313" s="238">
        <f>_xlfn.XLOOKUP($C313,'Site Level Financials - ''23 ''24'!$C$2:$C$1577,'Site Level Financials - ''23 ''24'!AC$2:AC$1577)</f>
        <v>66</v>
      </c>
      <c r="R313" s="238">
        <f>_xlfn.XLOOKUP($C313,'Site Level Financials - ''23 ''24'!$C$2:$C$1577,'Site Level Financials - ''23 ''24'!AD$2:AD$1577)</f>
        <v>44</v>
      </c>
      <c r="S313" s="125">
        <f t="shared" ref="S313:AD313" si="818">S311*S312</f>
        <v>46</v>
      </c>
      <c r="T313" s="127">
        <f t="shared" si="818"/>
        <v>44</v>
      </c>
      <c r="U313" s="127">
        <f t="shared" si="818"/>
        <v>44</v>
      </c>
      <c r="V313" s="127">
        <f t="shared" si="818"/>
        <v>66</v>
      </c>
      <c r="W313" s="127">
        <f t="shared" si="818"/>
        <v>72</v>
      </c>
      <c r="X313" s="127">
        <f t="shared" si="818"/>
        <v>63</v>
      </c>
      <c r="Y313" s="127">
        <f t="shared" si="818"/>
        <v>69</v>
      </c>
      <c r="Z313" s="127">
        <f t="shared" si="818"/>
        <v>69</v>
      </c>
      <c r="AA313" s="127">
        <f t="shared" si="818"/>
        <v>63</v>
      </c>
      <c r="AB313" s="127">
        <f t="shared" si="818"/>
        <v>72</v>
      </c>
      <c r="AC313" s="127">
        <f t="shared" si="818"/>
        <v>66</v>
      </c>
      <c r="AD313" s="128">
        <f t="shared" si="818"/>
        <v>66</v>
      </c>
      <c r="AF313" s="112">
        <f>_xlfn.XLOOKUP($C313,'Site Level Financials - ''23 ''24'!$C$2:$C$1577,'Site Level Financials - ''23 ''24'!$AF$2:$AF$1577)</f>
        <v>849</v>
      </c>
      <c r="AG313" s="120">
        <f>SUM(G313:R313)</f>
        <v>560</v>
      </c>
      <c r="AH313" s="120">
        <f t="shared" ref="AH313" si="819">SUM(S313:AD313)</f>
        <v>740</v>
      </c>
    </row>
    <row r="314" spans="2:34" x14ac:dyDescent="0.2">
      <c r="B314" s="9">
        <f>G305</f>
        <v>7</v>
      </c>
      <c r="C314" s="9" t="str">
        <f t="shared" si="816"/>
        <v>7 - Production per Vet Workday</v>
      </c>
      <c r="D314" s="9" t="s">
        <v>56</v>
      </c>
      <c r="F314" s="7" t="s">
        <v>50</v>
      </c>
      <c r="G314" s="239">
        <f>_xlfn.XLOOKUP($C314,'Site Level Financials - ''23 ''24'!$C$2:$C$1577,'Site Level Financials - ''23 ''24'!S$2:S$1577)</f>
        <v>4.4807964874582558</v>
      </c>
      <c r="H314" s="240">
        <f>_xlfn.XLOOKUP($C314,'Site Level Financials - ''23 ''24'!$C$2:$C$1577,'Site Level Financials - ''23 ''24'!T$2:T$1577)</f>
        <v>5.114484419780684</v>
      </c>
      <c r="I314" s="240">
        <f>_xlfn.XLOOKUP($C314,'Site Level Financials - ''23 ''24'!$C$2:$C$1577,'Site Level Financials - ''23 ''24'!U$2:U$1577)</f>
        <v>5.85477233465644</v>
      </c>
      <c r="J314" s="240">
        <f>_xlfn.XLOOKUP($C314,'Site Level Financials - ''23 ''24'!$C$2:$C$1577,'Site Level Financials - ''23 ''24'!V$2:V$1577)</f>
        <v>5.7595372997986027</v>
      </c>
      <c r="K314" s="240">
        <f>_xlfn.XLOOKUP($C314,'Site Level Financials - ''23 ''24'!$C$2:$C$1577,'Site Level Financials - ''23 ''24'!W$2:W$1577)</f>
        <v>6.7407292108539822</v>
      </c>
      <c r="L314" s="240">
        <f>_xlfn.XLOOKUP($C314,'Site Level Financials - ''23 ''24'!$C$2:$C$1577,'Site Level Financials - ''23 ''24'!X$2:X$1577)</f>
        <v>6.3118167590745831</v>
      </c>
      <c r="M314" s="240">
        <f>_xlfn.XLOOKUP($C314,'Site Level Financials - ''23 ''24'!$C$2:$C$1577,'Site Level Financials - ''23 ''24'!Y$2:Y$1577)</f>
        <v>6.0866857727131123</v>
      </c>
      <c r="N314" s="240">
        <f>_xlfn.XLOOKUP($C314,'Site Level Financials - ''23 ''24'!$C$2:$C$1577,'Site Level Financials - ''23 ''24'!Z$2:Z$1577)</f>
        <v>4.8179692323296957</v>
      </c>
      <c r="O314" s="240">
        <f>_xlfn.XLOOKUP($C314,'Site Level Financials - ''23 ''24'!$C$2:$C$1577,'Site Level Financials - ''23 ''24'!AA$2:AA$1577)</f>
        <v>5.1441596476104898</v>
      </c>
      <c r="P314" s="240">
        <f>_xlfn.XLOOKUP($C314,'Site Level Financials - ''23 ''24'!$C$2:$C$1577,'Site Level Financials - ''23 ''24'!AB$2:AB$1577)</f>
        <v>5.3291580130670964</v>
      </c>
      <c r="Q314" s="240">
        <f>_xlfn.XLOOKUP($C314,'Site Level Financials - ''23 ''24'!$C$2:$C$1577,'Site Level Financials - ''23 ''24'!AC$2:AC$1577)</f>
        <v>4.6286665312675979</v>
      </c>
      <c r="R314" s="240">
        <f>_xlfn.XLOOKUP($C314,'Site Level Financials - ''23 ''24'!$C$2:$C$1577,'Site Level Financials - ''23 ''24'!AD$2:AD$1577)</f>
        <v>3.6806740487991849</v>
      </c>
      <c r="S314" s="239">
        <f>R314*(1+_xlfn.XLOOKUP($R311,'Budget Assumption Driver'!$A$15:$A$19,'Budget Assumption Driver'!E$15:E$19))</f>
        <v>5.2074498461554644</v>
      </c>
      <c r="T314" s="240">
        <f>S314*(1+_xlfn.XLOOKUP($R311,'Budget Assumption Driver'!$A$15:$A$19,'Budget Assumption Driver'!F$15:F$19))</f>
        <v>5.6373041613963428</v>
      </c>
      <c r="U314" s="240">
        <f>T314*(1+_xlfn.XLOOKUP($R311,'Budget Assumption Driver'!$A$15:$A$19,'Budget Assumption Driver'!G$15:G$19))</f>
        <v>6.0532765183816561</v>
      </c>
      <c r="V314" s="240">
        <f>U314*(1+_xlfn.XLOOKUP($R311,'Budget Assumption Driver'!$A$15:$A$19,'Budget Assumption Driver'!H$15:H$19))</f>
        <v>5.5760455332739394</v>
      </c>
      <c r="W314" s="240">
        <f>V314*(1+_xlfn.XLOOKUP($R311,'Budget Assumption Driver'!$A$15:$A$19,'Budget Assumption Driver'!I$15:I$19))</f>
        <v>6.0749290066639769</v>
      </c>
      <c r="X314" s="240">
        <f>W314*(1+_xlfn.XLOOKUP($R311,'Budget Assumption Driver'!$A$15:$A$19,'Budget Assumption Driver'!J$15:J$19))</f>
        <v>5.8301874466251551</v>
      </c>
      <c r="Y314" s="240">
        <f>X314*(1+_xlfn.XLOOKUP($R311,'Budget Assumption Driver'!$A$15:$A$19,'Budget Assumption Driver'!K$15:K$19))</f>
        <v>5.3628041836473406</v>
      </c>
      <c r="Z314" s="240">
        <f>Y314*(1+_xlfn.XLOOKUP($R311,'Budget Assumption Driver'!$A$15:$A$19,'Budget Assumption Driver'!L$15:L$19))</f>
        <v>4.5985554161623172</v>
      </c>
      <c r="AA314" s="240">
        <f>Z314*(1+_xlfn.XLOOKUP($R311,'Budget Assumption Driver'!$A$15:$A$19,'Budget Assumption Driver'!M$15:M$19))</f>
        <v>4.6176617245453162</v>
      </c>
      <c r="AB314" s="240">
        <f>AA314*(1+_xlfn.XLOOKUP($R311,'Budget Assumption Driver'!$A$15:$A$19,'Budget Assumption Driver'!N$15:N$19))</f>
        <v>4.6404321001817355</v>
      </c>
      <c r="AC314" s="240">
        <f>AB314*(1+_xlfn.XLOOKUP($R311,'Budget Assumption Driver'!$A$15:$A$19,'Budget Assumption Driver'!O$15:O$19))</f>
        <v>4.0015827692335746</v>
      </c>
      <c r="AD314" s="291">
        <f>AC314*(1+_xlfn.XLOOKUP($R311,'Budget Assumption Driver'!$A$15:$A$19,'Budget Assumption Driver'!P$15:P$19))</f>
        <v>3.2661420868434337</v>
      </c>
      <c r="AE314" s="15"/>
      <c r="AF314" s="230">
        <f>_xlfn.XLOOKUP($C314,'Site Level Financials - ''23 ''24'!$C$2:$C$1577,'Site Level Financials - ''23 ''24'!$AF$2:$AF$1577)</f>
        <v>5.612933596514476</v>
      </c>
      <c r="AG314" s="101">
        <f>AG315/AG313</f>
        <v>5.1001086106536118</v>
      </c>
      <c r="AH314" s="101">
        <f>AH315/AH313</f>
        <v>5.0252316194514099</v>
      </c>
    </row>
    <row r="315" spans="2:34" x14ac:dyDescent="0.2">
      <c r="B315" s="9">
        <f>G305</f>
        <v>7</v>
      </c>
      <c r="C315" s="9" t="str">
        <f t="shared" si="816"/>
        <v>7 - Total Production</v>
      </c>
      <c r="D315" s="9" t="s">
        <v>56</v>
      </c>
      <c r="F315" s="8" t="s">
        <v>1</v>
      </c>
      <c r="G315" s="241">
        <f>_xlfn.XLOOKUP($C315,'Site Level Financials - ''23 ''24'!$C$2:$C$1577,'Site Level Financials - ''23 ''24'!S$2:S$1577)</f>
        <v>412.23327684615953</v>
      </c>
      <c r="H315" s="242">
        <f>_xlfn.XLOOKUP($C315,'Site Level Financials - ''23 ''24'!$C$2:$C$1577,'Site Level Financials - ''23 ''24'!T$2:T$1577)</f>
        <v>337.55597170552517</v>
      </c>
      <c r="I315" s="242">
        <f>_xlfn.XLOOKUP($C315,'Site Level Financials - ''23 ''24'!$C$2:$C$1577,'Site Level Financials - ''23 ''24'!U$2:U$1577)</f>
        <v>257.60998272488337</v>
      </c>
      <c r="J315" s="242">
        <f>_xlfn.XLOOKUP($C315,'Site Level Financials - ''23 ''24'!$C$2:$C$1577,'Site Level Financials - ''23 ''24'!V$2:V$1577)</f>
        <v>253.41964119113851</v>
      </c>
      <c r="K315" s="242">
        <f>_xlfn.XLOOKUP($C315,'Site Level Financials - ''23 ''24'!$C$2:$C$1577,'Site Level Financials - ''23 ''24'!W$2:W$1577)</f>
        <v>161.77750106049558</v>
      </c>
      <c r="L315" s="242">
        <f>_xlfn.XLOOKUP($C315,'Site Level Financials - ''23 ''24'!$C$2:$C$1577,'Site Level Financials - ''23 ''24'!X$2:X$1577)</f>
        <v>132.54815194056624</v>
      </c>
      <c r="M315" s="242">
        <f>_xlfn.XLOOKUP($C315,'Site Level Financials - ''23 ''24'!$C$2:$C$1577,'Site Level Financials - ''23 ''24'!Y$2:Y$1577)</f>
        <v>139.99377277240157</v>
      </c>
      <c r="N315" s="242">
        <f>_xlfn.XLOOKUP($C315,'Site Level Financials - ''23 ''24'!$C$2:$C$1577,'Site Level Financials - ''23 ''24'!Z$2:Z$1577)</f>
        <v>221.626584687166</v>
      </c>
      <c r="O315" s="242">
        <f>_xlfn.XLOOKUP($C315,'Site Level Financials - ''23 ''24'!$C$2:$C$1577,'Site Level Financials - ''23 ''24'!AA$2:AA$1577)</f>
        <v>216.05470519964058</v>
      </c>
      <c r="P315" s="242">
        <f>_xlfn.XLOOKUP($C315,'Site Level Financials - ''23 ''24'!$C$2:$C$1577,'Site Level Financials - ''23 ''24'!AB$2:AB$1577)</f>
        <v>255.79958462722061</v>
      </c>
      <c r="Q315" s="242">
        <f>_xlfn.XLOOKUP($C315,'Site Level Financials - ''23 ''24'!$C$2:$C$1577,'Site Level Financials - ''23 ''24'!AC$2:AC$1577)</f>
        <v>305.49199106366143</v>
      </c>
      <c r="R315" s="242">
        <f>_xlfn.XLOOKUP($C315,'Site Level Financials - ''23 ''24'!$C$2:$C$1577,'Site Level Financials - ''23 ''24'!AD$2:AD$1577)</f>
        <v>161.94965814716414</v>
      </c>
      <c r="S315" s="134">
        <f t="shared" ref="S315:AD315" si="820">S314*S313</f>
        <v>239.54269292315135</v>
      </c>
      <c r="T315" s="135">
        <f t="shared" si="820"/>
        <v>248.0413831014391</v>
      </c>
      <c r="U315" s="135">
        <f t="shared" si="820"/>
        <v>266.34416680879286</v>
      </c>
      <c r="V315" s="135">
        <f t="shared" si="820"/>
        <v>368.01900519608</v>
      </c>
      <c r="W315" s="135">
        <f t="shared" si="820"/>
        <v>437.39488847980635</v>
      </c>
      <c r="X315" s="135">
        <f t="shared" si="820"/>
        <v>367.30180913738479</v>
      </c>
      <c r="Y315" s="135">
        <f t="shared" si="820"/>
        <v>370.03348867166648</v>
      </c>
      <c r="Z315" s="135">
        <f t="shared" si="820"/>
        <v>317.30032371519991</v>
      </c>
      <c r="AA315" s="135">
        <f t="shared" si="820"/>
        <v>290.91268864635492</v>
      </c>
      <c r="AB315" s="135">
        <f t="shared" si="820"/>
        <v>334.11111121308494</v>
      </c>
      <c r="AC315" s="135">
        <f t="shared" si="820"/>
        <v>264.10446276941593</v>
      </c>
      <c r="AD315" s="136">
        <f t="shared" si="820"/>
        <v>215.56537773166662</v>
      </c>
      <c r="AE315" s="15"/>
      <c r="AF315" s="113">
        <f>_xlfn.XLOOKUP($C315,'Site Level Financials - ''23 ''24'!$C$2:$C$1577,'Site Level Financials - ''23 ''24'!$AF$2:$AF$1577)</f>
        <v>4564.540761142157</v>
      </c>
      <c r="AG315" s="95">
        <f>SUM(G315:R315)</f>
        <v>2856.0608219660226</v>
      </c>
      <c r="AH315" s="95">
        <f t="shared" ref="AH315" si="821">SUM(S315:AD315)</f>
        <v>3718.6713983940431</v>
      </c>
    </row>
    <row r="316" spans="2:34" x14ac:dyDescent="0.2">
      <c r="B316" s="9">
        <f>G305</f>
        <v>7</v>
      </c>
      <c r="C316" s="9" t="str">
        <f t="shared" si="816"/>
        <v>7 - Revenue as a % of Production</v>
      </c>
      <c r="D316" s="9" t="s">
        <v>56</v>
      </c>
      <c r="F316" s="7" t="s">
        <v>2</v>
      </c>
      <c r="G316" s="243">
        <f>_xlfn.XLOOKUP($C316,'Site Level Financials - ''23 ''24'!$C$2:$C$1577,'Site Level Financials - ''23 ''24'!S$2:S$1577)</f>
        <v>0.98578797910608251</v>
      </c>
      <c r="H316" s="244">
        <f>_xlfn.XLOOKUP($C316,'Site Level Financials - ''23 ''24'!$C$2:$C$1577,'Site Level Financials - ''23 ''24'!T$2:T$1577)</f>
        <v>0.98578797910608251</v>
      </c>
      <c r="I316" s="244">
        <f>_xlfn.XLOOKUP($C316,'Site Level Financials - ''23 ''24'!$C$2:$C$1577,'Site Level Financials - ''23 ''24'!U$2:U$1577)</f>
        <v>0.98578797910608251</v>
      </c>
      <c r="J316" s="244">
        <f>_xlfn.XLOOKUP($C316,'Site Level Financials - ''23 ''24'!$C$2:$C$1577,'Site Level Financials - ''23 ''24'!V$2:V$1577)</f>
        <v>0.98578797910608251</v>
      </c>
      <c r="K316" s="244">
        <f>_xlfn.XLOOKUP($C316,'Site Level Financials - ''23 ''24'!$C$2:$C$1577,'Site Level Financials - ''23 ''24'!W$2:W$1577)</f>
        <v>0.98578797910608251</v>
      </c>
      <c r="L316" s="244">
        <f>_xlfn.XLOOKUP($C316,'Site Level Financials - ''23 ''24'!$C$2:$C$1577,'Site Level Financials - ''23 ''24'!X$2:X$1577)</f>
        <v>0.98578797910608251</v>
      </c>
      <c r="M316" s="244">
        <f>_xlfn.XLOOKUP($C316,'Site Level Financials - ''23 ''24'!$C$2:$C$1577,'Site Level Financials - ''23 ''24'!Y$2:Y$1577)</f>
        <v>0.98578797910608251</v>
      </c>
      <c r="N316" s="244">
        <f>_xlfn.XLOOKUP($C316,'Site Level Financials - ''23 ''24'!$C$2:$C$1577,'Site Level Financials - ''23 ''24'!Z$2:Z$1577)</f>
        <v>0.98578797910608251</v>
      </c>
      <c r="O316" s="244">
        <f>_xlfn.XLOOKUP($C316,'Site Level Financials - ''23 ''24'!$C$2:$C$1577,'Site Level Financials - ''23 ''24'!AA$2:AA$1577)</f>
        <v>0.98578797910608251</v>
      </c>
      <c r="P316" s="244">
        <f>_xlfn.XLOOKUP($C316,'Site Level Financials - ''23 ''24'!$C$2:$C$1577,'Site Level Financials - ''23 ''24'!AB$2:AB$1577)</f>
        <v>0.98578797910608251</v>
      </c>
      <c r="Q316" s="244">
        <f>_xlfn.XLOOKUP($C316,'Site Level Financials - ''23 ''24'!$C$2:$C$1577,'Site Level Financials - ''23 ''24'!AC$2:AC$1577)</f>
        <v>0.98578797910608251</v>
      </c>
      <c r="R316" s="244">
        <f>_xlfn.XLOOKUP($C316,'Site Level Financials - ''23 ''24'!$C$2:$C$1577,'Site Level Financials - ''23 ''24'!AD$2:AD$1577)</f>
        <v>0.98578797910608251</v>
      </c>
      <c r="S316" s="292">
        <f>SUM(G345:R345)/SUM(G315:R315)</f>
        <v>0.98292838749047984</v>
      </c>
      <c r="T316" s="203">
        <f>S316</f>
        <v>0.98292838749047984</v>
      </c>
      <c r="U316" s="203">
        <f t="shared" ref="U316:AD316" si="822">T316</f>
        <v>0.98292838749047984</v>
      </c>
      <c r="V316" s="203">
        <f t="shared" si="822"/>
        <v>0.98292838749047984</v>
      </c>
      <c r="W316" s="203">
        <f t="shared" si="822"/>
        <v>0.98292838749047984</v>
      </c>
      <c r="X316" s="203">
        <f t="shared" si="822"/>
        <v>0.98292838749047984</v>
      </c>
      <c r="Y316" s="203">
        <f t="shared" si="822"/>
        <v>0.98292838749047984</v>
      </c>
      <c r="Z316" s="203">
        <f t="shared" si="822"/>
        <v>0.98292838749047984</v>
      </c>
      <c r="AA316" s="203">
        <f t="shared" si="822"/>
        <v>0.98292838749047984</v>
      </c>
      <c r="AB316" s="203">
        <f t="shared" si="822"/>
        <v>0.98292838749047984</v>
      </c>
      <c r="AC316" s="203">
        <f t="shared" si="822"/>
        <v>0.98292838749047984</v>
      </c>
      <c r="AD316" s="204">
        <f t="shared" si="822"/>
        <v>0.98292838749047984</v>
      </c>
      <c r="AE316" s="15"/>
      <c r="AF316" s="231">
        <f>_xlfn.XLOOKUP($C316,'Site Level Financials - ''23 ''24'!$C$2:$C$1577,'Site Level Financials - ''23 ''24'!$AF$2:$AF$1577)</f>
        <v>0.97603554707437978</v>
      </c>
      <c r="AG316" s="103">
        <f>AG317/AG315</f>
        <v>0.98578797910608251</v>
      </c>
      <c r="AH316" s="103">
        <f>AH317/AH315</f>
        <v>0.98292838749047984</v>
      </c>
    </row>
    <row r="317" spans="2:34" x14ac:dyDescent="0.2">
      <c r="B317" s="9">
        <f>G305</f>
        <v>7</v>
      </c>
      <c r="C317" s="9" t="str">
        <f t="shared" si="816"/>
        <v>7 - Total Revenue</v>
      </c>
      <c r="D317" s="9" t="s">
        <v>56</v>
      </c>
      <c r="F317" s="8" t="s">
        <v>3</v>
      </c>
      <c r="G317" s="241">
        <f>_xlfn.XLOOKUP($C317,'Site Level Financials - ''23 ''24'!$C$2:$C$1577,'Site Level Financials - ''23 ''24'!S$2:S$1577)</f>
        <v>406.37460890245382</v>
      </c>
      <c r="H317" s="242">
        <f>_xlfn.XLOOKUP($C317,'Site Level Financials - ''23 ''24'!$C$2:$C$1577,'Site Level Financials - ''23 ''24'!T$2:T$1577)</f>
        <v>332.75861918277963</v>
      </c>
      <c r="I317" s="242">
        <f>_xlfn.XLOOKUP($C317,'Site Level Financials - ''23 ''24'!$C$2:$C$1577,'Site Level Financials - ''23 ''24'!U$2:U$1577)</f>
        <v>253.9488242679156</v>
      </c>
      <c r="J317" s="242">
        <f>_xlfn.XLOOKUP($C317,'Site Level Financials - ''23 ''24'!$C$2:$C$1577,'Site Level Financials - ''23 ''24'!V$2:V$1577)</f>
        <v>249.81803595560098</v>
      </c>
      <c r="K317" s="242">
        <f>_xlfn.XLOOKUP($C317,'Site Level Financials - ''23 ''24'!$C$2:$C$1577,'Site Level Financials - ''23 ''24'!W$2:W$1577)</f>
        <v>159.47831583525806</v>
      </c>
      <c r="L317" s="242">
        <f>_xlfn.XLOOKUP($C317,'Site Level Financials - ''23 ''24'!$C$2:$C$1577,'Site Level Financials - ''23 ''24'!X$2:X$1577)</f>
        <v>130.66437483573677</v>
      </c>
      <c r="M317" s="242">
        <f>_xlfn.XLOOKUP($C317,'Site Level Financials - ''23 ''24'!$C$2:$C$1577,'Site Level Financials - ''23 ''24'!Y$2:Y$1577)</f>
        <v>138.00417834874187</v>
      </c>
      <c r="N317" s="242">
        <f>_xlfn.XLOOKUP($C317,'Site Level Financials - ''23 ''24'!$C$2:$C$1577,'Site Level Financials - ''23 ''24'!Z$2:Z$1577)</f>
        <v>218.47682303494443</v>
      </c>
      <c r="O317" s="242">
        <f>_xlfn.XLOOKUP($C317,'Site Level Financials - ''23 ''24'!$C$2:$C$1577,'Site Level Financials - ''23 ''24'!AA$2:AA$1577)</f>
        <v>212.9841312151141</v>
      </c>
      <c r="P317" s="242">
        <f>_xlfn.XLOOKUP($C317,'Site Level Financials - ''23 ''24'!$C$2:$C$1577,'Site Level Financials - ''23 ''24'!AB$2:AB$1577)</f>
        <v>252.16415558584313</v>
      </c>
      <c r="Q317" s="242">
        <f>_xlfn.XLOOKUP($C317,'Site Level Financials - ''23 ''24'!$C$2:$C$1577,'Site Level Financials - ''23 ''24'!AC$2:AC$1577)</f>
        <v>301.15033250374023</v>
      </c>
      <c r="R317" s="242">
        <f>_xlfn.XLOOKUP($C317,'Site Level Financials - ''23 ''24'!$C$2:$C$1577,'Site Level Financials - ''23 ''24'!AD$2:AD$1577)</f>
        <v>159.64802622181386</v>
      </c>
      <c r="S317" s="134">
        <f t="shared" ref="S317:AD317" si="823">S316*S315</f>
        <v>235.45331289008033</v>
      </c>
      <c r="T317" s="135">
        <f t="shared" si="823"/>
        <v>243.80691672280588</v>
      </c>
      <c r="U317" s="135">
        <f t="shared" si="823"/>
        <v>261.79724239886212</v>
      </c>
      <c r="V317" s="135">
        <f t="shared" si="823"/>
        <v>361.73632734323343</v>
      </c>
      <c r="W317" s="135">
        <f t="shared" si="823"/>
        <v>429.92785243003431</v>
      </c>
      <c r="X317" s="135">
        <f t="shared" si="823"/>
        <v>361.03137497774566</v>
      </c>
      <c r="Y317" s="135">
        <f t="shared" si="823"/>
        <v>363.71642033751789</v>
      </c>
      <c r="Z317" s="135">
        <f t="shared" si="823"/>
        <v>311.88349553958869</v>
      </c>
      <c r="AA317" s="135">
        <f t="shared" si="823"/>
        <v>285.94633995168169</v>
      </c>
      <c r="AB317" s="135">
        <f t="shared" si="823"/>
        <v>328.40729578732993</v>
      </c>
      <c r="AC317" s="135">
        <f t="shared" si="823"/>
        <v>259.59577371898149</v>
      </c>
      <c r="AD317" s="136">
        <f t="shared" si="823"/>
        <v>211.88532913256324</v>
      </c>
      <c r="AE317" s="15"/>
      <c r="AF317" s="113">
        <f>_xlfn.XLOOKUP($C317,'Site Level Financials - ''23 ''24'!$C$2:$C$1577,'Site Level Financials - ''23 ''24'!$AF$2:$AF$1577)</f>
        <v>4455.1540389446909</v>
      </c>
      <c r="AG317" s="95">
        <f>SUM(G317:R317)</f>
        <v>2815.4704258899424</v>
      </c>
      <c r="AH317" s="95">
        <f t="shared" ref="AH317" si="824">SUM(S317:AD317)</f>
        <v>3655.1876812304245</v>
      </c>
    </row>
    <row r="318" spans="2:34" x14ac:dyDescent="0.2">
      <c r="B318" s="9">
        <f>G305</f>
        <v>7</v>
      </c>
      <c r="C318" s="9" t="str">
        <f t="shared" si="816"/>
        <v>7 - % YoY Revenue Growth</v>
      </c>
      <c r="D318" s="9" t="s">
        <v>56</v>
      </c>
      <c r="F318" s="16" t="s">
        <v>174</v>
      </c>
      <c r="G318" s="245">
        <f>_xlfn.XLOOKUP($C318,'Site Level Financials - ''23 ''24'!$C$2:$C$1577,'Site Level Financials - ''23 ''24'!S$2:S$1577)</f>
        <v>-8.3478887108032862E-2</v>
      </c>
      <c r="H318" s="246">
        <f>_xlfn.XLOOKUP($C318,'Site Level Financials - ''23 ''24'!$C$2:$C$1577,'Site Level Financials - ''23 ''24'!T$2:T$1577)</f>
        <v>-0.2400982112047807</v>
      </c>
      <c r="I318" s="246">
        <f>_xlfn.XLOOKUP($C318,'Site Level Financials - ''23 ''24'!$C$2:$C$1577,'Site Level Financials - ''23 ''24'!U$2:U$1577)</f>
        <v>-0.40702605740132358</v>
      </c>
      <c r="J318" s="246">
        <f>_xlfn.XLOOKUP($C318,'Site Level Financials - ''23 ''24'!$C$2:$C$1577,'Site Level Financials - ''23 ''24'!V$2:V$1577)</f>
        <v>-0.37229187267339914</v>
      </c>
      <c r="K318" s="246">
        <f>_xlfn.XLOOKUP($C318,'Site Level Financials - ''23 ''24'!$C$2:$C$1577,'Site Level Financials - ''23 ''24'!W$2:W$1577)</f>
        <v>-0.51072242371903775</v>
      </c>
      <c r="L318" s="246">
        <f>_xlfn.XLOOKUP($C318,'Site Level Financials - ''23 ''24'!$C$2:$C$1577,'Site Level Financials - ''23 ''24'!X$2:X$1577)</f>
        <v>-0.56445088860893944</v>
      </c>
      <c r="M318" s="246">
        <f>_xlfn.XLOOKUP($C318,'Site Level Financials - ''23 ''24'!$C$2:$C$1577,'Site Level Financials - ''23 ''24'!Y$2:Y$1577)</f>
        <v>-0.47807570889570439</v>
      </c>
      <c r="N318" s="246">
        <f>_xlfn.XLOOKUP($C318,'Site Level Financials - ''23 ''24'!$C$2:$C$1577,'Site Level Financials - ''23 ''24'!Z$2:Z$1577)</f>
        <v>-0.4364785228146314</v>
      </c>
      <c r="O318" s="246">
        <f>_xlfn.XLOOKUP($C318,'Site Level Financials - ''23 ''24'!$C$2:$C$1577,'Site Level Financials - ''23 ''24'!AA$2:AA$1577)</f>
        <v>-0.38511849701788725</v>
      </c>
      <c r="P318" s="246">
        <f>_xlfn.XLOOKUP($C318,'Site Level Financials - ''23 ''24'!$C$2:$C$1577,'Site Level Financials - ''23 ''24'!AB$2:AB$1577)</f>
        <v>-0.22894083595897086</v>
      </c>
      <c r="Q318" s="246">
        <f>_xlfn.XLOOKUP($C318,'Site Level Financials - ''23 ''24'!$C$2:$C$1577,'Site Level Financials - ''23 ''24'!AC$2:AC$1577)</f>
        <v>-0.24120617871440442</v>
      </c>
      <c r="R318" s="246">
        <f>_xlfn.XLOOKUP($C318,'Site Level Financials - ''23 ''24'!$C$2:$C$1577,'Site Level Financials - ''23 ''24'!AD$2:AD$1577)</f>
        <v>-0.60014394175667951</v>
      </c>
      <c r="S318" s="148">
        <f>S317/G317-1</f>
        <v>-0.42060033345587655</v>
      </c>
      <c r="T318" s="149">
        <f t="shared" ref="T318" si="825">T317/H317-1</f>
        <v>-0.2673159982404959</v>
      </c>
      <c r="U318" s="149">
        <f t="shared" ref="U318" si="826">U317/I317-1</f>
        <v>3.0905510799555724E-2</v>
      </c>
      <c r="V318" s="149">
        <f t="shared" ref="V318" si="827">V317/J317-1</f>
        <v>0.44799924456824725</v>
      </c>
      <c r="W318" s="149">
        <f t="shared" ref="W318" si="828">W317/K317-1</f>
        <v>1.6958389306929478</v>
      </c>
      <c r="X318" s="149">
        <f t="shared" ref="X318" si="829">X317/L317-1</f>
        <v>1.763043679132986</v>
      </c>
      <c r="Y318" s="149">
        <f t="shared" ref="Y318" si="830">Y317/M317-1</f>
        <v>1.6355464355462663</v>
      </c>
      <c r="Z318" s="149">
        <f t="shared" ref="Z318" si="831">Z317/N317-1</f>
        <v>0.42753584204995643</v>
      </c>
      <c r="AA318" s="149">
        <f t="shared" ref="AA318" si="832">AA317/O317-1</f>
        <v>0.34257110292820703</v>
      </c>
      <c r="AB318" s="149">
        <f t="shared" ref="AB318" si="833">AB317/P317-1</f>
        <v>0.30235518614592194</v>
      </c>
      <c r="AC318" s="149">
        <f t="shared" ref="AC318" si="834">AC317/Q317-1</f>
        <v>-0.13798609631036229</v>
      </c>
      <c r="AD318" s="150">
        <f t="shared" ref="AD318" si="835">AD317/R317-1</f>
        <v>0.32720293602735318</v>
      </c>
      <c r="AE318" s="15"/>
      <c r="AF318" s="11"/>
      <c r="AG318" s="97">
        <f>AG317/AF317-1</f>
        <v>-0.36804195740965817</v>
      </c>
      <c r="AH318" s="97">
        <f>AH317/AG317-1</f>
        <v>0.29825113686820415</v>
      </c>
    </row>
    <row r="319" spans="2:34" ht="6" customHeight="1" x14ac:dyDescent="0.2">
      <c r="B319" s="9">
        <f>G305</f>
        <v>7</v>
      </c>
      <c r="C319" s="9" t="str">
        <f t="shared" si="816"/>
        <v xml:space="preserve">7 - </v>
      </c>
      <c r="D319" s="9" t="s">
        <v>56</v>
      </c>
      <c r="G319" s="80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80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81"/>
      <c r="AE319" s="15"/>
      <c r="AF319" s="11"/>
      <c r="AG319" s="15"/>
      <c r="AH319" s="15"/>
    </row>
    <row r="320" spans="2:34" x14ac:dyDescent="0.2">
      <c r="B320" s="9">
        <f>G305</f>
        <v>7</v>
      </c>
      <c r="C320" s="9" t="str">
        <f t="shared" si="816"/>
        <v>7 - Doctor Compensation</v>
      </c>
      <c r="D320" s="9" t="s">
        <v>56</v>
      </c>
      <c r="F320" t="s">
        <v>4</v>
      </c>
      <c r="G320" s="178">
        <f>_xlfn.XLOOKUP($C320,'Site Level Financials - ''23 ''24'!$C$2:$C$1577,'Site Level Financials - ''23 ''24'!S$2:S$1577)</f>
        <v>-132.16098577272763</v>
      </c>
      <c r="H320" s="179">
        <f>_xlfn.XLOOKUP($C320,'Site Level Financials - ''23 ''24'!$C$2:$C$1577,'Site Level Financials - ''23 ''24'!T$2:T$1577)</f>
        <v>-143.14563188878978</v>
      </c>
      <c r="I320" s="179">
        <f>_xlfn.XLOOKUP($C320,'Site Level Financials - ''23 ''24'!$C$2:$C$1577,'Site Level Financials - ''23 ''24'!U$2:U$1577)</f>
        <v>-106.77345919056415</v>
      </c>
      <c r="J320" s="179">
        <f>_xlfn.XLOOKUP($C320,'Site Level Financials - ''23 ''24'!$C$2:$C$1577,'Site Level Financials - ''23 ''24'!V$2:V$1577)</f>
        <v>-101.90520846045906</v>
      </c>
      <c r="K320" s="179">
        <f>_xlfn.XLOOKUP($C320,'Site Level Financials - ''23 ''24'!$C$2:$C$1577,'Site Level Financials - ''23 ''24'!W$2:W$1577)</f>
        <v>-61.72739313297447</v>
      </c>
      <c r="L320" s="179">
        <f>_xlfn.XLOOKUP($C320,'Site Level Financials - ''23 ''24'!$C$2:$C$1577,'Site Level Financials - ''23 ''24'!X$2:X$1577)</f>
        <v>-100.06822107447749</v>
      </c>
      <c r="M320" s="179">
        <f>_xlfn.XLOOKUP($C320,'Site Level Financials - ''23 ''24'!$C$2:$C$1577,'Site Level Financials - ''23 ''24'!Y$2:Y$1577)</f>
        <v>-107.82643558248941</v>
      </c>
      <c r="N320" s="179">
        <f>_xlfn.XLOOKUP($C320,'Site Level Financials - ''23 ''24'!$C$2:$C$1577,'Site Level Financials - ''23 ''24'!Z$2:Z$1577)</f>
        <v>-86.05608646456318</v>
      </c>
      <c r="O320" s="179">
        <f>_xlfn.XLOOKUP($C320,'Site Level Financials - ''23 ''24'!$C$2:$C$1577,'Site Level Financials - ''23 ''24'!AA$2:AA$1577)</f>
        <v>-124.00607886905719</v>
      </c>
      <c r="P320" s="179">
        <f>_xlfn.XLOOKUP($C320,'Site Level Financials - ''23 ''24'!$C$2:$C$1577,'Site Level Financials - ''23 ''24'!AB$2:AB$1577)</f>
        <v>-144.02579641907491</v>
      </c>
      <c r="Q320" s="179">
        <f>_xlfn.XLOOKUP($C320,'Site Level Financials - ''23 ''24'!$C$2:$C$1577,'Site Level Financials - ''23 ''24'!AC$2:AC$1577)</f>
        <v>-118.47206477178277</v>
      </c>
      <c r="R320" s="179">
        <f>_xlfn.XLOOKUP($C320,'Site Level Financials - ''23 ''24'!$C$2:$C$1577,'Site Level Financials - ''23 ''24'!AD$2:AD$1577)</f>
        <v>-93.039321717196401</v>
      </c>
      <c r="S320" s="155">
        <f>S321*S317</f>
        <v>-76.574031086861041</v>
      </c>
      <c r="T320" s="154">
        <f t="shared" ref="T320" si="836">T321*T317</f>
        <v>-104.88051440667138</v>
      </c>
      <c r="U320" s="154">
        <f t="shared" ref="U320" si="837">U321*U317</f>
        <v>-110.07334748668406</v>
      </c>
      <c r="V320" s="154">
        <f t="shared" ref="V320" si="838">V321*V317</f>
        <v>-147.55866486831448</v>
      </c>
      <c r="W320" s="154">
        <f t="shared" ref="W320" si="839">W321*W317</f>
        <v>-166.40710949806112</v>
      </c>
      <c r="X320" s="154">
        <f t="shared" ref="X320" si="840">X321*X317</f>
        <v>-276.49286572191727</v>
      </c>
      <c r="Y320" s="154">
        <f t="shared" ref="Y320" si="841">Y321*Y317</f>
        <v>-284.18157795708908</v>
      </c>
      <c r="Z320" s="154">
        <f t="shared" ref="Z320" si="842">Z321*Z317</f>
        <v>-122.84814785471406</v>
      </c>
      <c r="AA320" s="154">
        <f t="shared" ref="AA320" si="843">AA321*AA317</f>
        <v>-166.48697807703232</v>
      </c>
      <c r="AB320" s="154">
        <f t="shared" ref="AB320" si="844">AB321*AB317</f>
        <v>-187.57274290517896</v>
      </c>
      <c r="AC320" s="154">
        <f t="shared" ref="AC320" si="845">AC321*AC317</f>
        <v>-102.12456703209608</v>
      </c>
      <c r="AD320" s="156">
        <f t="shared" ref="AD320" si="846">AD321*AD317</f>
        <v>-123.48206094905656</v>
      </c>
      <c r="AE320" s="15"/>
      <c r="AF320" s="115">
        <f>_xlfn.XLOOKUP($C320,'Site Level Financials - ''23 ''24'!$C$2:$C$1577,'Site Level Financials - ''23 ''24'!$AF$2:$AF$1577)</f>
        <v>-1666.5083566270266</v>
      </c>
      <c r="AG320" s="93">
        <f>SUM(G320:R320)</f>
        <v>-1319.2066833441563</v>
      </c>
      <c r="AH320" s="93">
        <f t="shared" ref="AH320" si="847">SUM(S320:AD320)</f>
        <v>-1868.6826078436764</v>
      </c>
    </row>
    <row r="321" spans="2:34" x14ac:dyDescent="0.2">
      <c r="B321" s="9">
        <f>G305</f>
        <v>7</v>
      </c>
      <c r="C321" s="9" t="str">
        <f t="shared" si="816"/>
        <v>7 - % of Revenue - Doctor Compensation</v>
      </c>
      <c r="D321" s="9" t="s">
        <v>56</v>
      </c>
      <c r="F321" s="16" t="str">
        <f>"% of Revenue - "&amp;F320</f>
        <v>% of Revenue - Doctor Compensation</v>
      </c>
      <c r="G321" s="148">
        <f>G320/G317</f>
        <v>-0.32521959511611997</v>
      </c>
      <c r="H321" s="149">
        <f t="shared" ref="H321:R321" si="848">H320/H317</f>
        <v>-0.43017858482626381</v>
      </c>
      <c r="I321" s="149">
        <f t="shared" si="848"/>
        <v>-0.42045266206044069</v>
      </c>
      <c r="J321" s="149">
        <f t="shared" si="848"/>
        <v>-0.40791773928832831</v>
      </c>
      <c r="K321" s="149">
        <f t="shared" si="848"/>
        <v>-0.38705822048396343</v>
      </c>
      <c r="L321" s="149">
        <f t="shared" si="848"/>
        <v>-0.7658416550056365</v>
      </c>
      <c r="M321" s="149">
        <f t="shared" si="848"/>
        <v>-0.78132732553943296</v>
      </c>
      <c r="N321" s="149">
        <f t="shared" si="848"/>
        <v>-0.39389114721243856</v>
      </c>
      <c r="O321" s="149">
        <f t="shared" si="848"/>
        <v>-0.58223154073300876</v>
      </c>
      <c r="P321" s="149">
        <f t="shared" si="848"/>
        <v>-0.57115887896305251</v>
      </c>
      <c r="Q321" s="149">
        <f t="shared" si="848"/>
        <v>-0.39339841927722718</v>
      </c>
      <c r="R321" s="149">
        <f t="shared" si="848"/>
        <v>-0.58277777633109107</v>
      </c>
      <c r="S321" s="245">
        <f>_xlfn.XLOOKUP($F321,'Budget Assumption Driver'!$A$33:$A$39,'Budget Assumption Driver'!E$33:E$39)+G321</f>
        <v>-0.32521959511611997</v>
      </c>
      <c r="T321" s="246">
        <f>_xlfn.XLOOKUP($F321,'Budget Assumption Driver'!$A$33:$A$39,'Budget Assumption Driver'!F$33:F$39)+H321</f>
        <v>-0.43017858482626381</v>
      </c>
      <c r="U321" s="246">
        <f>_xlfn.XLOOKUP($F321,'Budget Assumption Driver'!$A$33:$A$39,'Budget Assumption Driver'!G$33:G$39)+I321</f>
        <v>-0.42045266206044069</v>
      </c>
      <c r="V321" s="246">
        <f>_xlfn.XLOOKUP($F321,'Budget Assumption Driver'!$A$33:$A$39,'Budget Assumption Driver'!H$33:H$39)+J321</f>
        <v>-0.40791773928832831</v>
      </c>
      <c r="W321" s="246">
        <f>_xlfn.XLOOKUP($F321,'Budget Assumption Driver'!$A$33:$A$39,'Budget Assumption Driver'!I$33:I$39)+K321</f>
        <v>-0.38705822048396343</v>
      </c>
      <c r="X321" s="246">
        <f>_xlfn.XLOOKUP($F321,'Budget Assumption Driver'!$A$33:$A$39,'Budget Assumption Driver'!J$33:J$39)+L321</f>
        <v>-0.7658416550056365</v>
      </c>
      <c r="Y321" s="246">
        <f>_xlfn.XLOOKUP($F321,'Budget Assumption Driver'!$A$33:$A$39,'Budget Assumption Driver'!K$33:K$39)+M321</f>
        <v>-0.78132732553943296</v>
      </c>
      <c r="Z321" s="246">
        <f>_xlfn.XLOOKUP($F321,'Budget Assumption Driver'!$A$33:$A$39,'Budget Assumption Driver'!L$33:L$39)+N321</f>
        <v>-0.39389114721243856</v>
      </c>
      <c r="AA321" s="246">
        <f>_xlfn.XLOOKUP($F321,'Budget Assumption Driver'!$A$33:$A$39,'Budget Assumption Driver'!M$33:M$39)+O321</f>
        <v>-0.58223154073300876</v>
      </c>
      <c r="AB321" s="246">
        <f>_xlfn.XLOOKUP($F321,'Budget Assumption Driver'!$A$33:$A$39,'Budget Assumption Driver'!N$33:N$39)+P321</f>
        <v>-0.57115887896305251</v>
      </c>
      <c r="AC321" s="246">
        <f>_xlfn.XLOOKUP($F321,'Budget Assumption Driver'!$A$33:$A$39,'Budget Assumption Driver'!O$33:O$39)+Q321</f>
        <v>-0.39339841927722718</v>
      </c>
      <c r="AD321" s="296">
        <f>_xlfn.XLOOKUP($F321,'Budget Assumption Driver'!$A$33:$A$39,'Budget Assumption Driver'!P$33:P$39)+R321</f>
        <v>-0.58277777633109107</v>
      </c>
      <c r="AE321" s="15"/>
      <c r="AF321" s="232">
        <f>_xlfn.XLOOKUP($C321,'Site Level Financials - ''23 ''24'!$C$2:$C$1577,'Site Level Financials - ''23 ''24'!$AF$2:$AF$1577)</f>
        <v>-0.37406301601678821</v>
      </c>
      <c r="AG321" s="97">
        <f t="shared" ref="AG321:AH321" si="849">AG320/AG317</f>
        <v>-0.46855639867968712</v>
      </c>
      <c r="AH321" s="97">
        <f t="shared" si="849"/>
        <v>-0.51124121955199653</v>
      </c>
    </row>
    <row r="322" spans="2:34" ht="3" customHeight="1" x14ac:dyDescent="0.2">
      <c r="B322" s="9">
        <f>G305</f>
        <v>7</v>
      </c>
      <c r="C322" s="9" t="str">
        <f t="shared" si="816"/>
        <v xml:space="preserve">7 - </v>
      </c>
      <c r="D322" s="9" t="s">
        <v>56</v>
      </c>
      <c r="F322" s="16"/>
      <c r="G322" s="84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4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6"/>
      <c r="AE322" s="15"/>
      <c r="AF322" s="36"/>
      <c r="AG322" s="38"/>
      <c r="AH322" s="38"/>
    </row>
    <row r="323" spans="2:34" x14ac:dyDescent="0.2">
      <c r="B323" s="9">
        <f>G305</f>
        <v>7</v>
      </c>
      <c r="C323" s="9" t="str">
        <f t="shared" si="816"/>
        <v>7 - Administrative Staff Compensation</v>
      </c>
      <c r="D323" s="9" t="s">
        <v>56</v>
      </c>
      <c r="F323" t="s">
        <v>5</v>
      </c>
      <c r="G323" s="178">
        <f>_xlfn.XLOOKUP($C323,'Site Level Financials - ''23 ''24'!$C$2:$C$1577,'Site Level Financials - ''23 ''24'!S$2:S$1577)</f>
        <v>-77.923913311512464</v>
      </c>
      <c r="H323" s="179">
        <f>_xlfn.XLOOKUP($C323,'Site Level Financials - ''23 ''24'!$C$2:$C$1577,'Site Level Financials - ''23 ''24'!T$2:T$1577)</f>
        <v>-83.259515527376351</v>
      </c>
      <c r="I323" s="179">
        <f>_xlfn.XLOOKUP($C323,'Site Level Financials - ''23 ''24'!$C$2:$C$1577,'Site Level Financials - ''23 ''24'!U$2:U$1577)</f>
        <v>-96.132083059001459</v>
      </c>
      <c r="J323" s="179">
        <f>_xlfn.XLOOKUP($C323,'Site Level Financials - ''23 ''24'!$C$2:$C$1577,'Site Level Financials - ''23 ''24'!V$2:V$1577)</f>
        <v>-94.921146334257941</v>
      </c>
      <c r="K323" s="179">
        <f>_xlfn.XLOOKUP($C323,'Site Level Financials - ''23 ''24'!$C$2:$C$1577,'Site Level Financials - ''23 ''24'!W$2:W$1577)</f>
        <v>-138.66954063287324</v>
      </c>
      <c r="L323" s="179">
        <f>_xlfn.XLOOKUP($C323,'Site Level Financials - ''23 ''24'!$C$2:$C$1577,'Site Level Financials - ''23 ''24'!X$2:X$1577)</f>
        <v>-107.74207960604649</v>
      </c>
      <c r="M323" s="179">
        <f>_xlfn.XLOOKUP($C323,'Site Level Financials - ''23 ''24'!$C$2:$C$1577,'Site Level Financials - ''23 ''24'!Y$2:Y$1577)</f>
        <v>-112.99964854215607</v>
      </c>
      <c r="N323" s="179">
        <f>_xlfn.XLOOKUP($C323,'Site Level Financials - ''23 ''24'!$C$2:$C$1577,'Site Level Financials - ''23 ''24'!Z$2:Z$1577)</f>
        <v>-86.26637429114848</v>
      </c>
      <c r="O323" s="179">
        <f>_xlfn.XLOOKUP($C323,'Site Level Financials - ''23 ''24'!$C$2:$C$1577,'Site Level Financials - ''23 ''24'!AA$2:AA$1577)</f>
        <v>-84.60520903565488</v>
      </c>
      <c r="P323" s="179">
        <f>_xlfn.XLOOKUP($C323,'Site Level Financials - ''23 ''24'!$C$2:$C$1577,'Site Level Financials - ''23 ''24'!AB$2:AB$1577)</f>
        <v>-100.57195772006553</v>
      </c>
      <c r="Q323" s="179">
        <f>_xlfn.XLOOKUP($C323,'Site Level Financials - ''23 ''24'!$C$2:$C$1577,'Site Level Financials - ''23 ''24'!AC$2:AC$1577)</f>
        <v>-76.782349919865908</v>
      </c>
      <c r="R323" s="179">
        <f>_xlfn.XLOOKUP($C323,'Site Level Financials - ''23 ''24'!$C$2:$C$1577,'Site Level Financials - ''23 ''24'!AD$2:AD$1577)</f>
        <v>-58.748400938812395</v>
      </c>
      <c r="S323" s="155">
        <f>S324*S317</f>
        <v>-45.149089388503505</v>
      </c>
      <c r="T323" s="154">
        <f t="shared" ref="T323" si="850">T324*T317</f>
        <v>-61.00291502115568</v>
      </c>
      <c r="U323" s="154">
        <f t="shared" ref="U323" si="851">U324*U317</f>
        <v>-99.103094190165208</v>
      </c>
      <c r="V323" s="154">
        <f t="shared" ref="V323" si="852">V324*V317</f>
        <v>-137.44574818555753</v>
      </c>
      <c r="W323" s="154">
        <f t="shared" ref="W323" si="853">W324*W317</f>
        <v>-373.83074613940727</v>
      </c>
      <c r="X323" s="154">
        <f t="shared" ref="X323" si="854">X324*X317</f>
        <v>-297.69607203212973</v>
      </c>
      <c r="Y323" s="154">
        <f t="shared" ref="Y323" si="855">Y324*Y317</f>
        <v>-297.81582093326028</v>
      </c>
      <c r="Z323" s="154">
        <f t="shared" ref="Z323" si="856">Z324*Z317</f>
        <v>-123.14834126431136</v>
      </c>
      <c r="AA323" s="154">
        <f t="shared" ref="AA323" si="857">AA324*AA317</f>
        <v>-113.58850880847066</v>
      </c>
      <c r="AB323" s="154">
        <f t="shared" ref="AB323" si="858">AB324*AB317</f>
        <v>-130.98041071757572</v>
      </c>
      <c r="AC323" s="154">
        <f t="shared" ref="AC323" si="859">AC324*AC317</f>
        <v>-66.187453188887346</v>
      </c>
      <c r="AD323" s="156">
        <f t="shared" ref="AD323" si="860">AD324*AD317</f>
        <v>-77.971050212903918</v>
      </c>
      <c r="AE323" s="15"/>
      <c r="AF323" s="115">
        <f>_xlfn.XLOOKUP($C323,'Site Level Financials - ''23 ''24'!$C$2:$C$1577,'Site Level Financials - ''23 ''24'!$AF$2:$AF$1577)</f>
        <v>-1153.9008758556872</v>
      </c>
      <c r="AG323" s="93">
        <f>SUM(G323:R323)</f>
        <v>-1118.6222189187711</v>
      </c>
      <c r="AH323" s="93">
        <f t="shared" ref="AH323" si="861">SUM(S323:AD323)</f>
        <v>-1823.9192500823281</v>
      </c>
    </row>
    <row r="324" spans="2:34" x14ac:dyDescent="0.2">
      <c r="B324" s="9">
        <f>G305</f>
        <v>7</v>
      </c>
      <c r="C324" s="9" t="str">
        <f t="shared" si="816"/>
        <v>7 - % of Revenue - Administrative Staff Compensation</v>
      </c>
      <c r="D324" s="9" t="s">
        <v>56</v>
      </c>
      <c r="F324" s="16" t="str">
        <f>"% of Revenue - "&amp;F323</f>
        <v>% of Revenue - Administrative Staff Compensation</v>
      </c>
      <c r="G324" s="148">
        <f>G323/G317</f>
        <v>-0.19175389309379151</v>
      </c>
      <c r="H324" s="149">
        <f t="shared" ref="H324:R324" si="862">H323/H317</f>
        <v>-0.25020994416869807</v>
      </c>
      <c r="I324" s="149">
        <f t="shared" si="862"/>
        <v>-0.37854903772888615</v>
      </c>
      <c r="J324" s="149">
        <f t="shared" si="862"/>
        <v>-0.37996114240177536</v>
      </c>
      <c r="K324" s="149">
        <f t="shared" si="862"/>
        <v>-0.8695197206378803</v>
      </c>
      <c r="L324" s="149">
        <f t="shared" si="862"/>
        <v>-0.82457119426387815</v>
      </c>
      <c r="M324" s="149">
        <f t="shared" si="862"/>
        <v>-0.81881324097739705</v>
      </c>
      <c r="N324" s="149">
        <f t="shared" si="862"/>
        <v>-0.39485366499196367</v>
      </c>
      <c r="O324" s="149">
        <f t="shared" si="862"/>
        <v>-0.39723714885689565</v>
      </c>
      <c r="P324" s="149">
        <f t="shared" si="862"/>
        <v>-0.39883526461725149</v>
      </c>
      <c r="Q324" s="149">
        <f t="shared" si="862"/>
        <v>-0.25496352363785713</v>
      </c>
      <c r="R324" s="149">
        <f t="shared" si="862"/>
        <v>-0.36798701699692654</v>
      </c>
      <c r="S324" s="245">
        <f>_xlfn.XLOOKUP($F324,'Budget Assumption Driver'!$A$33:$A$39,'Budget Assumption Driver'!E$33:E$39)+G324</f>
        <v>-0.19175389309379151</v>
      </c>
      <c r="T324" s="246">
        <f>_xlfn.XLOOKUP($F324,'Budget Assumption Driver'!$A$33:$A$39,'Budget Assumption Driver'!F$33:F$39)+H324</f>
        <v>-0.25020994416869807</v>
      </c>
      <c r="U324" s="246">
        <f>_xlfn.XLOOKUP($F324,'Budget Assumption Driver'!$A$33:$A$39,'Budget Assumption Driver'!G$33:G$39)+I324</f>
        <v>-0.37854903772888615</v>
      </c>
      <c r="V324" s="246">
        <f>_xlfn.XLOOKUP($F324,'Budget Assumption Driver'!$A$33:$A$39,'Budget Assumption Driver'!H$33:H$39)+J324</f>
        <v>-0.37996114240177536</v>
      </c>
      <c r="W324" s="246">
        <f>_xlfn.XLOOKUP($F324,'Budget Assumption Driver'!$A$33:$A$39,'Budget Assumption Driver'!I$33:I$39)+K324</f>
        <v>-0.8695197206378803</v>
      </c>
      <c r="X324" s="246">
        <f>_xlfn.XLOOKUP($F324,'Budget Assumption Driver'!$A$33:$A$39,'Budget Assumption Driver'!J$33:J$39)+L324</f>
        <v>-0.82457119426387815</v>
      </c>
      <c r="Y324" s="246">
        <f>_xlfn.XLOOKUP($F324,'Budget Assumption Driver'!$A$33:$A$39,'Budget Assumption Driver'!K$33:K$39)+M324</f>
        <v>-0.81881324097739705</v>
      </c>
      <c r="Z324" s="246">
        <f>_xlfn.XLOOKUP($F324,'Budget Assumption Driver'!$A$33:$A$39,'Budget Assumption Driver'!L$33:L$39)+N324</f>
        <v>-0.39485366499196367</v>
      </c>
      <c r="AA324" s="246">
        <f>_xlfn.XLOOKUP($F324,'Budget Assumption Driver'!$A$33:$A$39,'Budget Assumption Driver'!M$33:M$39)+O324</f>
        <v>-0.39723714885689565</v>
      </c>
      <c r="AB324" s="246">
        <f>_xlfn.XLOOKUP($F324,'Budget Assumption Driver'!$A$33:$A$39,'Budget Assumption Driver'!N$33:N$39)+P324</f>
        <v>-0.39883526461725149</v>
      </c>
      <c r="AC324" s="246">
        <f>_xlfn.XLOOKUP($F324,'Budget Assumption Driver'!$A$33:$A$39,'Budget Assumption Driver'!O$33:O$39)+Q324</f>
        <v>-0.25496352363785713</v>
      </c>
      <c r="AD324" s="296">
        <f>_xlfn.XLOOKUP($F324,'Budget Assumption Driver'!$A$33:$A$39,'Budget Assumption Driver'!P$33:P$39)+R324</f>
        <v>-0.36798701699692654</v>
      </c>
      <c r="AE324" s="15"/>
      <c r="AF324" s="232">
        <f>_xlfn.XLOOKUP($C324,'Site Level Financials - ''23 ''24'!$C$2:$C$1577,'Site Level Financials - ''23 ''24'!$AF$2:$AF$1577)</f>
        <v>-0.25900358680505153</v>
      </c>
      <c r="AG324" s="97">
        <f t="shared" ref="AG324:AH324" si="863">AG323/AG317</f>
        <v>-0.39731272210582202</v>
      </c>
      <c r="AH324" s="97">
        <f t="shared" si="863"/>
        <v>-0.49899469169483324</v>
      </c>
    </row>
    <row r="325" spans="2:34" ht="3" customHeight="1" x14ac:dyDescent="0.2">
      <c r="B325" s="9">
        <f>G305</f>
        <v>7</v>
      </c>
      <c r="C325" s="9" t="str">
        <f t="shared" si="816"/>
        <v xml:space="preserve">7 - </v>
      </c>
      <c r="D325" s="9" t="s">
        <v>56</v>
      </c>
      <c r="F325" s="16"/>
      <c r="G325" s="84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4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6"/>
      <c r="AE325" s="15"/>
      <c r="AF325" s="36"/>
      <c r="AG325" s="38"/>
      <c r="AH325" s="38"/>
    </row>
    <row r="326" spans="2:34" x14ac:dyDescent="0.2">
      <c r="B326" s="9">
        <f>G305</f>
        <v>7</v>
      </c>
      <c r="C326" s="9" t="str">
        <f t="shared" si="816"/>
        <v>7 - Office Supplies</v>
      </c>
      <c r="D326" s="9" t="s">
        <v>56</v>
      </c>
      <c r="F326" t="s">
        <v>6</v>
      </c>
      <c r="G326" s="178">
        <f>_xlfn.XLOOKUP($C326,'Site Level Financials - ''23 ''24'!$C$2:$C$1577,'Site Level Financials - ''23 ''24'!S$2:S$1577)</f>
        <v>-19.77127552655466</v>
      </c>
      <c r="H326" s="179">
        <f>_xlfn.XLOOKUP($C326,'Site Level Financials - ''23 ''24'!$C$2:$C$1577,'Site Level Financials - ''23 ''24'!T$2:T$1577)</f>
        <v>-23.688769750106971</v>
      </c>
      <c r="I326" s="179">
        <f>_xlfn.XLOOKUP($C326,'Site Level Financials - ''23 ''24'!$C$2:$C$1577,'Site Level Financials - ''23 ''24'!U$2:U$1577)</f>
        <v>-24.749841321995021</v>
      </c>
      <c r="J326" s="179">
        <f>_xlfn.XLOOKUP($C326,'Site Level Financials - ''23 ''24'!$C$2:$C$1577,'Site Level Financials - ''23 ''24'!V$2:V$1577)</f>
        <v>-21.892272375054166</v>
      </c>
      <c r="K326" s="179">
        <f>_xlfn.XLOOKUP($C326,'Site Level Financials - ''23 ''24'!$C$2:$C$1577,'Site Level Financials - ''23 ''24'!W$2:W$1577)</f>
        <v>-28.458140782636637</v>
      </c>
      <c r="L326" s="179">
        <f>_xlfn.XLOOKUP($C326,'Site Level Financials - ''23 ''24'!$C$2:$C$1577,'Site Level Financials - ''23 ''24'!X$2:X$1577)</f>
        <v>-23.136532016052872</v>
      </c>
      <c r="M326" s="179">
        <f>_xlfn.XLOOKUP($C326,'Site Level Financials - ''23 ''24'!$C$2:$C$1577,'Site Level Financials - ''23 ''24'!Y$2:Y$1577)</f>
        <v>-24.427817182868807</v>
      </c>
      <c r="N326" s="179">
        <f>_xlfn.XLOOKUP($C326,'Site Level Financials - ''23 ''24'!$C$2:$C$1577,'Site Level Financials - ''23 ''24'!Z$2:Z$1577)</f>
        <v>-19.508591922230618</v>
      </c>
      <c r="O326" s="179">
        <f>_xlfn.XLOOKUP($C326,'Site Level Financials - ''23 ''24'!$C$2:$C$1577,'Site Level Financials - ''23 ''24'!AA$2:AA$1577)</f>
        <v>-19.337956661299888</v>
      </c>
      <c r="P326" s="179">
        <f>_xlfn.XLOOKUP($C326,'Site Level Financials - ''23 ''24'!$C$2:$C$1577,'Site Level Financials - ''23 ''24'!AB$2:AB$1577)</f>
        <v>-25.102769637107382</v>
      </c>
      <c r="Q326" s="179">
        <f>_xlfn.XLOOKUP($C326,'Site Level Financials - ''23 ''24'!$C$2:$C$1577,'Site Level Financials - ''23 ''24'!AC$2:AC$1577)</f>
        <v>-21.016849672229128</v>
      </c>
      <c r="R326" s="179">
        <f>_xlfn.XLOOKUP($C326,'Site Level Financials - ''23 ''24'!$C$2:$C$1577,'Site Level Financials - ''23 ''24'!AD$2:AD$1577)</f>
        <v>-17.112949407848564</v>
      </c>
      <c r="S326" s="155">
        <f>S327*S317</f>
        <v>-11.45547044723776</v>
      </c>
      <c r="T326" s="154">
        <f t="shared" ref="T326" si="864">T327*T317</f>
        <v>-17.356382617267865</v>
      </c>
      <c r="U326" s="154">
        <f t="shared" ref="U326" si="865">U327*U317</f>
        <v>-25.514747810259227</v>
      </c>
      <c r="V326" s="154">
        <f t="shared" ref="V326" si="866">V327*V317</f>
        <v>-31.699993860960738</v>
      </c>
      <c r="W326" s="154">
        <f t="shared" ref="W326" si="867">W327*W317</f>
        <v>-76.718563816972519</v>
      </c>
      <c r="X326" s="154">
        <f t="shared" ref="X326" si="868">X327*X317</f>
        <v>-63.927248544012848</v>
      </c>
      <c r="Y326" s="154">
        <f t="shared" ref="Y326" si="869">Y327*Y317</f>
        <v>-64.380646504485725</v>
      </c>
      <c r="Z326" s="154">
        <f t="shared" ref="Z326" si="870">Z327*Z317</f>
        <v>-27.849214196910459</v>
      </c>
      <c r="AA326" s="154">
        <f t="shared" ref="AA326" si="871">AA327*AA317</f>
        <v>-25.962581803139258</v>
      </c>
      <c r="AB326" s="154">
        <f t="shared" ref="AB326" si="872">AB327*AB317</f>
        <v>-32.692722223513179</v>
      </c>
      <c r="AC326" s="154">
        <f t="shared" ref="AC326" si="873">AC327*AC317</f>
        <v>-18.116816629216512</v>
      </c>
      <c r="AD326" s="156">
        <f t="shared" ref="AD326" si="874">AD327*AD317</f>
        <v>-22.712356698184173</v>
      </c>
      <c r="AE326" s="15"/>
      <c r="AF326" s="115">
        <f>_xlfn.XLOOKUP($C326,'Site Level Financials - ''23 ''24'!$C$2:$C$1577,'Site Level Financials - ''23 ''24'!$AF$2:$AF$1577)</f>
        <v>-290.74255315646661</v>
      </c>
      <c r="AG326" s="93">
        <f>SUM(G326:R326)</f>
        <v>-268.2037662559847</v>
      </c>
      <c r="AH326" s="93">
        <f t="shared" ref="AH326" si="875">SUM(S326:AD326)</f>
        <v>-418.38674515216019</v>
      </c>
    </row>
    <row r="327" spans="2:34" x14ac:dyDescent="0.2">
      <c r="B327" s="9">
        <f>G305</f>
        <v>7</v>
      </c>
      <c r="C327" s="9" t="str">
        <f t="shared" si="816"/>
        <v>7 - % of Revenue - Office Supplies</v>
      </c>
      <c r="D327" s="9" t="s">
        <v>56</v>
      </c>
      <c r="F327" s="16" t="str">
        <f>"% of Revenue - "&amp;F326</f>
        <v>% of Revenue - Office Supplies</v>
      </c>
      <c r="G327" s="148">
        <f>G326/G317</f>
        <v>-4.8652831878333615E-2</v>
      </c>
      <c r="H327" s="149">
        <f t="shared" ref="H327:R327" si="876">H326/H317</f>
        <v>-7.1189049312333705E-2</v>
      </c>
      <c r="I327" s="149">
        <f t="shared" si="876"/>
        <v>-9.74599563252318E-2</v>
      </c>
      <c r="J327" s="149">
        <f t="shared" si="876"/>
        <v>-8.7632873628647773E-2</v>
      </c>
      <c r="K327" s="149">
        <f t="shared" si="876"/>
        <v>-0.17844520512766165</v>
      </c>
      <c r="L327" s="149">
        <f t="shared" si="876"/>
        <v>-0.17706840173642358</v>
      </c>
      <c r="M327" s="149">
        <f t="shared" si="876"/>
        <v>-0.17700780856894616</v>
      </c>
      <c r="N327" s="149">
        <f t="shared" si="876"/>
        <v>-8.9293645207896039E-2</v>
      </c>
      <c r="O327" s="149">
        <f t="shared" si="876"/>
        <v>-9.0795293297079208E-2</v>
      </c>
      <c r="P327" s="149">
        <f t="shared" si="876"/>
        <v>-9.9549317700555404E-2</v>
      </c>
      <c r="Q327" s="149">
        <f t="shared" si="876"/>
        <v>-6.9788565390237783E-2</v>
      </c>
      <c r="R327" s="149">
        <f t="shared" si="876"/>
        <v>-0.10719173805551439</v>
      </c>
      <c r="S327" s="245">
        <f>_xlfn.XLOOKUP($F327,'Budget Assumption Driver'!$A$33:$A$39,'Budget Assumption Driver'!E$33:E$39)+G327</f>
        <v>-4.8652831878333615E-2</v>
      </c>
      <c r="T327" s="246">
        <f>_xlfn.XLOOKUP($F327,'Budget Assumption Driver'!$A$33:$A$39,'Budget Assumption Driver'!F$33:F$39)+H327</f>
        <v>-7.1189049312333705E-2</v>
      </c>
      <c r="U327" s="246">
        <f>_xlfn.XLOOKUP($F327,'Budget Assumption Driver'!$A$33:$A$39,'Budget Assumption Driver'!G$33:G$39)+I327</f>
        <v>-9.74599563252318E-2</v>
      </c>
      <c r="V327" s="246">
        <f>_xlfn.XLOOKUP($F327,'Budget Assumption Driver'!$A$33:$A$39,'Budget Assumption Driver'!H$33:H$39)+J327</f>
        <v>-8.7632873628647773E-2</v>
      </c>
      <c r="W327" s="246">
        <f>_xlfn.XLOOKUP($F327,'Budget Assumption Driver'!$A$33:$A$39,'Budget Assumption Driver'!I$33:I$39)+K327</f>
        <v>-0.17844520512766165</v>
      </c>
      <c r="X327" s="246">
        <f>_xlfn.XLOOKUP($F327,'Budget Assumption Driver'!$A$33:$A$39,'Budget Assumption Driver'!J$33:J$39)+L327</f>
        <v>-0.17706840173642358</v>
      </c>
      <c r="Y327" s="246">
        <f>_xlfn.XLOOKUP($F327,'Budget Assumption Driver'!$A$33:$A$39,'Budget Assumption Driver'!K$33:K$39)+M327</f>
        <v>-0.17700780856894616</v>
      </c>
      <c r="Z327" s="246">
        <f>_xlfn.XLOOKUP($F327,'Budget Assumption Driver'!$A$33:$A$39,'Budget Assumption Driver'!L$33:L$39)+N327</f>
        <v>-8.9293645207896039E-2</v>
      </c>
      <c r="AA327" s="246">
        <f>_xlfn.XLOOKUP($F327,'Budget Assumption Driver'!$A$33:$A$39,'Budget Assumption Driver'!M$33:M$39)+O327</f>
        <v>-9.0795293297079208E-2</v>
      </c>
      <c r="AB327" s="246">
        <f>_xlfn.XLOOKUP($F327,'Budget Assumption Driver'!$A$33:$A$39,'Budget Assumption Driver'!N$33:N$39)+P327</f>
        <v>-9.9549317700555404E-2</v>
      </c>
      <c r="AC327" s="246">
        <f>_xlfn.XLOOKUP($F327,'Budget Assumption Driver'!$A$33:$A$39,'Budget Assumption Driver'!O$33:O$39)+Q327</f>
        <v>-6.9788565390237783E-2</v>
      </c>
      <c r="AD327" s="296">
        <f>_xlfn.XLOOKUP($F327,'Budget Assumption Driver'!$A$33:$A$39,'Budget Assumption Driver'!P$33:P$39)+R327</f>
        <v>-0.10719173805551439</v>
      </c>
      <c r="AE327" s="15"/>
      <c r="AF327" s="232">
        <f>_xlfn.XLOOKUP($C327,'Site Level Financials - ''23 ''24'!$C$2:$C$1577,'Site Level Financials - ''23 ''24'!$AF$2:$AF$1577)</f>
        <v>-6.5259820561745577E-2</v>
      </c>
      <c r="AG327" s="97">
        <f t="shared" ref="AG327:AH327" si="877">AG326/AG317</f>
        <v>-9.5260729357939583E-2</v>
      </c>
      <c r="AH327" s="97">
        <f t="shared" si="877"/>
        <v>-0.1144638200934517</v>
      </c>
    </row>
    <row r="328" spans="2:34" ht="6" customHeight="1" x14ac:dyDescent="0.2">
      <c r="B328" s="9">
        <f>G305</f>
        <v>7</v>
      </c>
      <c r="C328" s="9" t="str">
        <f t="shared" si="816"/>
        <v xml:space="preserve">7 - </v>
      </c>
      <c r="D328" s="9" t="s">
        <v>56</v>
      </c>
      <c r="F328" s="16"/>
      <c r="G328" s="80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80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81"/>
      <c r="AE328" s="15"/>
      <c r="AF328" s="11"/>
      <c r="AG328" s="15"/>
      <c r="AH328" s="15"/>
    </row>
    <row r="329" spans="2:34" x14ac:dyDescent="0.2">
      <c r="B329" s="9">
        <f>G305</f>
        <v>7</v>
      </c>
      <c r="C329" s="9" t="str">
        <f t="shared" si="816"/>
        <v>7 - Office Gross Profit</v>
      </c>
      <c r="D329" s="9" t="s">
        <v>56</v>
      </c>
      <c r="F329" s="8" t="s">
        <v>11</v>
      </c>
      <c r="G329" s="241">
        <f>_xlfn.XLOOKUP($C329,'Site Level Financials - ''23 ''24'!$C$2:$C$1577,'Site Level Financials - ''23 ''24'!S$2:S$1577)</f>
        <v>176.51843429165908</v>
      </c>
      <c r="H329" s="242">
        <f>_xlfn.XLOOKUP($C329,'Site Level Financials - ''23 ''24'!$C$2:$C$1577,'Site Level Financials - ''23 ''24'!T$2:T$1577)</f>
        <v>82.664702016506524</v>
      </c>
      <c r="I329" s="242">
        <f>_xlfn.XLOOKUP($C329,'Site Level Financials - ''23 ''24'!$C$2:$C$1577,'Site Level Financials - ''23 ''24'!U$2:U$1577)</f>
        <v>26.293440696354963</v>
      </c>
      <c r="J329" s="242">
        <f>_xlfn.XLOOKUP($C329,'Site Level Financials - ''23 ''24'!$C$2:$C$1577,'Site Level Financials - ''23 ''24'!V$2:V$1577)</f>
        <v>31.099408785829819</v>
      </c>
      <c r="K329" s="242">
        <f>_xlfn.XLOOKUP($C329,'Site Level Financials - ''23 ''24'!$C$2:$C$1577,'Site Level Financials - ''23 ''24'!W$2:W$1577)</f>
        <v>-69.37675871322628</v>
      </c>
      <c r="L329" s="242">
        <f>_xlfn.XLOOKUP($C329,'Site Level Financials - ''23 ''24'!$C$2:$C$1577,'Site Level Financials - ''23 ''24'!X$2:X$1577)</f>
        <v>-100.28245786084008</v>
      </c>
      <c r="M329" s="242">
        <f>_xlfn.XLOOKUP($C329,'Site Level Financials - ''23 ''24'!$C$2:$C$1577,'Site Level Financials - ''23 ''24'!Y$2:Y$1577)</f>
        <v>-107.24972295877241</v>
      </c>
      <c r="N329" s="242">
        <f>_xlfn.XLOOKUP($C329,'Site Level Financials - ''23 ''24'!$C$2:$C$1577,'Site Level Financials - ''23 ''24'!Z$2:Z$1577)</f>
        <v>26.645770357002153</v>
      </c>
      <c r="O329" s="242">
        <f>_xlfn.XLOOKUP($C329,'Site Level Financials - ''23 ''24'!$C$2:$C$1577,'Site Level Financials - ''23 ''24'!AA$2:AA$1577)</f>
        <v>-14.965113350897855</v>
      </c>
      <c r="P329" s="242">
        <f>_xlfn.XLOOKUP($C329,'Site Level Financials - ''23 ''24'!$C$2:$C$1577,'Site Level Financials - ''23 ''24'!AB$2:AB$1577)</f>
        <v>-17.536368190404684</v>
      </c>
      <c r="Q329" s="242">
        <f>_xlfn.XLOOKUP($C329,'Site Level Financials - ''23 ''24'!$C$2:$C$1577,'Site Level Financials - ''23 ''24'!AC$2:AC$1577)</f>
        <v>84.87906813986244</v>
      </c>
      <c r="R329" s="242">
        <f>_xlfn.XLOOKUP($C329,'Site Level Financials - ''23 ''24'!$C$2:$C$1577,'Site Level Financials - ''23 ''24'!AD$2:AD$1577)</f>
        <v>-9.2526458420434956</v>
      </c>
      <c r="S329" s="134">
        <f t="shared" ref="S329:AD329" si="878">S317+S320+S323+S326</f>
        <v>102.274721967478</v>
      </c>
      <c r="T329" s="135">
        <f t="shared" si="878"/>
        <v>60.567104677710958</v>
      </c>
      <c r="U329" s="135">
        <f t="shared" si="878"/>
        <v>27.106052911753647</v>
      </c>
      <c r="V329" s="135">
        <f t="shared" si="878"/>
        <v>45.031920428400674</v>
      </c>
      <c r="W329" s="135">
        <f t="shared" si="878"/>
        <v>-187.02856702440658</v>
      </c>
      <c r="X329" s="135">
        <f t="shared" si="878"/>
        <v>-277.0848113203142</v>
      </c>
      <c r="Y329" s="135">
        <f t="shared" si="878"/>
        <v>-282.66162505731722</v>
      </c>
      <c r="Z329" s="135">
        <f t="shared" si="878"/>
        <v>38.037792223652822</v>
      </c>
      <c r="AA329" s="135">
        <f t="shared" si="878"/>
        <v>-20.091728736960548</v>
      </c>
      <c r="AB329" s="135">
        <f t="shared" si="878"/>
        <v>-22.838580058937929</v>
      </c>
      <c r="AC329" s="135">
        <f t="shared" si="878"/>
        <v>73.166936868781548</v>
      </c>
      <c r="AD329" s="136">
        <f t="shared" si="878"/>
        <v>-12.280138727581409</v>
      </c>
      <c r="AE329" s="15"/>
      <c r="AF329" s="114">
        <f>_xlfn.XLOOKUP($C329,'Site Level Financials - ''23 ''24'!$C$2:$C$1577,'Site Level Financials - ''23 ''24'!$AF$2:$AF$1577)</f>
        <v>1344.0022533055103</v>
      </c>
      <c r="AG329" s="95">
        <f>SUM(G329:R329)</f>
        <v>109.43775737103017</v>
      </c>
      <c r="AH329" s="95">
        <f t="shared" ref="AH329" si="879">SUM(S329:AD329)</f>
        <v>-455.8009218477402</v>
      </c>
    </row>
    <row r="330" spans="2:34" x14ac:dyDescent="0.2">
      <c r="B330" s="9">
        <f>G305</f>
        <v>7</v>
      </c>
      <c r="C330" s="9" t="str">
        <f t="shared" si="816"/>
        <v>7 - % of Revenue - Office Gross Profit</v>
      </c>
      <c r="D330" s="9" t="s">
        <v>56</v>
      </c>
      <c r="F330" s="16" t="str">
        <f>"% of Revenue - "&amp;F329</f>
        <v>% of Revenue - Office Gross Profit</v>
      </c>
      <c r="G330" s="148">
        <f>G329/G317</f>
        <v>0.43437367991175496</v>
      </c>
      <c r="H330" s="149">
        <f t="shared" ref="H330:AD330" si="880">H329/H317</f>
        <v>0.24842242169270443</v>
      </c>
      <c r="I330" s="149">
        <f t="shared" si="880"/>
        <v>0.10353834388544136</v>
      </c>
      <c r="J330" s="149">
        <f t="shared" si="880"/>
        <v>0.12448824468124862</v>
      </c>
      <c r="K330" s="149">
        <f t="shared" si="880"/>
        <v>-0.43502314624950539</v>
      </c>
      <c r="L330" s="149">
        <f t="shared" si="880"/>
        <v>-0.76748125100593823</v>
      </c>
      <c r="M330" s="149">
        <f t="shared" si="880"/>
        <v>-0.77714837508577628</v>
      </c>
      <c r="N330" s="149">
        <f t="shared" si="880"/>
        <v>0.12196154258770174</v>
      </c>
      <c r="O330" s="149">
        <f t="shared" si="880"/>
        <v>-7.0263982886983642E-2</v>
      </c>
      <c r="P330" s="149">
        <f t="shared" si="880"/>
        <v>-6.9543461280859378E-2</v>
      </c>
      <c r="Q330" s="149">
        <f t="shared" si="880"/>
        <v>0.28184949169467799</v>
      </c>
      <c r="R330" s="149">
        <f t="shared" si="880"/>
        <v>-5.7956531383532003E-2</v>
      </c>
      <c r="S330" s="148">
        <f t="shared" si="880"/>
        <v>0.4343736799117548</v>
      </c>
      <c r="T330" s="149">
        <f t="shared" si="880"/>
        <v>0.24842242169270445</v>
      </c>
      <c r="U330" s="149">
        <f t="shared" si="880"/>
        <v>0.10353834388544141</v>
      </c>
      <c r="V330" s="149">
        <f t="shared" si="880"/>
        <v>0.12448824468124858</v>
      </c>
      <c r="W330" s="149">
        <f t="shared" si="880"/>
        <v>-0.43502314624950539</v>
      </c>
      <c r="X330" s="149">
        <f t="shared" si="880"/>
        <v>-0.76748125100593823</v>
      </c>
      <c r="Y330" s="149">
        <f t="shared" si="880"/>
        <v>-0.77714837508577628</v>
      </c>
      <c r="Z330" s="149">
        <f t="shared" si="880"/>
        <v>0.12196154258770171</v>
      </c>
      <c r="AA330" s="149">
        <f t="shared" si="880"/>
        <v>-7.0263982886983559E-2</v>
      </c>
      <c r="AB330" s="149">
        <f t="shared" si="880"/>
        <v>-6.9543461280859434E-2</v>
      </c>
      <c r="AC330" s="149">
        <f t="shared" si="880"/>
        <v>0.28184949169467788</v>
      </c>
      <c r="AD330" s="150">
        <f t="shared" si="880"/>
        <v>-5.7956531383532003E-2</v>
      </c>
      <c r="AE330" s="15"/>
      <c r="AF330" s="233">
        <f>_xlfn.XLOOKUP($C330,'Site Level Financials - ''23 ''24'!$C$2:$C$1577,'Site Level Financials - ''23 ''24'!$AF$2:$AF$1577)</f>
        <v>0.30167357661641464</v>
      </c>
      <c r="AG330" s="97">
        <f t="shared" ref="AG330:AH330" si="881">AG329/AG317</f>
        <v>3.8870149856551232E-2</v>
      </c>
      <c r="AH330" s="97">
        <f t="shared" si="881"/>
        <v>-0.12469973134028144</v>
      </c>
    </row>
    <row r="331" spans="2:34" ht="6" customHeight="1" x14ac:dyDescent="0.2">
      <c r="B331" s="9">
        <f>G305</f>
        <v>7</v>
      </c>
      <c r="C331" s="9" t="str">
        <f t="shared" si="816"/>
        <v xml:space="preserve">7 - </v>
      </c>
      <c r="D331" s="9" t="s">
        <v>56</v>
      </c>
      <c r="F331" s="16"/>
      <c r="G331" s="80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80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81"/>
      <c r="AE331" s="15"/>
      <c r="AF331" s="11"/>
      <c r="AG331" s="15"/>
      <c r="AH331" s="15"/>
    </row>
    <row r="332" spans="2:34" x14ac:dyDescent="0.2">
      <c r="B332" s="9">
        <f>G305</f>
        <v>7</v>
      </c>
      <c r="C332" s="9" t="str">
        <f t="shared" si="816"/>
        <v>7 - General and Administrative Expense</v>
      </c>
      <c r="D332" s="9" t="s">
        <v>56</v>
      </c>
      <c r="F332" t="s">
        <v>10</v>
      </c>
      <c r="G332" s="178">
        <f>_xlfn.XLOOKUP($C332,'Site Level Financials - ''23 ''24'!$C$2:$C$1577,'Site Level Financials - ''23 ''24'!S$2:S$1577)</f>
        <v>-35.09756682223933</v>
      </c>
      <c r="H332" s="179">
        <f>_xlfn.XLOOKUP($C332,'Site Level Financials - ''23 ''24'!$C$2:$C$1577,'Site Level Financials - ''23 ''24'!T$2:T$1577)</f>
        <v>-38.080805051444251</v>
      </c>
      <c r="I332" s="179">
        <f>_xlfn.XLOOKUP($C332,'Site Level Financials - ''23 ''24'!$C$2:$C$1577,'Site Level Financials - ''23 ''24'!U$2:U$1577)</f>
        <v>-44.317253228985074</v>
      </c>
      <c r="J332" s="179">
        <f>_xlfn.XLOOKUP($C332,'Site Level Financials - ''23 ''24'!$C$2:$C$1577,'Site Level Financials - ''23 ''24'!V$2:V$1577)</f>
        <v>-45.85961922336427</v>
      </c>
      <c r="K332" s="179">
        <f>_xlfn.XLOOKUP($C332,'Site Level Financials - ''23 ''24'!$C$2:$C$1577,'Site Level Financials - ''23 ''24'!W$2:W$1577)</f>
        <v>-63.47733855436703</v>
      </c>
      <c r="L332" s="179">
        <f>_xlfn.XLOOKUP($C332,'Site Level Financials - ''23 ''24'!$C$2:$C$1577,'Site Level Financials - ''23 ''24'!X$2:X$1577)</f>
        <v>-46.580761732488327</v>
      </c>
      <c r="M332" s="179">
        <f>_xlfn.XLOOKUP($C332,'Site Level Financials - ''23 ''24'!$C$2:$C$1577,'Site Level Financials - ''23 ''24'!Y$2:Y$1577)</f>
        <v>-48.442317772534707</v>
      </c>
      <c r="N332" s="179">
        <f>_xlfn.XLOOKUP($C332,'Site Level Financials - ''23 ''24'!$C$2:$C$1577,'Site Level Financials - ''23 ''24'!Z$2:Z$1577)</f>
        <v>-36.641435887852808</v>
      </c>
      <c r="O332" s="179">
        <f>_xlfn.XLOOKUP($C332,'Site Level Financials - ''23 ''24'!$C$2:$C$1577,'Site Level Financials - ''23 ''24'!AA$2:AA$1577)</f>
        <v>-35.741317310833587</v>
      </c>
      <c r="P332" s="179">
        <f>_xlfn.XLOOKUP($C332,'Site Level Financials - ''23 ''24'!$C$2:$C$1577,'Site Level Financials - ''23 ''24'!AB$2:AB$1577)</f>
        <v>-42.582248650107921</v>
      </c>
      <c r="Q332" s="179">
        <f>_xlfn.XLOOKUP($C332,'Site Level Financials - ''23 ''24'!$C$2:$C$1577,'Site Level Financials - ''23 ''24'!AC$2:AC$1577)</f>
        <v>-35.181179803701504</v>
      </c>
      <c r="R332" s="179">
        <f>_xlfn.XLOOKUP($C332,'Site Level Financials - ''23 ''24'!$C$2:$C$1577,'Site Level Financials - ''23 ''24'!AD$2:AD$1577)</f>
        <v>-28.256305801005567</v>
      </c>
      <c r="S332" s="155">
        <f>S333*S317</f>
        <v>-20.335518513315559</v>
      </c>
      <c r="T332" s="154">
        <f t="shared" ref="T332" si="882">T333*T317</f>
        <v>-27.901196635315713</v>
      </c>
      <c r="U332" s="154">
        <f t="shared" ref="U332" si="883">U333*U317</f>
        <v>-45.686900577260111</v>
      </c>
      <c r="V332" s="154">
        <f t="shared" ref="V332" si="884">V333*V317</f>
        <v>-66.404693991618927</v>
      </c>
      <c r="W332" s="154">
        <f t="shared" ref="W332" si="885">W333*W317</f>
        <v>-171.12468049163905</v>
      </c>
      <c r="X332" s="154">
        <f t="shared" ref="X332" si="886">X333*X317</f>
        <v>-128.70467927415154</v>
      </c>
      <c r="Y332" s="154">
        <f t="shared" ref="Y332" si="887">Y333*Y317</f>
        <v>-127.6719779350034</v>
      </c>
      <c r="Z332" s="154">
        <f t="shared" ref="Z332" si="888">Z333*Z317</f>
        <v>-52.306963034085449</v>
      </c>
      <c r="AA332" s="154">
        <f t="shared" ref="AA332" si="889">AA333*AA317</f>
        <v>-47.985259802112864</v>
      </c>
      <c r="AB332" s="154">
        <f t="shared" ref="AB332" si="890">AB333*AB317</f>
        <v>-55.457212367223235</v>
      </c>
      <c r="AC332" s="154">
        <f t="shared" ref="AC332" si="891">AC333*AC317</f>
        <v>-30.326666138995773</v>
      </c>
      <c r="AD332" s="156">
        <f t="shared" ref="AD332" si="892">AD333*AD317</f>
        <v>-37.501852020381321</v>
      </c>
      <c r="AE332" s="15"/>
      <c r="AF332" s="115">
        <f>_xlfn.XLOOKUP($C332,'Site Level Financials - ''23 ''24'!$C$2:$C$1577,'Site Level Financials - ''23 ''24'!$AF$2:$AF$1577)</f>
        <v>-439.9448858269493</v>
      </c>
      <c r="AG332" s="93">
        <f>SUM(G332:R332)</f>
        <v>-500.25814983892445</v>
      </c>
      <c r="AH332" s="93">
        <f t="shared" ref="AH332" si="893">SUM(S332:AD332)</f>
        <v>-811.40760078110281</v>
      </c>
    </row>
    <row r="333" spans="2:34" x14ac:dyDescent="0.2">
      <c r="B333" s="9">
        <f>G305</f>
        <v>7</v>
      </c>
      <c r="C333" s="9" t="str">
        <f t="shared" si="816"/>
        <v>7 - % of Revenue - General and Administrative Expense</v>
      </c>
      <c r="D333" s="9" t="s">
        <v>56</v>
      </c>
      <c r="F333" s="16" t="str">
        <f>"% of Revenue - "&amp;F332</f>
        <v>% of Revenue - General and Administrative Expense</v>
      </c>
      <c r="G333" s="148">
        <f>G332/G317</f>
        <v>-8.6367519164230439E-2</v>
      </c>
      <c r="H333" s="149">
        <f t="shared" ref="H333:R333" si="894">H332/H317</f>
        <v>-0.1144397255432984</v>
      </c>
      <c r="I333" s="149">
        <f t="shared" si="894"/>
        <v>-0.17451253557382271</v>
      </c>
      <c r="J333" s="149">
        <f t="shared" si="894"/>
        <v>-0.18357209097390667</v>
      </c>
      <c r="K333" s="149">
        <f t="shared" si="894"/>
        <v>-0.39803115691251378</v>
      </c>
      <c r="L333" s="149">
        <f t="shared" si="894"/>
        <v>-0.35649167411581623</v>
      </c>
      <c r="M333" s="149">
        <f t="shared" si="894"/>
        <v>-0.35102066004203947</v>
      </c>
      <c r="N333" s="149">
        <f t="shared" si="894"/>
        <v>-0.16771314860245917</v>
      </c>
      <c r="O333" s="149">
        <f t="shared" si="894"/>
        <v>-0.16781211401489265</v>
      </c>
      <c r="P333" s="149">
        <f t="shared" si="894"/>
        <v>-0.16886717523820247</v>
      </c>
      <c r="Q333" s="149">
        <f t="shared" si="894"/>
        <v>-0.11682264970856228</v>
      </c>
      <c r="R333" s="149">
        <f t="shared" si="894"/>
        <v>-0.17699126302849777</v>
      </c>
      <c r="S333" s="245">
        <f>_xlfn.XLOOKUP($F333,'Budget Assumption Driver'!$A$33:$A$39,'Budget Assumption Driver'!E$33:E$39)+G333</f>
        <v>-8.6367519164230439E-2</v>
      </c>
      <c r="T333" s="246">
        <f>_xlfn.XLOOKUP($F333,'Budget Assumption Driver'!$A$33:$A$39,'Budget Assumption Driver'!F$33:F$39)+H333</f>
        <v>-0.1144397255432984</v>
      </c>
      <c r="U333" s="246">
        <f>_xlfn.XLOOKUP($F333,'Budget Assumption Driver'!$A$33:$A$39,'Budget Assumption Driver'!G$33:G$39)+I333</f>
        <v>-0.17451253557382271</v>
      </c>
      <c r="V333" s="246">
        <f>_xlfn.XLOOKUP($F333,'Budget Assumption Driver'!$A$33:$A$39,'Budget Assumption Driver'!H$33:H$39)+J333</f>
        <v>-0.18357209097390667</v>
      </c>
      <c r="W333" s="246">
        <f>_xlfn.XLOOKUP($F333,'Budget Assumption Driver'!$A$33:$A$39,'Budget Assumption Driver'!I$33:I$39)+K333</f>
        <v>-0.39803115691251378</v>
      </c>
      <c r="X333" s="246">
        <f>_xlfn.XLOOKUP($F333,'Budget Assumption Driver'!$A$33:$A$39,'Budget Assumption Driver'!J$33:J$39)+L333</f>
        <v>-0.35649167411581623</v>
      </c>
      <c r="Y333" s="246">
        <f>_xlfn.XLOOKUP($F333,'Budget Assumption Driver'!$A$33:$A$39,'Budget Assumption Driver'!K$33:K$39)+M333</f>
        <v>-0.35102066004203947</v>
      </c>
      <c r="Z333" s="246">
        <f>_xlfn.XLOOKUP($F333,'Budget Assumption Driver'!$A$33:$A$39,'Budget Assumption Driver'!L$33:L$39)+N333</f>
        <v>-0.16771314860245917</v>
      </c>
      <c r="AA333" s="246">
        <f>_xlfn.XLOOKUP($F333,'Budget Assumption Driver'!$A$33:$A$39,'Budget Assumption Driver'!M$33:M$39)+O333</f>
        <v>-0.16781211401489265</v>
      </c>
      <c r="AB333" s="246">
        <f>_xlfn.XLOOKUP($F333,'Budget Assumption Driver'!$A$33:$A$39,'Budget Assumption Driver'!N$33:N$39)+P333</f>
        <v>-0.16886717523820247</v>
      </c>
      <c r="AC333" s="246">
        <f>_xlfn.XLOOKUP($F333,'Budget Assumption Driver'!$A$33:$A$39,'Budget Assumption Driver'!O$33:O$39)+Q333</f>
        <v>-0.11682264970856228</v>
      </c>
      <c r="AD333" s="296">
        <f>_xlfn.XLOOKUP($F333,'Budget Assumption Driver'!$A$33:$A$39,'Budget Assumption Driver'!P$33:P$39)+R333</f>
        <v>-0.17699126302849777</v>
      </c>
      <c r="AE333" s="15"/>
      <c r="AF333" s="232">
        <f>_xlfn.XLOOKUP($C333,'Site Level Financials - ''23 ''24'!$C$2:$C$1577,'Site Level Financials - ''23 ''24'!$AF$2:$AF$1577)</f>
        <v>-9.8749646360411975E-2</v>
      </c>
      <c r="AG333" s="97">
        <f t="shared" ref="AG333:AH333" si="895">AG332/AG317</f>
        <v>-0.17768190538914924</v>
      </c>
      <c r="AH333" s="97">
        <f t="shared" si="895"/>
        <v>-0.22198794468139688</v>
      </c>
    </row>
    <row r="334" spans="2:34" ht="3" customHeight="1" x14ac:dyDescent="0.2">
      <c r="B334" s="9">
        <f>G305</f>
        <v>7</v>
      </c>
      <c r="C334" s="9" t="str">
        <f t="shared" si="816"/>
        <v xml:space="preserve">7 - </v>
      </c>
      <c r="D334" s="9" t="s">
        <v>56</v>
      </c>
      <c r="F334" s="16"/>
      <c r="G334" s="84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4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6"/>
      <c r="AE334" s="15"/>
      <c r="AF334" s="36"/>
      <c r="AG334" s="38"/>
      <c r="AH334" s="38"/>
    </row>
    <row r="335" spans="2:34" x14ac:dyDescent="0.2">
      <c r="B335" s="9">
        <f>G305</f>
        <v>7</v>
      </c>
      <c r="C335" s="9" t="str">
        <f t="shared" si="816"/>
        <v>7 - Marketing</v>
      </c>
      <c r="D335" s="9" t="s">
        <v>56</v>
      </c>
      <c r="F335" t="s">
        <v>7</v>
      </c>
      <c r="G335" s="178">
        <f>_xlfn.XLOOKUP($C335,'Site Level Financials - ''23 ''24'!$C$2:$C$1577,'Site Level Financials - ''23 ''24'!S$2:S$1577)</f>
        <v>-14.700204117613824</v>
      </c>
      <c r="H335" s="179">
        <f>_xlfn.XLOOKUP($C335,'Site Level Financials - ''23 ''24'!$C$2:$C$1577,'Site Level Financials - ''23 ''24'!T$2:T$1577)</f>
        <v>-18.123479038969005</v>
      </c>
      <c r="I335" s="179">
        <f>_xlfn.XLOOKUP($C335,'Site Level Financials - ''23 ''24'!$C$2:$C$1577,'Site Level Financials - ''23 ''24'!U$2:U$1577)</f>
        <v>-22.770122392827396</v>
      </c>
      <c r="J335" s="179">
        <f>_xlfn.XLOOKUP($C335,'Site Level Financials - ''23 ''24'!$C$2:$C$1577,'Site Level Financials - ''23 ''24'!V$2:V$1577)</f>
        <v>-21.691816895544694</v>
      </c>
      <c r="K335" s="179">
        <f>_xlfn.XLOOKUP($C335,'Site Level Financials - ''23 ''24'!$C$2:$C$1577,'Site Level Financials - ''23 ''24'!W$2:W$1577)</f>
        <v>-32.204212916592425</v>
      </c>
      <c r="L335" s="179">
        <f>_xlfn.XLOOKUP($C335,'Site Level Financials - ''23 ''24'!$C$2:$C$1577,'Site Level Financials - ''23 ''24'!X$2:X$1577)</f>
        <v>-25.751049131799206</v>
      </c>
      <c r="M335" s="179">
        <f>_xlfn.XLOOKUP($C335,'Site Level Financials - ''23 ''24'!$C$2:$C$1577,'Site Level Financials - ''23 ''24'!Y$2:Y$1577)</f>
        <v>-25.499715649066086</v>
      </c>
      <c r="N335" s="179">
        <f>_xlfn.XLOOKUP($C335,'Site Level Financials - ''23 ''24'!$C$2:$C$1577,'Site Level Financials - ''23 ''24'!Z$2:Z$1577)</f>
        <v>-20.839148049682109</v>
      </c>
      <c r="O335" s="179">
        <f>_xlfn.XLOOKUP($C335,'Site Level Financials - ''23 ''24'!$C$2:$C$1577,'Site Level Financials - ''23 ''24'!AA$2:AA$1577)</f>
        <v>-22.109626423935794</v>
      </c>
      <c r="P335" s="179">
        <f>_xlfn.XLOOKUP($C335,'Site Level Financials - ''23 ''24'!$C$2:$C$1577,'Site Level Financials - ''23 ''24'!AB$2:AB$1577)</f>
        <v>-25.583849265787137</v>
      </c>
      <c r="Q335" s="179">
        <f>_xlfn.XLOOKUP($C335,'Site Level Financials - ''23 ''24'!$C$2:$C$1577,'Site Level Financials - ''23 ''24'!AC$2:AC$1577)</f>
        <v>-20.622501587886724</v>
      </c>
      <c r="R335" s="179">
        <f>_xlfn.XLOOKUP($C335,'Site Level Financials - ''23 ''24'!$C$2:$C$1577,'Site Level Financials - ''23 ''24'!AD$2:AD$1577)</f>
        <v>-17.926868364221768</v>
      </c>
      <c r="S335" s="155">
        <f>S336*S317</f>
        <v>-8.517293363876</v>
      </c>
      <c r="T335" s="154">
        <f t="shared" ref="T335" si="896">T336*T317</f>
        <v>-13.278783148076302</v>
      </c>
      <c r="U335" s="154">
        <f t="shared" ref="U335" si="897">U336*U317</f>
        <v>-23.473844656346127</v>
      </c>
      <c r="V335" s="154">
        <f t="shared" ref="V335" si="898">V336*V317</f>
        <v>-31.409734478061459</v>
      </c>
      <c r="W335" s="154">
        <f t="shared" ref="W335" si="899">W336*W317</f>
        <v>-86.817370912874537</v>
      </c>
      <c r="X335" s="154">
        <f t="shared" ref="X335" si="900">X336*X317</f>
        <v>-71.15127353466076</v>
      </c>
      <c r="Y335" s="154">
        <f t="shared" ref="Y335" si="901">Y336*Y317</f>
        <v>-67.205684686339467</v>
      </c>
      <c r="Z335" s="154">
        <f t="shared" ref="Z335" si="902">Z336*Z317</f>
        <v>-29.748630758706653</v>
      </c>
      <c r="AA335" s="154">
        <f t="shared" ref="AA335" si="903">AA336*AA317</f>
        <v>-29.683745533314106</v>
      </c>
      <c r="AB335" s="154">
        <f t="shared" ref="AB335" si="904">AB336*AB317</f>
        <v>-33.319258772873411</v>
      </c>
      <c r="AC335" s="154">
        <f t="shared" ref="AC335" si="905">AC336*AC317</f>
        <v>-17.776883097619987</v>
      </c>
      <c r="AD335" s="156">
        <f t="shared" ref="AD335" si="906">AD336*AD317</f>
        <v>-23.792592326771008</v>
      </c>
      <c r="AE335" s="15"/>
      <c r="AF335" s="115">
        <f>_xlfn.XLOOKUP($C335,'Site Level Financials - ''23 ''24'!$C$2:$C$1577,'Site Level Financials - ''23 ''24'!$AF$2:$AF$1577)</f>
        <v>-233.5591315006096</v>
      </c>
      <c r="AG335" s="93">
        <f>SUM(G335:R335)</f>
        <v>-267.82259383392613</v>
      </c>
      <c r="AH335" s="93">
        <f t="shared" ref="AH335" si="907">SUM(S335:AD335)</f>
        <v>-436.17509526951983</v>
      </c>
    </row>
    <row r="336" spans="2:34" x14ac:dyDescent="0.2">
      <c r="B336" s="9">
        <f>G305</f>
        <v>7</v>
      </c>
      <c r="C336" s="9" t="str">
        <f t="shared" si="816"/>
        <v>7 - % of Revenue - Marketing</v>
      </c>
      <c r="D336" s="9" t="s">
        <v>56</v>
      </c>
      <c r="F336" s="16" t="str">
        <f>"% of Revenue - "&amp;F335</f>
        <v>% of Revenue - Marketing</v>
      </c>
      <c r="G336" s="148">
        <f>G335/G317</f>
        <v>-3.6174022184398982E-2</v>
      </c>
      <c r="H336" s="149">
        <f t="shared" ref="H336:R336" si="908">H335/H317</f>
        <v>-5.4464341400016547E-2</v>
      </c>
      <c r="I336" s="149">
        <f t="shared" si="908"/>
        <v>-8.9664216632895116E-2</v>
      </c>
      <c r="J336" s="149">
        <f t="shared" si="908"/>
        <v>-8.6830467674479203E-2</v>
      </c>
      <c r="K336" s="149">
        <f t="shared" si="908"/>
        <v>-0.20193474421851523</v>
      </c>
      <c r="L336" s="149">
        <f t="shared" si="908"/>
        <v>-0.19707781225121113</v>
      </c>
      <c r="M336" s="149">
        <f t="shared" si="908"/>
        <v>-0.18477495358602347</v>
      </c>
      <c r="N336" s="149">
        <f t="shared" si="908"/>
        <v>-9.5383792936008488E-2</v>
      </c>
      <c r="O336" s="149">
        <f t="shared" si="908"/>
        <v>-0.10380879691738656</v>
      </c>
      <c r="P336" s="149">
        <f t="shared" si="908"/>
        <v>-0.10145712108189675</v>
      </c>
      <c r="Q336" s="149">
        <f t="shared" si="908"/>
        <v>-6.8479092871765623E-2</v>
      </c>
      <c r="R336" s="149">
        <f t="shared" si="908"/>
        <v>-0.11228994675646226</v>
      </c>
      <c r="S336" s="245">
        <f>_xlfn.XLOOKUP($F336,'Budget Assumption Driver'!$A$33:$A$39,'Budget Assumption Driver'!E$33:E$39)+G336</f>
        <v>-3.6174022184398982E-2</v>
      </c>
      <c r="T336" s="246">
        <f>_xlfn.XLOOKUP($F336,'Budget Assumption Driver'!$A$33:$A$39,'Budget Assumption Driver'!F$33:F$39)+H336</f>
        <v>-5.4464341400016547E-2</v>
      </c>
      <c r="U336" s="246">
        <f>_xlfn.XLOOKUP($F336,'Budget Assumption Driver'!$A$33:$A$39,'Budget Assumption Driver'!G$33:G$39)+I336</f>
        <v>-8.9664216632895116E-2</v>
      </c>
      <c r="V336" s="246">
        <f>_xlfn.XLOOKUP($F336,'Budget Assumption Driver'!$A$33:$A$39,'Budget Assumption Driver'!H$33:H$39)+J336</f>
        <v>-8.6830467674479203E-2</v>
      </c>
      <c r="W336" s="246">
        <f>_xlfn.XLOOKUP($F336,'Budget Assumption Driver'!$A$33:$A$39,'Budget Assumption Driver'!I$33:I$39)+K336</f>
        <v>-0.20193474421851523</v>
      </c>
      <c r="X336" s="246">
        <f>_xlfn.XLOOKUP($F336,'Budget Assumption Driver'!$A$33:$A$39,'Budget Assumption Driver'!J$33:J$39)+L336</f>
        <v>-0.19707781225121113</v>
      </c>
      <c r="Y336" s="246">
        <f>_xlfn.XLOOKUP($F336,'Budget Assumption Driver'!$A$33:$A$39,'Budget Assumption Driver'!K$33:K$39)+M336</f>
        <v>-0.18477495358602347</v>
      </c>
      <c r="Z336" s="246">
        <f>_xlfn.XLOOKUP($F336,'Budget Assumption Driver'!$A$33:$A$39,'Budget Assumption Driver'!L$33:L$39)+N336</f>
        <v>-9.5383792936008488E-2</v>
      </c>
      <c r="AA336" s="246">
        <f>_xlfn.XLOOKUP($F336,'Budget Assumption Driver'!$A$33:$A$39,'Budget Assumption Driver'!M$33:M$39)+O336</f>
        <v>-0.10380879691738656</v>
      </c>
      <c r="AB336" s="246">
        <f>_xlfn.XLOOKUP($F336,'Budget Assumption Driver'!$A$33:$A$39,'Budget Assumption Driver'!N$33:N$39)+P336</f>
        <v>-0.10145712108189675</v>
      </c>
      <c r="AC336" s="246">
        <f>_xlfn.XLOOKUP($F336,'Budget Assumption Driver'!$A$33:$A$39,'Budget Assumption Driver'!O$33:O$39)+Q336</f>
        <v>-6.8479092871765623E-2</v>
      </c>
      <c r="AD336" s="296">
        <f>_xlfn.XLOOKUP($F336,'Budget Assumption Driver'!$A$33:$A$39,'Budget Assumption Driver'!P$33:P$39)+R336</f>
        <v>-0.11228994675646226</v>
      </c>
      <c r="AE336" s="15"/>
      <c r="AF336" s="232">
        <f>_xlfn.XLOOKUP($C336,'Site Level Financials - ''23 ''24'!$C$2:$C$1577,'Site Level Financials - ''23 ''24'!$AF$2:$AF$1577)</f>
        <v>-5.2424479481282676E-2</v>
      </c>
      <c r="AG336" s="97">
        <f t="shared" ref="AG336:AH336" si="909">AG335/AG317</f>
        <v>-9.5125344372697526E-2</v>
      </c>
      <c r="AH336" s="97">
        <f t="shared" si="909"/>
        <v>-0.11933042385464944</v>
      </c>
    </row>
    <row r="337" spans="2:35" ht="3" customHeight="1" x14ac:dyDescent="0.2">
      <c r="B337" s="9">
        <f>G305</f>
        <v>7</v>
      </c>
      <c r="C337" s="9" t="str">
        <f t="shared" si="816"/>
        <v xml:space="preserve">7 - </v>
      </c>
      <c r="D337" s="9" t="s">
        <v>56</v>
      </c>
      <c r="F337" s="16"/>
      <c r="G337" s="84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4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6"/>
      <c r="AE337" s="15"/>
      <c r="AF337" s="36"/>
      <c r="AG337" s="38"/>
      <c r="AH337" s="38"/>
    </row>
    <row r="338" spans="2:35" x14ac:dyDescent="0.2">
      <c r="B338" s="9">
        <f>G305</f>
        <v>7</v>
      </c>
      <c r="C338" s="9" t="str">
        <f t="shared" si="816"/>
        <v>7 - Office Rent</v>
      </c>
      <c r="D338" s="9" t="s">
        <v>56</v>
      </c>
      <c r="F338" t="s">
        <v>162</v>
      </c>
      <c r="G338" s="178">
        <f>_xlfn.XLOOKUP($C338,'Site Level Financials - ''23 ''24'!$C$2:$C$1577,'Site Level Financials - ''23 ''24'!S$2:S$1577)</f>
        <v>-31.660836961693413</v>
      </c>
      <c r="H338" s="179">
        <f>_xlfn.XLOOKUP($C338,'Site Level Financials - ''23 ''24'!$C$2:$C$1577,'Site Level Financials - ''23 ''24'!T$2:T$1577)</f>
        <v>-31.660836961693413</v>
      </c>
      <c r="I338" s="179">
        <f>_xlfn.XLOOKUP($C338,'Site Level Financials - ''23 ''24'!$C$2:$C$1577,'Site Level Financials - ''23 ''24'!U$2:U$1577)</f>
        <v>-31.660836961693413</v>
      </c>
      <c r="J338" s="179">
        <f>_xlfn.XLOOKUP($C338,'Site Level Financials - ''23 ''24'!$C$2:$C$1577,'Site Level Financials - ''23 ''24'!V$2:V$1577)</f>
        <v>-31.660836961693413</v>
      </c>
      <c r="K338" s="179">
        <f>_xlfn.XLOOKUP($C338,'Site Level Financials - ''23 ''24'!$C$2:$C$1577,'Site Level Financials - ''23 ''24'!W$2:W$1577)</f>
        <v>-31.660836961693413</v>
      </c>
      <c r="L338" s="179">
        <f>_xlfn.XLOOKUP($C338,'Site Level Financials - ''23 ''24'!$C$2:$C$1577,'Site Level Financials - ''23 ''24'!X$2:X$1577)</f>
        <v>-32.610662070544215</v>
      </c>
      <c r="M338" s="179">
        <f>_xlfn.XLOOKUP($C338,'Site Level Financials - ''23 ''24'!$C$2:$C$1577,'Site Level Financials - ''23 ''24'!Y$2:Y$1577)</f>
        <v>-32.610662070544215</v>
      </c>
      <c r="N338" s="179">
        <f>_xlfn.XLOOKUP($C338,'Site Level Financials - ''23 ''24'!$C$2:$C$1577,'Site Level Financials - ''23 ''24'!Z$2:Z$1577)</f>
        <v>-32.610662070544215</v>
      </c>
      <c r="O338" s="179">
        <f>_xlfn.XLOOKUP($C338,'Site Level Financials - ''23 ''24'!$C$2:$C$1577,'Site Level Financials - ''23 ''24'!AA$2:AA$1577)</f>
        <v>-32.610662070544215</v>
      </c>
      <c r="P338" s="179">
        <f>_xlfn.XLOOKUP($C338,'Site Level Financials - ''23 ''24'!$C$2:$C$1577,'Site Level Financials - ''23 ''24'!AB$2:AB$1577)</f>
        <v>-32.610662070544215</v>
      </c>
      <c r="Q338" s="179">
        <f>_xlfn.XLOOKUP($C338,'Site Level Financials - ''23 ''24'!$C$2:$C$1577,'Site Level Financials - ''23 ''24'!AC$2:AC$1577)</f>
        <v>-32.610662070544215</v>
      </c>
      <c r="R338" s="179">
        <f>_xlfn.XLOOKUP($C338,'Site Level Financials - ''23 ''24'!$C$2:$C$1577,'Site Level Financials - ''23 ''24'!AD$2:AD$1577)</f>
        <v>-32.610662070544215</v>
      </c>
      <c r="S338" s="155">
        <f>G338*(1+S339)</f>
        <v>-32.610662070544215</v>
      </c>
      <c r="T338" s="154">
        <f t="shared" ref="T338" si="910">H338*(1+T339)</f>
        <v>-32.610662070544215</v>
      </c>
      <c r="U338" s="154">
        <f t="shared" ref="U338" si="911">I338*(1+U339)</f>
        <v>-32.610662070544215</v>
      </c>
      <c r="V338" s="154">
        <f t="shared" ref="V338" si="912">J338*(1+V339)</f>
        <v>-32.610662070544215</v>
      </c>
      <c r="W338" s="154">
        <f t="shared" ref="W338" si="913">K338*(1+W339)</f>
        <v>-32.610662070544215</v>
      </c>
      <c r="X338" s="154">
        <f t="shared" ref="X338" si="914">L338*(1+X339)</f>
        <v>-33.588981932660545</v>
      </c>
      <c r="Y338" s="154">
        <f t="shared" ref="Y338" si="915">M338*(1+Y339)</f>
        <v>-33.588981932660545</v>
      </c>
      <c r="Z338" s="154">
        <f t="shared" ref="Z338" si="916">N338*(1+Z339)</f>
        <v>-33.588981932660545</v>
      </c>
      <c r="AA338" s="154">
        <f t="shared" ref="AA338" si="917">O338*(1+AA339)</f>
        <v>-33.588981932660545</v>
      </c>
      <c r="AB338" s="154">
        <f t="shared" ref="AB338" si="918">P338*(1+AB339)</f>
        <v>-33.588981932660545</v>
      </c>
      <c r="AC338" s="154">
        <f t="shared" ref="AC338" si="919">Q338*(1+AC339)</f>
        <v>-33.588981932660545</v>
      </c>
      <c r="AD338" s="156">
        <f t="shared" ref="AD338" si="920">R338*(1+AD339)</f>
        <v>-33.588981932660545</v>
      </c>
      <c r="AE338" s="15"/>
      <c r="AF338" s="115">
        <f>_xlfn.XLOOKUP($C338,'Site Level Financials - ''23 ''24'!$C$2:$C$1577,'Site Level Financials - ''23 ''24'!$AF$2:$AF$1577)</f>
        <v>-375.31836851003442</v>
      </c>
      <c r="AG338" s="93">
        <f>SUM(G338:R338)</f>
        <v>-386.57881930227654</v>
      </c>
      <c r="AH338" s="93">
        <f t="shared" ref="AH338" si="921">SUM(S338:AD338)</f>
        <v>-398.17618388134485</v>
      </c>
    </row>
    <row r="339" spans="2:35" x14ac:dyDescent="0.2">
      <c r="B339" s="9">
        <f>G305</f>
        <v>7</v>
      </c>
      <c r="C339" s="9" t="str">
        <f t="shared" si="816"/>
        <v>7 - % YoY Growth</v>
      </c>
      <c r="D339" s="9" t="s">
        <v>56</v>
      </c>
      <c r="F339" s="16" t="s">
        <v>8</v>
      </c>
      <c r="G339" s="245">
        <f>_xlfn.XLOOKUP($C339,'Site Level Financials - ''23 ''24'!$C$2:$C$1577,'Site Level Financials - ''23 ''24'!S$2:S$1577)</f>
        <v>3.0002397263274583E-2</v>
      </c>
      <c r="H339" s="246">
        <f>_xlfn.XLOOKUP($C339,'Site Level Financials - ''23 ''24'!$C$2:$C$1577,'Site Level Financials - ''23 ''24'!T$2:T$1577)</f>
        <v>3.0002397263274583E-2</v>
      </c>
      <c r="I339" s="246">
        <f>_xlfn.XLOOKUP($C339,'Site Level Financials - ''23 ''24'!$C$2:$C$1577,'Site Level Financials - ''23 ''24'!U$2:U$1577)</f>
        <v>3.0002397263274583E-2</v>
      </c>
      <c r="J339" s="246">
        <f>_xlfn.XLOOKUP($C339,'Site Level Financials - ''23 ''24'!$C$2:$C$1577,'Site Level Financials - ''23 ''24'!V$2:V$1577)</f>
        <v>3.0002397263274583E-2</v>
      </c>
      <c r="K339" s="246">
        <f>_xlfn.XLOOKUP($C339,'Site Level Financials - ''23 ''24'!$C$2:$C$1577,'Site Level Financials - ''23 ''24'!W$2:W$1577)</f>
        <v>3.0002397263274583E-2</v>
      </c>
      <c r="L339" s="246">
        <f>_xlfn.XLOOKUP($C339,'Site Level Financials - ''23 ''24'!$C$2:$C$1577,'Site Level Financials - ''23 ''24'!X$2:X$1577)</f>
        <v>3.0002397263274583E-2</v>
      </c>
      <c r="M339" s="246">
        <f>_xlfn.XLOOKUP($C339,'Site Level Financials - ''23 ''24'!$C$2:$C$1577,'Site Level Financials - ''23 ''24'!Y$2:Y$1577)</f>
        <v>3.0002397263274583E-2</v>
      </c>
      <c r="N339" s="246">
        <f>_xlfn.XLOOKUP($C339,'Site Level Financials - ''23 ''24'!$C$2:$C$1577,'Site Level Financials - ''23 ''24'!Z$2:Z$1577)</f>
        <v>3.0002397263274583E-2</v>
      </c>
      <c r="O339" s="246">
        <f>_xlfn.XLOOKUP($C339,'Site Level Financials - ''23 ''24'!$C$2:$C$1577,'Site Level Financials - ''23 ''24'!AA$2:AA$1577)</f>
        <v>3.0002397263274583E-2</v>
      </c>
      <c r="P339" s="246">
        <f>_xlfn.XLOOKUP($C339,'Site Level Financials - ''23 ''24'!$C$2:$C$1577,'Site Level Financials - ''23 ''24'!AB$2:AB$1577)</f>
        <v>3.0002397263274583E-2</v>
      </c>
      <c r="Q339" s="246">
        <f>_xlfn.XLOOKUP($C339,'Site Level Financials - ''23 ''24'!$C$2:$C$1577,'Site Level Financials - ''23 ''24'!AC$2:AC$1577)</f>
        <v>3.0002397263274583E-2</v>
      </c>
      <c r="R339" s="246">
        <f>_xlfn.XLOOKUP($C339,'Site Level Financials - ''23 ''24'!$C$2:$C$1577,'Site Level Financials - ''23 ''24'!AD$2:AD$1577)</f>
        <v>3.0002397263274583E-2</v>
      </c>
      <c r="S339" s="245">
        <f>_xlfn.XLOOKUP($F339,'Budget Assumption Driver'!$A$33:$A$39,'Budget Assumption Driver'!E$33:E$39)</f>
        <v>0.03</v>
      </c>
      <c r="T339" s="246">
        <f>_xlfn.XLOOKUP($F339,'Budget Assumption Driver'!$A$33:$A$39,'Budget Assumption Driver'!F$33:F$39)</f>
        <v>0.03</v>
      </c>
      <c r="U339" s="246">
        <f>_xlfn.XLOOKUP($F339,'Budget Assumption Driver'!$A$33:$A$39,'Budget Assumption Driver'!G$33:G$39)</f>
        <v>0.03</v>
      </c>
      <c r="V339" s="246">
        <f>_xlfn.XLOOKUP($F339,'Budget Assumption Driver'!$A$33:$A$39,'Budget Assumption Driver'!H$33:H$39)</f>
        <v>0.03</v>
      </c>
      <c r="W339" s="246">
        <f>_xlfn.XLOOKUP($F339,'Budget Assumption Driver'!$A$33:$A$39,'Budget Assumption Driver'!I$33:I$39)</f>
        <v>0.03</v>
      </c>
      <c r="X339" s="246">
        <f>_xlfn.XLOOKUP($F339,'Budget Assumption Driver'!$A$33:$A$39,'Budget Assumption Driver'!J$33:J$39)</f>
        <v>0.03</v>
      </c>
      <c r="Y339" s="246">
        <f>_xlfn.XLOOKUP($F339,'Budget Assumption Driver'!$A$33:$A$39,'Budget Assumption Driver'!K$33:K$39)</f>
        <v>0.03</v>
      </c>
      <c r="Z339" s="246">
        <f>_xlfn.XLOOKUP($F339,'Budget Assumption Driver'!$A$33:$A$39,'Budget Assumption Driver'!L$33:L$39)</f>
        <v>0.03</v>
      </c>
      <c r="AA339" s="246">
        <f>_xlfn.XLOOKUP($F339,'Budget Assumption Driver'!$A$33:$A$39,'Budget Assumption Driver'!M$33:M$39)</f>
        <v>0.03</v>
      </c>
      <c r="AB339" s="246">
        <f>_xlfn.XLOOKUP($F339,'Budget Assumption Driver'!$A$33:$A$39,'Budget Assumption Driver'!N$33:N$39)</f>
        <v>0.03</v>
      </c>
      <c r="AC339" s="246">
        <f>_xlfn.XLOOKUP($F339,'Budget Assumption Driver'!$A$33:$A$39,'Budget Assumption Driver'!O$33:O$39)</f>
        <v>0.03</v>
      </c>
      <c r="AD339" s="296">
        <f>_xlfn.XLOOKUP($F339,'Budget Assumption Driver'!$A$33:$A$39,'Budget Assumption Driver'!P$33:P$39)</f>
        <v>0.03</v>
      </c>
      <c r="AE339" s="15"/>
      <c r="AF339" s="11"/>
      <c r="AG339" s="97">
        <f>AG338/AF338-1</f>
        <v>3.0002397263274583E-2</v>
      </c>
      <c r="AH339" s="97">
        <f>AH338/AG338-1</f>
        <v>3.0000000000000027E-2</v>
      </c>
    </row>
    <row r="340" spans="2:35" ht="6" customHeight="1" x14ac:dyDescent="0.2">
      <c r="B340" s="9">
        <f>G305</f>
        <v>7</v>
      </c>
      <c r="C340" s="9" t="str">
        <f t="shared" si="816"/>
        <v xml:space="preserve">7 - </v>
      </c>
      <c r="D340" s="9" t="s">
        <v>56</v>
      </c>
      <c r="F340" s="16"/>
      <c r="G340" s="80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80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81"/>
      <c r="AE340" s="15"/>
      <c r="AF340" s="11"/>
      <c r="AG340" s="15"/>
      <c r="AH340" s="15"/>
    </row>
    <row r="341" spans="2:35" x14ac:dyDescent="0.2">
      <c r="B341" s="9">
        <f>G305</f>
        <v>7</v>
      </c>
      <c r="C341" s="9" t="str">
        <f t="shared" si="816"/>
        <v>7 - Office EBITDA</v>
      </c>
      <c r="D341" s="9" t="s">
        <v>56</v>
      </c>
      <c r="F341" s="8" t="s">
        <v>12</v>
      </c>
      <c r="G341" s="241">
        <f>_xlfn.XLOOKUP($C341,'Site Level Financials - ''23 ''24'!$C$2:$C$1577,'Site Level Financials - ''23 ''24'!S$2:S$1577)</f>
        <v>95.059826390112534</v>
      </c>
      <c r="H341" s="242">
        <f>_xlfn.XLOOKUP($C341,'Site Level Financials - ''23 ''24'!$C$2:$C$1577,'Site Level Financials - ''23 ''24'!T$2:T$1577)</f>
        <v>-5.2004190356001452</v>
      </c>
      <c r="I341" s="242">
        <f>_xlfn.XLOOKUP($C341,'Site Level Financials - ''23 ''24'!$C$2:$C$1577,'Site Level Financials - ''23 ''24'!U$2:U$1577)</f>
        <v>-72.454771887150912</v>
      </c>
      <c r="J341" s="242">
        <f>_xlfn.XLOOKUP($C341,'Site Level Financials - ''23 ''24'!$C$2:$C$1577,'Site Level Financials - ''23 ''24'!V$2:V$1577)</f>
        <v>-68.11286429477255</v>
      </c>
      <c r="K341" s="242">
        <f>_xlfn.XLOOKUP($C341,'Site Level Financials - ''23 ''24'!$C$2:$C$1577,'Site Level Financials - ''23 ''24'!W$2:W$1577)</f>
        <v>-196.71914714587916</v>
      </c>
      <c r="L341" s="242">
        <f>_xlfn.XLOOKUP($C341,'Site Level Financials - ''23 ''24'!$C$2:$C$1577,'Site Level Financials - ''23 ''24'!X$2:X$1577)</f>
        <v>-205.22493079567181</v>
      </c>
      <c r="M341" s="242">
        <f>_xlfn.XLOOKUP($C341,'Site Level Financials - ''23 ''24'!$C$2:$C$1577,'Site Level Financials - ''23 ''24'!Y$2:Y$1577)</f>
        <v>-213.8024184509174</v>
      </c>
      <c r="N341" s="242">
        <f>_xlfn.XLOOKUP($C341,'Site Level Financials - ''23 ''24'!$C$2:$C$1577,'Site Level Financials - ''23 ''24'!Z$2:Z$1577)</f>
        <v>-63.445475651076976</v>
      </c>
      <c r="O341" s="242">
        <f>_xlfn.XLOOKUP($C341,'Site Level Financials - ''23 ''24'!$C$2:$C$1577,'Site Level Financials - ''23 ''24'!AA$2:AA$1577)</f>
        <v>-105.42671915621145</v>
      </c>
      <c r="P341" s="242">
        <f>_xlfn.XLOOKUP($C341,'Site Level Financials - ''23 ''24'!$C$2:$C$1577,'Site Level Financials - ''23 ''24'!AB$2:AB$1577)</f>
        <v>-118.31312817684395</v>
      </c>
      <c r="Q341" s="242">
        <f>_xlfn.XLOOKUP($C341,'Site Level Financials - ''23 ''24'!$C$2:$C$1577,'Site Level Financials - ''23 ''24'!AC$2:AC$1577)</f>
        <v>-3.5352753222700031</v>
      </c>
      <c r="R341" s="242">
        <f>_xlfn.XLOOKUP($C341,'Site Level Financials - ''23 ''24'!$C$2:$C$1577,'Site Level Financials - ''23 ''24'!AD$2:AD$1577)</f>
        <v>-88.046482077815043</v>
      </c>
      <c r="S341" s="134">
        <f t="shared" ref="S341:AD341" si="922">S329+S332+S335+S338</f>
        <v>40.81124801974223</v>
      </c>
      <c r="T341" s="135">
        <f t="shared" si="922"/>
        <v>-13.223537176225271</v>
      </c>
      <c r="U341" s="135">
        <f t="shared" si="922"/>
        <v>-74.665354392396807</v>
      </c>
      <c r="V341" s="135">
        <f t="shared" si="922"/>
        <v>-85.393170111823935</v>
      </c>
      <c r="W341" s="135">
        <f t="shared" si="922"/>
        <v>-477.58128049946441</v>
      </c>
      <c r="X341" s="135">
        <f t="shared" si="922"/>
        <v>-510.52974606178702</v>
      </c>
      <c r="Y341" s="135">
        <f t="shared" si="922"/>
        <v>-511.1282696113206</v>
      </c>
      <c r="Z341" s="135">
        <f t="shared" si="922"/>
        <v>-77.606783501799825</v>
      </c>
      <c r="AA341" s="135">
        <f t="shared" si="922"/>
        <v>-131.34971600504807</v>
      </c>
      <c r="AB341" s="135">
        <f t="shared" si="922"/>
        <v>-145.20403313169513</v>
      </c>
      <c r="AC341" s="135">
        <f t="shared" si="922"/>
        <v>-8.5255943004947596</v>
      </c>
      <c r="AD341" s="136">
        <f t="shared" si="922"/>
        <v>-107.16356500739428</v>
      </c>
      <c r="AE341" s="15"/>
      <c r="AF341" s="113">
        <f>_xlfn.XLOOKUP($C341,'Site Level Financials - ''23 ''24'!$C$2:$C$1577,'Site Level Financials - ''23 ''24'!$AF$2:$AF$1577)</f>
        <v>295.17986746791712</v>
      </c>
      <c r="AG341" s="95">
        <f>SUM(G341:R341)</f>
        <v>-1045.221805604097</v>
      </c>
      <c r="AH341" s="95">
        <f t="shared" ref="AH341" si="923">SUM(S341:AD341)</f>
        <v>-2101.5598017797079</v>
      </c>
    </row>
    <row r="342" spans="2:35" x14ac:dyDescent="0.2">
      <c r="B342" s="9">
        <f>G305</f>
        <v>7</v>
      </c>
      <c r="C342" s="9" t="str">
        <f t="shared" si="816"/>
        <v>7 - % of Revenue - Office EBITDA</v>
      </c>
      <c r="D342" s="9" t="s">
        <v>56</v>
      </c>
      <c r="F342" s="16" t="str">
        <f>"% of Revenue - "&amp;F341</f>
        <v>% of Revenue - Office EBITDA</v>
      </c>
      <c r="G342" s="148">
        <f>G341/G317</f>
        <v>0.23392166810532863</v>
      </c>
      <c r="H342" s="149">
        <f t="shared" ref="H342:AD342" si="924">H341/H317</f>
        <v>-1.5628202353921983E-2</v>
      </c>
      <c r="I342" s="149">
        <f t="shared" si="924"/>
        <v>-0.28531249197953068</v>
      </c>
      <c r="J342" s="149">
        <f t="shared" si="924"/>
        <v>-0.27264990709829268</v>
      </c>
      <c r="K342" s="149">
        <f t="shared" si="924"/>
        <v>-1.2335165825872596</v>
      </c>
      <c r="L342" s="149">
        <f t="shared" si="924"/>
        <v>-1.5706265082098161</v>
      </c>
      <c r="M342" s="149">
        <f t="shared" si="924"/>
        <v>-1.5492459794270175</v>
      </c>
      <c r="N342" s="149">
        <f t="shared" si="924"/>
        <v>-0.29039911314038624</v>
      </c>
      <c r="O342" s="149">
        <f t="shared" si="924"/>
        <v>-0.49499800081223139</v>
      </c>
      <c r="P342" s="149">
        <f t="shared" si="924"/>
        <v>-0.46919090424240384</v>
      </c>
      <c r="Q342" s="149">
        <f t="shared" si="924"/>
        <v>-1.1739237652098874E-2</v>
      </c>
      <c r="R342" s="149">
        <f t="shared" si="924"/>
        <v>-0.55150373081020032</v>
      </c>
      <c r="S342" s="148">
        <f t="shared" si="924"/>
        <v>0.17333053215010258</v>
      </c>
      <c r="T342" s="149">
        <f t="shared" si="924"/>
        <v>-5.4237744170562867E-2</v>
      </c>
      <c r="U342" s="149">
        <f t="shared" si="924"/>
        <v>-0.28520298269085714</v>
      </c>
      <c r="V342" s="149">
        <f t="shared" si="924"/>
        <v>-0.23606467931764744</v>
      </c>
      <c r="W342" s="149">
        <f t="shared" si="924"/>
        <v>-1.1108405231251799</v>
      </c>
      <c r="X342" s="149">
        <f t="shared" si="924"/>
        <v>-1.4140869227591553</v>
      </c>
      <c r="Y342" s="149">
        <f t="shared" si="924"/>
        <v>-1.4052933577675952</v>
      </c>
      <c r="Z342" s="149">
        <f t="shared" si="924"/>
        <v>-0.24883260772594767</v>
      </c>
      <c r="AA342" s="149">
        <f t="shared" si="924"/>
        <v>-0.4593509258668711</v>
      </c>
      <c r="AB342" s="149">
        <f t="shared" si="924"/>
        <v>-0.44214618552727397</v>
      </c>
      <c r="AC342" s="149">
        <f t="shared" si="924"/>
        <v>-3.2841807007705434E-2</v>
      </c>
      <c r="AD342" s="150">
        <f t="shared" si="924"/>
        <v>-0.50576208105634735</v>
      </c>
      <c r="AE342" s="15"/>
      <c r="AF342" s="232">
        <f>_xlfn.XLOOKUP($C342,'Site Level Financials - ''23 ''24'!$C$2:$C$1577,'Site Level Financials - ''23 ''24'!$AF$2:$AF$1577)</f>
        <v>6.6255816272031184E-2</v>
      </c>
      <c r="AG342" s="97">
        <f t="shared" ref="AG342:AH342" si="925">AG341/AG317</f>
        <v>-0.37124233165181009</v>
      </c>
      <c r="AH342" s="97">
        <f t="shared" si="925"/>
        <v>-0.57495263856663914</v>
      </c>
    </row>
    <row r="343" spans="2:35" ht="6" customHeight="1" x14ac:dyDescent="0.2">
      <c r="B343" s="9">
        <f>G305</f>
        <v>7</v>
      </c>
      <c r="C343" s="9" t="str">
        <f t="shared" si="816"/>
        <v xml:space="preserve">7 - </v>
      </c>
      <c r="D343" s="9" t="s">
        <v>56</v>
      </c>
      <c r="G343" s="80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80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81"/>
      <c r="AE343" s="15"/>
      <c r="AF343" s="11"/>
      <c r="AG343" s="15"/>
      <c r="AH343" s="15"/>
    </row>
    <row r="344" spans="2:35" x14ac:dyDescent="0.2">
      <c r="B344" s="9">
        <f>G305</f>
        <v>7</v>
      </c>
      <c r="C344" s="9" t="str">
        <f t="shared" si="816"/>
        <v>7 - Memo:</v>
      </c>
      <c r="D344" s="9" t="s">
        <v>56</v>
      </c>
      <c r="F344" s="6" t="s">
        <v>13</v>
      </c>
      <c r="G344" s="80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80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81"/>
      <c r="AE344" s="15"/>
      <c r="AF344" s="11"/>
      <c r="AG344" s="15"/>
      <c r="AH344" s="15"/>
    </row>
    <row r="345" spans="2:35" s="24" customFormat="1" x14ac:dyDescent="0.2">
      <c r="B345" s="9">
        <f>G305</f>
        <v>7</v>
      </c>
      <c r="C345" s="9" t="str">
        <f t="shared" si="816"/>
        <v>7 - Collections</v>
      </c>
      <c r="D345" s="9" t="s">
        <v>56</v>
      </c>
      <c r="E345" s="49"/>
      <c r="F345" s="24" t="s">
        <v>15</v>
      </c>
      <c r="G345" s="247">
        <f>_xlfn.XLOOKUP($C345,'Site Level Financials - ''23 ''24'!$C$2:$C$1577,'Site Level Financials - ''23 ''24'!S$2:S$1577)</f>
        <v>410.98887554443138</v>
      </c>
      <c r="H345" s="248">
        <f>_xlfn.XLOOKUP($C345,'Site Level Financials - ''23 ''24'!$C$2:$C$1577,'Site Level Financials - ''23 ''24'!T$2:T$1577)</f>
        <v>327.64098306021577</v>
      </c>
      <c r="I345" s="248">
        <f>_xlfn.XLOOKUP($C345,'Site Level Financials - ''23 ''24'!$C$2:$C$1577,'Site Level Financials - ''23 ''24'!U$2:U$1577)</f>
        <v>256.23164314419597</v>
      </c>
      <c r="J345" s="248">
        <f>_xlfn.XLOOKUP($C345,'Site Level Financials - ''23 ''24'!$C$2:$C$1577,'Site Level Financials - ''23 ''24'!V$2:V$1577)</f>
        <v>245.0173048062486</v>
      </c>
      <c r="K345" s="248">
        <f>_xlfn.XLOOKUP($C345,'Site Level Financials - ''23 ''24'!$C$2:$C$1577,'Site Level Financials - ''23 ''24'!W$2:W$1577)</f>
        <v>160.72144485232718</v>
      </c>
      <c r="L345" s="248">
        <f>_xlfn.XLOOKUP($C345,'Site Level Financials - ''23 ''24'!$C$2:$C$1577,'Site Level Financials - ''23 ''24'!X$2:X$1577)</f>
        <v>129.43588223695983</v>
      </c>
      <c r="M345" s="248">
        <f>_xlfn.XLOOKUP($C345,'Site Level Financials - ''23 ''24'!$C$2:$C$1577,'Site Level Financials - ''23 ''24'!Y$2:Y$1577)</f>
        <v>136.72841806704062</v>
      </c>
      <c r="N345" s="248">
        <f>_xlfn.XLOOKUP($C345,'Site Level Financials - ''23 ''24'!$C$2:$C$1577,'Site Level Financials - ''23 ''24'!Z$2:Z$1577)</f>
        <v>221.14073030211952</v>
      </c>
      <c r="O345" s="248">
        <f>_xlfn.XLOOKUP($C345,'Site Level Financials - ''23 ''24'!$C$2:$C$1577,'Site Level Financials - ''23 ''24'!AA$2:AA$1577)</f>
        <v>213.12054967313435</v>
      </c>
      <c r="P345" s="248">
        <f>_xlfn.XLOOKUP($C345,'Site Level Financials - ''23 ''24'!$C$2:$C$1577,'Site Level Financials - ''23 ''24'!AB$2:AB$1577)</f>
        <v>248.90056169184035</v>
      </c>
      <c r="Q345" s="248">
        <f>_xlfn.XLOOKUP($C345,'Site Level Financials - ''23 ''24'!$C$2:$C$1577,'Site Level Financials - ''23 ''24'!AC$2:AC$1577)</f>
        <v>299.86600001868226</v>
      </c>
      <c r="R345" s="248">
        <f>_xlfn.XLOOKUP($C345,'Site Level Financials - ''23 ''24'!$C$2:$C$1577,'Site Level Financials - ''23 ''24'!AD$2:AD$1577)</f>
        <v>157.51086491260142</v>
      </c>
      <c r="S345" s="169">
        <f t="shared" ref="S345:AD345" si="926">S346*S315</f>
        <v>235.45331289008033</v>
      </c>
      <c r="T345" s="170">
        <f t="shared" si="926"/>
        <v>243.80691672280588</v>
      </c>
      <c r="U345" s="170">
        <f t="shared" si="926"/>
        <v>261.79724239886212</v>
      </c>
      <c r="V345" s="170">
        <f t="shared" si="926"/>
        <v>361.73632734323343</v>
      </c>
      <c r="W345" s="170">
        <f t="shared" si="926"/>
        <v>429.92785243003431</v>
      </c>
      <c r="X345" s="170">
        <f t="shared" si="926"/>
        <v>361.03137497774566</v>
      </c>
      <c r="Y345" s="170">
        <f t="shared" si="926"/>
        <v>363.71642033751789</v>
      </c>
      <c r="Z345" s="170">
        <f t="shared" si="926"/>
        <v>311.88349553958869</v>
      </c>
      <c r="AA345" s="170">
        <f t="shared" si="926"/>
        <v>285.94633995168169</v>
      </c>
      <c r="AB345" s="170">
        <f t="shared" si="926"/>
        <v>328.40729578732993</v>
      </c>
      <c r="AC345" s="170">
        <f t="shared" si="926"/>
        <v>259.59577371898149</v>
      </c>
      <c r="AD345" s="171">
        <f t="shared" si="926"/>
        <v>211.88532913256324</v>
      </c>
      <c r="AE345" s="26"/>
      <c r="AF345" s="234">
        <f>_xlfn.XLOOKUP($C345,'Site Level Financials - ''23 ''24'!$C$2:$C$1577,'Site Level Financials - ''23 ''24'!$AF$2:$AF$1577)</f>
        <v>4492.6443482082523</v>
      </c>
      <c r="AG345" s="99">
        <f>SUM(G345:R345)</f>
        <v>2807.303258309797</v>
      </c>
      <c r="AH345" s="99">
        <f t="shared" ref="AH345" si="927">SUM(S345:AD345)</f>
        <v>3655.1876812304245</v>
      </c>
    </row>
    <row r="346" spans="2:35" x14ac:dyDescent="0.2">
      <c r="B346" s="9">
        <f>G305</f>
        <v>7</v>
      </c>
      <c r="C346" s="9" t="str">
        <f t="shared" si="816"/>
        <v>7 - Collections as a % of Production</v>
      </c>
      <c r="D346" s="9" t="s">
        <v>56</v>
      </c>
      <c r="F346" s="16" t="s">
        <v>17</v>
      </c>
      <c r="G346" s="245">
        <f>_xlfn.XLOOKUP($C346,'Site Level Financials - ''23 ''24'!$C$2:$C$1577,'Site Level Financials - ''23 ''24'!S$2:S$1577)</f>
        <v>0.99698131768679965</v>
      </c>
      <c r="H346" s="246">
        <f>_xlfn.XLOOKUP($C346,'Site Level Financials - ''23 ''24'!$C$2:$C$1577,'Site Level Financials - ''23 ''24'!T$2:T$1577)</f>
        <v>0.97062712712439003</v>
      </c>
      <c r="I346" s="246">
        <f>_xlfn.XLOOKUP($C346,'Site Level Financials - ''23 ''24'!$C$2:$C$1577,'Site Level Financials - ''23 ''24'!U$2:U$1577)</f>
        <v>0.99464951021653769</v>
      </c>
      <c r="J346" s="246">
        <f>_xlfn.XLOOKUP($C346,'Site Level Financials - ''23 ''24'!$C$2:$C$1577,'Site Level Financials - ''23 ''24'!V$2:V$1577)</f>
        <v>0.96684417851198612</v>
      </c>
      <c r="K346" s="246">
        <f>_xlfn.XLOOKUP($C346,'Site Level Financials - ''23 ''24'!$C$2:$C$1577,'Site Level Financials - ''23 ''24'!W$2:W$1577)</f>
        <v>0.99347216886621648</v>
      </c>
      <c r="L346" s="246">
        <f>_xlfn.XLOOKUP($C346,'Site Level Financials - ''23 ''24'!$C$2:$C$1577,'Site Level Financials - ''23 ''24'!X$2:X$1577)</f>
        <v>0.97651970504272345</v>
      </c>
      <c r="M346" s="246">
        <f>_xlfn.XLOOKUP($C346,'Site Level Financials - ''23 ''24'!$C$2:$C$1577,'Site Level Financials - ''23 ''24'!Y$2:Y$1577)</f>
        <v>0.97667500031826648</v>
      </c>
      <c r="N346" s="246">
        <f>_xlfn.XLOOKUP($C346,'Site Level Financials - ''23 ''24'!$C$2:$C$1577,'Site Level Financials - ''23 ''24'!Z$2:Z$1577)</f>
        <v>0.99780777930710673</v>
      </c>
      <c r="O346" s="246">
        <f>_xlfn.XLOOKUP($C346,'Site Level Financials - ''23 ''24'!$C$2:$C$1577,'Site Level Financials - ''23 ''24'!AA$2:AA$1577)</f>
        <v>0.98641938612817992</v>
      </c>
      <c r="P346" s="246">
        <f>_xlfn.XLOOKUP($C346,'Site Level Financials - ''23 ''24'!$C$2:$C$1577,'Site Level Financials - ''23 ''24'!AB$2:AB$1577)</f>
        <v>0.97302957725504413</v>
      </c>
      <c r="Q346" s="246">
        <f>_xlfn.XLOOKUP($C346,'Site Level Financials - ''23 ''24'!$C$2:$C$1577,'Site Level Financials - ''23 ''24'!AC$2:AC$1577)</f>
        <v>0.98158383456996501</v>
      </c>
      <c r="R346" s="246">
        <f>_xlfn.XLOOKUP($C346,'Site Level Financials - ''23 ''24'!$C$2:$C$1577,'Site Level Financials - ''23 ''24'!AD$2:AD$1577)</f>
        <v>0.97259152451850706</v>
      </c>
      <c r="S346" s="148">
        <f>S316</f>
        <v>0.98292838749047984</v>
      </c>
      <c r="T346" s="149">
        <f t="shared" ref="T346:AD346" si="928">T316</f>
        <v>0.98292838749047984</v>
      </c>
      <c r="U346" s="149">
        <f t="shared" si="928"/>
        <v>0.98292838749047984</v>
      </c>
      <c r="V346" s="149">
        <f t="shared" si="928"/>
        <v>0.98292838749047984</v>
      </c>
      <c r="W346" s="149">
        <f t="shared" si="928"/>
        <v>0.98292838749047984</v>
      </c>
      <c r="X346" s="149">
        <f t="shared" si="928"/>
        <v>0.98292838749047984</v>
      </c>
      <c r="Y346" s="149">
        <f t="shared" si="928"/>
        <v>0.98292838749047984</v>
      </c>
      <c r="Z346" s="149">
        <f t="shared" si="928"/>
        <v>0.98292838749047984</v>
      </c>
      <c r="AA346" s="149">
        <f t="shared" si="928"/>
        <v>0.98292838749047984</v>
      </c>
      <c r="AB346" s="149">
        <f t="shared" si="928"/>
        <v>0.98292838749047984</v>
      </c>
      <c r="AC346" s="149">
        <f t="shared" si="928"/>
        <v>0.98292838749047984</v>
      </c>
      <c r="AD346" s="150">
        <f t="shared" si="928"/>
        <v>0.98292838749047984</v>
      </c>
      <c r="AE346" s="15"/>
      <c r="AF346" s="232">
        <f>_xlfn.XLOOKUP($C346,'Site Level Financials - ''23 ''24'!$C$2:$C$1577,'Site Level Financials - ''23 ''24'!$AF$2:$AF$1577)</f>
        <v>0.984248927395729</v>
      </c>
      <c r="AG346" s="97">
        <f t="shared" ref="AG346:AH346" si="929">AG345/AG315</f>
        <v>0.98292838749047984</v>
      </c>
      <c r="AH346" s="97">
        <f t="shared" si="929"/>
        <v>0.98292838749047984</v>
      </c>
    </row>
    <row r="347" spans="2:35" ht="6" customHeight="1" x14ac:dyDescent="0.2">
      <c r="B347" s="9">
        <f>G305</f>
        <v>7</v>
      </c>
      <c r="C347" s="9" t="str">
        <f t="shared" si="816"/>
        <v xml:space="preserve">7 - </v>
      </c>
      <c r="D347" s="9" t="s">
        <v>56</v>
      </c>
      <c r="F347" s="27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81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81"/>
      <c r="AE347" s="15"/>
      <c r="AF347" s="11"/>
      <c r="AH347" s="224"/>
    </row>
    <row r="348" spans="2:35" s="24" customFormat="1" x14ac:dyDescent="0.2">
      <c r="B348" s="9">
        <f>G305</f>
        <v>7</v>
      </c>
      <c r="C348" s="9" t="str">
        <f t="shared" si="816"/>
        <v>7 - Production per Vet Workday - YoY Change</v>
      </c>
      <c r="D348" s="9" t="s">
        <v>56</v>
      </c>
      <c r="E348" s="49"/>
      <c r="F348" s="24" t="s">
        <v>55</v>
      </c>
      <c r="G348" s="249">
        <f>_xlfn.XLOOKUP($C348,'Site Level Financials - ''23 ''24'!$C$2:$C$1577,'Site Level Financials - ''23 ''24'!S$2:S$1577)</f>
        <v>-0.13200057895356798</v>
      </c>
      <c r="H348" s="250">
        <f>_xlfn.XLOOKUP($C348,'Site Level Financials - ''23 ''24'!$C$2:$C$1577,'Site Level Financials - ''23 ''24'!T$2:T$1577)</f>
        <v>-4.2420292268530613E-2</v>
      </c>
      <c r="I348" s="250">
        <f>_xlfn.XLOOKUP($C348,'Site Level Financials - ''23 ''24'!$C$2:$C$1577,'Site Level Financials - ''23 ''24'!U$2:U$1577)</f>
        <v>-3.9278419702786005E-2</v>
      </c>
      <c r="J348" s="250">
        <f>_xlfn.XLOOKUP($C348,'Site Level Financials - ''23 ''24'!$C$2:$C$1577,'Site Level Financials - ''23 ''24'!V$2:V$1577)</f>
        <v>-0.11012759054504262</v>
      </c>
      <c r="K348" s="250">
        <f>_xlfn.XLOOKUP($C348,'Site Level Financials - ''23 ''24'!$C$2:$C$1577,'Site Level Financials - ''23 ''24'!W$2:W$1577)</f>
        <v>-7.1495486348373327E-2</v>
      </c>
      <c r="L348" s="250">
        <f>_xlfn.XLOOKUP($C348,'Site Level Financials - ''23 ''24'!$C$2:$C$1577,'Site Level Financials - ''23 ''24'!X$2:X$1577)</f>
        <v>-5.537858742094881E-2</v>
      </c>
      <c r="M348" s="250">
        <f>_xlfn.XLOOKUP($C348,'Site Level Financials - ''23 ''24'!$C$2:$C$1577,'Site Level Financials - ''23 ''24'!Y$2:Y$1577)</f>
        <v>-1.1413973696429269E-2</v>
      </c>
      <c r="N348" s="250">
        <f>_xlfn.XLOOKUP($C348,'Site Level Financials - ''23 ''24'!$C$2:$C$1577,'Site Level Financials - ''23 ''24'!Z$2:Z$1577)</f>
        <v>-0.12669237033692293</v>
      </c>
      <c r="O348" s="250">
        <f>_xlfn.XLOOKUP($C348,'Site Level Financials - ''23 ''24'!$C$2:$C$1577,'Site Level Financials - ''23 ''24'!AA$2:AA$1577)</f>
        <v>-4.3316704785304805E-2</v>
      </c>
      <c r="P348" s="250">
        <f>_xlfn.XLOOKUP($C348,'Site Level Financials - ''23 ''24'!$C$2:$C$1577,'Site Level Financials - ''23 ''24'!AB$2:AB$1577)</f>
        <v>4.971769519387248E-2</v>
      </c>
      <c r="Q348" s="250">
        <f>_xlfn.XLOOKUP($C348,'Site Level Financials - ''23 ''24'!$C$2:$C$1577,'Site Level Financials - ''23 ''24'!AC$2:AC$1577)</f>
        <v>4.7248614765589503E-2</v>
      </c>
      <c r="R348" s="251">
        <f>_xlfn.XLOOKUP($C348,'Site Level Financials - ''23 ''24'!$C$2:$C$1577,'Site Level Financials - ''23 ''24'!AD$2:AD$1577)</f>
        <v>-1.0249326350006527E-2</v>
      </c>
      <c r="S348" s="151">
        <f>S314/G314-1</f>
        <v>0.16217057854136208</v>
      </c>
      <c r="T348" s="152">
        <f t="shared" ref="T348" si="930">T314/H314-1</f>
        <v>0.10222335209265876</v>
      </c>
      <c r="U348" s="152">
        <f t="shared" ref="U348" si="931">U314/I314-1</f>
        <v>3.3904680212790028E-2</v>
      </c>
      <c r="V348" s="152">
        <f t="shared" ref="V348" si="932">V314/J314-1</f>
        <v>-3.1858768677664351E-2</v>
      </c>
      <c r="W348" s="152">
        <f t="shared" ref="W348" si="933">W314/K314-1</f>
        <v>-9.8772726712998304E-2</v>
      </c>
      <c r="X348" s="152">
        <f t="shared" ref="X348" si="934">X314/L314-1</f>
        <v>-7.6305971930662131E-2</v>
      </c>
      <c r="Y348" s="152">
        <f t="shared" ref="Y348" si="935">Y314/M314-1</f>
        <v>-0.11892869388969707</v>
      </c>
      <c r="Z348" s="152">
        <f t="shared" ref="Z348" si="936">Z314/N314-1</f>
        <v>-4.5540725892365685E-2</v>
      </c>
      <c r="AA348" s="152">
        <f t="shared" ref="AA348" si="937">AA314/O314-1</f>
        <v>-0.10234867483355359</v>
      </c>
      <c r="AB348" s="152">
        <f t="shared" ref="AB348" si="938">AB314/P314-1</f>
        <v>-0.12923728498884901</v>
      </c>
      <c r="AC348" s="152">
        <f t="shared" ref="AC348" si="939">AC314/Q314-1</f>
        <v>-0.13547827604299056</v>
      </c>
      <c r="AD348" s="153">
        <f t="shared" ref="AD348" si="940">AD314/R314-1</f>
        <v>-0.1126239260689198</v>
      </c>
      <c r="AF348" s="43"/>
      <c r="AG348" s="177">
        <f>AG314/AF314-1</f>
        <v>-9.1364876680408047E-2</v>
      </c>
      <c r="AH348" s="225">
        <f>AH314/AG314-1</f>
        <v>-1.4681450321624823E-2</v>
      </c>
    </row>
    <row r="349" spans="2:35" s="24" customFormat="1" ht="6" customHeight="1" x14ac:dyDescent="0.2">
      <c r="D349" s="9" t="s">
        <v>56</v>
      </c>
      <c r="E349" s="49"/>
      <c r="G349" s="28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29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29"/>
      <c r="AE349" s="25"/>
      <c r="AF349" s="28"/>
      <c r="AG349" s="30"/>
      <c r="AH349" s="226"/>
    </row>
    <row r="350" spans="2:35" s="24" customFormat="1" ht="6" customHeight="1" x14ac:dyDescent="0.2">
      <c r="D350" s="9" t="s">
        <v>56</v>
      </c>
      <c r="E350" s="49"/>
    </row>
    <row r="351" spans="2:35" x14ac:dyDescent="0.2">
      <c r="D351" s="9" t="s">
        <v>56</v>
      </c>
      <c r="F351" s="16"/>
    </row>
    <row r="352" spans="2:35" ht="15.75" thickBot="1" x14ac:dyDescent="0.4">
      <c r="B352" s="35" t="s">
        <v>52</v>
      </c>
      <c r="C352" s="35"/>
      <c r="D352" s="9" t="s">
        <v>56</v>
      </c>
      <c r="E352" s="48" t="s">
        <v>0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74"/>
      <c r="AH352" s="3">
        <f ca="1">TODAY()</f>
        <v>45999</v>
      </c>
      <c r="AI352" s="1"/>
    </row>
    <row r="353" spans="2:34" x14ac:dyDescent="0.2">
      <c r="B353" s="9">
        <f>G355</f>
        <v>8</v>
      </c>
      <c r="C353" s="9"/>
      <c r="D353" s="9" t="s">
        <v>56</v>
      </c>
      <c r="F353" t="s">
        <v>159</v>
      </c>
      <c r="AG353" s="6"/>
      <c r="AH353" s="6" t="s">
        <v>16</v>
      </c>
    </row>
    <row r="354" spans="2:34" x14ac:dyDescent="0.2">
      <c r="B354" s="9"/>
      <c r="C354" s="9"/>
      <c r="D354" s="9" t="s">
        <v>56</v>
      </c>
      <c r="AG354" s="6"/>
      <c r="AH354" s="6"/>
    </row>
    <row r="355" spans="2:34" x14ac:dyDescent="0.2">
      <c r="B355" s="9">
        <f>G355</f>
        <v>8</v>
      </c>
      <c r="C355" s="9"/>
      <c r="D355" s="9" t="s">
        <v>56</v>
      </c>
      <c r="F355" s="40" t="s">
        <v>53</v>
      </c>
      <c r="G355" s="42">
        <v>8</v>
      </c>
    </row>
    <row r="356" spans="2:34" x14ac:dyDescent="0.2">
      <c r="B356" s="9">
        <f>G355</f>
        <v>8</v>
      </c>
      <c r="C356" s="9"/>
      <c r="D356" s="9" t="s">
        <v>56</v>
      </c>
      <c r="F356" s="39" t="s">
        <v>25</v>
      </c>
      <c r="G356" s="41"/>
      <c r="H356" s="11"/>
    </row>
    <row r="357" spans="2:34" x14ac:dyDescent="0.2">
      <c r="B357" s="9">
        <f>G355</f>
        <v>8</v>
      </c>
      <c r="C357" s="9"/>
      <c r="D357" s="9" t="s">
        <v>56</v>
      </c>
      <c r="G357" s="23"/>
    </row>
    <row r="358" spans="2:34" x14ac:dyDescent="0.2">
      <c r="B358" s="9">
        <f>G355</f>
        <v>8</v>
      </c>
      <c r="C358" s="9"/>
      <c r="D358" s="9" t="s">
        <v>56</v>
      </c>
      <c r="G358" s="208" t="s">
        <v>229</v>
      </c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10"/>
      <c r="S358" s="266" t="s">
        <v>230</v>
      </c>
      <c r="T358" s="267"/>
      <c r="U358" s="267"/>
      <c r="V358" s="267"/>
      <c r="W358" s="267"/>
      <c r="X358" s="267"/>
      <c r="Y358" s="267"/>
      <c r="Z358" s="267"/>
      <c r="AA358" s="267"/>
      <c r="AB358" s="267"/>
      <c r="AC358" s="267"/>
      <c r="AD358" s="268"/>
      <c r="AF358" s="17" t="s">
        <v>231</v>
      </c>
      <c r="AG358" s="50"/>
      <c r="AH358" s="269" t="s">
        <v>232</v>
      </c>
    </row>
    <row r="359" spans="2:34" ht="15" customHeight="1" x14ac:dyDescent="0.35">
      <c r="B359" s="9">
        <f>G355</f>
        <v>8</v>
      </c>
      <c r="C359" s="9"/>
      <c r="D359" s="9" t="s">
        <v>56</v>
      </c>
      <c r="G359" s="211">
        <v>44957</v>
      </c>
      <c r="H359" s="212">
        <f>EOMONTH(G359,1)</f>
        <v>44985</v>
      </c>
      <c r="I359" s="212">
        <f t="shared" ref="I359" si="941">EOMONTH(H359,1)</f>
        <v>45016</v>
      </c>
      <c r="J359" s="212">
        <f t="shared" ref="J359" si="942">EOMONTH(I359,1)</f>
        <v>45046</v>
      </c>
      <c r="K359" s="212">
        <f t="shared" ref="K359" si="943">EOMONTH(J359,1)</f>
        <v>45077</v>
      </c>
      <c r="L359" s="212">
        <f t="shared" ref="L359" si="944">EOMONTH(K359,1)</f>
        <v>45107</v>
      </c>
      <c r="M359" s="212">
        <f t="shared" ref="M359" si="945">EOMONTH(L359,1)</f>
        <v>45138</v>
      </c>
      <c r="N359" s="212">
        <f t="shared" ref="N359" si="946">EOMONTH(M359,1)</f>
        <v>45169</v>
      </c>
      <c r="O359" s="212">
        <f t="shared" ref="O359" si="947">EOMONTH(N359,1)</f>
        <v>45199</v>
      </c>
      <c r="P359" s="212">
        <f t="shared" ref="P359" si="948">EOMONTH(O359,1)</f>
        <v>45230</v>
      </c>
      <c r="Q359" s="212">
        <f t="shared" ref="Q359" si="949">EOMONTH(P359,1)</f>
        <v>45260</v>
      </c>
      <c r="R359" s="213">
        <f t="shared" ref="R359" si="950">EOMONTH(Q359,1)</f>
        <v>45291</v>
      </c>
      <c r="S359" s="4">
        <f t="shared" ref="S359" si="951">EOMONTH(R359,1)</f>
        <v>45322</v>
      </c>
      <c r="T359" s="19">
        <f t="shared" ref="T359" si="952">EOMONTH(S359,1)</f>
        <v>45351</v>
      </c>
      <c r="U359" s="19">
        <f t="shared" ref="U359" si="953">EOMONTH(T359,1)</f>
        <v>45382</v>
      </c>
      <c r="V359" s="19">
        <f t="shared" ref="V359" si="954">EOMONTH(U359,1)</f>
        <v>45412</v>
      </c>
      <c r="W359" s="19">
        <f t="shared" ref="W359" si="955">EOMONTH(V359,1)</f>
        <v>45443</v>
      </c>
      <c r="X359" s="19">
        <f t="shared" ref="X359" si="956">EOMONTH(W359,1)</f>
        <v>45473</v>
      </c>
      <c r="Y359" s="19">
        <f t="shared" ref="Y359" si="957">EOMONTH(X359,1)</f>
        <v>45504</v>
      </c>
      <c r="Z359" s="19">
        <f t="shared" ref="Z359" si="958">EOMONTH(Y359,1)</f>
        <v>45535</v>
      </c>
      <c r="AA359" s="19">
        <f t="shared" ref="AA359" si="959">EOMONTH(Z359,1)</f>
        <v>45565</v>
      </c>
      <c r="AB359" s="19">
        <f t="shared" ref="AB359" si="960">EOMONTH(AA359,1)</f>
        <v>45596</v>
      </c>
      <c r="AC359" s="19">
        <f t="shared" ref="AC359" si="961">EOMONTH(AB359,1)</f>
        <v>45626</v>
      </c>
      <c r="AD359" s="5">
        <f t="shared" ref="AD359" si="962">EOMONTH(AC359,1)</f>
        <v>45657</v>
      </c>
      <c r="AE359" s="168"/>
      <c r="AF359" s="13">
        <v>45291</v>
      </c>
      <c r="AG359" s="14">
        <v>45657</v>
      </c>
      <c r="AH359" s="14">
        <v>46022</v>
      </c>
    </row>
    <row r="360" spans="2:34" ht="0.95" customHeight="1" x14ac:dyDescent="0.2">
      <c r="B360" s="9">
        <f>G355</f>
        <v>8</v>
      </c>
      <c r="C360" s="9"/>
      <c r="D360" s="9" t="s">
        <v>56</v>
      </c>
      <c r="G360" s="11"/>
      <c r="S360" s="11"/>
      <c r="AD360" s="15"/>
      <c r="AE360" s="15"/>
      <c r="AF360" s="11"/>
      <c r="AG360" s="15"/>
      <c r="AH360" s="15"/>
    </row>
    <row r="361" spans="2:34" x14ac:dyDescent="0.2">
      <c r="B361" s="9">
        <f>G355</f>
        <v>8</v>
      </c>
      <c r="C361" s="9" t="str">
        <f>B361&amp;" - "&amp;F361</f>
        <v>8 - Employed Vets</v>
      </c>
      <c r="D361" s="9" t="s">
        <v>56</v>
      </c>
      <c r="F361" s="7" t="s">
        <v>160</v>
      </c>
      <c r="G361" s="178">
        <f>_xlfn.XLOOKUP($C361,'Site Level Financials - ''23 ''24'!$C$2:$C$1577,'Site Level Financials - ''23 ''24'!S$2:S$1577)</f>
        <v>4</v>
      </c>
      <c r="H361" s="179">
        <f>_xlfn.XLOOKUP($C361,'Site Level Financials - ''23 ''24'!$C$2:$C$1577,'Site Level Financials - ''23 ''24'!T$2:T$1577)</f>
        <v>4</v>
      </c>
      <c r="I361" s="179">
        <f>_xlfn.XLOOKUP($C361,'Site Level Financials - ''23 ''24'!$C$2:$C$1577,'Site Level Financials - ''23 ''24'!U$2:U$1577)</f>
        <v>3</v>
      </c>
      <c r="J361" s="179">
        <f>_xlfn.XLOOKUP($C361,'Site Level Financials - ''23 ''24'!$C$2:$C$1577,'Site Level Financials - ''23 ''24'!V$2:V$1577)</f>
        <v>3</v>
      </c>
      <c r="K361" s="179">
        <f>_xlfn.XLOOKUP($C361,'Site Level Financials - ''23 ''24'!$C$2:$C$1577,'Site Level Financials - ''23 ''24'!W$2:W$1577)</f>
        <v>3</v>
      </c>
      <c r="L361" s="179">
        <f>_xlfn.XLOOKUP($C361,'Site Level Financials - ''23 ''24'!$C$2:$C$1577,'Site Level Financials - ''23 ''24'!X$2:X$1577)</f>
        <v>3</v>
      </c>
      <c r="M361" s="179">
        <f>_xlfn.XLOOKUP($C361,'Site Level Financials - ''23 ''24'!$C$2:$C$1577,'Site Level Financials - ''23 ''24'!Y$2:Y$1577)</f>
        <v>4</v>
      </c>
      <c r="N361" s="179">
        <f>_xlfn.XLOOKUP($C361,'Site Level Financials - ''23 ''24'!$C$2:$C$1577,'Site Level Financials - ''23 ''24'!Z$2:Z$1577)</f>
        <v>5</v>
      </c>
      <c r="O361" s="179">
        <f>_xlfn.XLOOKUP($C361,'Site Level Financials - ''23 ''24'!$C$2:$C$1577,'Site Level Financials - ''23 ''24'!AA$2:AA$1577)</f>
        <v>5</v>
      </c>
      <c r="P361" s="179">
        <f>_xlfn.XLOOKUP($C361,'Site Level Financials - ''23 ''24'!$C$2:$C$1577,'Site Level Financials - ''23 ''24'!AB$2:AB$1577)</f>
        <v>5</v>
      </c>
      <c r="Q361" s="179">
        <f>_xlfn.XLOOKUP($C361,'Site Level Financials - ''23 ''24'!$C$2:$C$1577,'Site Level Financials - ''23 ''24'!AC$2:AC$1577)</f>
        <v>5</v>
      </c>
      <c r="R361" s="179">
        <f>_xlfn.XLOOKUP($C361,'Site Level Financials - ''23 ''24'!$C$2:$C$1577,'Site Level Financials - ''23 ''24'!AD$2:AD$1577)</f>
        <v>5</v>
      </c>
      <c r="S361" s="178">
        <f>R361+_xlfn.XLOOKUP($R361,'Budget Assumption Driver'!$A$7:$A$11,'Budget Assumption Driver'!E$7:E$11)</f>
        <v>5</v>
      </c>
      <c r="T361" s="179">
        <f>S361+_xlfn.XLOOKUP($R361,'Budget Assumption Driver'!$A$7:$A$11,'Budget Assumption Driver'!F$7:F$11)</f>
        <v>5</v>
      </c>
      <c r="U361" s="179">
        <f>T361+_xlfn.XLOOKUP($R361,'Budget Assumption Driver'!$A$7:$A$11,'Budget Assumption Driver'!G$7:G$11)</f>
        <v>5</v>
      </c>
      <c r="V361" s="179">
        <f>U361+_xlfn.XLOOKUP($R361,'Budget Assumption Driver'!$A$7:$A$11,'Budget Assumption Driver'!H$7:H$11)</f>
        <v>5</v>
      </c>
      <c r="W361" s="179">
        <f>V361+_xlfn.XLOOKUP($R361,'Budget Assumption Driver'!$A$7:$A$11,'Budget Assumption Driver'!I$7:I$11)</f>
        <v>5</v>
      </c>
      <c r="X361" s="179">
        <f>W361+_xlfn.XLOOKUP($R361,'Budget Assumption Driver'!$A$7:$A$11,'Budget Assumption Driver'!J$7:J$11)</f>
        <v>5</v>
      </c>
      <c r="Y361" s="179">
        <f>X361+_xlfn.XLOOKUP($R361,'Budget Assumption Driver'!$A$7:$A$11,'Budget Assumption Driver'!K$7:K$11)</f>
        <v>5</v>
      </c>
      <c r="Z361" s="179">
        <f>Y361+_xlfn.XLOOKUP($R361,'Budget Assumption Driver'!$A$7:$A$11,'Budget Assumption Driver'!L$7:L$11)</f>
        <v>5</v>
      </c>
      <c r="AA361" s="179">
        <f>Z361+_xlfn.XLOOKUP($R361,'Budget Assumption Driver'!$A$7:$A$11,'Budget Assumption Driver'!M$7:M$11)</f>
        <v>5</v>
      </c>
      <c r="AB361" s="179">
        <f>AA361+_xlfn.XLOOKUP($R361,'Budget Assumption Driver'!$A$7:$A$11,'Budget Assumption Driver'!N$7:N$11)</f>
        <v>5</v>
      </c>
      <c r="AC361" s="179">
        <f>AB361+_xlfn.XLOOKUP($R361,'Budget Assumption Driver'!$A$7:$A$11,'Budget Assumption Driver'!O$7:O$11)</f>
        <v>5</v>
      </c>
      <c r="AD361" s="290">
        <f>AC361+_xlfn.XLOOKUP($R361,'Budget Assumption Driver'!$A$7:$A$11,'Budget Assumption Driver'!P$7:P$11)</f>
        <v>5</v>
      </c>
      <c r="AE361" s="15"/>
      <c r="AF361" s="229">
        <f>_xlfn.XLOOKUP($C361,'Site Level Financials - ''23 ''24'!$C$2:$C$1577,'Site Level Financials - ''23 ''24'!$AF$2:$AF$1577)</f>
        <v>4.416666666666667</v>
      </c>
      <c r="AG361" s="91">
        <f t="shared" ref="AG361:AH361" si="963">AG363/AG362</f>
        <v>4.0855018587360599</v>
      </c>
      <c r="AH361" s="91">
        <f t="shared" si="963"/>
        <v>5</v>
      </c>
    </row>
    <row r="362" spans="2:34" x14ac:dyDescent="0.2">
      <c r="B362" s="9">
        <f>G355</f>
        <v>8</v>
      </c>
      <c r="C362" s="9" t="str">
        <f t="shared" ref="C362:C398" si="964">B362&amp;" - "&amp;F362</f>
        <v>8 - Workdays in Month / Year</v>
      </c>
      <c r="D362" s="9" t="s">
        <v>56</v>
      </c>
      <c r="F362" s="7" t="s">
        <v>54</v>
      </c>
      <c r="G362" s="178">
        <f>_xlfn.XLOOKUP($C362,'Site Level Financials - ''23 ''24'!$C$2:$C$1577,'Site Level Financials - ''23 ''24'!S$2:S$1577)</f>
        <v>23</v>
      </c>
      <c r="H362" s="235">
        <f>_xlfn.XLOOKUP($C362,'Site Level Financials - ''23 ''24'!$C$2:$C$1577,'Site Level Financials - ''23 ''24'!T$2:T$1577)</f>
        <v>22</v>
      </c>
      <c r="I362" s="235">
        <f>_xlfn.XLOOKUP($C362,'Site Level Financials - ''23 ''24'!$C$2:$C$1577,'Site Level Financials - ''23 ''24'!U$2:U$1577)</f>
        <v>22</v>
      </c>
      <c r="J362" s="179">
        <f>_xlfn.XLOOKUP($C362,'Site Level Financials - ''23 ''24'!$C$2:$C$1577,'Site Level Financials - ''23 ''24'!V$2:V$1577)</f>
        <v>22</v>
      </c>
      <c r="K362" s="179">
        <f>_xlfn.XLOOKUP($C362,'Site Level Financials - ''23 ''24'!$C$2:$C$1577,'Site Level Financials - ''23 ''24'!W$2:W$1577)</f>
        <v>24</v>
      </c>
      <c r="L362" s="179">
        <f>_xlfn.XLOOKUP($C362,'Site Level Financials - ''23 ''24'!$C$2:$C$1577,'Site Level Financials - ''23 ''24'!X$2:X$1577)</f>
        <v>21</v>
      </c>
      <c r="M362" s="179">
        <f>_xlfn.XLOOKUP($C362,'Site Level Financials - ''23 ''24'!$C$2:$C$1577,'Site Level Financials - ''23 ''24'!Y$2:Y$1577)</f>
        <v>23</v>
      </c>
      <c r="N362" s="179">
        <f>_xlfn.XLOOKUP($C362,'Site Level Financials - ''23 ''24'!$C$2:$C$1577,'Site Level Financials - ''23 ''24'!Z$2:Z$1577)</f>
        <v>23</v>
      </c>
      <c r="O362" s="179">
        <f>_xlfn.XLOOKUP($C362,'Site Level Financials - ''23 ''24'!$C$2:$C$1577,'Site Level Financials - ''23 ''24'!AA$2:AA$1577)</f>
        <v>21</v>
      </c>
      <c r="P362" s="179">
        <f>_xlfn.XLOOKUP($C362,'Site Level Financials - ''23 ''24'!$C$2:$C$1577,'Site Level Financials - ''23 ''24'!AB$2:AB$1577)</f>
        <v>24</v>
      </c>
      <c r="Q362" s="179">
        <f>_xlfn.XLOOKUP($C362,'Site Level Financials - ''23 ''24'!$C$2:$C$1577,'Site Level Financials - ''23 ''24'!AC$2:AC$1577)</f>
        <v>22</v>
      </c>
      <c r="R362" s="179">
        <f>_xlfn.XLOOKUP($C362,'Site Level Financials - ''23 ''24'!$C$2:$C$1577,'Site Level Financials - ''23 ''24'!AD$2:AD$1577)</f>
        <v>22</v>
      </c>
      <c r="S362" s="155">
        <f>NETWORKDAYS(R359,S359)</f>
        <v>23</v>
      </c>
      <c r="T362" s="154">
        <f t="shared" ref="T362:AD362" si="965">NETWORKDAYS(S359,T359)</f>
        <v>22</v>
      </c>
      <c r="U362" s="154">
        <f t="shared" si="965"/>
        <v>22</v>
      </c>
      <c r="V362" s="154">
        <f t="shared" si="965"/>
        <v>22</v>
      </c>
      <c r="W362" s="154">
        <f t="shared" si="965"/>
        <v>24</v>
      </c>
      <c r="X362" s="154">
        <f t="shared" si="965"/>
        <v>21</v>
      </c>
      <c r="Y362" s="154">
        <f t="shared" si="965"/>
        <v>23</v>
      </c>
      <c r="Z362" s="154">
        <f t="shared" si="965"/>
        <v>23</v>
      </c>
      <c r="AA362" s="154">
        <f t="shared" si="965"/>
        <v>21</v>
      </c>
      <c r="AB362" s="154">
        <f t="shared" si="965"/>
        <v>24</v>
      </c>
      <c r="AC362" s="154">
        <f t="shared" si="965"/>
        <v>22</v>
      </c>
      <c r="AD362" s="156">
        <f t="shared" si="965"/>
        <v>22</v>
      </c>
      <c r="AE362" s="15"/>
      <c r="AF362" s="115">
        <f>_xlfn.XLOOKUP($C362,'Site Level Financials - ''23 ''24'!$C$2:$C$1577,'Site Level Financials - ''23 ''24'!$AF$2:$AF$1577)</f>
        <v>269</v>
      </c>
      <c r="AG362" s="93">
        <f>SUM(G362:R362)</f>
        <v>269</v>
      </c>
      <c r="AH362" s="93">
        <f>SUM(S362:AD362)</f>
        <v>269</v>
      </c>
    </row>
    <row r="363" spans="2:34" x14ac:dyDescent="0.2">
      <c r="B363" s="9">
        <f>G355</f>
        <v>8</v>
      </c>
      <c r="C363" s="9" t="str">
        <f t="shared" si="964"/>
        <v>8 - Total Vet Days</v>
      </c>
      <c r="D363" s="9" t="s">
        <v>56</v>
      </c>
      <c r="F363" s="8" t="s">
        <v>51</v>
      </c>
      <c r="G363" s="236">
        <f>_xlfn.XLOOKUP($C363,'Site Level Financials - ''23 ''24'!$C$2:$C$1577,'Site Level Financials - ''23 ''24'!S$2:S$1577)</f>
        <v>92</v>
      </c>
      <c r="H363" s="237">
        <f>_xlfn.XLOOKUP($C363,'Site Level Financials - ''23 ''24'!$C$2:$C$1577,'Site Level Financials - ''23 ''24'!T$2:T$1577)</f>
        <v>88</v>
      </c>
      <c r="I363" s="237">
        <f>_xlfn.XLOOKUP($C363,'Site Level Financials - ''23 ''24'!$C$2:$C$1577,'Site Level Financials - ''23 ''24'!U$2:U$1577)</f>
        <v>66</v>
      </c>
      <c r="J363" s="238">
        <f>_xlfn.XLOOKUP($C363,'Site Level Financials - ''23 ''24'!$C$2:$C$1577,'Site Level Financials - ''23 ''24'!V$2:V$1577)</f>
        <v>66</v>
      </c>
      <c r="K363" s="238">
        <f>_xlfn.XLOOKUP($C363,'Site Level Financials - ''23 ''24'!$C$2:$C$1577,'Site Level Financials - ''23 ''24'!W$2:W$1577)</f>
        <v>72</v>
      </c>
      <c r="L363" s="238">
        <f>_xlfn.XLOOKUP($C363,'Site Level Financials - ''23 ''24'!$C$2:$C$1577,'Site Level Financials - ''23 ''24'!X$2:X$1577)</f>
        <v>63</v>
      </c>
      <c r="M363" s="238">
        <f>_xlfn.XLOOKUP($C363,'Site Level Financials - ''23 ''24'!$C$2:$C$1577,'Site Level Financials - ''23 ''24'!Y$2:Y$1577)</f>
        <v>92</v>
      </c>
      <c r="N363" s="238">
        <f>_xlfn.XLOOKUP($C363,'Site Level Financials - ''23 ''24'!$C$2:$C$1577,'Site Level Financials - ''23 ''24'!Z$2:Z$1577)</f>
        <v>115</v>
      </c>
      <c r="O363" s="238">
        <f>_xlfn.XLOOKUP($C363,'Site Level Financials - ''23 ''24'!$C$2:$C$1577,'Site Level Financials - ''23 ''24'!AA$2:AA$1577)</f>
        <v>105</v>
      </c>
      <c r="P363" s="238">
        <f>_xlfn.XLOOKUP($C363,'Site Level Financials - ''23 ''24'!$C$2:$C$1577,'Site Level Financials - ''23 ''24'!AB$2:AB$1577)</f>
        <v>120</v>
      </c>
      <c r="Q363" s="238">
        <f>_xlfn.XLOOKUP($C363,'Site Level Financials - ''23 ''24'!$C$2:$C$1577,'Site Level Financials - ''23 ''24'!AC$2:AC$1577)</f>
        <v>110</v>
      </c>
      <c r="R363" s="238">
        <f>_xlfn.XLOOKUP($C363,'Site Level Financials - ''23 ''24'!$C$2:$C$1577,'Site Level Financials - ''23 ''24'!AD$2:AD$1577)</f>
        <v>110</v>
      </c>
      <c r="S363" s="125">
        <f t="shared" ref="S363:AD363" si="966">S361*S362</f>
        <v>115</v>
      </c>
      <c r="T363" s="127">
        <f t="shared" si="966"/>
        <v>110</v>
      </c>
      <c r="U363" s="127">
        <f t="shared" si="966"/>
        <v>110</v>
      </c>
      <c r="V363" s="127">
        <f t="shared" si="966"/>
        <v>110</v>
      </c>
      <c r="W363" s="127">
        <f t="shared" si="966"/>
        <v>120</v>
      </c>
      <c r="X363" s="127">
        <f t="shared" si="966"/>
        <v>105</v>
      </c>
      <c r="Y363" s="127">
        <f t="shared" si="966"/>
        <v>115</v>
      </c>
      <c r="Z363" s="127">
        <f t="shared" si="966"/>
        <v>115</v>
      </c>
      <c r="AA363" s="127">
        <f t="shared" si="966"/>
        <v>105</v>
      </c>
      <c r="AB363" s="127">
        <f t="shared" si="966"/>
        <v>120</v>
      </c>
      <c r="AC363" s="127">
        <f t="shared" si="966"/>
        <v>110</v>
      </c>
      <c r="AD363" s="128">
        <f t="shared" si="966"/>
        <v>110</v>
      </c>
      <c r="AF363" s="112">
        <f>_xlfn.XLOOKUP($C363,'Site Level Financials - ''23 ''24'!$C$2:$C$1577,'Site Level Financials - ''23 ''24'!$AF$2:$AF$1577)</f>
        <v>1189</v>
      </c>
      <c r="AG363" s="120">
        <f>SUM(G363:R363)</f>
        <v>1099</v>
      </c>
      <c r="AH363" s="120">
        <f t="shared" ref="AH363" si="967">SUM(S363:AD363)</f>
        <v>1345</v>
      </c>
    </row>
    <row r="364" spans="2:34" x14ac:dyDescent="0.2">
      <c r="B364" s="9">
        <f>G355</f>
        <v>8</v>
      </c>
      <c r="C364" s="9" t="str">
        <f t="shared" si="964"/>
        <v>8 - Production per Vet Workday</v>
      </c>
      <c r="D364" s="9" t="s">
        <v>56</v>
      </c>
      <c r="F364" s="7" t="s">
        <v>50</v>
      </c>
      <c r="G364" s="239">
        <f>_xlfn.XLOOKUP($C364,'Site Level Financials - ''23 ''24'!$C$2:$C$1577,'Site Level Financials - ''23 ''24'!S$2:S$1577)</f>
        <v>4.7419749089244752</v>
      </c>
      <c r="H364" s="240">
        <f>_xlfn.XLOOKUP($C364,'Site Level Financials - ''23 ''24'!$C$2:$C$1577,'Site Level Financials - ''23 ''24'!T$2:T$1577)</f>
        <v>4.7148569839734549</v>
      </c>
      <c r="I364" s="240">
        <f>_xlfn.XLOOKUP($C364,'Site Level Financials - ''23 ''24'!$C$2:$C$1577,'Site Level Financials - ''23 ''24'!U$2:U$1577)</f>
        <v>5.2392062229102851</v>
      </c>
      <c r="J364" s="240">
        <f>_xlfn.XLOOKUP($C364,'Site Level Financials - ''23 ''24'!$C$2:$C$1577,'Site Level Financials - ''23 ''24'!V$2:V$1577)</f>
        <v>4.8885335033423871</v>
      </c>
      <c r="K364" s="240">
        <f>_xlfn.XLOOKUP($C364,'Site Level Financials - ''23 ''24'!$C$2:$C$1577,'Site Level Financials - ''23 ''24'!W$2:W$1577)</f>
        <v>5.3170168968087888</v>
      </c>
      <c r="L364" s="240">
        <f>_xlfn.XLOOKUP($C364,'Site Level Financials - ''23 ''24'!$C$2:$C$1577,'Site Level Financials - ''23 ''24'!X$2:X$1577)</f>
        <v>5.3065887361877557</v>
      </c>
      <c r="M364" s="240">
        <f>_xlfn.XLOOKUP($C364,'Site Level Financials - ''23 ''24'!$C$2:$C$1577,'Site Level Financials - ''23 ''24'!Y$2:Y$1577)</f>
        <v>4.5793834208781323</v>
      </c>
      <c r="N364" s="240">
        <f>_xlfn.XLOOKUP($C364,'Site Level Financials - ''23 ''24'!$C$2:$C$1577,'Site Level Financials - ''23 ''24'!Z$2:Z$1577)</f>
        <v>3.6076494651580373</v>
      </c>
      <c r="O364" s="240">
        <f>_xlfn.XLOOKUP($C364,'Site Level Financials - ''23 ''24'!$C$2:$C$1577,'Site Level Financials - ''23 ''24'!AA$2:AA$1577)</f>
        <v>3.8418839274266174</v>
      </c>
      <c r="P364" s="240">
        <f>_xlfn.XLOOKUP($C364,'Site Level Financials - ''23 ''24'!$C$2:$C$1577,'Site Level Financials - ''23 ''24'!AB$2:AB$1577)</f>
        <v>3.9570217075201843</v>
      </c>
      <c r="Q364" s="240">
        <f>_xlfn.XLOOKUP($C364,'Site Level Financials - ''23 ''24'!$C$2:$C$1577,'Site Level Financials - ''23 ''24'!AC$2:AC$1577)</f>
        <v>3.1841290413553369</v>
      </c>
      <c r="R364" s="240">
        <f>_xlfn.XLOOKUP($C364,'Site Level Financials - ''23 ''24'!$C$2:$C$1577,'Site Level Financials - ''23 ''24'!AD$2:AD$1577)</f>
        <v>2.6031535397347563</v>
      </c>
      <c r="S364" s="239">
        <f>R364*(1+_xlfn.XLOOKUP($R361,'Budget Assumption Driver'!$A$15:$A$19,'Budget Assumption Driver'!E$15:E$19))</f>
        <v>3.6829644027928437</v>
      </c>
      <c r="T364" s="240">
        <f>S364*(1+_xlfn.XLOOKUP($R361,'Budget Assumption Driver'!$A$15:$A$19,'Budget Assumption Driver'!F$15:F$19))</f>
        <v>3.986978495715475</v>
      </c>
      <c r="U364" s="240">
        <f>T364*(1+_xlfn.XLOOKUP($R361,'Budget Assumption Driver'!$A$15:$A$19,'Budget Assumption Driver'!G$15:G$19))</f>
        <v>4.2811745856603052</v>
      </c>
      <c r="V364" s="240">
        <f>U364*(1+_xlfn.XLOOKUP($R361,'Budget Assumption Driver'!$A$15:$A$19,'Budget Assumption Driver'!H$15:H$19))</f>
        <v>4.5858295717719804</v>
      </c>
      <c r="W364" s="240">
        <f>V364*(1+_xlfn.XLOOKUP($R361,'Budget Assumption Driver'!$A$15:$A$19,'Budget Assumption Driver'!I$15:I$19))</f>
        <v>4.9961193679166493</v>
      </c>
      <c r="X364" s="240">
        <f>W364*(1+_xlfn.XLOOKUP($R361,'Budget Assumption Driver'!$A$15:$A$19,'Budget Assumption Driver'!J$15:J$19))</f>
        <v>4.7948399707578062</v>
      </c>
      <c r="Y364" s="240">
        <f>X364*(1+_xlfn.XLOOKUP($R361,'Budget Assumption Driver'!$A$15:$A$19,'Budget Assumption Driver'!K$15:K$19))</f>
        <v>4.4104564545320164</v>
      </c>
      <c r="Z364" s="240">
        <f>Y364*(1+_xlfn.XLOOKUP($R361,'Budget Assumption Driver'!$A$15:$A$19,'Budget Assumption Driver'!L$15:L$19))</f>
        <v>3.781925970480295</v>
      </c>
      <c r="AA364" s="240">
        <f>Z364*(1+_xlfn.XLOOKUP($R361,'Budget Assumption Driver'!$A$15:$A$19,'Budget Assumption Driver'!M$15:M$19))</f>
        <v>3.79763930593771</v>
      </c>
      <c r="AB364" s="240">
        <f>AA364*(1+_xlfn.XLOOKUP($R361,'Budget Assumption Driver'!$A$15:$A$19,'Budget Assumption Driver'!N$15:N$19))</f>
        <v>3.8163660292635395</v>
      </c>
      <c r="AC364" s="240">
        <f>AB364*(1+_xlfn.XLOOKUP($R361,'Budget Assumption Driver'!$A$15:$A$19,'Budget Assumption Driver'!O$15:O$19))</f>
        <v>3.290966059645879</v>
      </c>
      <c r="AD364" s="291">
        <f>AC364*(1+_xlfn.XLOOKUP($R361,'Budget Assumption Driver'!$A$15:$A$19,'Budget Assumption Driver'!P$15:P$19))</f>
        <v>2.6861278083325559</v>
      </c>
      <c r="AE364" s="15"/>
      <c r="AF364" s="230">
        <f>_xlfn.XLOOKUP($C364,'Site Level Financials - ''23 ''24'!$C$2:$C$1577,'Site Level Financials - ''23 ''24'!$AF$2:$AF$1577)</f>
        <v>4.2608861411064458</v>
      </c>
      <c r="AG364" s="101">
        <f>AG365/AG363</f>
        <v>4.1744901724381647</v>
      </c>
      <c r="AH364" s="101">
        <f>AH365/AH363</f>
        <v>4.0124846648595733</v>
      </c>
    </row>
    <row r="365" spans="2:34" x14ac:dyDescent="0.2">
      <c r="B365" s="9">
        <f>G355</f>
        <v>8</v>
      </c>
      <c r="C365" s="9" t="str">
        <f t="shared" si="964"/>
        <v>8 - Total Production</v>
      </c>
      <c r="D365" s="9" t="s">
        <v>56</v>
      </c>
      <c r="F365" s="8" t="s">
        <v>1</v>
      </c>
      <c r="G365" s="241">
        <f>_xlfn.XLOOKUP($C365,'Site Level Financials - ''23 ''24'!$C$2:$C$1577,'Site Level Financials - ''23 ''24'!S$2:S$1577)</f>
        <v>436.26169162105174</v>
      </c>
      <c r="H365" s="242">
        <f>_xlfn.XLOOKUP($C365,'Site Level Financials - ''23 ''24'!$C$2:$C$1577,'Site Level Financials - ''23 ''24'!T$2:T$1577)</f>
        <v>414.90741458966403</v>
      </c>
      <c r="I365" s="242">
        <f>_xlfn.XLOOKUP($C365,'Site Level Financials - ''23 ''24'!$C$2:$C$1577,'Site Level Financials - ''23 ''24'!U$2:U$1577)</f>
        <v>345.78761071207884</v>
      </c>
      <c r="J365" s="242">
        <f>_xlfn.XLOOKUP($C365,'Site Level Financials - ''23 ''24'!$C$2:$C$1577,'Site Level Financials - ''23 ''24'!V$2:V$1577)</f>
        <v>322.64321122059755</v>
      </c>
      <c r="K365" s="242">
        <f>_xlfn.XLOOKUP($C365,'Site Level Financials - ''23 ''24'!$C$2:$C$1577,'Site Level Financials - ''23 ''24'!W$2:W$1577)</f>
        <v>382.82521657023278</v>
      </c>
      <c r="L365" s="242">
        <f>_xlfn.XLOOKUP($C365,'Site Level Financials - ''23 ''24'!$C$2:$C$1577,'Site Level Financials - ''23 ''24'!X$2:X$1577)</f>
        <v>334.31509037982863</v>
      </c>
      <c r="M365" s="242">
        <f>_xlfn.XLOOKUP($C365,'Site Level Financials - ''23 ''24'!$C$2:$C$1577,'Site Level Financials - ''23 ''24'!Y$2:Y$1577)</f>
        <v>421.30327472078818</v>
      </c>
      <c r="N365" s="242">
        <f>_xlfn.XLOOKUP($C365,'Site Level Financials - ''23 ''24'!$C$2:$C$1577,'Site Level Financials - ''23 ''24'!Z$2:Z$1577)</f>
        <v>414.87968849317429</v>
      </c>
      <c r="O365" s="242">
        <f>_xlfn.XLOOKUP($C365,'Site Level Financials - ''23 ''24'!$C$2:$C$1577,'Site Level Financials - ''23 ''24'!AA$2:AA$1577)</f>
        <v>403.39781237979486</v>
      </c>
      <c r="P365" s="242">
        <f>_xlfn.XLOOKUP($C365,'Site Level Financials - ''23 ''24'!$C$2:$C$1577,'Site Level Financials - ''23 ''24'!AB$2:AB$1577)</f>
        <v>474.84260490242212</v>
      </c>
      <c r="Q365" s="242">
        <f>_xlfn.XLOOKUP($C365,'Site Level Financials - ''23 ''24'!$C$2:$C$1577,'Site Level Financials - ''23 ''24'!AC$2:AC$1577)</f>
        <v>350.25419454908706</v>
      </c>
      <c r="R365" s="242">
        <f>_xlfn.XLOOKUP($C365,'Site Level Financials - ''23 ''24'!$C$2:$C$1577,'Site Level Financials - ''23 ''24'!AD$2:AD$1577)</f>
        <v>286.34688937082319</v>
      </c>
      <c r="S365" s="134">
        <f t="shared" ref="S365:AD365" si="968">S364*S363</f>
        <v>423.54090632117703</v>
      </c>
      <c r="T365" s="135">
        <f t="shared" si="968"/>
        <v>438.56763452870223</v>
      </c>
      <c r="U365" s="135">
        <f t="shared" si="968"/>
        <v>470.92920442263357</v>
      </c>
      <c r="V365" s="135">
        <f t="shared" si="968"/>
        <v>504.44125289491785</v>
      </c>
      <c r="W365" s="135">
        <f t="shared" si="968"/>
        <v>599.53432414999793</v>
      </c>
      <c r="X365" s="135">
        <f t="shared" si="968"/>
        <v>503.45819692956968</v>
      </c>
      <c r="Y365" s="135">
        <f t="shared" si="968"/>
        <v>507.20249227118188</v>
      </c>
      <c r="Z365" s="135">
        <f t="shared" si="968"/>
        <v>434.92148660523395</v>
      </c>
      <c r="AA365" s="135">
        <f t="shared" si="968"/>
        <v>398.75212712345956</v>
      </c>
      <c r="AB365" s="135">
        <f t="shared" si="968"/>
        <v>457.96392351162473</v>
      </c>
      <c r="AC365" s="135">
        <f t="shared" si="968"/>
        <v>362.00626656104669</v>
      </c>
      <c r="AD365" s="136">
        <f t="shared" si="968"/>
        <v>295.47405891658116</v>
      </c>
      <c r="AE365" s="15"/>
      <c r="AF365" s="113">
        <f>_xlfn.XLOOKUP($C365,'Site Level Financials - ''23 ''24'!$C$2:$C$1577,'Site Level Financials - ''23 ''24'!$AF$2:$AF$1577)</f>
        <v>4976.2421497506666</v>
      </c>
      <c r="AG365" s="95">
        <f>SUM(G365:R365)</f>
        <v>4587.7646995095429</v>
      </c>
      <c r="AH365" s="95">
        <f t="shared" ref="AH365" si="969">SUM(S365:AD365)</f>
        <v>5396.7918742361262</v>
      </c>
    </row>
    <row r="366" spans="2:34" x14ac:dyDescent="0.2">
      <c r="B366" s="9">
        <f>G355</f>
        <v>8</v>
      </c>
      <c r="C366" s="9" t="str">
        <f t="shared" si="964"/>
        <v>8 - Revenue as a % of Production</v>
      </c>
      <c r="D366" s="9" t="s">
        <v>56</v>
      </c>
      <c r="F366" s="7" t="s">
        <v>2</v>
      </c>
      <c r="G366" s="243">
        <f>_xlfn.XLOOKUP($C366,'Site Level Financials - ''23 ''24'!$C$2:$C$1577,'Site Level Financials - ''23 ''24'!S$2:S$1577)</f>
        <v>0.96957177802191141</v>
      </c>
      <c r="H366" s="244">
        <f>_xlfn.XLOOKUP($C366,'Site Level Financials - ''23 ''24'!$C$2:$C$1577,'Site Level Financials - ''23 ''24'!T$2:T$1577)</f>
        <v>0.96957177802191141</v>
      </c>
      <c r="I366" s="244">
        <f>_xlfn.XLOOKUP($C366,'Site Level Financials - ''23 ''24'!$C$2:$C$1577,'Site Level Financials - ''23 ''24'!U$2:U$1577)</f>
        <v>0.96957177802191141</v>
      </c>
      <c r="J366" s="244">
        <f>_xlfn.XLOOKUP($C366,'Site Level Financials - ''23 ''24'!$C$2:$C$1577,'Site Level Financials - ''23 ''24'!V$2:V$1577)</f>
        <v>0.96957177802191141</v>
      </c>
      <c r="K366" s="244">
        <f>_xlfn.XLOOKUP($C366,'Site Level Financials - ''23 ''24'!$C$2:$C$1577,'Site Level Financials - ''23 ''24'!W$2:W$1577)</f>
        <v>0.96957177802191141</v>
      </c>
      <c r="L366" s="244">
        <f>_xlfn.XLOOKUP($C366,'Site Level Financials - ''23 ''24'!$C$2:$C$1577,'Site Level Financials - ''23 ''24'!X$2:X$1577)</f>
        <v>0.96957177802191141</v>
      </c>
      <c r="M366" s="244">
        <f>_xlfn.XLOOKUP($C366,'Site Level Financials - ''23 ''24'!$C$2:$C$1577,'Site Level Financials - ''23 ''24'!Y$2:Y$1577)</f>
        <v>0.96957177802191141</v>
      </c>
      <c r="N366" s="244">
        <f>_xlfn.XLOOKUP($C366,'Site Level Financials - ''23 ''24'!$C$2:$C$1577,'Site Level Financials - ''23 ''24'!Z$2:Z$1577)</f>
        <v>0.96957177802191141</v>
      </c>
      <c r="O366" s="244">
        <f>_xlfn.XLOOKUP($C366,'Site Level Financials - ''23 ''24'!$C$2:$C$1577,'Site Level Financials - ''23 ''24'!AA$2:AA$1577)</f>
        <v>0.96957177802191141</v>
      </c>
      <c r="P366" s="244">
        <f>_xlfn.XLOOKUP($C366,'Site Level Financials - ''23 ''24'!$C$2:$C$1577,'Site Level Financials - ''23 ''24'!AB$2:AB$1577)</f>
        <v>0.96957177802191141</v>
      </c>
      <c r="Q366" s="244">
        <f>_xlfn.XLOOKUP($C366,'Site Level Financials - ''23 ''24'!$C$2:$C$1577,'Site Level Financials - ''23 ''24'!AC$2:AC$1577)</f>
        <v>0.96957177802191141</v>
      </c>
      <c r="R366" s="244">
        <f>_xlfn.XLOOKUP($C366,'Site Level Financials - ''23 ''24'!$C$2:$C$1577,'Site Level Financials - ''23 ''24'!AD$2:AD$1577)</f>
        <v>0.96957177802191141</v>
      </c>
      <c r="S366" s="292">
        <f>SUM(G395:R395)/SUM(G365:R365)</f>
        <v>0.98568560477180167</v>
      </c>
      <c r="T366" s="203">
        <f>S366</f>
        <v>0.98568560477180167</v>
      </c>
      <c r="U366" s="203">
        <f t="shared" ref="U366:AD366" si="970">T366</f>
        <v>0.98568560477180167</v>
      </c>
      <c r="V366" s="203">
        <f t="shared" si="970"/>
        <v>0.98568560477180167</v>
      </c>
      <c r="W366" s="203">
        <f t="shared" si="970"/>
        <v>0.98568560477180167</v>
      </c>
      <c r="X366" s="203">
        <f t="shared" si="970"/>
        <v>0.98568560477180167</v>
      </c>
      <c r="Y366" s="203">
        <f t="shared" si="970"/>
        <v>0.98568560477180167</v>
      </c>
      <c r="Z366" s="203">
        <f t="shared" si="970"/>
        <v>0.98568560477180167</v>
      </c>
      <c r="AA366" s="203">
        <f t="shared" si="970"/>
        <v>0.98568560477180167</v>
      </c>
      <c r="AB366" s="203">
        <f t="shared" si="970"/>
        <v>0.98568560477180167</v>
      </c>
      <c r="AC366" s="203">
        <f t="shared" si="970"/>
        <v>0.98568560477180167</v>
      </c>
      <c r="AD366" s="204">
        <f t="shared" si="970"/>
        <v>0.98568560477180167</v>
      </c>
      <c r="AE366" s="15"/>
      <c r="AF366" s="231">
        <f>_xlfn.XLOOKUP($C366,'Site Level Financials - ''23 ''24'!$C$2:$C$1577,'Site Level Financials - ''23 ''24'!$AF$2:$AF$1577)</f>
        <v>0.9749757806527849</v>
      </c>
      <c r="AG366" s="103">
        <f>AG367/AG365</f>
        <v>0.96957177802191152</v>
      </c>
      <c r="AH366" s="103">
        <f>AH367/AH365</f>
        <v>0.98568560477180178</v>
      </c>
    </row>
    <row r="367" spans="2:34" x14ac:dyDescent="0.2">
      <c r="B367" s="9">
        <f>G355</f>
        <v>8</v>
      </c>
      <c r="C367" s="9" t="str">
        <f t="shared" si="964"/>
        <v>8 - Total Revenue</v>
      </c>
      <c r="D367" s="9" t="s">
        <v>56</v>
      </c>
      <c r="F367" s="8" t="s">
        <v>3</v>
      </c>
      <c r="G367" s="241">
        <f>_xlfn.XLOOKUP($C367,'Site Level Financials - ''23 ''24'!$C$2:$C$1577,'Site Level Financials - ''23 ''24'!S$2:S$1577)</f>
        <v>422.98702402786995</v>
      </c>
      <c r="H367" s="242">
        <f>_xlfn.XLOOKUP($C367,'Site Level Financials - ''23 ''24'!$C$2:$C$1577,'Site Level Financials - ''23 ''24'!T$2:T$1577)</f>
        <v>402.28251967817488</v>
      </c>
      <c r="I367" s="242">
        <f>_xlfn.XLOOKUP($C367,'Site Level Financials - ''23 ''24'!$C$2:$C$1577,'Site Level Financials - ''23 ''24'!U$2:U$1577)</f>
        <v>335.26590853605882</v>
      </c>
      <c r="J367" s="242">
        <f>_xlfn.XLOOKUP($C367,'Site Level Financials - ''23 ''24'!$C$2:$C$1577,'Site Level Financials - ''23 ''24'!V$2:V$1577)</f>
        <v>312.82575196985391</v>
      </c>
      <c r="K367" s="242">
        <f>_xlfn.XLOOKUP($C367,'Site Level Financials - ''23 ''24'!$C$2:$C$1577,'Site Level Financials - ''23 ''24'!W$2:W$1577)</f>
        <v>371.1765259016239</v>
      </c>
      <c r="L367" s="242">
        <f>_xlfn.XLOOKUP($C367,'Site Level Financials - ''23 ''24'!$C$2:$C$1577,'Site Level Financials - ''23 ''24'!X$2:X$1577)</f>
        <v>324.14247659912644</v>
      </c>
      <c r="M367" s="242">
        <f>_xlfn.XLOOKUP($C367,'Site Level Financials - ''23 ''24'!$C$2:$C$1577,'Site Level Financials - ''23 ''24'!Y$2:Y$1577)</f>
        <v>408.48376515748839</v>
      </c>
      <c r="N367" s="242">
        <f>_xlfn.XLOOKUP($C367,'Site Level Financials - ''23 ''24'!$C$2:$C$1577,'Site Level Financials - ''23 ''24'!Z$2:Z$1577)</f>
        <v>402.25563723750372</v>
      </c>
      <c r="O367" s="242">
        <f>_xlfn.XLOOKUP($C367,'Site Level Financials - ''23 ''24'!$C$2:$C$1577,'Site Level Financials - ''23 ''24'!AA$2:AA$1577)</f>
        <v>391.12313419922714</v>
      </c>
      <c r="P367" s="242">
        <f>_xlfn.XLOOKUP($C367,'Site Level Financials - ''23 ''24'!$C$2:$C$1577,'Site Level Financials - ''23 ''24'!AB$2:AB$1577)</f>
        <v>460.39398871579743</v>
      </c>
      <c r="Q367" s="242">
        <f>_xlfn.XLOOKUP($C367,'Site Level Financials - ''23 ''24'!$C$2:$C$1577,'Site Level Financials - ''23 ''24'!AC$2:AC$1577)</f>
        <v>339.59658216859083</v>
      </c>
      <c r="R367" s="242">
        <f>_xlfn.XLOOKUP($C367,'Site Level Financials - ''23 ''24'!$C$2:$C$1577,'Site Level Financials - ''23 ''24'!AD$2:AD$1577)</f>
        <v>277.63386265831258</v>
      </c>
      <c r="S367" s="134">
        <f t="shared" ref="S367:AD367" si="971">S366*S365</f>
        <v>417.4781743927864</v>
      </c>
      <c r="T367" s="135">
        <f t="shared" si="971"/>
        <v>432.28980407376235</v>
      </c>
      <c r="U367" s="135">
        <f t="shared" si="971"/>
        <v>464.18813766602699</v>
      </c>
      <c r="V367" s="135">
        <f t="shared" si="971"/>
        <v>497.22048143157247</v>
      </c>
      <c r="W367" s="135">
        <f t="shared" si="971"/>
        <v>590.95235288124411</v>
      </c>
      <c r="X367" s="135">
        <f t="shared" si="971"/>
        <v>496.2514973178437</v>
      </c>
      <c r="Y367" s="135">
        <f t="shared" si="971"/>
        <v>499.94219533608498</v>
      </c>
      <c r="Z367" s="135">
        <f t="shared" si="971"/>
        <v>428.69584855273109</v>
      </c>
      <c r="AA367" s="135">
        <f t="shared" si="971"/>
        <v>393.04423157772959</v>
      </c>
      <c r="AB367" s="135">
        <f t="shared" si="971"/>
        <v>451.40844691022295</v>
      </c>
      <c r="AC367" s="135">
        <f t="shared" si="971"/>
        <v>356.82436578640733</v>
      </c>
      <c r="AD367" s="136">
        <f t="shared" si="971"/>
        <v>291.24452645756924</v>
      </c>
      <c r="AE367" s="15"/>
      <c r="AF367" s="113">
        <f>_xlfn.XLOOKUP($C367,'Site Level Financials - ''23 ''24'!$C$2:$C$1577,'Site Level Financials - ''23 ''24'!$AF$2:$AF$1577)</f>
        <v>4851.7155746704493</v>
      </c>
      <c r="AG367" s="95">
        <f>SUM(G367:R367)</f>
        <v>4448.167176849628</v>
      </c>
      <c r="AH367" s="95">
        <f t="shared" ref="AH367" si="972">SUM(S367:AD367)</f>
        <v>5319.5400623839814</v>
      </c>
    </row>
    <row r="368" spans="2:34" x14ac:dyDescent="0.2">
      <c r="B368" s="9">
        <f>G355</f>
        <v>8</v>
      </c>
      <c r="C368" s="9" t="str">
        <f t="shared" si="964"/>
        <v>8 - % YoY Revenue Growth</v>
      </c>
      <c r="D368" s="9" t="s">
        <v>56</v>
      </c>
      <c r="F368" s="16" t="s">
        <v>174</v>
      </c>
      <c r="G368" s="245">
        <f>_xlfn.XLOOKUP($C368,'Site Level Financials - ''23 ''24'!$C$2:$C$1577,'Site Level Financials - ''23 ''24'!S$2:S$1577)</f>
        <v>0.10831294328724628</v>
      </c>
      <c r="H368" s="246">
        <f>_xlfn.XLOOKUP($C368,'Site Level Financials - ''23 ''24'!$C$2:$C$1577,'Site Level Financials - ''23 ''24'!T$2:T$1577)</f>
        <v>9.4212349525374162E-2</v>
      </c>
      <c r="I368" s="246">
        <f>_xlfn.XLOOKUP($C368,'Site Level Financials - ''23 ''24'!$C$2:$C$1577,'Site Level Financials - ''23 ''24'!U$2:U$1577)</f>
        <v>-0.26321997498670668</v>
      </c>
      <c r="J368" s="246">
        <f>_xlfn.XLOOKUP($C368,'Site Level Financials - ''23 ''24'!$C$2:$C$1577,'Site Level Financials - ''23 ''24'!V$2:V$1577)</f>
        <v>-0.21664835850083763</v>
      </c>
      <c r="K368" s="246">
        <f>_xlfn.XLOOKUP($C368,'Site Level Financials - ''23 ''24'!$C$2:$C$1577,'Site Level Financials - ''23 ''24'!W$2:W$1577)</f>
        <v>-0.21132454674183587</v>
      </c>
      <c r="L368" s="246">
        <f>_xlfn.XLOOKUP($C368,'Site Level Financials - ''23 ''24'!$C$2:$C$1577,'Site Level Financials - ''23 ''24'!X$2:X$1577)</f>
        <v>-0.29331389865315149</v>
      </c>
      <c r="M368" s="246">
        <f>_xlfn.XLOOKUP($C368,'Site Level Financials - ''23 ''24'!$C$2:$C$1577,'Site Level Financials - ''23 ''24'!Y$2:Y$1577)</f>
        <v>-3.8644279454698172E-3</v>
      </c>
      <c r="N368" s="246">
        <f>_xlfn.XLOOKUP($C368,'Site Level Financials - ''23 ''24'!$C$2:$C$1577,'Site Level Financials - ''23 ''24'!Z$2:Z$1577)</f>
        <v>-0.11400132752649317</v>
      </c>
      <c r="O368" s="246">
        <f>_xlfn.XLOOKUP($C368,'Site Level Financials - ''23 ''24'!$C$2:$C$1577,'Site Level Financials - ''23 ''24'!AA$2:AA$1577)</f>
        <v>-5.4890034618052863E-2</v>
      </c>
      <c r="P368" s="246">
        <f>_xlfn.XLOOKUP($C368,'Site Level Financials - ''23 ''24'!$C$2:$C$1577,'Site Level Financials - ''23 ''24'!AB$2:AB$1577)</f>
        <v>0.11580695371316896</v>
      </c>
      <c r="Q368" s="246">
        <f>_xlfn.XLOOKUP($C368,'Site Level Financials - ''23 ''24'!$C$2:$C$1577,'Site Level Financials - ''23 ''24'!AC$2:AC$1577)</f>
        <v>-5.6523621860781637E-2</v>
      </c>
      <c r="R368" s="246">
        <f>_xlfn.XLOOKUP($C368,'Site Level Financials - ''23 ''24'!$C$2:$C$1577,'Site Level Financials - ''23 ''24'!AD$2:AD$1577)</f>
        <v>3.4983111650382703E-2</v>
      </c>
      <c r="S368" s="148">
        <f>S367/G367-1</f>
        <v>-1.3023684704617788E-2</v>
      </c>
      <c r="T368" s="149">
        <f t="shared" ref="T368" si="973">T367/H367-1</f>
        <v>7.459256350386112E-2</v>
      </c>
      <c r="U368" s="149">
        <f t="shared" ref="U368" si="974">U367/I367-1</f>
        <v>0.38453724595175243</v>
      </c>
      <c r="V368" s="149">
        <f t="shared" ref="V368" si="975">V367/J367-1</f>
        <v>0.58944868924821803</v>
      </c>
      <c r="W368" s="149">
        <f t="shared" ref="W368" si="976">W367/K367-1</f>
        <v>0.59210594324563859</v>
      </c>
      <c r="X368" s="149">
        <f t="shared" ref="X368" si="977">X367/L367-1</f>
        <v>0.53096719234229828</v>
      </c>
      <c r="Y368" s="149">
        <f t="shared" ref="Y368" si="978">Y367/M367-1</f>
        <v>0.22389734422697405</v>
      </c>
      <c r="Z368" s="149">
        <f t="shared" ref="Z368" si="979">Z367/N367-1</f>
        <v>6.5729871424067277E-2</v>
      </c>
      <c r="AA368" s="149">
        <f t="shared" ref="AA368" si="980">AA367/O367-1</f>
        <v>4.9117457151586219E-3</v>
      </c>
      <c r="AB368" s="149">
        <f t="shared" ref="AB368" si="981">AB367/P367-1</f>
        <v>-1.951707021770277E-2</v>
      </c>
      <c r="AC368" s="149">
        <f t="shared" ref="AC368" si="982">AC367/Q367-1</f>
        <v>5.0730144301817104E-2</v>
      </c>
      <c r="AD368" s="150">
        <f t="shared" ref="AD368" si="983">AD367/R367-1</f>
        <v>4.9023788629153797E-2</v>
      </c>
      <c r="AE368" s="15"/>
      <c r="AF368" s="11"/>
      <c r="AG368" s="97">
        <f>AG367/AF367-1</f>
        <v>-8.317643349244197E-2</v>
      </c>
      <c r="AH368" s="97">
        <f>AH367/AG367-1</f>
        <v>0.19589481485079774</v>
      </c>
    </row>
    <row r="369" spans="2:34" ht="6" customHeight="1" x14ac:dyDescent="0.2">
      <c r="B369" s="9">
        <f>G355</f>
        <v>8</v>
      </c>
      <c r="C369" s="9" t="str">
        <f t="shared" si="964"/>
        <v xml:space="preserve">8 - </v>
      </c>
      <c r="D369" s="9" t="s">
        <v>56</v>
      </c>
      <c r="G369" s="80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80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81"/>
      <c r="AE369" s="15"/>
      <c r="AF369" s="11"/>
      <c r="AG369" s="15"/>
      <c r="AH369" s="15"/>
    </row>
    <row r="370" spans="2:34" x14ac:dyDescent="0.2">
      <c r="B370" s="9">
        <f>G355</f>
        <v>8</v>
      </c>
      <c r="C370" s="9" t="str">
        <f t="shared" si="964"/>
        <v>8 - Doctor Compensation</v>
      </c>
      <c r="D370" s="9" t="s">
        <v>56</v>
      </c>
      <c r="F370" t="s">
        <v>4</v>
      </c>
      <c r="G370" s="178">
        <f>_xlfn.XLOOKUP($C370,'Site Level Financials - ''23 ''24'!$C$2:$C$1577,'Site Level Financials - ''23 ''24'!S$2:S$1577)</f>
        <v>-184.54614204114731</v>
      </c>
      <c r="H370" s="179">
        <f>_xlfn.XLOOKUP($C370,'Site Level Financials - ''23 ''24'!$C$2:$C$1577,'Site Level Financials - ''23 ''24'!T$2:T$1577)</f>
        <v>-176.04123094086739</v>
      </c>
      <c r="I370" s="179">
        <f>_xlfn.XLOOKUP($C370,'Site Level Financials - ''23 ''24'!$C$2:$C$1577,'Site Level Financials - ''23 ''24'!U$2:U$1577)</f>
        <v>-128.5965875744624</v>
      </c>
      <c r="J370" s="179">
        <f>_xlfn.XLOOKUP($C370,'Site Level Financials - ''23 ''24'!$C$2:$C$1577,'Site Level Financials - ''23 ''24'!V$2:V$1577)</f>
        <v>-117.56660846897884</v>
      </c>
      <c r="K370" s="179">
        <f>_xlfn.XLOOKUP($C370,'Site Level Financials - ''23 ''24'!$C$2:$C$1577,'Site Level Financials - ''23 ''24'!W$2:W$1577)</f>
        <v>-137.11450163479643</v>
      </c>
      <c r="L370" s="179">
        <f>_xlfn.XLOOKUP($C370,'Site Level Financials - ''23 ''24'!$C$2:$C$1577,'Site Level Financials - ''23 ''24'!X$2:X$1577)</f>
        <v>-117.9762093995796</v>
      </c>
      <c r="M370" s="179">
        <f>_xlfn.XLOOKUP($C370,'Site Level Financials - ''23 ''24'!$C$2:$C$1577,'Site Level Financials - ''23 ''24'!Y$2:Y$1577)</f>
        <v>-162.8024434448495</v>
      </c>
      <c r="N370" s="179">
        <f>_xlfn.XLOOKUP($C370,'Site Level Financials - ''23 ''24'!$C$2:$C$1577,'Site Level Financials - ''23 ''24'!Z$2:Z$1577)</f>
        <v>-128.69062235686889</v>
      </c>
      <c r="O370" s="179">
        <f>_xlfn.XLOOKUP($C370,'Site Level Financials - ''23 ''24'!$C$2:$C$1577,'Site Level Financials - ''23 ''24'!AA$2:AA$1577)</f>
        <v>-123.09170577796161</v>
      </c>
      <c r="P370" s="179">
        <f>_xlfn.XLOOKUP($C370,'Site Level Financials - ''23 ''24'!$C$2:$C$1577,'Site Level Financials - ''23 ''24'!AB$2:AB$1577)</f>
        <v>-146.18189174760613</v>
      </c>
      <c r="Q370" s="179">
        <f>_xlfn.XLOOKUP($C370,'Site Level Financials - ''23 ''24'!$C$2:$C$1577,'Site Level Financials - ''23 ''24'!AC$2:AC$1577)</f>
        <v>-110.56331091179096</v>
      </c>
      <c r="R370" s="179">
        <f>_xlfn.XLOOKUP($C370,'Site Level Financials - ''23 ''24'!$C$2:$C$1577,'Site Level Financials - ''23 ''24'!AD$2:AD$1577)</f>
        <v>-89.281623702621985</v>
      </c>
      <c r="S370" s="155">
        <f>S371*S367</f>
        <v>-182.14267127374981</v>
      </c>
      <c r="T370" s="154">
        <f t="shared" ref="T370" si="984">T371*T367</f>
        <v>-189.1725976391219</v>
      </c>
      <c r="U370" s="154">
        <f t="shared" ref="U370" si="985">U371*U367</f>
        <v>-178.04676519913951</v>
      </c>
      <c r="V370" s="154">
        <f t="shared" ref="V370" si="986">V371*V367</f>
        <v>-186.86609173037687</v>
      </c>
      <c r="W370" s="154">
        <f t="shared" ref="W370" si="987">W371*W367</f>
        <v>-218.3008129579232</v>
      </c>
      <c r="X370" s="154">
        <f t="shared" ref="X370" si="988">X371*X367</f>
        <v>-180.61770606766143</v>
      </c>
      <c r="Y370" s="154">
        <f t="shared" ref="Y370" si="989">Y371*Y367</f>
        <v>-199.25347816581342</v>
      </c>
      <c r="Z370" s="154">
        <f t="shared" ref="Z370" si="990">Z371*Z367</f>
        <v>-137.14944041786907</v>
      </c>
      <c r="AA370" s="154">
        <f t="shared" ref="AA370" si="991">AA371*AA367</f>
        <v>-123.69630093638808</v>
      </c>
      <c r="AB370" s="154">
        <f t="shared" ref="AB370" si="992">AB371*AB367</f>
        <v>-143.32884950181148</v>
      </c>
      <c r="AC370" s="154">
        <f t="shared" ref="AC370" si="993">AC371*AC367</f>
        <v>-116.17220362883278</v>
      </c>
      <c r="AD370" s="156">
        <f t="shared" ref="AD370" si="994">AD371*AD367</f>
        <v>-93.658547151486971</v>
      </c>
      <c r="AE370" s="15"/>
      <c r="AF370" s="115">
        <f>_xlfn.XLOOKUP($C370,'Site Level Financials - ''23 ''24'!$C$2:$C$1577,'Site Level Financials - ''23 ''24'!$AF$2:$AF$1577)</f>
        <v>-1537.7828876118588</v>
      </c>
      <c r="AG370" s="93">
        <f>SUM(G370:R370)</f>
        <v>-1622.4528780015312</v>
      </c>
      <c r="AH370" s="93">
        <f t="shared" ref="AH370" si="995">SUM(S370:AD370)</f>
        <v>-1948.4054646701745</v>
      </c>
    </row>
    <row r="371" spans="2:34" x14ac:dyDescent="0.2">
      <c r="B371" s="9">
        <f>G355</f>
        <v>8</v>
      </c>
      <c r="C371" s="9" t="str">
        <f t="shared" si="964"/>
        <v>8 - % of Revenue - Doctor Compensation</v>
      </c>
      <c r="D371" s="9" t="s">
        <v>56</v>
      </c>
      <c r="F371" s="16" t="str">
        <f>"% of Revenue - "&amp;F370</f>
        <v>% of Revenue - Doctor Compensation</v>
      </c>
      <c r="G371" s="148">
        <f>G370/G367</f>
        <v>-0.43629267934466909</v>
      </c>
      <c r="H371" s="149">
        <f t="shared" ref="H371:R371" si="996">H370/H367</f>
        <v>-0.43760596677603586</v>
      </c>
      <c r="I371" s="149">
        <f t="shared" si="996"/>
        <v>-0.38356595257770287</v>
      </c>
      <c r="J371" s="149">
        <f t="shared" si="996"/>
        <v>-0.3758213885163405</v>
      </c>
      <c r="K371" s="149">
        <f t="shared" si="996"/>
        <v>-0.36940509990962372</v>
      </c>
      <c r="L371" s="149">
        <f t="shared" si="996"/>
        <v>-0.36396405259000708</v>
      </c>
      <c r="M371" s="149">
        <f t="shared" si="996"/>
        <v>-0.39855303277985116</v>
      </c>
      <c r="N371" s="149">
        <f t="shared" si="996"/>
        <v>-0.31992248322647149</v>
      </c>
      <c r="O371" s="149">
        <f t="shared" si="996"/>
        <v>-0.31471343680545921</v>
      </c>
      <c r="P371" s="149">
        <f t="shared" si="996"/>
        <v>-0.31751477067578449</v>
      </c>
      <c r="Q371" s="149">
        <f t="shared" si="996"/>
        <v>-0.32557250784374037</v>
      </c>
      <c r="R371" s="149">
        <f t="shared" si="996"/>
        <v>-0.32158045437166999</v>
      </c>
      <c r="S371" s="245">
        <f>_xlfn.XLOOKUP($F371,'Budget Assumption Driver'!$A$33:$A$39,'Budget Assumption Driver'!E$33:E$39)+G371</f>
        <v>-0.43629267934466909</v>
      </c>
      <c r="T371" s="246">
        <f>_xlfn.XLOOKUP($F371,'Budget Assumption Driver'!$A$33:$A$39,'Budget Assumption Driver'!F$33:F$39)+H371</f>
        <v>-0.43760596677603586</v>
      </c>
      <c r="U371" s="246">
        <f>_xlfn.XLOOKUP($F371,'Budget Assumption Driver'!$A$33:$A$39,'Budget Assumption Driver'!G$33:G$39)+I371</f>
        <v>-0.38356595257770287</v>
      </c>
      <c r="V371" s="246">
        <f>_xlfn.XLOOKUP($F371,'Budget Assumption Driver'!$A$33:$A$39,'Budget Assumption Driver'!H$33:H$39)+J371</f>
        <v>-0.3758213885163405</v>
      </c>
      <c r="W371" s="246">
        <f>_xlfn.XLOOKUP($F371,'Budget Assumption Driver'!$A$33:$A$39,'Budget Assumption Driver'!I$33:I$39)+K371</f>
        <v>-0.36940509990962372</v>
      </c>
      <c r="X371" s="246">
        <f>_xlfn.XLOOKUP($F371,'Budget Assumption Driver'!$A$33:$A$39,'Budget Assumption Driver'!J$33:J$39)+L371</f>
        <v>-0.36396405259000708</v>
      </c>
      <c r="Y371" s="246">
        <f>_xlfn.XLOOKUP($F371,'Budget Assumption Driver'!$A$33:$A$39,'Budget Assumption Driver'!K$33:K$39)+M371</f>
        <v>-0.39855303277985116</v>
      </c>
      <c r="Z371" s="246">
        <f>_xlfn.XLOOKUP($F371,'Budget Assumption Driver'!$A$33:$A$39,'Budget Assumption Driver'!L$33:L$39)+N371</f>
        <v>-0.31992248322647149</v>
      </c>
      <c r="AA371" s="246">
        <f>_xlfn.XLOOKUP($F371,'Budget Assumption Driver'!$A$33:$A$39,'Budget Assumption Driver'!M$33:M$39)+O371</f>
        <v>-0.31471343680545921</v>
      </c>
      <c r="AB371" s="246">
        <f>_xlfn.XLOOKUP($F371,'Budget Assumption Driver'!$A$33:$A$39,'Budget Assumption Driver'!N$33:N$39)+P371</f>
        <v>-0.31751477067578449</v>
      </c>
      <c r="AC371" s="246">
        <f>_xlfn.XLOOKUP($F371,'Budget Assumption Driver'!$A$33:$A$39,'Budget Assumption Driver'!O$33:O$39)+Q371</f>
        <v>-0.32557250784374037</v>
      </c>
      <c r="AD371" s="296">
        <f>_xlfn.XLOOKUP($F371,'Budget Assumption Driver'!$A$33:$A$39,'Budget Assumption Driver'!P$33:P$39)+R371</f>
        <v>-0.32158045437166999</v>
      </c>
      <c r="AE371" s="15"/>
      <c r="AF371" s="232">
        <f>_xlfn.XLOOKUP($C371,'Site Level Financials - ''23 ''24'!$C$2:$C$1577,'Site Level Financials - ''23 ''24'!$AF$2:$AF$1577)</f>
        <v>-0.31695652062545154</v>
      </c>
      <c r="AG371" s="97">
        <f t="shared" ref="AG371:AH371" si="997">AG370/AG367</f>
        <v>-0.36474638058694053</v>
      </c>
      <c r="AH371" s="97">
        <f t="shared" si="997"/>
        <v>-0.36627329464964792</v>
      </c>
    </row>
    <row r="372" spans="2:34" ht="3" customHeight="1" x14ac:dyDescent="0.2">
      <c r="B372" s="9">
        <f>G355</f>
        <v>8</v>
      </c>
      <c r="C372" s="9" t="str">
        <f t="shared" si="964"/>
        <v xml:space="preserve">8 - </v>
      </c>
      <c r="D372" s="9" t="s">
        <v>56</v>
      </c>
      <c r="F372" s="16"/>
      <c r="G372" s="84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4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6"/>
      <c r="AE372" s="15"/>
      <c r="AF372" s="36"/>
      <c r="AG372" s="38"/>
      <c r="AH372" s="38"/>
    </row>
    <row r="373" spans="2:34" x14ac:dyDescent="0.2">
      <c r="B373" s="9">
        <f>G355</f>
        <v>8</v>
      </c>
      <c r="C373" s="9" t="str">
        <f t="shared" si="964"/>
        <v>8 - Administrative Staff Compensation</v>
      </c>
      <c r="D373" s="9" t="s">
        <v>56</v>
      </c>
      <c r="F373" t="s">
        <v>5</v>
      </c>
      <c r="G373" s="178">
        <f>_xlfn.XLOOKUP($C373,'Site Level Financials - ''23 ''24'!$C$2:$C$1577,'Site Level Financials - ''23 ''24'!S$2:S$1577)</f>
        <v>-79.088781082790547</v>
      </c>
      <c r="H373" s="179">
        <f>_xlfn.XLOOKUP($C373,'Site Level Financials - ''23 ''24'!$C$2:$C$1577,'Site Level Financials - ''23 ''24'!T$2:T$1577)</f>
        <v>-73.697210167693456</v>
      </c>
      <c r="I373" s="179">
        <f>_xlfn.XLOOKUP($C373,'Site Level Financials - ''23 ''24'!$C$2:$C$1577,'Site Level Financials - ''23 ''24'!U$2:U$1577)</f>
        <v>-77.548824270633503</v>
      </c>
      <c r="J373" s="179">
        <f>_xlfn.XLOOKUP($C373,'Site Level Financials - ''23 ''24'!$C$2:$C$1577,'Site Level Financials - ''23 ''24'!V$2:V$1577)</f>
        <v>-75.961852071333965</v>
      </c>
      <c r="K373" s="179">
        <f>_xlfn.XLOOKUP($C373,'Site Level Financials - ''23 ''24'!$C$2:$C$1577,'Site Level Financials - ''23 ''24'!W$2:W$1577)</f>
        <v>-92.919702615805193</v>
      </c>
      <c r="L373" s="179">
        <f>_xlfn.XLOOKUP($C373,'Site Level Financials - ''23 ''24'!$C$2:$C$1577,'Site Level Financials - ''23 ''24'!X$2:X$1577)</f>
        <v>-77.98088297257496</v>
      </c>
      <c r="M373" s="179">
        <f>_xlfn.XLOOKUP($C373,'Site Level Financials - ''23 ''24'!$C$2:$C$1577,'Site Level Financials - ''23 ''24'!Y$2:Y$1577)</f>
        <v>-74.292857403003225</v>
      </c>
      <c r="N373" s="179">
        <f>_xlfn.XLOOKUP($C373,'Site Level Financials - ''23 ''24'!$C$2:$C$1577,'Site Level Financials - ''23 ''24'!Z$2:Z$1577)</f>
        <v>-56.556723008132018</v>
      </c>
      <c r="O373" s="179">
        <f>_xlfn.XLOOKUP($C373,'Site Level Financials - ''23 ''24'!$C$2:$C$1577,'Site Level Financials - ''23 ''24'!AA$2:AA$1577)</f>
        <v>-53.480361802426707</v>
      </c>
      <c r="P373" s="179">
        <f>_xlfn.XLOOKUP($C373,'Site Level Financials - ''23 ''24'!$C$2:$C$1577,'Site Level Financials - ''23 ''24'!AB$2:AB$1577)</f>
        <v>-65.649978801635498</v>
      </c>
      <c r="Q373" s="179">
        <f>_xlfn.XLOOKUP($C373,'Site Level Financials - ''23 ''24'!$C$2:$C$1577,'Site Level Financials - ''23 ''24'!AC$2:AC$1577)</f>
        <v>-49.693824617316629</v>
      </c>
      <c r="R373" s="179">
        <f>_xlfn.XLOOKUP($C373,'Site Level Financials - ''23 ''24'!$C$2:$C$1577,'Site Level Financials - ''23 ''24'!AD$2:AD$1577)</f>
        <v>-39.481454693449535</v>
      </c>
      <c r="S373" s="155">
        <f>S374*S367</f>
        <v>-78.058753734295749</v>
      </c>
      <c r="T373" s="154">
        <f t="shared" ref="T373" si="998">T374*T367</f>
        <v>-79.194473997184517</v>
      </c>
      <c r="U373" s="154">
        <f t="shared" ref="U373" si="999">U374*U367</f>
        <v>-107.36923558245932</v>
      </c>
      <c r="V373" s="154">
        <f t="shared" ref="V373" si="1000">V374*V367</f>
        <v>-120.73746620764881</v>
      </c>
      <c r="W373" s="154">
        <f t="shared" ref="W373" si="1001">W374*W367</f>
        <v>-147.93801077924076</v>
      </c>
      <c r="X373" s="154">
        <f t="shared" ref="X373" si="1002">X374*X367</f>
        <v>-119.38617346089642</v>
      </c>
      <c r="Y373" s="154">
        <f t="shared" ref="Y373" si="1003">Y374*Y367</f>
        <v>-90.926830870568935</v>
      </c>
      <c r="Z373" s="154">
        <f t="shared" ref="Z373" si="1004">Z374*Z367</f>
        <v>-60.274189139623125</v>
      </c>
      <c r="AA373" s="154">
        <f t="shared" ref="AA373" si="1005">AA374*AA367</f>
        <v>-53.743043740354906</v>
      </c>
      <c r="AB373" s="154">
        <f t="shared" ref="AB373" si="1006">AB374*AB367</f>
        <v>-64.36868355557327</v>
      </c>
      <c r="AC373" s="154">
        <f t="shared" ref="AC373" si="1007">AC374*AC367</f>
        <v>-52.214799511062289</v>
      </c>
      <c r="AD373" s="156">
        <f t="shared" ref="AD373" si="1008">AD374*AD367</f>
        <v>-41.416985183112722</v>
      </c>
      <c r="AE373" s="15"/>
      <c r="AF373" s="115">
        <f>_xlfn.XLOOKUP($C373,'Site Level Financials - ''23 ''24'!$C$2:$C$1577,'Site Level Financials - ''23 ''24'!$AF$2:$AF$1577)</f>
        <v>-814.61658255066368</v>
      </c>
      <c r="AG373" s="93">
        <f>SUM(G373:R373)</f>
        <v>-816.35245350679543</v>
      </c>
      <c r="AH373" s="93">
        <f t="shared" ref="AH373" si="1009">SUM(S373:AD373)</f>
        <v>-1015.6286457620208</v>
      </c>
    </row>
    <row r="374" spans="2:34" x14ac:dyDescent="0.2">
      <c r="B374" s="9">
        <f>G355</f>
        <v>8</v>
      </c>
      <c r="C374" s="9" t="str">
        <f t="shared" si="964"/>
        <v>8 - % of Revenue - Administrative Staff Compensation</v>
      </c>
      <c r="D374" s="9" t="s">
        <v>56</v>
      </c>
      <c r="F374" s="16" t="str">
        <f>"% of Revenue - "&amp;F373</f>
        <v>% of Revenue - Administrative Staff Compensation</v>
      </c>
      <c r="G374" s="148">
        <f>G373/G367</f>
        <v>-0.18697684938339743</v>
      </c>
      <c r="H374" s="149">
        <f t="shared" ref="H374:R374" si="1010">H373/H367</f>
        <v>-0.1831976448458438</v>
      </c>
      <c r="I374" s="149">
        <f t="shared" si="1010"/>
        <v>-0.23130542741208326</v>
      </c>
      <c r="J374" s="149">
        <f t="shared" si="1010"/>
        <v>-0.24282480452138155</v>
      </c>
      <c r="K374" s="149">
        <f t="shared" si="1010"/>
        <v>-0.25033830571611226</v>
      </c>
      <c r="L374" s="149">
        <f t="shared" si="1010"/>
        <v>-0.24057594608007976</v>
      </c>
      <c r="M374" s="149">
        <f t="shared" si="1010"/>
        <v>-0.18187468815158436</v>
      </c>
      <c r="N374" s="149">
        <f t="shared" si="1010"/>
        <v>-0.14059895691340987</v>
      </c>
      <c r="O374" s="149">
        <f t="shared" si="1010"/>
        <v>-0.13673535806548665</v>
      </c>
      <c r="P374" s="149">
        <f t="shared" si="1010"/>
        <v>-0.14259521281925647</v>
      </c>
      <c r="Q374" s="149">
        <f t="shared" si="1010"/>
        <v>-0.14633193390811691</v>
      </c>
      <c r="R374" s="149">
        <f t="shared" si="1010"/>
        <v>-0.14220691350622403</v>
      </c>
      <c r="S374" s="245">
        <f>_xlfn.XLOOKUP($F374,'Budget Assumption Driver'!$A$33:$A$39,'Budget Assumption Driver'!E$33:E$39)+G374</f>
        <v>-0.18697684938339743</v>
      </c>
      <c r="T374" s="246">
        <f>_xlfn.XLOOKUP($F374,'Budget Assumption Driver'!$A$33:$A$39,'Budget Assumption Driver'!F$33:F$39)+H374</f>
        <v>-0.1831976448458438</v>
      </c>
      <c r="U374" s="246">
        <f>_xlfn.XLOOKUP($F374,'Budget Assumption Driver'!$A$33:$A$39,'Budget Assumption Driver'!G$33:G$39)+I374</f>
        <v>-0.23130542741208326</v>
      </c>
      <c r="V374" s="246">
        <f>_xlfn.XLOOKUP($F374,'Budget Assumption Driver'!$A$33:$A$39,'Budget Assumption Driver'!H$33:H$39)+J374</f>
        <v>-0.24282480452138155</v>
      </c>
      <c r="W374" s="246">
        <f>_xlfn.XLOOKUP($F374,'Budget Assumption Driver'!$A$33:$A$39,'Budget Assumption Driver'!I$33:I$39)+K374</f>
        <v>-0.25033830571611226</v>
      </c>
      <c r="X374" s="246">
        <f>_xlfn.XLOOKUP($F374,'Budget Assumption Driver'!$A$33:$A$39,'Budget Assumption Driver'!J$33:J$39)+L374</f>
        <v>-0.24057594608007976</v>
      </c>
      <c r="Y374" s="246">
        <f>_xlfn.XLOOKUP($F374,'Budget Assumption Driver'!$A$33:$A$39,'Budget Assumption Driver'!K$33:K$39)+M374</f>
        <v>-0.18187468815158436</v>
      </c>
      <c r="Z374" s="246">
        <f>_xlfn.XLOOKUP($F374,'Budget Assumption Driver'!$A$33:$A$39,'Budget Assumption Driver'!L$33:L$39)+N374</f>
        <v>-0.14059895691340987</v>
      </c>
      <c r="AA374" s="246">
        <f>_xlfn.XLOOKUP($F374,'Budget Assumption Driver'!$A$33:$A$39,'Budget Assumption Driver'!M$33:M$39)+O374</f>
        <v>-0.13673535806548665</v>
      </c>
      <c r="AB374" s="246">
        <f>_xlfn.XLOOKUP($F374,'Budget Assumption Driver'!$A$33:$A$39,'Budget Assumption Driver'!N$33:N$39)+P374</f>
        <v>-0.14259521281925647</v>
      </c>
      <c r="AC374" s="246">
        <f>_xlfn.XLOOKUP($F374,'Budget Assumption Driver'!$A$33:$A$39,'Budget Assumption Driver'!O$33:O$39)+Q374</f>
        <v>-0.14633193390811691</v>
      </c>
      <c r="AD374" s="296">
        <f>_xlfn.XLOOKUP($F374,'Budget Assumption Driver'!$A$33:$A$39,'Budget Assumption Driver'!P$33:P$39)+R374</f>
        <v>-0.14220691350622403</v>
      </c>
      <c r="AE374" s="15"/>
      <c r="AF374" s="232">
        <f>_xlfn.XLOOKUP($C374,'Site Level Financials - ''23 ''24'!$C$2:$C$1577,'Site Level Financials - ''23 ''24'!$AF$2:$AF$1577)</f>
        <v>-0.1679027902632145</v>
      </c>
      <c r="AG374" s="97">
        <f t="shared" ref="AG374:AH374" si="1011">AG373/AG367</f>
        <v>-0.18352557830008748</v>
      </c>
      <c r="AH374" s="97">
        <f t="shared" si="1011"/>
        <v>-0.19092414642082067</v>
      </c>
    </row>
    <row r="375" spans="2:34" ht="3" customHeight="1" x14ac:dyDescent="0.2">
      <c r="B375" s="9">
        <f>G355</f>
        <v>8</v>
      </c>
      <c r="C375" s="9" t="str">
        <f t="shared" si="964"/>
        <v xml:space="preserve">8 - </v>
      </c>
      <c r="D375" s="9" t="s">
        <v>56</v>
      </c>
      <c r="F375" s="16"/>
      <c r="G375" s="84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4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6"/>
      <c r="AE375" s="15"/>
      <c r="AF375" s="36"/>
      <c r="AG375" s="38"/>
      <c r="AH375" s="38"/>
    </row>
    <row r="376" spans="2:34" x14ac:dyDescent="0.2">
      <c r="B376" s="9">
        <f>G355</f>
        <v>8</v>
      </c>
      <c r="C376" s="9" t="str">
        <f t="shared" si="964"/>
        <v>8 - Office Supplies</v>
      </c>
      <c r="D376" s="9" t="s">
        <v>56</v>
      </c>
      <c r="F376" t="s">
        <v>6</v>
      </c>
      <c r="G376" s="178">
        <f>_xlfn.XLOOKUP($C376,'Site Level Financials - ''23 ''24'!$C$2:$C$1577,'Site Level Financials - ''23 ''24'!S$2:S$1577)</f>
        <v>-24.289865933801696</v>
      </c>
      <c r="H376" s="179">
        <f>_xlfn.XLOOKUP($C376,'Site Level Financials - ''23 ''24'!$C$2:$C$1577,'Site Level Financials - ''23 ''24'!T$2:T$1577)</f>
        <v>-22.731256947920187</v>
      </c>
      <c r="I376" s="179">
        <f>_xlfn.XLOOKUP($C376,'Site Level Financials - ''23 ''24'!$C$2:$C$1577,'Site Level Financials - ''23 ''24'!U$2:U$1577)</f>
        <v>-25.953371655683139</v>
      </c>
      <c r="J376" s="179">
        <f>_xlfn.XLOOKUP($C376,'Site Level Financials - ''23 ''24'!$C$2:$C$1577,'Site Level Financials - ''23 ''24'!V$2:V$1577)</f>
        <v>-23.922639084595517</v>
      </c>
      <c r="K376" s="179">
        <f>_xlfn.XLOOKUP($C376,'Site Level Financials - ''23 ''24'!$C$2:$C$1577,'Site Level Financials - ''23 ''24'!W$2:W$1577)</f>
        <v>-28.64746888032516</v>
      </c>
      <c r="L376" s="179">
        <f>_xlfn.XLOOKUP($C376,'Site Level Financials - ''23 ''24'!$C$2:$C$1577,'Site Level Financials - ''23 ''24'!X$2:X$1577)</f>
        <v>-26.957783570923908</v>
      </c>
      <c r="M376" s="179">
        <f>_xlfn.XLOOKUP($C376,'Site Level Financials - ''23 ''24'!$C$2:$C$1577,'Site Level Financials - ''23 ''24'!Y$2:Y$1577)</f>
        <v>-26.682515052445847</v>
      </c>
      <c r="N376" s="179">
        <f>_xlfn.XLOOKUP($C376,'Site Level Financials - ''23 ''24'!$C$2:$C$1577,'Site Level Financials - ''23 ''24'!Z$2:Z$1577)</f>
        <v>-21.102269627267802</v>
      </c>
      <c r="O376" s="179">
        <f>_xlfn.XLOOKUP($C376,'Site Level Financials - ''23 ''24'!$C$2:$C$1577,'Site Level Financials - ''23 ''24'!AA$2:AA$1577)</f>
        <v>-19.401146261433873</v>
      </c>
      <c r="P376" s="179">
        <f>_xlfn.XLOOKUP($C376,'Site Level Financials - ''23 ''24'!$C$2:$C$1577,'Site Level Financials - ''23 ''24'!AB$2:AB$1577)</f>
        <v>-22.615267577131831</v>
      </c>
      <c r="Q376" s="179">
        <f>_xlfn.XLOOKUP($C376,'Site Level Financials - ''23 ''24'!$C$2:$C$1577,'Site Level Financials - ''23 ''24'!AC$2:AC$1577)</f>
        <v>-16.174786718143611</v>
      </c>
      <c r="R376" s="179">
        <f>_xlfn.XLOOKUP($C376,'Site Level Financials - ''23 ''24'!$C$2:$C$1577,'Site Level Financials - ''23 ''24'!AD$2:AD$1577)</f>
        <v>-13.03232650794352</v>
      </c>
      <c r="S376" s="155">
        <f>S377*S367</f>
        <v>-23.973522378362428</v>
      </c>
      <c r="T376" s="154">
        <f t="shared" ref="T376" si="1012">T377*T367</f>
        <v>-24.426839675330505</v>
      </c>
      <c r="U376" s="154">
        <f t="shared" ref="U376" si="1013">U377*U367</f>
        <v>-35.933409715321808</v>
      </c>
      <c r="V376" s="154">
        <f t="shared" ref="V376" si="1014">V377*V367</f>
        <v>-38.023807336368534</v>
      </c>
      <c r="W376" s="154">
        <f t="shared" ref="W376" si="1015">W377*W367</f>
        <v>-45.609805463310167</v>
      </c>
      <c r="X376" s="154">
        <f t="shared" ref="X376" si="1016">X377*X367</f>
        <v>-41.271482225348706</v>
      </c>
      <c r="Y376" s="154">
        <f t="shared" ref="Y376" si="1017">Y377*Y367</f>
        <v>-32.656659309984732</v>
      </c>
      <c r="Z376" s="154">
        <f t="shared" ref="Z376" si="1018">Z377*Z367</f>
        <v>-22.489319096624115</v>
      </c>
      <c r="AA376" s="154">
        <f t="shared" ref="AA376" si="1019">AA377*AA367</f>
        <v>-19.496439758452638</v>
      </c>
      <c r="AB376" s="154">
        <f t="shared" ref="AB376" si="1020">AB377*AB367</f>
        <v>-22.173883811836813</v>
      </c>
      <c r="AC376" s="154">
        <f t="shared" ref="AC376" si="1021">AC377*AC367</f>
        <v>-16.995335982406154</v>
      </c>
      <c r="AD376" s="156">
        <f t="shared" ref="AD376" si="1022">AD377*AD367</f>
        <v>-13.671220528015063</v>
      </c>
      <c r="AE376" s="15"/>
      <c r="AF376" s="115">
        <f>_xlfn.XLOOKUP($C376,'Site Level Financials - ''23 ''24'!$C$2:$C$1577,'Site Level Financials - ''23 ''24'!$AF$2:$AF$1577)</f>
        <v>-223.63362524849876</v>
      </c>
      <c r="AG376" s="93">
        <f>SUM(G376:R376)</f>
        <v>-271.51069781761612</v>
      </c>
      <c r="AH376" s="93">
        <f t="shared" ref="AH376" si="1023">SUM(S376:AD376)</f>
        <v>-336.72172528136167</v>
      </c>
    </row>
    <row r="377" spans="2:34" x14ac:dyDescent="0.2">
      <c r="B377" s="9">
        <f>G355</f>
        <v>8</v>
      </c>
      <c r="C377" s="9" t="str">
        <f t="shared" si="964"/>
        <v>8 - % of Revenue - Office Supplies</v>
      </c>
      <c r="D377" s="9" t="s">
        <v>56</v>
      </c>
      <c r="F377" s="16" t="str">
        <f>"% of Revenue - "&amp;F376</f>
        <v>% of Revenue - Office Supplies</v>
      </c>
      <c r="G377" s="148">
        <f>G376/G367</f>
        <v>-5.7424612468020476E-2</v>
      </c>
      <c r="H377" s="149">
        <f t="shared" ref="H377:R377" si="1024">H376/H367</f>
        <v>-5.6505703917001271E-2</v>
      </c>
      <c r="I377" s="149">
        <f t="shared" si="1024"/>
        <v>-7.7411305459027246E-2</v>
      </c>
      <c r="J377" s="149">
        <f t="shared" si="1024"/>
        <v>-7.6472729415514584E-2</v>
      </c>
      <c r="K377" s="149">
        <f t="shared" si="1024"/>
        <v>-7.7180174071454735E-2</v>
      </c>
      <c r="L377" s="149">
        <f t="shared" si="1024"/>
        <v>-8.3166463876510527E-2</v>
      </c>
      <c r="M377" s="149">
        <f t="shared" si="1024"/>
        <v>-6.532087032188065E-2</v>
      </c>
      <c r="N377" s="149">
        <f t="shared" si="1024"/>
        <v>-5.2459848101043247E-2</v>
      </c>
      <c r="O377" s="149">
        <f t="shared" si="1024"/>
        <v>-4.9603678650088426E-2</v>
      </c>
      <c r="P377" s="149">
        <f t="shared" si="1024"/>
        <v>-4.9121552694929523E-2</v>
      </c>
      <c r="Q377" s="149">
        <f t="shared" si="1024"/>
        <v>-4.7629415510765445E-2</v>
      </c>
      <c r="R377" s="149">
        <f t="shared" si="1024"/>
        <v>-4.6940695141293211E-2</v>
      </c>
      <c r="S377" s="245">
        <f>_xlfn.XLOOKUP($F377,'Budget Assumption Driver'!$A$33:$A$39,'Budget Assumption Driver'!E$33:E$39)+G377</f>
        <v>-5.7424612468020476E-2</v>
      </c>
      <c r="T377" s="246">
        <f>_xlfn.XLOOKUP($F377,'Budget Assumption Driver'!$A$33:$A$39,'Budget Assumption Driver'!F$33:F$39)+H377</f>
        <v>-5.6505703917001271E-2</v>
      </c>
      <c r="U377" s="246">
        <f>_xlfn.XLOOKUP($F377,'Budget Assumption Driver'!$A$33:$A$39,'Budget Assumption Driver'!G$33:G$39)+I377</f>
        <v>-7.7411305459027246E-2</v>
      </c>
      <c r="V377" s="246">
        <f>_xlfn.XLOOKUP($F377,'Budget Assumption Driver'!$A$33:$A$39,'Budget Assumption Driver'!H$33:H$39)+J377</f>
        <v>-7.6472729415514584E-2</v>
      </c>
      <c r="W377" s="246">
        <f>_xlfn.XLOOKUP($F377,'Budget Assumption Driver'!$A$33:$A$39,'Budget Assumption Driver'!I$33:I$39)+K377</f>
        <v>-7.7180174071454735E-2</v>
      </c>
      <c r="X377" s="246">
        <f>_xlfn.XLOOKUP($F377,'Budget Assumption Driver'!$A$33:$A$39,'Budget Assumption Driver'!J$33:J$39)+L377</f>
        <v>-8.3166463876510527E-2</v>
      </c>
      <c r="Y377" s="246">
        <f>_xlfn.XLOOKUP($F377,'Budget Assumption Driver'!$A$33:$A$39,'Budget Assumption Driver'!K$33:K$39)+M377</f>
        <v>-6.532087032188065E-2</v>
      </c>
      <c r="Z377" s="246">
        <f>_xlfn.XLOOKUP($F377,'Budget Assumption Driver'!$A$33:$A$39,'Budget Assumption Driver'!L$33:L$39)+N377</f>
        <v>-5.2459848101043247E-2</v>
      </c>
      <c r="AA377" s="246">
        <f>_xlfn.XLOOKUP($F377,'Budget Assumption Driver'!$A$33:$A$39,'Budget Assumption Driver'!M$33:M$39)+O377</f>
        <v>-4.9603678650088426E-2</v>
      </c>
      <c r="AB377" s="246">
        <f>_xlfn.XLOOKUP($F377,'Budget Assumption Driver'!$A$33:$A$39,'Budget Assumption Driver'!N$33:N$39)+P377</f>
        <v>-4.9121552694929523E-2</v>
      </c>
      <c r="AC377" s="246">
        <f>_xlfn.XLOOKUP($F377,'Budget Assumption Driver'!$A$33:$A$39,'Budget Assumption Driver'!O$33:O$39)+Q377</f>
        <v>-4.7629415510765445E-2</v>
      </c>
      <c r="AD377" s="296">
        <f>_xlfn.XLOOKUP($F377,'Budget Assumption Driver'!$A$33:$A$39,'Budget Assumption Driver'!P$33:P$39)+R377</f>
        <v>-4.6940695141293211E-2</v>
      </c>
      <c r="AE377" s="15"/>
      <c r="AF377" s="232">
        <f>_xlfn.XLOOKUP($C377,'Site Level Financials - ''23 ''24'!$C$2:$C$1577,'Site Level Financials - ''23 ''24'!$AF$2:$AF$1577)</f>
        <v>-4.6093721242859334E-2</v>
      </c>
      <c r="AG377" s="97">
        <f t="shared" ref="AG377:AH377" si="1025">AG376/AG367</f>
        <v>-6.103878002398079E-2</v>
      </c>
      <c r="AH377" s="97">
        <f t="shared" si="1025"/>
        <v>-6.3299029865837297E-2</v>
      </c>
    </row>
    <row r="378" spans="2:34" ht="6" customHeight="1" x14ac:dyDescent="0.2">
      <c r="B378" s="9">
        <f>G355</f>
        <v>8</v>
      </c>
      <c r="C378" s="9" t="str">
        <f t="shared" si="964"/>
        <v xml:space="preserve">8 - </v>
      </c>
      <c r="D378" s="9" t="s">
        <v>56</v>
      </c>
      <c r="F378" s="16"/>
      <c r="G378" s="80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80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81"/>
      <c r="AE378" s="15"/>
      <c r="AF378" s="11"/>
      <c r="AG378" s="15"/>
      <c r="AH378" s="15"/>
    </row>
    <row r="379" spans="2:34" x14ac:dyDescent="0.2">
      <c r="B379" s="9">
        <f>G355</f>
        <v>8</v>
      </c>
      <c r="C379" s="9" t="str">
        <f t="shared" si="964"/>
        <v>8 - Office Gross Profit</v>
      </c>
      <c r="D379" s="9" t="s">
        <v>56</v>
      </c>
      <c r="F379" s="8" t="s">
        <v>11</v>
      </c>
      <c r="G379" s="241">
        <f>_xlfn.XLOOKUP($C379,'Site Level Financials - ''23 ''24'!$C$2:$C$1577,'Site Level Financials - ''23 ''24'!S$2:S$1577)</f>
        <v>135.06223497013039</v>
      </c>
      <c r="H379" s="242">
        <f>_xlfn.XLOOKUP($C379,'Site Level Financials - ''23 ''24'!$C$2:$C$1577,'Site Level Financials - ''23 ''24'!T$2:T$1577)</f>
        <v>129.81282162169384</v>
      </c>
      <c r="I379" s="242">
        <f>_xlfn.XLOOKUP($C379,'Site Level Financials - ''23 ''24'!$C$2:$C$1577,'Site Level Financials - ''23 ''24'!U$2:U$1577)</f>
        <v>103.16712503527977</v>
      </c>
      <c r="J379" s="242">
        <f>_xlfn.XLOOKUP($C379,'Site Level Financials - ''23 ''24'!$C$2:$C$1577,'Site Level Financials - ''23 ''24'!V$2:V$1577)</f>
        <v>95.374652344945588</v>
      </c>
      <c r="K379" s="242">
        <f>_xlfn.XLOOKUP($C379,'Site Level Financials - ''23 ''24'!$C$2:$C$1577,'Site Level Financials - ''23 ''24'!W$2:W$1577)</f>
        <v>112.49485277069712</v>
      </c>
      <c r="L379" s="242">
        <f>_xlfn.XLOOKUP($C379,'Site Level Financials - ''23 ''24'!$C$2:$C$1577,'Site Level Financials - ''23 ''24'!X$2:X$1577)</f>
        <v>101.22760065604797</v>
      </c>
      <c r="M379" s="242">
        <f>_xlfn.XLOOKUP($C379,'Site Level Financials - ''23 ''24'!$C$2:$C$1577,'Site Level Financials - ''23 ''24'!Y$2:Y$1577)</f>
        <v>144.70594925718981</v>
      </c>
      <c r="N379" s="242">
        <f>_xlfn.XLOOKUP($C379,'Site Level Financials - ''23 ''24'!$C$2:$C$1577,'Site Level Financials - ''23 ''24'!Z$2:Z$1577)</f>
        <v>195.90602224523502</v>
      </c>
      <c r="O379" s="242">
        <f>_xlfn.XLOOKUP($C379,'Site Level Financials - ''23 ''24'!$C$2:$C$1577,'Site Level Financials - ''23 ''24'!AA$2:AA$1577)</f>
        <v>195.14992035740499</v>
      </c>
      <c r="P379" s="242">
        <f>_xlfn.XLOOKUP($C379,'Site Level Financials - ''23 ''24'!$C$2:$C$1577,'Site Level Financials - ''23 ''24'!AB$2:AB$1577)</f>
        <v>225.946850589424</v>
      </c>
      <c r="Q379" s="242">
        <f>_xlfn.XLOOKUP($C379,'Site Level Financials - ''23 ''24'!$C$2:$C$1577,'Site Level Financials - ''23 ''24'!AC$2:AC$1577)</f>
        <v>163.16465992133962</v>
      </c>
      <c r="R379" s="242">
        <f>_xlfn.XLOOKUP($C379,'Site Level Financials - ''23 ''24'!$C$2:$C$1577,'Site Level Financials - ''23 ''24'!AD$2:AD$1577)</f>
        <v>135.83845775429756</v>
      </c>
      <c r="S379" s="134">
        <f t="shared" ref="S379:AD379" si="1026">S367+S370+S373+S376</f>
        <v>133.30322700637842</v>
      </c>
      <c r="T379" s="135">
        <f t="shared" si="1026"/>
        <v>139.49589276212541</v>
      </c>
      <c r="U379" s="135">
        <f t="shared" si="1026"/>
        <v>142.83872716910631</v>
      </c>
      <c r="V379" s="135">
        <f t="shared" si="1026"/>
        <v>151.59311615717826</v>
      </c>
      <c r="W379" s="135">
        <f t="shared" si="1026"/>
        <v>179.10372368076997</v>
      </c>
      <c r="X379" s="135">
        <f t="shared" si="1026"/>
        <v>154.97613556393716</v>
      </c>
      <c r="Y379" s="135">
        <f t="shared" si="1026"/>
        <v>177.10522698971789</v>
      </c>
      <c r="Z379" s="135">
        <f t="shared" si="1026"/>
        <v>208.78289989861477</v>
      </c>
      <c r="AA379" s="135">
        <f t="shared" si="1026"/>
        <v>196.10844714253398</v>
      </c>
      <c r="AB379" s="135">
        <f t="shared" si="1026"/>
        <v>221.53703004100137</v>
      </c>
      <c r="AC379" s="135">
        <f t="shared" si="1026"/>
        <v>171.44202666410609</v>
      </c>
      <c r="AD379" s="136">
        <f t="shared" si="1026"/>
        <v>142.49777359495448</v>
      </c>
      <c r="AE379" s="15"/>
      <c r="AF379" s="114">
        <f>_xlfn.XLOOKUP($C379,'Site Level Financials - ''23 ''24'!$C$2:$C$1577,'Site Level Financials - ''23 ''24'!$AF$2:$AF$1577)</f>
        <v>2275.6824792594271</v>
      </c>
      <c r="AG379" s="95">
        <f>SUM(G379:R379)</f>
        <v>1737.8511475236855</v>
      </c>
      <c r="AH379" s="95">
        <f t="shared" ref="AH379" si="1027">SUM(S379:AD379)</f>
        <v>2018.784226670424</v>
      </c>
    </row>
    <row r="380" spans="2:34" x14ac:dyDescent="0.2">
      <c r="B380" s="9">
        <f>G355</f>
        <v>8</v>
      </c>
      <c r="C380" s="9" t="str">
        <f t="shared" si="964"/>
        <v>8 - % of Revenue - Office Gross Profit</v>
      </c>
      <c r="D380" s="9" t="s">
        <v>56</v>
      </c>
      <c r="F380" s="16" t="str">
        <f>"% of Revenue - "&amp;F379</f>
        <v>% of Revenue - Office Gross Profit</v>
      </c>
      <c r="G380" s="148">
        <f>G379/G367</f>
        <v>0.31930585880391299</v>
      </c>
      <c r="H380" s="149">
        <f t="shared" ref="H380:AD380" si="1028">H379/H367</f>
        <v>0.32269068446111904</v>
      </c>
      <c r="I380" s="149">
        <f t="shared" si="1028"/>
        <v>0.30771731455118662</v>
      </c>
      <c r="J380" s="149">
        <f t="shared" si="1028"/>
        <v>0.30488107754676336</v>
      </c>
      <c r="K380" s="149">
        <f t="shared" si="1028"/>
        <v>0.30307642030280924</v>
      </c>
      <c r="L380" s="149">
        <f t="shared" si="1028"/>
        <v>0.3122935374534026</v>
      </c>
      <c r="M380" s="149">
        <f t="shared" si="1028"/>
        <v>0.35425140874668382</v>
      </c>
      <c r="N380" s="149">
        <f t="shared" si="1028"/>
        <v>0.48701871175907541</v>
      </c>
      <c r="O380" s="149">
        <f t="shared" si="1028"/>
        <v>0.49894752647896584</v>
      </c>
      <c r="P380" s="149">
        <f t="shared" si="1028"/>
        <v>0.49076846381002959</v>
      </c>
      <c r="Q380" s="149">
        <f t="shared" si="1028"/>
        <v>0.48046614273737726</v>
      </c>
      <c r="R380" s="149">
        <f t="shared" si="1028"/>
        <v>0.48927193698081284</v>
      </c>
      <c r="S380" s="148">
        <f t="shared" si="1028"/>
        <v>0.31930585880391299</v>
      </c>
      <c r="T380" s="149">
        <f t="shared" si="1028"/>
        <v>0.32269068446111904</v>
      </c>
      <c r="U380" s="149">
        <f t="shared" si="1028"/>
        <v>0.30771731455118656</v>
      </c>
      <c r="V380" s="149">
        <f t="shared" si="1028"/>
        <v>0.30488107754676336</v>
      </c>
      <c r="W380" s="149">
        <f t="shared" si="1028"/>
        <v>0.30307642030280924</v>
      </c>
      <c r="X380" s="149">
        <f t="shared" si="1028"/>
        <v>0.31229353745340266</v>
      </c>
      <c r="Y380" s="149">
        <f t="shared" si="1028"/>
        <v>0.35425140874668382</v>
      </c>
      <c r="Z380" s="149">
        <f t="shared" si="1028"/>
        <v>0.48701871175907535</v>
      </c>
      <c r="AA380" s="149">
        <f t="shared" si="1028"/>
        <v>0.49894752647896573</v>
      </c>
      <c r="AB380" s="149">
        <f t="shared" si="1028"/>
        <v>0.49076846381002948</v>
      </c>
      <c r="AC380" s="149">
        <f t="shared" si="1028"/>
        <v>0.48046614273737726</v>
      </c>
      <c r="AD380" s="150">
        <f t="shared" si="1028"/>
        <v>0.48927193698081278</v>
      </c>
      <c r="AE380" s="15"/>
      <c r="AF380" s="233">
        <f>_xlfn.XLOOKUP($C380,'Site Level Financials - ''23 ''24'!$C$2:$C$1577,'Site Level Financials - ''23 ''24'!$AF$2:$AF$1577)</f>
        <v>0.46904696786847438</v>
      </c>
      <c r="AG380" s="97">
        <f t="shared" ref="AG380:AH380" si="1029">AG379/AG367</f>
        <v>0.39068926108899127</v>
      </c>
      <c r="AH380" s="97">
        <f t="shared" si="1029"/>
        <v>0.379503529063694</v>
      </c>
    </row>
    <row r="381" spans="2:34" ht="6" customHeight="1" x14ac:dyDescent="0.2">
      <c r="B381" s="9">
        <f>G355</f>
        <v>8</v>
      </c>
      <c r="C381" s="9" t="str">
        <f t="shared" si="964"/>
        <v xml:space="preserve">8 - </v>
      </c>
      <c r="D381" s="9" t="s">
        <v>56</v>
      </c>
      <c r="F381" s="16"/>
      <c r="G381" s="80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80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81"/>
      <c r="AE381" s="15"/>
      <c r="AF381" s="11"/>
      <c r="AG381" s="15"/>
      <c r="AH381" s="15"/>
    </row>
    <row r="382" spans="2:34" x14ac:dyDescent="0.2">
      <c r="B382" s="9">
        <f>G355</f>
        <v>8</v>
      </c>
      <c r="C382" s="9" t="str">
        <f t="shared" si="964"/>
        <v>8 - General and Administrative Expense</v>
      </c>
      <c r="D382" s="9" t="s">
        <v>56</v>
      </c>
      <c r="F382" t="s">
        <v>10</v>
      </c>
      <c r="G382" s="178">
        <f>_xlfn.XLOOKUP($C382,'Site Level Financials - ''23 ''24'!$C$2:$C$1577,'Site Level Financials - ''23 ''24'!S$2:S$1577)</f>
        <v>-15.223713560955986</v>
      </c>
      <c r="H382" s="179">
        <f>_xlfn.XLOOKUP($C382,'Site Level Financials - ''23 ''24'!$C$2:$C$1577,'Site Level Financials - ''23 ''24'!T$2:T$1577)</f>
        <v>-14.049044858384686</v>
      </c>
      <c r="I382" s="179">
        <f>_xlfn.XLOOKUP($C382,'Site Level Financials - ''23 ''24'!$C$2:$C$1577,'Site Level Financials - ''23 ''24'!U$2:U$1577)</f>
        <v>-16.153076371410755</v>
      </c>
      <c r="J382" s="179">
        <f>_xlfn.XLOOKUP($C382,'Site Level Financials - ''23 ''24'!$C$2:$C$1577,'Site Level Financials - ''23 ''24'!V$2:V$1577)</f>
        <v>-15.092169306116721</v>
      </c>
      <c r="K382" s="179">
        <f>_xlfn.XLOOKUP($C382,'Site Level Financials - ''23 ''24'!$C$2:$C$1577,'Site Level Financials - ''23 ''24'!W$2:W$1577)</f>
        <v>-15.533425612228383</v>
      </c>
      <c r="L382" s="179">
        <f>_xlfn.XLOOKUP($C382,'Site Level Financials - ''23 ''24'!$C$2:$C$1577,'Site Level Financials - ''23 ''24'!X$2:X$1577)</f>
        <v>-15.694960868203827</v>
      </c>
      <c r="M382" s="179">
        <f>_xlfn.XLOOKUP($C382,'Site Level Financials - ''23 ''24'!$C$2:$C$1577,'Site Level Financials - ''23 ''24'!Y$2:Y$1577)</f>
        <v>-16.100984696681202</v>
      </c>
      <c r="N382" s="179">
        <f>_xlfn.XLOOKUP($C382,'Site Level Financials - ''23 ''24'!$C$2:$C$1577,'Site Level Financials - ''23 ''24'!Z$2:Z$1577)</f>
        <v>-13.262401505453598</v>
      </c>
      <c r="O382" s="179">
        <f>_xlfn.XLOOKUP($C382,'Site Level Financials - ''23 ''24'!$C$2:$C$1577,'Site Level Financials - ''23 ''24'!AA$2:AA$1577)</f>
        <v>-12.495035779146125</v>
      </c>
      <c r="P382" s="179">
        <f>_xlfn.XLOOKUP($C382,'Site Level Financials - ''23 ''24'!$C$2:$C$1577,'Site Level Financials - ''23 ''24'!AB$2:AB$1577)</f>
        <v>-14.018537614958399</v>
      </c>
      <c r="Q382" s="179">
        <f>_xlfn.XLOOKUP($C382,'Site Level Financials - ''23 ''24'!$C$2:$C$1577,'Site Level Financials - ''23 ''24'!AC$2:AC$1577)</f>
        <v>-11.322483802851869</v>
      </c>
      <c r="R382" s="179">
        <f>_xlfn.XLOOKUP($C382,'Site Level Financials - ''23 ''24'!$C$2:$C$1577,'Site Level Financials - ''23 ''24'!AD$2:AD$1577)</f>
        <v>-8.442147530915193</v>
      </c>
      <c r="S382" s="155">
        <f>S383*S367</f>
        <v>-15.025444715504682</v>
      </c>
      <c r="T382" s="154">
        <f t="shared" ref="T382" si="1030">T383*T367</f>
        <v>-15.096999129152337</v>
      </c>
      <c r="U382" s="154">
        <f t="shared" ref="U382" si="1031">U383*U367</f>
        <v>-22.364535872921373</v>
      </c>
      <c r="V382" s="154">
        <f t="shared" ref="V382" si="1032">V383*V367</f>
        <v>-23.988228721519413</v>
      </c>
      <c r="W382" s="154">
        <f t="shared" ref="W382" si="1033">W383*W367</f>
        <v>-24.730859236192828</v>
      </c>
      <c r="X382" s="154">
        <f t="shared" ref="X382" si="1034">X383*X367</f>
        <v>-24.028470174316251</v>
      </c>
      <c r="Y382" s="154">
        <f t="shared" ref="Y382" si="1035">Y383*Y367</f>
        <v>-19.705952409707272</v>
      </c>
      <c r="Z382" s="154">
        <f t="shared" ref="Z382" si="1036">Z383*Z367</f>
        <v>-14.134137451181418</v>
      </c>
      <c r="AA382" s="154">
        <f t="shared" ref="AA382" si="1037">AA383*AA367</f>
        <v>-12.5564082175951</v>
      </c>
      <c r="AB382" s="154">
        <f t="shared" ref="AB382" si="1038">AB383*AB367</f>
        <v>-13.744936831977748</v>
      </c>
      <c r="AC382" s="154">
        <f t="shared" ref="AC382" si="1039">AC383*AC367</f>
        <v>-11.896875040025529</v>
      </c>
      <c r="AD382" s="156">
        <f t="shared" ref="AD382" si="1040">AD383*AD367</f>
        <v>-8.8560135870469132</v>
      </c>
      <c r="AE382" s="15"/>
      <c r="AF382" s="115">
        <f>_xlfn.XLOOKUP($C382,'Site Level Financials - ''23 ''24'!$C$2:$C$1577,'Site Level Financials - ''23 ''24'!$AF$2:$AF$1577)</f>
        <v>-185.84239098693627</v>
      </c>
      <c r="AG382" s="93">
        <f>SUM(G382:R382)</f>
        <v>-167.38798150730673</v>
      </c>
      <c r="AH382" s="93">
        <f t="shared" ref="AH382" si="1041">SUM(S382:AD382)</f>
        <v>-206.12886138714086</v>
      </c>
    </row>
    <row r="383" spans="2:34" x14ac:dyDescent="0.2">
      <c r="B383" s="9">
        <f>G355</f>
        <v>8</v>
      </c>
      <c r="C383" s="9" t="str">
        <f t="shared" si="964"/>
        <v>8 - % of Revenue - General and Administrative Expense</v>
      </c>
      <c r="D383" s="9" t="s">
        <v>56</v>
      </c>
      <c r="F383" s="16" t="str">
        <f>"% of Revenue - "&amp;F382</f>
        <v>% of Revenue - General and Administrative Expense</v>
      </c>
      <c r="G383" s="148">
        <f>G382/G367</f>
        <v>-3.599097063543235E-2</v>
      </c>
      <c r="H383" s="149">
        <f t="shared" ref="H383:R383" si="1042">H382/H367</f>
        <v>-3.492332918075558E-2</v>
      </c>
      <c r="I383" s="149">
        <f t="shared" si="1042"/>
        <v>-4.8179895301443822E-2</v>
      </c>
      <c r="J383" s="149">
        <f t="shared" si="1042"/>
        <v>-4.8244651250997743E-2</v>
      </c>
      <c r="K383" s="149">
        <f t="shared" si="1042"/>
        <v>-4.1849159438345891E-2</v>
      </c>
      <c r="L383" s="149">
        <f t="shared" si="1042"/>
        <v>-4.8419944935554071E-2</v>
      </c>
      <c r="M383" s="149">
        <f t="shared" si="1042"/>
        <v>-3.9416461730060595E-2</v>
      </c>
      <c r="N383" s="149">
        <f t="shared" si="1042"/>
        <v>-3.297008239967332E-2</v>
      </c>
      <c r="O383" s="149">
        <f t="shared" si="1042"/>
        <v>-3.1946552598398605E-2</v>
      </c>
      <c r="P383" s="149">
        <f t="shared" si="1042"/>
        <v>-3.0449002286196406E-2</v>
      </c>
      <c r="Q383" s="149">
        <f t="shared" si="1042"/>
        <v>-3.3340982793610342E-2</v>
      </c>
      <c r="R383" s="149">
        <f t="shared" si="1042"/>
        <v>-3.0407485059936828E-2</v>
      </c>
      <c r="S383" s="245">
        <f>_xlfn.XLOOKUP($F383,'Budget Assumption Driver'!$A$33:$A$39,'Budget Assumption Driver'!E$33:E$39)+G383</f>
        <v>-3.599097063543235E-2</v>
      </c>
      <c r="T383" s="246">
        <f>_xlfn.XLOOKUP($F383,'Budget Assumption Driver'!$A$33:$A$39,'Budget Assumption Driver'!F$33:F$39)+H383</f>
        <v>-3.492332918075558E-2</v>
      </c>
      <c r="U383" s="246">
        <f>_xlfn.XLOOKUP($F383,'Budget Assumption Driver'!$A$33:$A$39,'Budget Assumption Driver'!G$33:G$39)+I383</f>
        <v>-4.8179895301443822E-2</v>
      </c>
      <c r="V383" s="246">
        <f>_xlfn.XLOOKUP($F383,'Budget Assumption Driver'!$A$33:$A$39,'Budget Assumption Driver'!H$33:H$39)+J383</f>
        <v>-4.8244651250997743E-2</v>
      </c>
      <c r="W383" s="246">
        <f>_xlfn.XLOOKUP($F383,'Budget Assumption Driver'!$A$33:$A$39,'Budget Assumption Driver'!I$33:I$39)+K383</f>
        <v>-4.1849159438345891E-2</v>
      </c>
      <c r="X383" s="246">
        <f>_xlfn.XLOOKUP($F383,'Budget Assumption Driver'!$A$33:$A$39,'Budget Assumption Driver'!J$33:J$39)+L383</f>
        <v>-4.8419944935554071E-2</v>
      </c>
      <c r="Y383" s="246">
        <f>_xlfn.XLOOKUP($F383,'Budget Assumption Driver'!$A$33:$A$39,'Budget Assumption Driver'!K$33:K$39)+M383</f>
        <v>-3.9416461730060595E-2</v>
      </c>
      <c r="Z383" s="246">
        <f>_xlfn.XLOOKUP($F383,'Budget Assumption Driver'!$A$33:$A$39,'Budget Assumption Driver'!L$33:L$39)+N383</f>
        <v>-3.297008239967332E-2</v>
      </c>
      <c r="AA383" s="246">
        <f>_xlfn.XLOOKUP($F383,'Budget Assumption Driver'!$A$33:$A$39,'Budget Assumption Driver'!M$33:M$39)+O383</f>
        <v>-3.1946552598398605E-2</v>
      </c>
      <c r="AB383" s="246">
        <f>_xlfn.XLOOKUP($F383,'Budget Assumption Driver'!$A$33:$A$39,'Budget Assumption Driver'!N$33:N$39)+P383</f>
        <v>-3.0449002286196406E-2</v>
      </c>
      <c r="AC383" s="246">
        <f>_xlfn.XLOOKUP($F383,'Budget Assumption Driver'!$A$33:$A$39,'Budget Assumption Driver'!O$33:O$39)+Q383</f>
        <v>-3.3340982793610342E-2</v>
      </c>
      <c r="AD383" s="296">
        <f>_xlfn.XLOOKUP($F383,'Budget Assumption Driver'!$A$33:$A$39,'Budget Assumption Driver'!P$33:P$39)+R383</f>
        <v>-3.0407485059936828E-2</v>
      </c>
      <c r="AE383" s="15"/>
      <c r="AF383" s="232">
        <f>_xlfn.XLOOKUP($C383,'Site Level Financials - ''23 ''24'!$C$2:$C$1577,'Site Level Financials - ''23 ''24'!$AF$2:$AF$1577)</f>
        <v>-3.8304469445235259E-2</v>
      </c>
      <c r="AG383" s="97">
        <f t="shared" ref="AG383:AH383" si="1043">AG382/AG367</f>
        <v>-3.7630775744777127E-2</v>
      </c>
      <c r="AH383" s="97">
        <f t="shared" si="1043"/>
        <v>-3.8749376632152492E-2</v>
      </c>
    </row>
    <row r="384" spans="2:34" ht="3" customHeight="1" x14ac:dyDescent="0.2">
      <c r="B384" s="9">
        <f>G355</f>
        <v>8</v>
      </c>
      <c r="C384" s="9" t="str">
        <f t="shared" si="964"/>
        <v xml:space="preserve">8 - </v>
      </c>
      <c r="D384" s="9" t="s">
        <v>56</v>
      </c>
      <c r="F384" s="16"/>
      <c r="G384" s="84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4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6"/>
      <c r="AE384" s="15"/>
      <c r="AF384" s="36"/>
      <c r="AG384" s="38"/>
      <c r="AH384" s="38"/>
    </row>
    <row r="385" spans="2:34" x14ac:dyDescent="0.2">
      <c r="B385" s="9">
        <f>G355</f>
        <v>8</v>
      </c>
      <c r="C385" s="9" t="str">
        <f t="shared" si="964"/>
        <v>8 - Marketing</v>
      </c>
      <c r="D385" s="9" t="s">
        <v>56</v>
      </c>
      <c r="F385" t="s">
        <v>7</v>
      </c>
      <c r="G385" s="178">
        <f>_xlfn.XLOOKUP($C385,'Site Level Financials - ''23 ''24'!$C$2:$C$1577,'Site Level Financials - ''23 ''24'!S$2:S$1577)</f>
        <v>-11.573129518451225</v>
      </c>
      <c r="H385" s="179">
        <f>_xlfn.XLOOKUP($C385,'Site Level Financials - ''23 ''24'!$C$2:$C$1577,'Site Level Financials - ''23 ''24'!T$2:T$1577)</f>
        <v>-12.72945954866114</v>
      </c>
      <c r="I385" s="179">
        <f>_xlfn.XLOOKUP($C385,'Site Level Financials - ''23 ''24'!$C$2:$C$1577,'Site Level Financials - ''23 ''24'!U$2:U$1577)</f>
        <v>-12.682011411903618</v>
      </c>
      <c r="J385" s="179">
        <f>_xlfn.XLOOKUP($C385,'Site Level Financials - ''23 ''24'!$C$2:$C$1577,'Site Level Financials - ''23 ''24'!V$2:V$1577)</f>
        <v>-10.354584481022336</v>
      </c>
      <c r="K385" s="179">
        <f>_xlfn.XLOOKUP($C385,'Site Level Financials - ''23 ''24'!$C$2:$C$1577,'Site Level Financials - ''23 ''24'!W$2:W$1577)</f>
        <v>-12.183943995156916</v>
      </c>
      <c r="L385" s="179">
        <f>_xlfn.XLOOKUP($C385,'Site Level Financials - ''23 ''24'!$C$2:$C$1577,'Site Level Financials - ''23 ''24'!X$2:X$1577)</f>
        <v>-9.8104502187002733</v>
      </c>
      <c r="M385" s="179">
        <f>_xlfn.XLOOKUP($C385,'Site Level Financials - ''23 ''24'!$C$2:$C$1577,'Site Level Financials - ''23 ''24'!Y$2:Y$1577)</f>
        <v>-7.6441749910626209</v>
      </c>
      <c r="N385" s="179">
        <f>_xlfn.XLOOKUP($C385,'Site Level Financials - ''23 ''24'!$C$2:$C$1577,'Site Level Financials - ''23 ''24'!Z$2:Z$1577)</f>
        <v>-6.6783931005318333</v>
      </c>
      <c r="O385" s="179">
        <f>_xlfn.XLOOKUP($C385,'Site Level Financials - ''23 ''24'!$C$2:$C$1577,'Site Level Financials - ''23 ''24'!AA$2:AA$1577)</f>
        <v>-5.9009665887081608</v>
      </c>
      <c r="P385" s="179">
        <f>_xlfn.XLOOKUP($C385,'Site Level Financials - ''23 ''24'!$C$2:$C$1577,'Site Level Financials - ''23 ''24'!AB$2:AB$1577)</f>
        <v>-6.1175007699828905</v>
      </c>
      <c r="Q385" s="179">
        <f>_xlfn.XLOOKUP($C385,'Site Level Financials - ''23 ''24'!$C$2:$C$1577,'Site Level Financials - ''23 ''24'!AC$2:AC$1577)</f>
        <v>-4.305451053027177</v>
      </c>
      <c r="R385" s="179">
        <f>_xlfn.XLOOKUP($C385,'Site Level Financials - ''23 ''24'!$C$2:$C$1577,'Site Level Financials - ''23 ''24'!AD$2:AD$1577)</f>
        <v>-4.6219690823396444</v>
      </c>
      <c r="S385" s="155">
        <f>S386*S367</f>
        <v>-11.422404728557211</v>
      </c>
      <c r="T385" s="154">
        <f t="shared" ref="T385" si="1044">T386*T367</f>
        <v>-13.678982568414476</v>
      </c>
      <c r="U385" s="154">
        <f t="shared" ref="U385" si="1045">U386*U367</f>
        <v>-17.55871715336573</v>
      </c>
      <c r="V385" s="154">
        <f t="shared" ref="V385" si="1046">V386*V367</f>
        <v>-16.45808073107089</v>
      </c>
      <c r="W385" s="154">
        <f t="shared" ref="W385" si="1047">W386*W367</f>
        <v>-19.398129646861335</v>
      </c>
      <c r="X385" s="154">
        <f t="shared" ref="X385" si="1048">X386*X367</f>
        <v>-15.019477426937442</v>
      </c>
      <c r="Y385" s="154">
        <f t="shared" ref="Y385" si="1049">Y386*Y367</f>
        <v>-9.3556854703677939</v>
      </c>
      <c r="Z385" s="154">
        <f t="shared" ref="Z385" si="1050">Z386*Z367</f>
        <v>-7.1173630203491696</v>
      </c>
      <c r="AA385" s="154">
        <f t="shared" ref="AA385" si="1051">AA386*AA367</f>
        <v>-5.9299506360655423</v>
      </c>
      <c r="AB385" s="154">
        <f t="shared" ref="AB385" si="1052">AB386*AB367</f>
        <v>-5.9981050778982832</v>
      </c>
      <c r="AC385" s="154">
        <f t="shared" ref="AC385" si="1053">AC386*AC367</f>
        <v>-4.5238672062316558</v>
      </c>
      <c r="AD385" s="156">
        <f t="shared" ref="AD385" si="1054">AD386*AD367</f>
        <v>-4.8485555176827475</v>
      </c>
      <c r="AE385" s="15"/>
      <c r="AF385" s="115">
        <f>_xlfn.XLOOKUP($C385,'Site Level Financials - ''23 ''24'!$C$2:$C$1577,'Site Level Financials - ''23 ''24'!$AF$2:$AF$1577)</f>
        <v>-77.893114158408125</v>
      </c>
      <c r="AG385" s="93">
        <f>SUM(G385:R385)</f>
        <v>-104.60203475954783</v>
      </c>
      <c r="AH385" s="93">
        <f t="shared" ref="AH385" si="1055">SUM(S385:AD385)</f>
        <v>-131.30931918380227</v>
      </c>
    </row>
    <row r="386" spans="2:34" x14ac:dyDescent="0.2">
      <c r="B386" s="9">
        <f>G355</f>
        <v>8</v>
      </c>
      <c r="C386" s="9" t="str">
        <f t="shared" si="964"/>
        <v>8 - % of Revenue - Marketing</v>
      </c>
      <c r="D386" s="9" t="s">
        <v>56</v>
      </c>
      <c r="F386" s="16" t="str">
        <f>"% of Revenue - "&amp;F385</f>
        <v>% of Revenue - Marketing</v>
      </c>
      <c r="G386" s="148">
        <f>G385/G367</f>
        <v>-2.7360483563412311E-2</v>
      </c>
      <c r="H386" s="149">
        <f t="shared" ref="H386:R386" si="1056">H385/H367</f>
        <v>-3.1643083967070405E-2</v>
      </c>
      <c r="I386" s="149">
        <f t="shared" si="1056"/>
        <v>-3.782672526198598E-2</v>
      </c>
      <c r="J386" s="149">
        <f t="shared" si="1056"/>
        <v>-3.3100166517046128E-2</v>
      </c>
      <c r="K386" s="149">
        <f t="shared" si="1056"/>
        <v>-3.2825200800511108E-2</v>
      </c>
      <c r="L386" s="149">
        <f t="shared" si="1056"/>
        <v>-3.0265858154817072E-2</v>
      </c>
      <c r="M386" s="149">
        <f t="shared" si="1056"/>
        <v>-1.8713534399868881E-2</v>
      </c>
      <c r="N386" s="149">
        <f t="shared" si="1056"/>
        <v>-1.6602360494922565E-2</v>
      </c>
      <c r="O386" s="149">
        <f t="shared" si="1056"/>
        <v>-1.5087234869882112E-2</v>
      </c>
      <c r="P386" s="149">
        <f t="shared" si="1056"/>
        <v>-1.3287533981594277E-2</v>
      </c>
      <c r="Q386" s="149">
        <f t="shared" si="1056"/>
        <v>-1.2678134230720143E-2</v>
      </c>
      <c r="R386" s="149">
        <f t="shared" si="1056"/>
        <v>-1.6647713784207797E-2</v>
      </c>
      <c r="S386" s="245">
        <f>_xlfn.XLOOKUP($F386,'Budget Assumption Driver'!$A$33:$A$39,'Budget Assumption Driver'!E$33:E$39)+G386</f>
        <v>-2.7360483563412311E-2</v>
      </c>
      <c r="T386" s="246">
        <f>_xlfn.XLOOKUP($F386,'Budget Assumption Driver'!$A$33:$A$39,'Budget Assumption Driver'!F$33:F$39)+H386</f>
        <v>-3.1643083967070405E-2</v>
      </c>
      <c r="U386" s="246">
        <f>_xlfn.XLOOKUP($F386,'Budget Assumption Driver'!$A$33:$A$39,'Budget Assumption Driver'!G$33:G$39)+I386</f>
        <v>-3.782672526198598E-2</v>
      </c>
      <c r="V386" s="246">
        <f>_xlfn.XLOOKUP($F386,'Budget Assumption Driver'!$A$33:$A$39,'Budget Assumption Driver'!H$33:H$39)+J386</f>
        <v>-3.3100166517046128E-2</v>
      </c>
      <c r="W386" s="246">
        <f>_xlfn.XLOOKUP($F386,'Budget Assumption Driver'!$A$33:$A$39,'Budget Assumption Driver'!I$33:I$39)+K386</f>
        <v>-3.2825200800511108E-2</v>
      </c>
      <c r="X386" s="246">
        <f>_xlfn.XLOOKUP($F386,'Budget Assumption Driver'!$A$33:$A$39,'Budget Assumption Driver'!J$33:J$39)+L386</f>
        <v>-3.0265858154817072E-2</v>
      </c>
      <c r="Y386" s="246">
        <f>_xlfn.XLOOKUP($F386,'Budget Assumption Driver'!$A$33:$A$39,'Budget Assumption Driver'!K$33:K$39)+M386</f>
        <v>-1.8713534399868881E-2</v>
      </c>
      <c r="Z386" s="246">
        <f>_xlfn.XLOOKUP($F386,'Budget Assumption Driver'!$A$33:$A$39,'Budget Assumption Driver'!L$33:L$39)+N386</f>
        <v>-1.6602360494922565E-2</v>
      </c>
      <c r="AA386" s="246">
        <f>_xlfn.XLOOKUP($F386,'Budget Assumption Driver'!$A$33:$A$39,'Budget Assumption Driver'!M$33:M$39)+O386</f>
        <v>-1.5087234869882112E-2</v>
      </c>
      <c r="AB386" s="246">
        <f>_xlfn.XLOOKUP($F386,'Budget Assumption Driver'!$A$33:$A$39,'Budget Assumption Driver'!N$33:N$39)+P386</f>
        <v>-1.3287533981594277E-2</v>
      </c>
      <c r="AC386" s="246">
        <f>_xlfn.XLOOKUP($F386,'Budget Assumption Driver'!$A$33:$A$39,'Budget Assumption Driver'!O$33:O$39)+Q386</f>
        <v>-1.2678134230720143E-2</v>
      </c>
      <c r="AD386" s="296">
        <f>_xlfn.XLOOKUP($F386,'Budget Assumption Driver'!$A$33:$A$39,'Budget Assumption Driver'!P$33:P$39)+R386</f>
        <v>-1.6647713784207797E-2</v>
      </c>
      <c r="AE386" s="15"/>
      <c r="AF386" s="232">
        <f>_xlfn.XLOOKUP($C386,'Site Level Financials - ''23 ''24'!$C$2:$C$1577,'Site Level Financials - ''23 ''24'!$AF$2:$AF$1577)</f>
        <v>-1.6054756912187496E-2</v>
      </c>
      <c r="AG386" s="97">
        <f t="shared" ref="AG386:AH386" si="1057">AG385/AG367</f>
        <v>-2.3515760671933925E-2</v>
      </c>
      <c r="AH386" s="97">
        <f t="shared" si="1057"/>
        <v>-2.4684336924601574E-2</v>
      </c>
    </row>
    <row r="387" spans="2:34" ht="3" customHeight="1" x14ac:dyDescent="0.2">
      <c r="B387" s="9">
        <f>G355</f>
        <v>8</v>
      </c>
      <c r="C387" s="9" t="str">
        <f t="shared" si="964"/>
        <v xml:space="preserve">8 - </v>
      </c>
      <c r="D387" s="9" t="s">
        <v>56</v>
      </c>
      <c r="F387" s="16"/>
      <c r="G387" s="84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4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6"/>
      <c r="AE387" s="15"/>
      <c r="AF387" s="36"/>
      <c r="AG387" s="38"/>
      <c r="AH387" s="38"/>
    </row>
    <row r="388" spans="2:34" x14ac:dyDescent="0.2">
      <c r="B388" s="9">
        <f>G355</f>
        <v>8</v>
      </c>
      <c r="C388" s="9" t="str">
        <f t="shared" si="964"/>
        <v>8 - Office Rent</v>
      </c>
      <c r="D388" s="9" t="s">
        <v>56</v>
      </c>
      <c r="F388" t="s">
        <v>162</v>
      </c>
      <c r="G388" s="178">
        <f>_xlfn.XLOOKUP($C388,'Site Level Financials - ''23 ''24'!$C$2:$C$1577,'Site Level Financials - ''23 ''24'!S$2:S$1577)</f>
        <v>-31.467600690338077</v>
      </c>
      <c r="H388" s="179">
        <f>_xlfn.XLOOKUP($C388,'Site Level Financials - ''23 ''24'!$C$2:$C$1577,'Site Level Financials - ''23 ''24'!T$2:T$1577)</f>
        <v>-31.467600690338077</v>
      </c>
      <c r="I388" s="179">
        <f>_xlfn.XLOOKUP($C388,'Site Level Financials - ''23 ''24'!$C$2:$C$1577,'Site Level Financials - ''23 ''24'!U$2:U$1577)</f>
        <v>-31.467600690338077</v>
      </c>
      <c r="J388" s="179">
        <f>_xlfn.XLOOKUP($C388,'Site Level Financials - ''23 ''24'!$C$2:$C$1577,'Site Level Financials - ''23 ''24'!V$2:V$1577)</f>
        <v>-32.411628711048216</v>
      </c>
      <c r="K388" s="179">
        <f>_xlfn.XLOOKUP($C388,'Site Level Financials - ''23 ''24'!$C$2:$C$1577,'Site Level Financials - ''23 ''24'!W$2:W$1577)</f>
        <v>-32.411628711048216</v>
      </c>
      <c r="L388" s="179">
        <f>_xlfn.XLOOKUP($C388,'Site Level Financials - ''23 ''24'!$C$2:$C$1577,'Site Level Financials - ''23 ''24'!X$2:X$1577)</f>
        <v>-32.411628711048216</v>
      </c>
      <c r="M388" s="179">
        <f>_xlfn.XLOOKUP($C388,'Site Level Financials - ''23 ''24'!$C$2:$C$1577,'Site Level Financials - ''23 ''24'!Y$2:Y$1577)</f>
        <v>-32.411628711048216</v>
      </c>
      <c r="N388" s="179">
        <f>_xlfn.XLOOKUP($C388,'Site Level Financials - ''23 ''24'!$C$2:$C$1577,'Site Level Financials - ''23 ''24'!Z$2:Z$1577)</f>
        <v>-32.411628711048216</v>
      </c>
      <c r="O388" s="179">
        <f>_xlfn.XLOOKUP($C388,'Site Level Financials - ''23 ''24'!$C$2:$C$1577,'Site Level Financials - ''23 ''24'!AA$2:AA$1577)</f>
        <v>-32.411628711048216</v>
      </c>
      <c r="P388" s="179">
        <f>_xlfn.XLOOKUP($C388,'Site Level Financials - ''23 ''24'!$C$2:$C$1577,'Site Level Financials - ''23 ''24'!AB$2:AB$1577)</f>
        <v>-32.411628711048216</v>
      </c>
      <c r="Q388" s="179">
        <f>_xlfn.XLOOKUP($C388,'Site Level Financials - ''23 ''24'!$C$2:$C$1577,'Site Level Financials - ''23 ''24'!AC$2:AC$1577)</f>
        <v>-32.411628711048216</v>
      </c>
      <c r="R388" s="179">
        <f>_xlfn.XLOOKUP($C388,'Site Level Financials - ''23 ''24'!$C$2:$C$1577,'Site Level Financials - ''23 ''24'!AD$2:AD$1577)</f>
        <v>-32.411628711048216</v>
      </c>
      <c r="S388" s="155">
        <f>G388*(1+S389)</f>
        <v>-32.411628711048223</v>
      </c>
      <c r="T388" s="154">
        <f t="shared" ref="T388" si="1058">H388*(1+T389)</f>
        <v>-32.411628711048223</v>
      </c>
      <c r="U388" s="154">
        <f t="shared" ref="U388" si="1059">I388*(1+U389)</f>
        <v>-32.411628711048223</v>
      </c>
      <c r="V388" s="154">
        <f t="shared" ref="V388" si="1060">J388*(1+V389)</f>
        <v>-33.383977572379663</v>
      </c>
      <c r="W388" s="154">
        <f t="shared" ref="W388" si="1061">K388*(1+W389)</f>
        <v>-33.383977572379663</v>
      </c>
      <c r="X388" s="154">
        <f t="shared" ref="X388" si="1062">L388*(1+X389)</f>
        <v>-33.383977572379663</v>
      </c>
      <c r="Y388" s="154">
        <f t="shared" ref="Y388" si="1063">M388*(1+Y389)</f>
        <v>-33.383977572379663</v>
      </c>
      <c r="Z388" s="154">
        <f t="shared" ref="Z388" si="1064">N388*(1+Z389)</f>
        <v>-33.383977572379663</v>
      </c>
      <c r="AA388" s="154">
        <f t="shared" ref="AA388" si="1065">O388*(1+AA389)</f>
        <v>-33.383977572379663</v>
      </c>
      <c r="AB388" s="154">
        <f t="shared" ref="AB388" si="1066">P388*(1+AB389)</f>
        <v>-33.383977572379663</v>
      </c>
      <c r="AC388" s="154">
        <f t="shared" ref="AC388" si="1067">Q388*(1+AC389)</f>
        <v>-33.383977572379663</v>
      </c>
      <c r="AD388" s="156">
        <f t="shared" ref="AD388" si="1068">R388*(1+AD389)</f>
        <v>-33.383977572379663</v>
      </c>
      <c r="AE388" s="15"/>
      <c r="AF388" s="115">
        <f>_xlfn.XLOOKUP($C388,'Site Level Financials - ''23 ''24'!$C$2:$C$1577,'Site Level Financials - ''23 ''24'!$AF$2:$AF$1577)</f>
        <v>-374.85859641396667</v>
      </c>
      <c r="AG388" s="93">
        <f>SUM(G388:R388)</f>
        <v>-386.10746047044813</v>
      </c>
      <c r="AH388" s="93">
        <f t="shared" ref="AH388" si="1069">SUM(S388:AD388)</f>
        <v>-397.69068428456154</v>
      </c>
    </row>
    <row r="389" spans="2:34" x14ac:dyDescent="0.2">
      <c r="B389" s="9">
        <f>G355</f>
        <v>8</v>
      </c>
      <c r="C389" s="9" t="str">
        <f t="shared" si="964"/>
        <v>8 - % YoY Growth</v>
      </c>
      <c r="D389" s="9" t="s">
        <v>56</v>
      </c>
      <c r="F389" s="16" t="s">
        <v>8</v>
      </c>
      <c r="G389" s="245">
        <f>_xlfn.XLOOKUP($C389,'Site Level Financials - ''23 ''24'!$C$2:$C$1577,'Site Level Financials - ''23 ''24'!S$2:S$1577)</f>
        <v>3.0008286228706549E-2</v>
      </c>
      <c r="H389" s="246">
        <f>_xlfn.XLOOKUP($C389,'Site Level Financials - ''23 ''24'!$C$2:$C$1577,'Site Level Financials - ''23 ''24'!T$2:T$1577)</f>
        <v>3.0008286228706549E-2</v>
      </c>
      <c r="I389" s="246">
        <f>_xlfn.XLOOKUP($C389,'Site Level Financials - ''23 ''24'!$C$2:$C$1577,'Site Level Financials - ''23 ''24'!U$2:U$1577)</f>
        <v>3.0008286228706549E-2</v>
      </c>
      <c r="J389" s="246">
        <f>_xlfn.XLOOKUP($C389,'Site Level Financials - ''23 ''24'!$C$2:$C$1577,'Site Level Financials - ''23 ''24'!V$2:V$1577)</f>
        <v>3.0008286228706549E-2</v>
      </c>
      <c r="K389" s="246">
        <f>_xlfn.XLOOKUP($C389,'Site Level Financials - ''23 ''24'!$C$2:$C$1577,'Site Level Financials - ''23 ''24'!W$2:W$1577)</f>
        <v>3.0008286228706549E-2</v>
      </c>
      <c r="L389" s="246">
        <f>_xlfn.XLOOKUP($C389,'Site Level Financials - ''23 ''24'!$C$2:$C$1577,'Site Level Financials - ''23 ''24'!X$2:X$1577)</f>
        <v>3.0008286228706549E-2</v>
      </c>
      <c r="M389" s="246">
        <f>_xlfn.XLOOKUP($C389,'Site Level Financials - ''23 ''24'!$C$2:$C$1577,'Site Level Financials - ''23 ''24'!Y$2:Y$1577)</f>
        <v>3.0008286228706549E-2</v>
      </c>
      <c r="N389" s="246">
        <f>_xlfn.XLOOKUP($C389,'Site Level Financials - ''23 ''24'!$C$2:$C$1577,'Site Level Financials - ''23 ''24'!Z$2:Z$1577)</f>
        <v>3.0008286228706549E-2</v>
      </c>
      <c r="O389" s="246">
        <f>_xlfn.XLOOKUP($C389,'Site Level Financials - ''23 ''24'!$C$2:$C$1577,'Site Level Financials - ''23 ''24'!AA$2:AA$1577)</f>
        <v>3.0008286228706549E-2</v>
      </c>
      <c r="P389" s="246">
        <f>_xlfn.XLOOKUP($C389,'Site Level Financials - ''23 ''24'!$C$2:$C$1577,'Site Level Financials - ''23 ''24'!AB$2:AB$1577)</f>
        <v>3.0008286228706549E-2</v>
      </c>
      <c r="Q389" s="246">
        <f>_xlfn.XLOOKUP($C389,'Site Level Financials - ''23 ''24'!$C$2:$C$1577,'Site Level Financials - ''23 ''24'!AC$2:AC$1577)</f>
        <v>3.0008286228706549E-2</v>
      </c>
      <c r="R389" s="246">
        <f>_xlfn.XLOOKUP($C389,'Site Level Financials - ''23 ''24'!$C$2:$C$1577,'Site Level Financials - ''23 ''24'!AD$2:AD$1577)</f>
        <v>3.0008286228706549E-2</v>
      </c>
      <c r="S389" s="245">
        <f>_xlfn.XLOOKUP($F389,'Budget Assumption Driver'!$A$33:$A$39,'Budget Assumption Driver'!E$33:E$39)</f>
        <v>0.03</v>
      </c>
      <c r="T389" s="246">
        <f>_xlfn.XLOOKUP($F389,'Budget Assumption Driver'!$A$33:$A$39,'Budget Assumption Driver'!F$33:F$39)</f>
        <v>0.03</v>
      </c>
      <c r="U389" s="246">
        <f>_xlfn.XLOOKUP($F389,'Budget Assumption Driver'!$A$33:$A$39,'Budget Assumption Driver'!G$33:G$39)</f>
        <v>0.03</v>
      </c>
      <c r="V389" s="246">
        <f>_xlfn.XLOOKUP($F389,'Budget Assumption Driver'!$A$33:$A$39,'Budget Assumption Driver'!H$33:H$39)</f>
        <v>0.03</v>
      </c>
      <c r="W389" s="246">
        <f>_xlfn.XLOOKUP($F389,'Budget Assumption Driver'!$A$33:$A$39,'Budget Assumption Driver'!I$33:I$39)</f>
        <v>0.03</v>
      </c>
      <c r="X389" s="246">
        <f>_xlfn.XLOOKUP($F389,'Budget Assumption Driver'!$A$33:$A$39,'Budget Assumption Driver'!J$33:J$39)</f>
        <v>0.03</v>
      </c>
      <c r="Y389" s="246">
        <f>_xlfn.XLOOKUP($F389,'Budget Assumption Driver'!$A$33:$A$39,'Budget Assumption Driver'!K$33:K$39)</f>
        <v>0.03</v>
      </c>
      <c r="Z389" s="246">
        <f>_xlfn.XLOOKUP($F389,'Budget Assumption Driver'!$A$33:$A$39,'Budget Assumption Driver'!L$33:L$39)</f>
        <v>0.03</v>
      </c>
      <c r="AA389" s="246">
        <f>_xlfn.XLOOKUP($F389,'Budget Assumption Driver'!$A$33:$A$39,'Budget Assumption Driver'!M$33:M$39)</f>
        <v>0.03</v>
      </c>
      <c r="AB389" s="246">
        <f>_xlfn.XLOOKUP($F389,'Budget Assumption Driver'!$A$33:$A$39,'Budget Assumption Driver'!N$33:N$39)</f>
        <v>0.03</v>
      </c>
      <c r="AC389" s="246">
        <f>_xlfn.XLOOKUP($F389,'Budget Assumption Driver'!$A$33:$A$39,'Budget Assumption Driver'!O$33:O$39)</f>
        <v>0.03</v>
      </c>
      <c r="AD389" s="296">
        <f>_xlfn.XLOOKUP($F389,'Budget Assumption Driver'!$A$33:$A$39,'Budget Assumption Driver'!P$33:P$39)</f>
        <v>0.03</v>
      </c>
      <c r="AE389" s="15"/>
      <c r="AF389" s="11"/>
      <c r="AG389" s="97">
        <f>AG388/AF388-1</f>
        <v>3.0008286228706549E-2</v>
      </c>
      <c r="AH389" s="97">
        <f>AH388/AG388-1</f>
        <v>2.9999999999999805E-2</v>
      </c>
    </row>
    <row r="390" spans="2:34" ht="6" customHeight="1" x14ac:dyDescent="0.2">
      <c r="B390" s="9">
        <f>G355</f>
        <v>8</v>
      </c>
      <c r="C390" s="9" t="str">
        <f t="shared" si="964"/>
        <v xml:space="preserve">8 - </v>
      </c>
      <c r="D390" s="9" t="s">
        <v>56</v>
      </c>
      <c r="F390" s="16"/>
      <c r="G390" s="80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80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81"/>
      <c r="AE390" s="15"/>
      <c r="AF390" s="11"/>
      <c r="AG390" s="15"/>
      <c r="AH390" s="15"/>
    </row>
    <row r="391" spans="2:34" x14ac:dyDescent="0.2">
      <c r="B391" s="9">
        <f>G355</f>
        <v>8</v>
      </c>
      <c r="C391" s="9" t="str">
        <f t="shared" si="964"/>
        <v>8 - Office EBITDA</v>
      </c>
      <c r="D391" s="9" t="s">
        <v>56</v>
      </c>
      <c r="F391" s="8" t="s">
        <v>12</v>
      </c>
      <c r="G391" s="241">
        <f>_xlfn.XLOOKUP($C391,'Site Level Financials - ''23 ''24'!$C$2:$C$1577,'Site Level Financials - ''23 ''24'!S$2:S$1577)</f>
        <v>76.797791200385106</v>
      </c>
      <c r="H391" s="242">
        <f>_xlfn.XLOOKUP($C391,'Site Level Financials - ''23 ''24'!$C$2:$C$1577,'Site Level Financials - ''23 ''24'!T$2:T$1577)</f>
        <v>71.566716524309939</v>
      </c>
      <c r="I391" s="242">
        <f>_xlfn.XLOOKUP($C391,'Site Level Financials - ''23 ''24'!$C$2:$C$1577,'Site Level Financials - ''23 ''24'!U$2:U$1577)</f>
        <v>42.864436561627315</v>
      </c>
      <c r="J391" s="242">
        <f>_xlfn.XLOOKUP($C391,'Site Level Financials - ''23 ''24'!$C$2:$C$1577,'Site Level Financials - ''23 ''24'!V$2:V$1577)</f>
        <v>37.516269846758327</v>
      </c>
      <c r="K391" s="242">
        <f>_xlfn.XLOOKUP($C391,'Site Level Financials - ''23 ''24'!$C$2:$C$1577,'Site Level Financials - ''23 ''24'!W$2:W$1577)</f>
        <v>52.365854452263598</v>
      </c>
      <c r="L391" s="242">
        <f>_xlfn.XLOOKUP($C391,'Site Level Financials - ''23 ''24'!$C$2:$C$1577,'Site Level Financials - ''23 ''24'!X$2:X$1577)</f>
        <v>43.310560858095663</v>
      </c>
      <c r="M391" s="242">
        <f>_xlfn.XLOOKUP($C391,'Site Level Financials - ''23 ''24'!$C$2:$C$1577,'Site Level Financials - ''23 ''24'!Y$2:Y$1577)</f>
        <v>88.549160858397784</v>
      </c>
      <c r="N391" s="242">
        <f>_xlfn.XLOOKUP($C391,'Site Level Financials - ''23 ''24'!$C$2:$C$1577,'Site Level Financials - ''23 ''24'!Z$2:Z$1577)</f>
        <v>143.55359892820138</v>
      </c>
      <c r="O391" s="242">
        <f>_xlfn.XLOOKUP($C391,'Site Level Financials - ''23 ''24'!$C$2:$C$1577,'Site Level Financials - ''23 ''24'!AA$2:AA$1577)</f>
        <v>144.34228927850248</v>
      </c>
      <c r="P391" s="242">
        <f>_xlfn.XLOOKUP($C391,'Site Level Financials - ''23 ''24'!$C$2:$C$1577,'Site Level Financials - ''23 ''24'!AB$2:AB$1577)</f>
        <v>173.39918349343449</v>
      </c>
      <c r="Q391" s="242">
        <f>_xlfn.XLOOKUP($C391,'Site Level Financials - ''23 ''24'!$C$2:$C$1577,'Site Level Financials - ''23 ''24'!AC$2:AC$1577)</f>
        <v>115.12509635441234</v>
      </c>
      <c r="R391" s="242">
        <f>_xlfn.XLOOKUP($C391,'Site Level Financials - ''23 ''24'!$C$2:$C$1577,'Site Level Financials - ''23 ''24'!AD$2:AD$1577)</f>
        <v>90.362712429994502</v>
      </c>
      <c r="S391" s="134">
        <f t="shared" ref="S391:AD391" si="1070">S379+S382+S385+S388</f>
        <v>74.44374885126831</v>
      </c>
      <c r="T391" s="135">
        <f t="shared" si="1070"/>
        <v>78.308282353510378</v>
      </c>
      <c r="U391" s="135">
        <f t="shared" si="1070"/>
        <v>70.503845431770969</v>
      </c>
      <c r="V391" s="135">
        <f t="shared" si="1070"/>
        <v>77.762829132208282</v>
      </c>
      <c r="W391" s="135">
        <f t="shared" si="1070"/>
        <v>101.59075722533616</v>
      </c>
      <c r="X391" s="135">
        <f t="shared" si="1070"/>
        <v>82.544210390303803</v>
      </c>
      <c r="Y391" s="135">
        <f t="shared" si="1070"/>
        <v>114.65961153726316</v>
      </c>
      <c r="Z391" s="135">
        <f t="shared" si="1070"/>
        <v>154.14742185470453</v>
      </c>
      <c r="AA391" s="135">
        <f t="shared" si="1070"/>
        <v>144.23811071649368</v>
      </c>
      <c r="AB391" s="135">
        <f t="shared" si="1070"/>
        <v>168.41001055874568</v>
      </c>
      <c r="AC391" s="135">
        <f t="shared" si="1070"/>
        <v>121.63730684546927</v>
      </c>
      <c r="AD391" s="136">
        <f t="shared" si="1070"/>
        <v>95.409226917845174</v>
      </c>
      <c r="AE391" s="15"/>
      <c r="AF391" s="113">
        <f>_xlfn.XLOOKUP($C391,'Site Level Financials - ''23 ''24'!$C$2:$C$1577,'Site Level Financials - ''23 ''24'!$AF$2:$AF$1577)</f>
        <v>1637.0883777001159</v>
      </c>
      <c r="AG391" s="95">
        <f>SUM(G391:R391)</f>
        <v>1079.7536707863828</v>
      </c>
      <c r="AH391" s="95">
        <f t="shared" ref="AH391" si="1071">SUM(S391:AD391)</f>
        <v>1283.6553618149196</v>
      </c>
    </row>
    <row r="392" spans="2:34" x14ac:dyDescent="0.2">
      <c r="B392" s="9">
        <f>G355</f>
        <v>8</v>
      </c>
      <c r="C392" s="9" t="str">
        <f t="shared" si="964"/>
        <v>8 - % of Revenue - Office EBITDA</v>
      </c>
      <c r="D392" s="9" t="s">
        <v>56</v>
      </c>
      <c r="F392" s="16" t="str">
        <f>"% of Revenue - "&amp;F391</f>
        <v>% of Revenue - Office EBITDA</v>
      </c>
      <c r="G392" s="148">
        <f>G391/G367</f>
        <v>0.18156063150373383</v>
      </c>
      <c r="H392" s="149">
        <f t="shared" ref="H392:AD392" si="1072">H391/H367</f>
        <v>0.17790163137479389</v>
      </c>
      <c r="I392" s="149">
        <f t="shared" si="1072"/>
        <v>0.12785205853107823</v>
      </c>
      <c r="J392" s="149">
        <f t="shared" si="1072"/>
        <v>0.11992705079591293</v>
      </c>
      <c r="K392" s="149">
        <f t="shared" si="1072"/>
        <v>0.1410807278964149</v>
      </c>
      <c r="L392" s="149">
        <f t="shared" si="1072"/>
        <v>0.13361581398558484</v>
      </c>
      <c r="M392" s="149">
        <f t="shared" si="1072"/>
        <v>0.21677522685450717</v>
      </c>
      <c r="N392" s="149">
        <f t="shared" si="1072"/>
        <v>0.35687156534102976</v>
      </c>
      <c r="O392" s="149">
        <f t="shared" si="1072"/>
        <v>0.36904564485561359</v>
      </c>
      <c r="P392" s="149">
        <f t="shared" si="1072"/>
        <v>0.37663216232928343</v>
      </c>
      <c r="Q392" s="149">
        <f t="shared" si="1072"/>
        <v>0.33900546236139423</v>
      </c>
      <c r="R392" s="149">
        <f t="shared" si="1072"/>
        <v>0.32547439121720179</v>
      </c>
      <c r="S392" s="148">
        <f t="shared" si="1072"/>
        <v>0.17831770237940042</v>
      </c>
      <c r="T392" s="149">
        <f t="shared" si="1072"/>
        <v>0.18114765052415741</v>
      </c>
      <c r="U392" s="149">
        <f t="shared" si="1072"/>
        <v>0.15188635751501456</v>
      </c>
      <c r="V392" s="149">
        <f t="shared" si="1072"/>
        <v>0.15639506423451707</v>
      </c>
      <c r="W392" s="149">
        <f t="shared" si="1072"/>
        <v>0.17191023393006358</v>
      </c>
      <c r="X392" s="149">
        <f t="shared" si="1072"/>
        <v>0.16633543845497989</v>
      </c>
      <c r="Y392" s="149">
        <f t="shared" si="1072"/>
        <v>0.22934573758108875</v>
      </c>
      <c r="Z392" s="149">
        <f t="shared" si="1072"/>
        <v>0.35957292886111042</v>
      </c>
      <c r="AA392" s="149">
        <f t="shared" si="1072"/>
        <v>0.36697679072277323</v>
      </c>
      <c r="AB392" s="149">
        <f t="shared" si="1072"/>
        <v>0.37307678159651148</v>
      </c>
      <c r="AC392" s="149">
        <f t="shared" si="1072"/>
        <v>0.34088845524153621</v>
      </c>
      <c r="AD392" s="150">
        <f t="shared" si="1072"/>
        <v>0.32759148499137591</v>
      </c>
      <c r="AE392" s="15"/>
      <c r="AF392" s="232">
        <f>_xlfn.XLOOKUP($C392,'Site Level Financials - ''23 ''24'!$C$2:$C$1577,'Site Level Financials - ''23 ''24'!$AF$2:$AF$1577)</f>
        <v>0.33742463928572614</v>
      </c>
      <c r="AG392" s="97">
        <f t="shared" ref="AG392:AH392" si="1073">AG391/AG367</f>
        <v>0.2427412522636139</v>
      </c>
      <c r="AH392" s="97">
        <f t="shared" si="1073"/>
        <v>0.24130946411927995</v>
      </c>
    </row>
    <row r="393" spans="2:34" ht="6" customHeight="1" x14ac:dyDescent="0.2">
      <c r="B393" s="9">
        <f>G355</f>
        <v>8</v>
      </c>
      <c r="C393" s="9" t="str">
        <f t="shared" si="964"/>
        <v xml:space="preserve">8 - </v>
      </c>
      <c r="D393" s="9" t="s">
        <v>56</v>
      </c>
      <c r="G393" s="80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80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81"/>
      <c r="AE393" s="15"/>
      <c r="AF393" s="11"/>
      <c r="AG393" s="15"/>
      <c r="AH393" s="15"/>
    </row>
    <row r="394" spans="2:34" x14ac:dyDescent="0.2">
      <c r="B394" s="9">
        <f>G355</f>
        <v>8</v>
      </c>
      <c r="C394" s="9" t="str">
        <f t="shared" si="964"/>
        <v>8 - Memo:</v>
      </c>
      <c r="D394" s="9" t="s">
        <v>56</v>
      </c>
      <c r="F394" s="6" t="s">
        <v>13</v>
      </c>
      <c r="G394" s="80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80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81"/>
      <c r="AE394" s="15"/>
      <c r="AF394" s="11"/>
      <c r="AG394" s="15"/>
      <c r="AH394" s="15"/>
    </row>
    <row r="395" spans="2:34" s="24" customFormat="1" x14ac:dyDescent="0.2">
      <c r="B395" s="9">
        <f>G355</f>
        <v>8</v>
      </c>
      <c r="C395" s="9" t="str">
        <f t="shared" si="964"/>
        <v>8 - Collections</v>
      </c>
      <c r="D395" s="9" t="s">
        <v>56</v>
      </c>
      <c r="E395" s="49"/>
      <c r="F395" s="24" t="s">
        <v>15</v>
      </c>
      <c r="G395" s="247">
        <f>_xlfn.XLOOKUP($C395,'Site Level Financials - ''23 ''24'!$C$2:$C$1577,'Site Level Financials - ''23 ''24'!S$2:S$1577)</f>
        <v>429.35763329610552</v>
      </c>
      <c r="H395" s="248">
        <f>_xlfn.XLOOKUP($C395,'Site Level Financials - ''23 ''24'!$C$2:$C$1577,'Site Level Financials - ''23 ''24'!T$2:T$1577)</f>
        <v>409.12863660802878</v>
      </c>
      <c r="I395" s="248">
        <f>_xlfn.XLOOKUP($C395,'Site Level Financials - ''23 ''24'!$C$2:$C$1577,'Site Level Financials - ''23 ''24'!U$2:U$1577)</f>
        <v>334.02928851143656</v>
      </c>
      <c r="J395" s="248">
        <f>_xlfn.XLOOKUP($C395,'Site Level Financials - ''23 ''24'!$C$2:$C$1577,'Site Level Financials - ''23 ''24'!V$2:V$1577)</f>
        <v>321.30300835933377</v>
      </c>
      <c r="K395" s="248">
        <f>_xlfn.XLOOKUP($C395,'Site Level Financials - ''23 ''24'!$C$2:$C$1577,'Site Level Financials - ''23 ''24'!W$2:W$1577)</f>
        <v>377.69735393873634</v>
      </c>
      <c r="L395" s="248">
        <f>_xlfn.XLOOKUP($C395,'Site Level Financials - ''23 ''24'!$C$2:$C$1577,'Site Level Financials - ''23 ''24'!X$2:X$1577)</f>
        <v>331.12381142849637</v>
      </c>
      <c r="M395" s="248">
        <f>_xlfn.XLOOKUP($C395,'Site Level Financials - ''23 ''24'!$C$2:$C$1577,'Site Level Financials - ''23 ''24'!Y$2:Y$1577)</f>
        <v>418.88490429099789</v>
      </c>
      <c r="N395" s="248">
        <f>_xlfn.XLOOKUP($C395,'Site Level Financials - ''23 ''24'!$C$2:$C$1577,'Site Level Financials - ''23 ''24'!Z$2:Z$1577)</f>
        <v>406.67173016366695</v>
      </c>
      <c r="O395" s="248">
        <f>_xlfn.XLOOKUP($C395,'Site Level Financials - ''23 ''24'!$C$2:$C$1577,'Site Level Financials - ''23 ''24'!AA$2:AA$1577)</f>
        <v>401.63385927714074</v>
      </c>
      <c r="P395" s="248">
        <f>_xlfn.XLOOKUP($C395,'Site Level Financials - ''23 ''24'!$C$2:$C$1577,'Site Level Financials - ''23 ''24'!AB$2:AB$1577)</f>
        <v>466.07734181355022</v>
      </c>
      <c r="Q395" s="248">
        <f>_xlfn.XLOOKUP($C395,'Site Level Financials - ''23 ''24'!$C$2:$C$1577,'Site Level Financials - ''23 ''24'!AC$2:AC$1577)</f>
        <v>341.38697112666785</v>
      </c>
      <c r="R395" s="248">
        <f>_xlfn.XLOOKUP($C395,'Site Level Financials - ''23 ''24'!$C$2:$C$1577,'Site Level Financials - ''23 ''24'!AD$2:AD$1577)</f>
        <v>284.79908357262627</v>
      </c>
      <c r="S395" s="169">
        <f t="shared" ref="S395:AD395" si="1074">S396*S365</f>
        <v>417.4781743927864</v>
      </c>
      <c r="T395" s="170">
        <f t="shared" si="1074"/>
        <v>432.28980407376235</v>
      </c>
      <c r="U395" s="170">
        <f t="shared" si="1074"/>
        <v>464.18813766602699</v>
      </c>
      <c r="V395" s="170">
        <f t="shared" si="1074"/>
        <v>497.22048143157247</v>
      </c>
      <c r="W395" s="170">
        <f t="shared" si="1074"/>
        <v>590.95235288124411</v>
      </c>
      <c r="X395" s="170">
        <f t="shared" si="1074"/>
        <v>496.2514973178437</v>
      </c>
      <c r="Y395" s="170">
        <f t="shared" si="1074"/>
        <v>499.94219533608498</v>
      </c>
      <c r="Z395" s="170">
        <f t="shared" si="1074"/>
        <v>428.69584855273109</v>
      </c>
      <c r="AA395" s="170">
        <f t="shared" si="1074"/>
        <v>393.04423157772959</v>
      </c>
      <c r="AB395" s="170">
        <f t="shared" si="1074"/>
        <v>451.40844691022295</v>
      </c>
      <c r="AC395" s="170">
        <f t="shared" si="1074"/>
        <v>356.82436578640733</v>
      </c>
      <c r="AD395" s="171">
        <f t="shared" si="1074"/>
        <v>291.24452645756924</v>
      </c>
      <c r="AE395" s="26"/>
      <c r="AF395" s="234">
        <f>_xlfn.XLOOKUP($C395,'Site Level Financials - ''23 ''24'!$C$2:$C$1577,'Site Level Financials - ''23 ''24'!$AF$2:$AF$1577)</f>
        <v>4875.6267821013134</v>
      </c>
      <c r="AG395" s="99">
        <f>SUM(G395:R395)</f>
        <v>4522.0936223867866</v>
      </c>
      <c r="AH395" s="99">
        <f t="shared" ref="AH395" si="1075">SUM(S395:AD395)</f>
        <v>5319.5400623839814</v>
      </c>
    </row>
    <row r="396" spans="2:34" x14ac:dyDescent="0.2">
      <c r="B396" s="9">
        <f>G355</f>
        <v>8</v>
      </c>
      <c r="C396" s="9" t="str">
        <f t="shared" si="964"/>
        <v>8 - Collections as a % of Production</v>
      </c>
      <c r="D396" s="9" t="s">
        <v>56</v>
      </c>
      <c r="F396" s="16" t="s">
        <v>17</v>
      </c>
      <c r="G396" s="245">
        <f>_xlfn.XLOOKUP($C396,'Site Level Financials - ''23 ''24'!$C$2:$C$1577,'Site Level Financials - ''23 ''24'!S$2:S$1577)</f>
        <v>0.98417450246595739</v>
      </c>
      <c r="H396" s="246">
        <f>_xlfn.XLOOKUP($C396,'Site Level Financials - ''23 ''24'!$C$2:$C$1577,'Site Level Financials - ''23 ''24'!T$2:T$1577)</f>
        <v>0.98607212650718634</v>
      </c>
      <c r="I396" s="246">
        <f>_xlfn.XLOOKUP($C396,'Site Level Financials - ''23 ''24'!$C$2:$C$1577,'Site Level Financials - ''23 ''24'!U$2:U$1577)</f>
        <v>0.96599553646115766</v>
      </c>
      <c r="J396" s="246">
        <f>_xlfn.XLOOKUP($C396,'Site Level Financials - ''23 ''24'!$C$2:$C$1577,'Site Level Financials - ''23 ''24'!V$2:V$1577)</f>
        <v>0.99584617678396625</v>
      </c>
      <c r="K396" s="246">
        <f>_xlfn.XLOOKUP($C396,'Site Level Financials - ''23 ''24'!$C$2:$C$1577,'Site Level Financials - ''23 ''24'!W$2:W$1577)</f>
        <v>0.98660521196216533</v>
      </c>
      <c r="L396" s="246">
        <f>_xlfn.XLOOKUP($C396,'Site Level Financials - ''23 ''24'!$C$2:$C$1577,'Site Level Financials - ''23 ''24'!X$2:X$1577)</f>
        <v>0.9904542778858515</v>
      </c>
      <c r="M396" s="246">
        <f>_xlfn.XLOOKUP($C396,'Site Level Financials - ''23 ''24'!$C$2:$C$1577,'Site Level Financials - ''23 ''24'!Y$2:Y$1577)</f>
        <v>0.99425978724852537</v>
      </c>
      <c r="N396" s="246">
        <f>_xlfn.XLOOKUP($C396,'Site Level Financials - ''23 ''24'!$C$2:$C$1577,'Site Level Financials - ''23 ''24'!Z$2:Z$1577)</f>
        <v>0.98021605164784442</v>
      </c>
      <c r="O396" s="246">
        <f>_xlfn.XLOOKUP($C396,'Site Level Financials - ''23 ''24'!$C$2:$C$1577,'Site Level Financials - ''23 ''24'!AA$2:AA$1577)</f>
        <v>0.99562726160499515</v>
      </c>
      <c r="P396" s="246">
        <f>_xlfn.XLOOKUP($C396,'Site Level Financials - ''23 ''24'!$C$2:$C$1577,'Site Level Financials - ''23 ''24'!AB$2:AB$1577)</f>
        <v>0.9815406979104726</v>
      </c>
      <c r="Q396" s="246">
        <f>_xlfn.XLOOKUP($C396,'Site Level Financials - ''23 ''24'!$C$2:$C$1577,'Site Level Financials - ''23 ''24'!AC$2:AC$1577)</f>
        <v>0.97468346258112692</v>
      </c>
      <c r="R396" s="246">
        <f>_xlfn.XLOOKUP($C396,'Site Level Financials - ''23 ''24'!$C$2:$C$1577,'Site Level Financials - ''23 ''24'!AD$2:AD$1577)</f>
        <v>0.99459464776586937</v>
      </c>
      <c r="S396" s="148">
        <f>S366</f>
        <v>0.98568560477180167</v>
      </c>
      <c r="T396" s="149">
        <f t="shared" ref="T396:AD396" si="1076">T366</f>
        <v>0.98568560477180167</v>
      </c>
      <c r="U396" s="149">
        <f t="shared" si="1076"/>
        <v>0.98568560477180167</v>
      </c>
      <c r="V396" s="149">
        <f t="shared" si="1076"/>
        <v>0.98568560477180167</v>
      </c>
      <c r="W396" s="149">
        <f t="shared" si="1076"/>
        <v>0.98568560477180167</v>
      </c>
      <c r="X396" s="149">
        <f t="shared" si="1076"/>
        <v>0.98568560477180167</v>
      </c>
      <c r="Y396" s="149">
        <f t="shared" si="1076"/>
        <v>0.98568560477180167</v>
      </c>
      <c r="Z396" s="149">
        <f t="shared" si="1076"/>
        <v>0.98568560477180167</v>
      </c>
      <c r="AA396" s="149">
        <f t="shared" si="1076"/>
        <v>0.98568560477180167</v>
      </c>
      <c r="AB396" s="149">
        <f t="shared" si="1076"/>
        <v>0.98568560477180167</v>
      </c>
      <c r="AC396" s="149">
        <f t="shared" si="1076"/>
        <v>0.98568560477180167</v>
      </c>
      <c r="AD396" s="150">
        <f t="shared" si="1076"/>
        <v>0.98568560477180167</v>
      </c>
      <c r="AE396" s="15"/>
      <c r="AF396" s="232">
        <f>_xlfn.XLOOKUP($C396,'Site Level Financials - ''23 ''24'!$C$2:$C$1577,'Site Level Financials - ''23 ''24'!$AF$2:$AF$1577)</f>
        <v>0.97978085378051905</v>
      </c>
      <c r="AG396" s="97">
        <f t="shared" ref="AG396:AH396" si="1077">AG395/AG365</f>
        <v>0.98568560477180167</v>
      </c>
      <c r="AH396" s="97">
        <f t="shared" si="1077"/>
        <v>0.98568560477180178</v>
      </c>
    </row>
    <row r="397" spans="2:34" ht="6" customHeight="1" x14ac:dyDescent="0.2">
      <c r="B397" s="9">
        <f>G355</f>
        <v>8</v>
      </c>
      <c r="C397" s="9" t="str">
        <f t="shared" si="964"/>
        <v xml:space="preserve">8 - </v>
      </c>
      <c r="D397" s="9" t="s">
        <v>56</v>
      </c>
      <c r="F397" s="27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81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81"/>
      <c r="AE397" s="15"/>
      <c r="AF397" s="11"/>
      <c r="AH397" s="224"/>
    </row>
    <row r="398" spans="2:34" s="24" customFormat="1" x14ac:dyDescent="0.2">
      <c r="B398" s="9">
        <f>G355</f>
        <v>8</v>
      </c>
      <c r="C398" s="9" t="str">
        <f t="shared" si="964"/>
        <v>8 - Production per Vet Workday - YoY Change</v>
      </c>
      <c r="D398" s="9" t="s">
        <v>56</v>
      </c>
      <c r="E398" s="49"/>
      <c r="F398" s="24" t="s">
        <v>55</v>
      </c>
      <c r="G398" s="249">
        <f>_xlfn.XLOOKUP($C398,'Site Level Financials - ''23 ''24'!$C$2:$C$1577,'Site Level Financials - ''23 ''24'!S$2:S$1577)</f>
        <v>6.6034136200328275E-2</v>
      </c>
      <c r="H398" s="250">
        <f>_xlfn.XLOOKUP($C398,'Site Level Financials - ''23 ''24'!$C$2:$C$1577,'Site Level Financials - ''23 ''24'!T$2:T$1577)</f>
        <v>5.0296909938828849E-2</v>
      </c>
      <c r="I398" s="250">
        <f>_xlfn.XLOOKUP($C398,'Site Level Financials - ''23 ''24'!$C$2:$C$1577,'Site Level Financials - ''23 ''24'!U$2:U$1577)</f>
        <v>7.7653149325557447E-2</v>
      </c>
      <c r="J398" s="250">
        <f>_xlfn.XLOOKUP($C398,'Site Level Financials - ''23 ''24'!$C$2:$C$1577,'Site Level Financials - ''23 ''24'!V$2:V$1577)</f>
        <v>2.5498357413060724E-3</v>
      </c>
      <c r="K398" s="250">
        <f>_xlfn.XLOOKUP($C398,'Site Level Financials - ''23 ''24'!$C$2:$C$1577,'Site Level Financials - ''23 ''24'!W$2:W$1577)</f>
        <v>1.3368771686515402E-2</v>
      </c>
      <c r="L398" s="250">
        <f>_xlfn.XLOOKUP($C398,'Site Level Financials - ''23 ''24'!$C$2:$C$1577,'Site Level Financials - ''23 ''24'!X$2:X$1577)</f>
        <v>3.7737927423661111E-2</v>
      </c>
      <c r="M398" s="250">
        <f>_xlfn.XLOOKUP($C398,'Site Level Financials - ''23 ''24'!$C$2:$C$1577,'Site Level Financials - ''23 ''24'!Y$2:Y$1577)</f>
        <v>-4.186400553625047E-2</v>
      </c>
      <c r="N398" s="250">
        <f>_xlfn.XLOOKUP($C398,'Site Level Financials - ''23 ''24'!$C$2:$C$1577,'Site Level Financials - ''23 ''24'!Z$2:Z$1577)</f>
        <v>-7.0326741979040097E-2</v>
      </c>
      <c r="O398" s="250">
        <f>_xlfn.XLOOKUP($C398,'Site Level Financials - ''23 ''24'!$C$2:$C$1577,'Site Level Financials - ''23 ''24'!AA$2:AA$1577)</f>
        <v>-4.3662947692389986E-3</v>
      </c>
      <c r="P398" s="250">
        <f>_xlfn.XLOOKUP($C398,'Site Level Financials - ''23 ''24'!$C$2:$C$1577,'Site Level Financials - ''23 ''24'!AB$2:AB$1577)</f>
        <v>2.8523844628902673E-2</v>
      </c>
      <c r="Q398" s="250">
        <f>_xlfn.XLOOKUP($C398,'Site Level Financials - ''23 ''24'!$C$2:$C$1577,'Site Level Financials - ''23 ''24'!AC$2:AC$1577)</f>
        <v>-8.1407492289652383E-3</v>
      </c>
      <c r="R398" s="251">
        <f>_xlfn.XLOOKUP($C398,'Site Level Financials - ''23 ''24'!$C$2:$C$1577,'Site Level Financials - ''23 ''24'!AD$2:AD$1577)</f>
        <v>4.0751690712862443E-2</v>
      </c>
      <c r="S398" s="151">
        <f>S364/G364-1</f>
        <v>-0.22332688942291878</v>
      </c>
      <c r="T398" s="152">
        <f t="shared" ref="T398" si="1078">T364/H364-1</f>
        <v>-0.15437975971109075</v>
      </c>
      <c r="U398" s="152">
        <f t="shared" ref="U398" si="1079">U364/I364-1</f>
        <v>-0.18285816524278953</v>
      </c>
      <c r="V398" s="152">
        <f t="shared" ref="V398" si="1080">V364/J364-1</f>
        <v>-6.1921214483534159E-2</v>
      </c>
      <c r="W398" s="152">
        <f t="shared" ref="W398" si="1081">W364/K364-1</f>
        <v>-6.0352926296837306E-2</v>
      </c>
      <c r="X398" s="152">
        <f t="shared" ref="X398" si="1082">X364/L364-1</f>
        <v>-9.6436485069990363E-2</v>
      </c>
      <c r="Y398" s="152">
        <f t="shared" ref="Y398" si="1083">Y364/M364-1</f>
        <v>-3.6888583204444325E-2</v>
      </c>
      <c r="Z398" s="152">
        <f t="shared" ref="Z398" si="1084">Z364/N364-1</f>
        <v>4.8307494119200323E-2</v>
      </c>
      <c r="AA398" s="152">
        <f t="shared" ref="AA398" si="1085">AA364/O364-1</f>
        <v>-1.1516386836429859E-2</v>
      </c>
      <c r="AB398" s="152">
        <f t="shared" ref="AB398" si="1086">AB364/P364-1</f>
        <v>-3.5545844489387912E-2</v>
      </c>
      <c r="AC398" s="152">
        <f t="shared" ref="AC398" si="1087">AC364/Q364-1</f>
        <v>3.3552980078051853E-2</v>
      </c>
      <c r="AD398" s="153">
        <f t="shared" ref="AD398" si="1088">AD364/R364-1</f>
        <v>3.1874519628317444E-2</v>
      </c>
      <c r="AF398" s="43"/>
      <c r="AG398" s="177">
        <f>AG364/AF364-1</f>
        <v>-2.0276526010583829E-2</v>
      </c>
      <c r="AH398" s="225">
        <f>AH364/AG364-1</f>
        <v>-3.8808453460550396E-2</v>
      </c>
    </row>
    <row r="399" spans="2:34" s="24" customFormat="1" ht="6" customHeight="1" x14ac:dyDescent="0.2">
      <c r="D399" s="9" t="s">
        <v>56</v>
      </c>
      <c r="E399" s="49"/>
      <c r="G399" s="28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29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29"/>
      <c r="AE399" s="25"/>
      <c r="AF399" s="28"/>
      <c r="AG399" s="30"/>
      <c r="AH399" s="226"/>
    </row>
    <row r="400" spans="2:34" s="24" customFormat="1" ht="6" customHeight="1" x14ac:dyDescent="0.2">
      <c r="D400" s="9" t="s">
        <v>56</v>
      </c>
      <c r="E400" s="49"/>
    </row>
    <row r="401" spans="2:35" x14ac:dyDescent="0.2">
      <c r="D401" s="9" t="s">
        <v>56</v>
      </c>
      <c r="F401" s="16"/>
    </row>
    <row r="402" spans="2:35" ht="15.75" thickBot="1" x14ac:dyDescent="0.4">
      <c r="B402" s="35" t="s">
        <v>52</v>
      </c>
      <c r="C402" s="35"/>
      <c r="D402" s="9" t="s">
        <v>56</v>
      </c>
      <c r="E402" s="48" t="s">
        <v>0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74"/>
      <c r="AH402" s="3">
        <f ca="1">TODAY()</f>
        <v>45999</v>
      </c>
      <c r="AI402" s="1"/>
    </row>
    <row r="403" spans="2:35" x14ac:dyDescent="0.2">
      <c r="B403" s="9">
        <f>G405</f>
        <v>9</v>
      </c>
      <c r="C403" s="9"/>
      <c r="D403" s="9" t="s">
        <v>56</v>
      </c>
      <c r="F403" t="s">
        <v>159</v>
      </c>
      <c r="AG403" s="6"/>
      <c r="AH403" s="6" t="s">
        <v>16</v>
      </c>
    </row>
    <row r="404" spans="2:35" x14ac:dyDescent="0.2">
      <c r="B404" s="9"/>
      <c r="C404" s="9"/>
      <c r="D404" s="9" t="s">
        <v>56</v>
      </c>
      <c r="AG404" s="6"/>
      <c r="AH404" s="6"/>
    </row>
    <row r="405" spans="2:35" x14ac:dyDescent="0.2">
      <c r="B405" s="9">
        <f>G405</f>
        <v>9</v>
      </c>
      <c r="C405" s="9"/>
      <c r="D405" s="9" t="s">
        <v>56</v>
      </c>
      <c r="F405" s="40" t="s">
        <v>53</v>
      </c>
      <c r="G405" s="42">
        <v>9</v>
      </c>
    </row>
    <row r="406" spans="2:35" x14ac:dyDescent="0.2">
      <c r="B406" s="9">
        <f>G405</f>
        <v>9</v>
      </c>
      <c r="C406" s="9"/>
      <c r="D406" s="9" t="s">
        <v>56</v>
      </c>
      <c r="F406" s="39" t="s">
        <v>26</v>
      </c>
      <c r="G406" s="41"/>
      <c r="H406" s="11"/>
    </row>
    <row r="407" spans="2:35" x14ac:dyDescent="0.2">
      <c r="B407" s="9">
        <f>G405</f>
        <v>9</v>
      </c>
      <c r="C407" s="9"/>
      <c r="D407" s="9" t="s">
        <v>56</v>
      </c>
      <c r="G407" s="23"/>
    </row>
    <row r="408" spans="2:35" x14ac:dyDescent="0.2">
      <c r="B408" s="9">
        <f>G405</f>
        <v>9</v>
      </c>
      <c r="C408" s="9"/>
      <c r="D408" s="9" t="s">
        <v>56</v>
      </c>
      <c r="G408" s="208" t="s">
        <v>229</v>
      </c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10"/>
      <c r="S408" s="266" t="s">
        <v>230</v>
      </c>
      <c r="T408" s="267"/>
      <c r="U408" s="267"/>
      <c r="V408" s="267"/>
      <c r="W408" s="267"/>
      <c r="X408" s="267"/>
      <c r="Y408" s="267"/>
      <c r="Z408" s="267"/>
      <c r="AA408" s="267"/>
      <c r="AB408" s="267"/>
      <c r="AC408" s="267"/>
      <c r="AD408" s="268"/>
      <c r="AF408" s="17" t="s">
        <v>231</v>
      </c>
      <c r="AG408" s="50"/>
      <c r="AH408" s="269" t="s">
        <v>232</v>
      </c>
    </row>
    <row r="409" spans="2:35" ht="15" customHeight="1" x14ac:dyDescent="0.35">
      <c r="B409" s="9">
        <f>G405</f>
        <v>9</v>
      </c>
      <c r="C409" s="9"/>
      <c r="D409" s="9" t="s">
        <v>56</v>
      </c>
      <c r="G409" s="211">
        <v>44957</v>
      </c>
      <c r="H409" s="212">
        <f>EOMONTH(G409,1)</f>
        <v>44985</v>
      </c>
      <c r="I409" s="212">
        <f t="shared" ref="I409" si="1089">EOMONTH(H409,1)</f>
        <v>45016</v>
      </c>
      <c r="J409" s="212">
        <f t="shared" ref="J409" si="1090">EOMONTH(I409,1)</f>
        <v>45046</v>
      </c>
      <c r="K409" s="212">
        <f t="shared" ref="K409" si="1091">EOMONTH(J409,1)</f>
        <v>45077</v>
      </c>
      <c r="L409" s="212">
        <f t="shared" ref="L409" si="1092">EOMONTH(K409,1)</f>
        <v>45107</v>
      </c>
      <c r="M409" s="212">
        <f t="shared" ref="M409" si="1093">EOMONTH(L409,1)</f>
        <v>45138</v>
      </c>
      <c r="N409" s="212">
        <f t="shared" ref="N409" si="1094">EOMONTH(M409,1)</f>
        <v>45169</v>
      </c>
      <c r="O409" s="212">
        <f t="shared" ref="O409" si="1095">EOMONTH(N409,1)</f>
        <v>45199</v>
      </c>
      <c r="P409" s="212">
        <f t="shared" ref="P409" si="1096">EOMONTH(O409,1)</f>
        <v>45230</v>
      </c>
      <c r="Q409" s="212">
        <f t="shared" ref="Q409" si="1097">EOMONTH(P409,1)</f>
        <v>45260</v>
      </c>
      <c r="R409" s="213">
        <f t="shared" ref="R409" si="1098">EOMONTH(Q409,1)</f>
        <v>45291</v>
      </c>
      <c r="S409" s="4">
        <f t="shared" ref="S409" si="1099">EOMONTH(R409,1)</f>
        <v>45322</v>
      </c>
      <c r="T409" s="19">
        <f t="shared" ref="T409" si="1100">EOMONTH(S409,1)</f>
        <v>45351</v>
      </c>
      <c r="U409" s="19">
        <f t="shared" ref="U409" si="1101">EOMONTH(T409,1)</f>
        <v>45382</v>
      </c>
      <c r="V409" s="19">
        <f t="shared" ref="V409" si="1102">EOMONTH(U409,1)</f>
        <v>45412</v>
      </c>
      <c r="W409" s="19">
        <f t="shared" ref="W409" si="1103">EOMONTH(V409,1)</f>
        <v>45443</v>
      </c>
      <c r="X409" s="19">
        <f t="shared" ref="X409" si="1104">EOMONTH(W409,1)</f>
        <v>45473</v>
      </c>
      <c r="Y409" s="19">
        <f t="shared" ref="Y409" si="1105">EOMONTH(X409,1)</f>
        <v>45504</v>
      </c>
      <c r="Z409" s="19">
        <f t="shared" ref="Z409" si="1106">EOMONTH(Y409,1)</f>
        <v>45535</v>
      </c>
      <c r="AA409" s="19">
        <f t="shared" ref="AA409" si="1107">EOMONTH(Z409,1)</f>
        <v>45565</v>
      </c>
      <c r="AB409" s="19">
        <f t="shared" ref="AB409" si="1108">EOMONTH(AA409,1)</f>
        <v>45596</v>
      </c>
      <c r="AC409" s="19">
        <f t="shared" ref="AC409" si="1109">EOMONTH(AB409,1)</f>
        <v>45626</v>
      </c>
      <c r="AD409" s="5">
        <f t="shared" ref="AD409" si="1110">EOMONTH(AC409,1)</f>
        <v>45657</v>
      </c>
      <c r="AE409" s="168"/>
      <c r="AF409" s="13">
        <v>45291</v>
      </c>
      <c r="AG409" s="14">
        <v>45657</v>
      </c>
      <c r="AH409" s="14">
        <v>46022</v>
      </c>
    </row>
    <row r="410" spans="2:35" ht="0.95" customHeight="1" x14ac:dyDescent="0.2">
      <c r="B410" s="9">
        <f>G405</f>
        <v>9</v>
      </c>
      <c r="C410" s="9"/>
      <c r="D410" s="9" t="s">
        <v>56</v>
      </c>
      <c r="G410" s="11"/>
      <c r="S410" s="11"/>
      <c r="AD410" s="15"/>
      <c r="AE410" s="15"/>
      <c r="AF410" s="11"/>
      <c r="AG410" s="15"/>
      <c r="AH410" s="15"/>
    </row>
    <row r="411" spans="2:35" x14ac:dyDescent="0.2">
      <c r="B411" s="9">
        <f>G405</f>
        <v>9</v>
      </c>
      <c r="C411" s="9" t="str">
        <f>B411&amp;" - "&amp;F411</f>
        <v>9 - Employed Vets</v>
      </c>
      <c r="D411" s="9" t="s">
        <v>56</v>
      </c>
      <c r="F411" s="7" t="s">
        <v>160</v>
      </c>
      <c r="G411" s="178">
        <f>_xlfn.XLOOKUP($C411,'Site Level Financials - ''23 ''24'!$C$2:$C$1577,'Site Level Financials - ''23 ''24'!S$2:S$1577)</f>
        <v>4</v>
      </c>
      <c r="H411" s="179">
        <f>_xlfn.XLOOKUP($C411,'Site Level Financials - ''23 ''24'!$C$2:$C$1577,'Site Level Financials - ''23 ''24'!T$2:T$1577)</f>
        <v>4</v>
      </c>
      <c r="I411" s="179">
        <f>_xlfn.XLOOKUP($C411,'Site Level Financials - ''23 ''24'!$C$2:$C$1577,'Site Level Financials - ''23 ''24'!U$2:U$1577)</f>
        <v>3</v>
      </c>
      <c r="J411" s="179">
        <f>_xlfn.XLOOKUP($C411,'Site Level Financials - ''23 ''24'!$C$2:$C$1577,'Site Level Financials - ''23 ''24'!V$2:V$1577)</f>
        <v>2</v>
      </c>
      <c r="K411" s="179">
        <f>_xlfn.XLOOKUP($C411,'Site Level Financials - ''23 ''24'!$C$2:$C$1577,'Site Level Financials - ''23 ''24'!W$2:W$1577)</f>
        <v>2</v>
      </c>
      <c r="L411" s="179">
        <f>_xlfn.XLOOKUP($C411,'Site Level Financials - ''23 ''24'!$C$2:$C$1577,'Site Level Financials - ''23 ''24'!X$2:X$1577)</f>
        <v>2</v>
      </c>
      <c r="M411" s="179">
        <f>_xlfn.XLOOKUP($C411,'Site Level Financials - ''23 ''24'!$C$2:$C$1577,'Site Level Financials - ''23 ''24'!Y$2:Y$1577)</f>
        <v>3</v>
      </c>
      <c r="N411" s="179">
        <f>_xlfn.XLOOKUP($C411,'Site Level Financials - ''23 ''24'!$C$2:$C$1577,'Site Level Financials - ''23 ''24'!Z$2:Z$1577)</f>
        <v>3</v>
      </c>
      <c r="O411" s="179">
        <f>_xlfn.XLOOKUP($C411,'Site Level Financials - ''23 ''24'!$C$2:$C$1577,'Site Level Financials - ''23 ''24'!AA$2:AA$1577)</f>
        <v>3</v>
      </c>
      <c r="P411" s="179">
        <f>_xlfn.XLOOKUP($C411,'Site Level Financials - ''23 ''24'!$C$2:$C$1577,'Site Level Financials - ''23 ''24'!AB$2:AB$1577)</f>
        <v>3</v>
      </c>
      <c r="Q411" s="179">
        <f>_xlfn.XLOOKUP($C411,'Site Level Financials - ''23 ''24'!$C$2:$C$1577,'Site Level Financials - ''23 ''24'!AC$2:AC$1577)</f>
        <v>3</v>
      </c>
      <c r="R411" s="179">
        <f>_xlfn.XLOOKUP($C411,'Site Level Financials - ''23 ''24'!$C$2:$C$1577,'Site Level Financials - ''23 ''24'!AD$2:AD$1577)</f>
        <v>3</v>
      </c>
      <c r="S411" s="178">
        <f>R411+_xlfn.XLOOKUP($R411,'Budget Assumption Driver'!$A$7:$A$11,'Budget Assumption Driver'!E$7:E$11)</f>
        <v>3</v>
      </c>
      <c r="T411" s="179">
        <f>S411+_xlfn.XLOOKUP($R411,'Budget Assumption Driver'!$A$7:$A$11,'Budget Assumption Driver'!F$7:F$11)</f>
        <v>3</v>
      </c>
      <c r="U411" s="179">
        <f>T411+_xlfn.XLOOKUP($R411,'Budget Assumption Driver'!$A$7:$A$11,'Budget Assumption Driver'!G$7:G$11)</f>
        <v>3</v>
      </c>
      <c r="V411" s="179">
        <f>U411+_xlfn.XLOOKUP($R411,'Budget Assumption Driver'!$A$7:$A$11,'Budget Assumption Driver'!H$7:H$11)</f>
        <v>3</v>
      </c>
      <c r="W411" s="179">
        <f>V411+_xlfn.XLOOKUP($R411,'Budget Assumption Driver'!$A$7:$A$11,'Budget Assumption Driver'!I$7:I$11)</f>
        <v>3</v>
      </c>
      <c r="X411" s="179">
        <f>W411+_xlfn.XLOOKUP($R411,'Budget Assumption Driver'!$A$7:$A$11,'Budget Assumption Driver'!J$7:J$11)</f>
        <v>3</v>
      </c>
      <c r="Y411" s="179">
        <f>X411+_xlfn.XLOOKUP($R411,'Budget Assumption Driver'!$A$7:$A$11,'Budget Assumption Driver'!K$7:K$11)</f>
        <v>4</v>
      </c>
      <c r="Z411" s="179">
        <f>Y411+_xlfn.XLOOKUP($R411,'Budget Assumption Driver'!$A$7:$A$11,'Budget Assumption Driver'!L$7:L$11)</f>
        <v>4</v>
      </c>
      <c r="AA411" s="179">
        <f>Z411+_xlfn.XLOOKUP($R411,'Budget Assumption Driver'!$A$7:$A$11,'Budget Assumption Driver'!M$7:M$11)</f>
        <v>4</v>
      </c>
      <c r="AB411" s="179">
        <f>AA411+_xlfn.XLOOKUP($R411,'Budget Assumption Driver'!$A$7:$A$11,'Budget Assumption Driver'!N$7:N$11)</f>
        <v>4</v>
      </c>
      <c r="AC411" s="179">
        <f>AB411+_xlfn.XLOOKUP($R411,'Budget Assumption Driver'!$A$7:$A$11,'Budget Assumption Driver'!O$7:O$11)</f>
        <v>4</v>
      </c>
      <c r="AD411" s="290">
        <f>AC411+_xlfn.XLOOKUP($R411,'Budget Assumption Driver'!$A$7:$A$11,'Budget Assumption Driver'!P$7:P$11)</f>
        <v>4</v>
      </c>
      <c r="AE411" s="15"/>
      <c r="AF411" s="229">
        <f>_xlfn.XLOOKUP($C411,'Site Level Financials - ''23 ''24'!$C$2:$C$1577,'Site Level Financials - ''23 ''24'!$AF$2:$AF$1577)</f>
        <v>3.25</v>
      </c>
      <c r="AG411" s="91">
        <f t="shared" ref="AG411:AH411" si="1111">AG413/AG412</f>
        <v>2.9182156133828996</v>
      </c>
      <c r="AH411" s="91">
        <f t="shared" si="1111"/>
        <v>3.5018587360594795</v>
      </c>
    </row>
    <row r="412" spans="2:35" x14ac:dyDescent="0.2">
      <c r="B412" s="9">
        <f>G405</f>
        <v>9</v>
      </c>
      <c r="C412" s="9" t="str">
        <f t="shared" ref="C412:C448" si="1112">B412&amp;" - "&amp;F412</f>
        <v>9 - Workdays in Month / Year</v>
      </c>
      <c r="D412" s="9" t="s">
        <v>56</v>
      </c>
      <c r="F412" s="7" t="s">
        <v>54</v>
      </c>
      <c r="G412" s="178">
        <f>_xlfn.XLOOKUP($C412,'Site Level Financials - ''23 ''24'!$C$2:$C$1577,'Site Level Financials - ''23 ''24'!S$2:S$1577)</f>
        <v>23</v>
      </c>
      <c r="H412" s="235">
        <f>_xlfn.XLOOKUP($C412,'Site Level Financials - ''23 ''24'!$C$2:$C$1577,'Site Level Financials - ''23 ''24'!T$2:T$1577)</f>
        <v>22</v>
      </c>
      <c r="I412" s="235">
        <f>_xlfn.XLOOKUP($C412,'Site Level Financials - ''23 ''24'!$C$2:$C$1577,'Site Level Financials - ''23 ''24'!U$2:U$1577)</f>
        <v>22</v>
      </c>
      <c r="J412" s="179">
        <f>_xlfn.XLOOKUP($C412,'Site Level Financials - ''23 ''24'!$C$2:$C$1577,'Site Level Financials - ''23 ''24'!V$2:V$1577)</f>
        <v>22</v>
      </c>
      <c r="K412" s="179">
        <f>_xlfn.XLOOKUP($C412,'Site Level Financials - ''23 ''24'!$C$2:$C$1577,'Site Level Financials - ''23 ''24'!W$2:W$1577)</f>
        <v>24</v>
      </c>
      <c r="L412" s="179">
        <f>_xlfn.XLOOKUP($C412,'Site Level Financials - ''23 ''24'!$C$2:$C$1577,'Site Level Financials - ''23 ''24'!X$2:X$1577)</f>
        <v>21</v>
      </c>
      <c r="M412" s="179">
        <f>_xlfn.XLOOKUP($C412,'Site Level Financials - ''23 ''24'!$C$2:$C$1577,'Site Level Financials - ''23 ''24'!Y$2:Y$1577)</f>
        <v>23</v>
      </c>
      <c r="N412" s="179">
        <f>_xlfn.XLOOKUP($C412,'Site Level Financials - ''23 ''24'!$C$2:$C$1577,'Site Level Financials - ''23 ''24'!Z$2:Z$1577)</f>
        <v>23</v>
      </c>
      <c r="O412" s="179">
        <f>_xlfn.XLOOKUP($C412,'Site Level Financials - ''23 ''24'!$C$2:$C$1577,'Site Level Financials - ''23 ''24'!AA$2:AA$1577)</f>
        <v>21</v>
      </c>
      <c r="P412" s="179">
        <f>_xlfn.XLOOKUP($C412,'Site Level Financials - ''23 ''24'!$C$2:$C$1577,'Site Level Financials - ''23 ''24'!AB$2:AB$1577)</f>
        <v>24</v>
      </c>
      <c r="Q412" s="179">
        <f>_xlfn.XLOOKUP($C412,'Site Level Financials - ''23 ''24'!$C$2:$C$1577,'Site Level Financials - ''23 ''24'!AC$2:AC$1577)</f>
        <v>22</v>
      </c>
      <c r="R412" s="179">
        <f>_xlfn.XLOOKUP($C412,'Site Level Financials - ''23 ''24'!$C$2:$C$1577,'Site Level Financials - ''23 ''24'!AD$2:AD$1577)</f>
        <v>22</v>
      </c>
      <c r="S412" s="155">
        <f>NETWORKDAYS(R409,S409)</f>
        <v>23</v>
      </c>
      <c r="T412" s="154">
        <f t="shared" ref="T412:AD412" si="1113">NETWORKDAYS(S409,T409)</f>
        <v>22</v>
      </c>
      <c r="U412" s="154">
        <f t="shared" si="1113"/>
        <v>22</v>
      </c>
      <c r="V412" s="154">
        <f t="shared" si="1113"/>
        <v>22</v>
      </c>
      <c r="W412" s="154">
        <f t="shared" si="1113"/>
        <v>24</v>
      </c>
      <c r="X412" s="154">
        <f t="shared" si="1113"/>
        <v>21</v>
      </c>
      <c r="Y412" s="154">
        <f t="shared" si="1113"/>
        <v>23</v>
      </c>
      <c r="Z412" s="154">
        <f t="shared" si="1113"/>
        <v>23</v>
      </c>
      <c r="AA412" s="154">
        <f t="shared" si="1113"/>
        <v>21</v>
      </c>
      <c r="AB412" s="154">
        <f t="shared" si="1113"/>
        <v>24</v>
      </c>
      <c r="AC412" s="154">
        <f t="shared" si="1113"/>
        <v>22</v>
      </c>
      <c r="AD412" s="156">
        <f t="shared" si="1113"/>
        <v>22</v>
      </c>
      <c r="AE412" s="15"/>
      <c r="AF412" s="115">
        <f>_xlfn.XLOOKUP($C412,'Site Level Financials - ''23 ''24'!$C$2:$C$1577,'Site Level Financials - ''23 ''24'!$AF$2:$AF$1577)</f>
        <v>269</v>
      </c>
      <c r="AG412" s="93">
        <f>SUM(G412:R412)</f>
        <v>269</v>
      </c>
      <c r="AH412" s="93">
        <f>SUM(S412:AD412)</f>
        <v>269</v>
      </c>
    </row>
    <row r="413" spans="2:35" x14ac:dyDescent="0.2">
      <c r="B413" s="9">
        <f>G405</f>
        <v>9</v>
      </c>
      <c r="C413" s="9" t="str">
        <f t="shared" si="1112"/>
        <v>9 - Total Vet Days</v>
      </c>
      <c r="D413" s="9" t="s">
        <v>56</v>
      </c>
      <c r="F413" s="8" t="s">
        <v>51</v>
      </c>
      <c r="G413" s="236">
        <f>_xlfn.XLOOKUP($C413,'Site Level Financials - ''23 ''24'!$C$2:$C$1577,'Site Level Financials - ''23 ''24'!S$2:S$1577)</f>
        <v>92</v>
      </c>
      <c r="H413" s="237">
        <f>_xlfn.XLOOKUP($C413,'Site Level Financials - ''23 ''24'!$C$2:$C$1577,'Site Level Financials - ''23 ''24'!T$2:T$1577)</f>
        <v>88</v>
      </c>
      <c r="I413" s="237">
        <f>_xlfn.XLOOKUP($C413,'Site Level Financials - ''23 ''24'!$C$2:$C$1577,'Site Level Financials - ''23 ''24'!U$2:U$1577)</f>
        <v>66</v>
      </c>
      <c r="J413" s="238">
        <f>_xlfn.XLOOKUP($C413,'Site Level Financials - ''23 ''24'!$C$2:$C$1577,'Site Level Financials - ''23 ''24'!V$2:V$1577)</f>
        <v>44</v>
      </c>
      <c r="K413" s="238">
        <f>_xlfn.XLOOKUP($C413,'Site Level Financials - ''23 ''24'!$C$2:$C$1577,'Site Level Financials - ''23 ''24'!W$2:W$1577)</f>
        <v>48</v>
      </c>
      <c r="L413" s="238">
        <f>_xlfn.XLOOKUP($C413,'Site Level Financials - ''23 ''24'!$C$2:$C$1577,'Site Level Financials - ''23 ''24'!X$2:X$1577)</f>
        <v>42</v>
      </c>
      <c r="M413" s="238">
        <f>_xlfn.XLOOKUP($C413,'Site Level Financials - ''23 ''24'!$C$2:$C$1577,'Site Level Financials - ''23 ''24'!Y$2:Y$1577)</f>
        <v>69</v>
      </c>
      <c r="N413" s="238">
        <f>_xlfn.XLOOKUP($C413,'Site Level Financials - ''23 ''24'!$C$2:$C$1577,'Site Level Financials - ''23 ''24'!Z$2:Z$1577)</f>
        <v>69</v>
      </c>
      <c r="O413" s="238">
        <f>_xlfn.XLOOKUP($C413,'Site Level Financials - ''23 ''24'!$C$2:$C$1577,'Site Level Financials - ''23 ''24'!AA$2:AA$1577)</f>
        <v>63</v>
      </c>
      <c r="P413" s="238">
        <f>_xlfn.XLOOKUP($C413,'Site Level Financials - ''23 ''24'!$C$2:$C$1577,'Site Level Financials - ''23 ''24'!AB$2:AB$1577)</f>
        <v>72</v>
      </c>
      <c r="Q413" s="238">
        <f>_xlfn.XLOOKUP($C413,'Site Level Financials - ''23 ''24'!$C$2:$C$1577,'Site Level Financials - ''23 ''24'!AC$2:AC$1577)</f>
        <v>66</v>
      </c>
      <c r="R413" s="238">
        <f>_xlfn.XLOOKUP($C413,'Site Level Financials - ''23 ''24'!$C$2:$C$1577,'Site Level Financials - ''23 ''24'!AD$2:AD$1577)</f>
        <v>66</v>
      </c>
      <c r="S413" s="125">
        <f t="shared" ref="S413:AD413" si="1114">S411*S412</f>
        <v>69</v>
      </c>
      <c r="T413" s="127">
        <f t="shared" si="1114"/>
        <v>66</v>
      </c>
      <c r="U413" s="127">
        <f t="shared" si="1114"/>
        <v>66</v>
      </c>
      <c r="V413" s="127">
        <f t="shared" si="1114"/>
        <v>66</v>
      </c>
      <c r="W413" s="127">
        <f t="shared" si="1114"/>
        <v>72</v>
      </c>
      <c r="X413" s="127">
        <f t="shared" si="1114"/>
        <v>63</v>
      </c>
      <c r="Y413" s="127">
        <f t="shared" si="1114"/>
        <v>92</v>
      </c>
      <c r="Z413" s="127">
        <f t="shared" si="1114"/>
        <v>92</v>
      </c>
      <c r="AA413" s="127">
        <f t="shared" si="1114"/>
        <v>84</v>
      </c>
      <c r="AB413" s="127">
        <f t="shared" si="1114"/>
        <v>96</v>
      </c>
      <c r="AC413" s="127">
        <f t="shared" si="1114"/>
        <v>88</v>
      </c>
      <c r="AD413" s="128">
        <f t="shared" si="1114"/>
        <v>88</v>
      </c>
      <c r="AF413" s="112">
        <f>_xlfn.XLOOKUP($C413,'Site Level Financials - ''23 ''24'!$C$2:$C$1577,'Site Level Financials - ''23 ''24'!$AF$2:$AF$1577)</f>
        <v>874</v>
      </c>
      <c r="AG413" s="120">
        <f>SUM(G413:R413)</f>
        <v>785</v>
      </c>
      <c r="AH413" s="120">
        <f t="shared" ref="AH413" si="1115">SUM(S413:AD413)</f>
        <v>942</v>
      </c>
    </row>
    <row r="414" spans="2:35" x14ac:dyDescent="0.2">
      <c r="B414" s="9">
        <f>G405</f>
        <v>9</v>
      </c>
      <c r="C414" s="9" t="str">
        <f t="shared" si="1112"/>
        <v>9 - Production per Vet Workday</v>
      </c>
      <c r="D414" s="9" t="s">
        <v>56</v>
      </c>
      <c r="F414" s="7" t="s">
        <v>50</v>
      </c>
      <c r="G414" s="239">
        <f>_xlfn.XLOOKUP($C414,'Site Level Financials - ''23 ''24'!$C$2:$C$1577,'Site Level Financials - ''23 ''24'!S$2:S$1577)</f>
        <v>4.0383826078636815</v>
      </c>
      <c r="H414" s="240">
        <f>_xlfn.XLOOKUP($C414,'Site Level Financials - ''23 ''24'!$C$2:$C$1577,'Site Level Financials - ''23 ''24'!T$2:T$1577)</f>
        <v>4.3773889366232552</v>
      </c>
      <c r="I414" s="240">
        <f>_xlfn.XLOOKUP($C414,'Site Level Financials - ''23 ''24'!$C$2:$C$1577,'Site Level Financials - ''23 ''24'!U$2:U$1577)</f>
        <v>4.8875568982327486</v>
      </c>
      <c r="J414" s="240">
        <f>_xlfn.XLOOKUP($C414,'Site Level Financials - ''23 ''24'!$C$2:$C$1577,'Site Level Financials - ''23 ''24'!V$2:V$1577)</f>
        <v>5.6538309464952423</v>
      </c>
      <c r="K414" s="240">
        <f>_xlfn.XLOOKUP($C414,'Site Level Financials - ''23 ''24'!$C$2:$C$1577,'Site Level Financials - ''23 ''24'!W$2:W$1577)</f>
        <v>5.8611672883730792</v>
      </c>
      <c r="L414" s="240">
        <f>_xlfn.XLOOKUP($C414,'Site Level Financials - ''23 ''24'!$C$2:$C$1577,'Site Level Financials - ''23 ''24'!X$2:X$1577)</f>
        <v>6.0516063066706351</v>
      </c>
      <c r="M414" s="240">
        <f>_xlfn.XLOOKUP($C414,'Site Level Financials - ''23 ''24'!$C$2:$C$1577,'Site Level Financials - ''23 ''24'!Y$2:Y$1577)</f>
        <v>4.8627277705716194</v>
      </c>
      <c r="N414" s="240">
        <f>_xlfn.XLOOKUP($C414,'Site Level Financials - ''23 ''24'!$C$2:$C$1577,'Site Level Financials - ''23 ''24'!Z$2:Z$1577)</f>
        <v>4.4844540395534382</v>
      </c>
      <c r="O414" s="240">
        <f>_xlfn.XLOOKUP($C414,'Site Level Financials - ''23 ''24'!$C$2:$C$1577,'Site Level Financials - ''23 ''24'!AA$2:AA$1577)</f>
        <v>4.4886953357730297</v>
      </c>
      <c r="P414" s="240">
        <f>_xlfn.XLOOKUP($C414,'Site Level Financials - ''23 ''24'!$C$2:$C$1577,'Site Level Financials - ''23 ''24'!AB$2:AB$1577)</f>
        <v>4.2459597176156665</v>
      </c>
      <c r="Q414" s="240">
        <f>_xlfn.XLOOKUP($C414,'Site Level Financials - ''23 ''24'!$C$2:$C$1577,'Site Level Financials - ''23 ''24'!AC$2:AC$1577)</f>
        <v>3.4935144278160055</v>
      </c>
      <c r="R414" s="240">
        <f>_xlfn.XLOOKUP($C414,'Site Level Financials - ''23 ''24'!$C$2:$C$1577,'Site Level Financials - ''23 ''24'!AD$2:AD$1577)</f>
        <v>3.1061887288785219</v>
      </c>
      <c r="S414" s="239">
        <f>R414*(1+_xlfn.XLOOKUP($R411,'Budget Assumption Driver'!$A$15:$A$19,'Budget Assumption Driver'!E$15:E$19))</f>
        <v>4.3946629894069194</v>
      </c>
      <c r="T414" s="240">
        <f>S414*(1+_xlfn.XLOOKUP($R411,'Budget Assumption Driver'!$A$15:$A$19,'Budget Assumption Driver'!F$15:F$19))</f>
        <v>4.7574249757601041</v>
      </c>
      <c r="U414" s="240">
        <f>T414*(1+_xlfn.XLOOKUP($R411,'Budget Assumption Driver'!$A$15:$A$19,'Budget Assumption Driver'!G$15:G$19))</f>
        <v>5.1084717214545119</v>
      </c>
      <c r="V414" s="240">
        <f>U414*(1+_xlfn.XLOOKUP($R411,'Budget Assumption Driver'!$A$15:$A$19,'Budget Assumption Driver'!H$15:H$19))</f>
        <v>5.4719984476395336</v>
      </c>
      <c r="W414" s="240">
        <f>V414*(1+_xlfn.XLOOKUP($R411,'Budget Assumption Driver'!$A$15:$A$19,'Budget Assumption Driver'!I$15:I$19))</f>
        <v>5.9615729275560323</v>
      </c>
      <c r="X414" s="240">
        <f>W414*(1+_xlfn.XLOOKUP($R411,'Budget Assumption Driver'!$A$15:$A$19,'Budget Assumption Driver'!J$15:J$19))</f>
        <v>5.7213981605793727</v>
      </c>
      <c r="Y414" s="240">
        <f>X414*(1+_xlfn.XLOOKUP($R411,'Budget Assumption Driver'!$A$15:$A$19,'Budget Assumption Driver'!K$15:K$19))</f>
        <v>4.6905962919600261</v>
      </c>
      <c r="Z414" s="240">
        <f>Y414*(1+_xlfn.XLOOKUP($R411,'Budget Assumption Driver'!$A$15:$A$19,'Budget Assumption Driver'!L$15:L$19))</f>
        <v>4.022143312484987</v>
      </c>
      <c r="AA414" s="240">
        <f>Z414*(1+_xlfn.XLOOKUP($R411,'Budget Assumption Driver'!$A$15:$A$19,'Budget Assumption Driver'!M$15:M$19))</f>
        <v>4.0388547149873606</v>
      </c>
      <c r="AB414" s="240">
        <f>AA414*(1+_xlfn.XLOOKUP($R411,'Budget Assumption Driver'!$A$15:$A$19,'Budget Assumption Driver'!N$15:N$19))</f>
        <v>4.058770907313086</v>
      </c>
      <c r="AC414" s="240">
        <f>AB414*(1+_xlfn.XLOOKUP($R411,'Budget Assumption Driver'!$A$15:$A$19,'Budget Assumption Driver'!O$15:O$19))</f>
        <v>3.4999990036131536</v>
      </c>
      <c r="AD414" s="291">
        <f>AC414*(1+_xlfn.XLOOKUP($R411,'Budget Assumption Driver'!$A$15:$A$19,'Budget Assumption Driver'!P$15:P$19))</f>
        <v>2.8567431211226664</v>
      </c>
      <c r="AE414" s="15"/>
      <c r="AF414" s="230">
        <f>_xlfn.XLOOKUP($C414,'Site Level Financials - ''23 ''24'!$C$2:$C$1577,'Site Level Financials - ''23 ''24'!$AF$2:$AF$1577)</f>
        <v>4.6992161442199203</v>
      </c>
      <c r="AG414" s="101">
        <f>AG415/AG413</f>
        <v>4.5001593593121383</v>
      </c>
      <c r="AH414" s="101">
        <f>AH415/AH413</f>
        <v>4.4533814378733272</v>
      </c>
    </row>
    <row r="415" spans="2:35" x14ac:dyDescent="0.2">
      <c r="B415" s="9">
        <f>G405</f>
        <v>9</v>
      </c>
      <c r="C415" s="9" t="str">
        <f t="shared" si="1112"/>
        <v>9 - Total Production</v>
      </c>
      <c r="D415" s="9" t="s">
        <v>56</v>
      </c>
      <c r="F415" s="8" t="s">
        <v>1</v>
      </c>
      <c r="G415" s="241">
        <f>_xlfn.XLOOKUP($C415,'Site Level Financials - ''23 ''24'!$C$2:$C$1577,'Site Level Financials - ''23 ''24'!S$2:S$1577)</f>
        <v>371.5311999234587</v>
      </c>
      <c r="H415" s="242">
        <f>_xlfn.XLOOKUP($C415,'Site Level Financials - ''23 ''24'!$C$2:$C$1577,'Site Level Financials - ''23 ''24'!T$2:T$1577)</f>
        <v>385.21022642284646</v>
      </c>
      <c r="I415" s="242">
        <f>_xlfn.XLOOKUP($C415,'Site Level Financials - ''23 ''24'!$C$2:$C$1577,'Site Level Financials - ''23 ''24'!U$2:U$1577)</f>
        <v>322.57875528336143</v>
      </c>
      <c r="J415" s="242">
        <f>_xlfn.XLOOKUP($C415,'Site Level Financials - ''23 ''24'!$C$2:$C$1577,'Site Level Financials - ''23 ''24'!V$2:V$1577)</f>
        <v>248.76856164579067</v>
      </c>
      <c r="K415" s="242">
        <f>_xlfn.XLOOKUP($C415,'Site Level Financials - ''23 ''24'!$C$2:$C$1577,'Site Level Financials - ''23 ''24'!W$2:W$1577)</f>
        <v>281.33602984190782</v>
      </c>
      <c r="L415" s="242">
        <f>_xlfn.XLOOKUP($C415,'Site Level Financials - ''23 ''24'!$C$2:$C$1577,'Site Level Financials - ''23 ''24'!X$2:X$1577)</f>
        <v>254.16746488016668</v>
      </c>
      <c r="M415" s="242">
        <f>_xlfn.XLOOKUP($C415,'Site Level Financials - ''23 ''24'!$C$2:$C$1577,'Site Level Financials - ''23 ''24'!Y$2:Y$1577)</f>
        <v>335.52821616944175</v>
      </c>
      <c r="N415" s="242">
        <f>_xlfn.XLOOKUP($C415,'Site Level Financials - ''23 ''24'!$C$2:$C$1577,'Site Level Financials - ''23 ''24'!Z$2:Z$1577)</f>
        <v>309.42732872918725</v>
      </c>
      <c r="O415" s="242">
        <f>_xlfn.XLOOKUP($C415,'Site Level Financials - ''23 ''24'!$C$2:$C$1577,'Site Level Financials - ''23 ''24'!AA$2:AA$1577)</f>
        <v>282.7878061537009</v>
      </c>
      <c r="P415" s="242">
        <f>_xlfn.XLOOKUP($C415,'Site Level Financials - ''23 ''24'!$C$2:$C$1577,'Site Level Financials - ''23 ''24'!AB$2:AB$1577)</f>
        <v>305.70909966832801</v>
      </c>
      <c r="Q415" s="242">
        <f>_xlfn.XLOOKUP($C415,'Site Level Financials - ''23 ''24'!$C$2:$C$1577,'Site Level Financials - ''23 ''24'!AC$2:AC$1577)</f>
        <v>230.57195223585637</v>
      </c>
      <c r="R415" s="242">
        <f>_xlfn.XLOOKUP($C415,'Site Level Financials - ''23 ''24'!$C$2:$C$1577,'Site Level Financials - ''23 ''24'!AD$2:AD$1577)</f>
        <v>205.00845610598245</v>
      </c>
      <c r="S415" s="134">
        <f t="shared" ref="S415:AD415" si="1116">S414*S413</f>
        <v>303.23174626907746</v>
      </c>
      <c r="T415" s="135">
        <f t="shared" si="1116"/>
        <v>313.99004840016687</v>
      </c>
      <c r="U415" s="135">
        <f t="shared" si="1116"/>
        <v>337.1591336159978</v>
      </c>
      <c r="V415" s="135">
        <f t="shared" si="1116"/>
        <v>361.15189754420919</v>
      </c>
      <c r="W415" s="135">
        <f t="shared" si="1116"/>
        <v>429.23325078403434</v>
      </c>
      <c r="X415" s="135">
        <f t="shared" si="1116"/>
        <v>360.44808411650047</v>
      </c>
      <c r="Y415" s="135">
        <f t="shared" si="1116"/>
        <v>431.5348588603224</v>
      </c>
      <c r="Z415" s="135">
        <f t="shared" si="1116"/>
        <v>370.03718474861881</v>
      </c>
      <c r="AA415" s="135">
        <f t="shared" si="1116"/>
        <v>339.26379605893828</v>
      </c>
      <c r="AB415" s="135">
        <f t="shared" si="1116"/>
        <v>389.64200710205625</v>
      </c>
      <c r="AC415" s="135">
        <f t="shared" si="1116"/>
        <v>307.99991231795752</v>
      </c>
      <c r="AD415" s="136">
        <f t="shared" si="1116"/>
        <v>251.39339465879465</v>
      </c>
      <c r="AE415" s="15"/>
      <c r="AF415" s="113">
        <f>_xlfn.XLOOKUP($C415,'Site Level Financials - ''23 ''24'!$C$2:$C$1577,'Site Level Financials - ''23 ''24'!$AF$2:$AF$1577)</f>
        <v>3870.1989810611803</v>
      </c>
      <c r="AG415" s="95">
        <f>SUM(G415:R415)</f>
        <v>3532.6250970600286</v>
      </c>
      <c r="AH415" s="95">
        <f t="shared" ref="AH415" si="1117">SUM(S415:AD415)</f>
        <v>4195.0853144766743</v>
      </c>
    </row>
    <row r="416" spans="2:35" x14ac:dyDescent="0.2">
      <c r="B416" s="9">
        <f>G405</f>
        <v>9</v>
      </c>
      <c r="C416" s="9" t="str">
        <f t="shared" si="1112"/>
        <v>9 - Revenue as a % of Production</v>
      </c>
      <c r="D416" s="9" t="s">
        <v>56</v>
      </c>
      <c r="F416" s="7" t="s">
        <v>2</v>
      </c>
      <c r="G416" s="243">
        <f>_xlfn.XLOOKUP($C416,'Site Level Financials - ''23 ''24'!$C$2:$C$1577,'Site Level Financials - ''23 ''24'!S$2:S$1577)</f>
        <v>0.98652085800116485</v>
      </c>
      <c r="H416" s="244">
        <f>_xlfn.XLOOKUP($C416,'Site Level Financials - ''23 ''24'!$C$2:$C$1577,'Site Level Financials - ''23 ''24'!T$2:T$1577)</f>
        <v>0.98652085800116485</v>
      </c>
      <c r="I416" s="244">
        <f>_xlfn.XLOOKUP($C416,'Site Level Financials - ''23 ''24'!$C$2:$C$1577,'Site Level Financials - ''23 ''24'!U$2:U$1577)</f>
        <v>0.98652085800116485</v>
      </c>
      <c r="J416" s="244">
        <f>_xlfn.XLOOKUP($C416,'Site Level Financials - ''23 ''24'!$C$2:$C$1577,'Site Level Financials - ''23 ''24'!V$2:V$1577)</f>
        <v>0.98652085800116485</v>
      </c>
      <c r="K416" s="244">
        <f>_xlfn.XLOOKUP($C416,'Site Level Financials - ''23 ''24'!$C$2:$C$1577,'Site Level Financials - ''23 ''24'!W$2:W$1577)</f>
        <v>0.98652085800116485</v>
      </c>
      <c r="L416" s="244">
        <f>_xlfn.XLOOKUP($C416,'Site Level Financials - ''23 ''24'!$C$2:$C$1577,'Site Level Financials - ''23 ''24'!X$2:X$1577)</f>
        <v>0.98652085800116485</v>
      </c>
      <c r="M416" s="244">
        <f>_xlfn.XLOOKUP($C416,'Site Level Financials - ''23 ''24'!$C$2:$C$1577,'Site Level Financials - ''23 ''24'!Y$2:Y$1577)</f>
        <v>0.98652085800116485</v>
      </c>
      <c r="N416" s="244">
        <f>_xlfn.XLOOKUP($C416,'Site Level Financials - ''23 ''24'!$C$2:$C$1577,'Site Level Financials - ''23 ''24'!Z$2:Z$1577)</f>
        <v>0.98652085800116485</v>
      </c>
      <c r="O416" s="244">
        <f>_xlfn.XLOOKUP($C416,'Site Level Financials - ''23 ''24'!$C$2:$C$1577,'Site Level Financials - ''23 ''24'!AA$2:AA$1577)</f>
        <v>0.98652085800116485</v>
      </c>
      <c r="P416" s="244">
        <f>_xlfn.XLOOKUP($C416,'Site Level Financials - ''23 ''24'!$C$2:$C$1577,'Site Level Financials - ''23 ''24'!AB$2:AB$1577)</f>
        <v>0.98652085800116485</v>
      </c>
      <c r="Q416" s="244">
        <f>_xlfn.XLOOKUP($C416,'Site Level Financials - ''23 ''24'!$C$2:$C$1577,'Site Level Financials - ''23 ''24'!AC$2:AC$1577)</f>
        <v>0.98652085800116485</v>
      </c>
      <c r="R416" s="244">
        <f>_xlfn.XLOOKUP($C416,'Site Level Financials - ''23 ''24'!$C$2:$C$1577,'Site Level Financials - ''23 ''24'!AD$2:AD$1577)</f>
        <v>0.98652085800116485</v>
      </c>
      <c r="S416" s="292">
        <f>SUM(G445:R445)/SUM(G415:R415)</f>
        <v>0.97624888686245925</v>
      </c>
      <c r="T416" s="203">
        <f>S416</f>
        <v>0.97624888686245925</v>
      </c>
      <c r="U416" s="203">
        <f t="shared" ref="U416:AD416" si="1118">T416</f>
        <v>0.97624888686245925</v>
      </c>
      <c r="V416" s="203">
        <f t="shared" si="1118"/>
        <v>0.97624888686245925</v>
      </c>
      <c r="W416" s="203">
        <f t="shared" si="1118"/>
        <v>0.97624888686245925</v>
      </c>
      <c r="X416" s="203">
        <f t="shared" si="1118"/>
        <v>0.97624888686245925</v>
      </c>
      <c r="Y416" s="203">
        <f t="shared" si="1118"/>
        <v>0.97624888686245925</v>
      </c>
      <c r="Z416" s="203">
        <f t="shared" si="1118"/>
        <v>0.97624888686245925</v>
      </c>
      <c r="AA416" s="203">
        <f t="shared" si="1118"/>
        <v>0.97624888686245925</v>
      </c>
      <c r="AB416" s="203">
        <f t="shared" si="1118"/>
        <v>0.97624888686245925</v>
      </c>
      <c r="AC416" s="203">
        <f t="shared" si="1118"/>
        <v>0.97624888686245925</v>
      </c>
      <c r="AD416" s="204">
        <f t="shared" si="1118"/>
        <v>0.97624888686245925</v>
      </c>
      <c r="AE416" s="15"/>
      <c r="AF416" s="231">
        <f>_xlfn.XLOOKUP($C416,'Site Level Financials - ''23 ''24'!$C$2:$C$1577,'Site Level Financials - ''23 ''24'!$AF$2:$AF$1577)</f>
        <v>0.97769122068020953</v>
      </c>
      <c r="AG416" s="103">
        <f>AG417/AG415</f>
        <v>0.98652085800116485</v>
      </c>
      <c r="AH416" s="103">
        <f>AH417/AH415</f>
        <v>0.97624888686245925</v>
      </c>
    </row>
    <row r="417" spans="2:34" x14ac:dyDescent="0.2">
      <c r="B417" s="9">
        <f>G405</f>
        <v>9</v>
      </c>
      <c r="C417" s="9" t="str">
        <f t="shared" si="1112"/>
        <v>9 - Total Revenue</v>
      </c>
      <c r="D417" s="9" t="s">
        <v>56</v>
      </c>
      <c r="F417" s="8" t="s">
        <v>3</v>
      </c>
      <c r="G417" s="241">
        <f>_xlfn.XLOOKUP($C417,'Site Level Financials - ''23 ''24'!$C$2:$C$1577,'Site Level Financials - ''23 ''24'!S$2:S$1577)</f>
        <v>366.52327812269277</v>
      </c>
      <c r="H417" s="242">
        <f>_xlfn.XLOOKUP($C417,'Site Level Financials - ''23 ''24'!$C$2:$C$1577,'Site Level Financials - ''23 ''24'!T$2:T$1577)</f>
        <v>380.01792308148947</v>
      </c>
      <c r="I417" s="242">
        <f>_xlfn.XLOOKUP($C417,'Site Level Financials - ''23 ''24'!$C$2:$C$1577,'Site Level Financials - ''23 ''24'!U$2:U$1577)</f>
        <v>318.23067043508951</v>
      </c>
      <c r="J417" s="242">
        <f>_xlfn.XLOOKUP($C417,'Site Level Financials - ''23 ''24'!$C$2:$C$1577,'Site Level Financials - ''23 ''24'!V$2:V$1577)</f>
        <v>245.41537487852108</v>
      </c>
      <c r="K417" s="242">
        <f>_xlfn.XLOOKUP($C417,'Site Level Financials - ''23 ''24'!$C$2:$C$1577,'Site Level Financials - ''23 ''24'!W$2:W$1577)</f>
        <v>277.5438615462802</v>
      </c>
      <c r="L417" s="242">
        <f>_xlfn.XLOOKUP($C417,'Site Level Financials - ''23 ''24'!$C$2:$C$1577,'Site Level Financials - ''23 ''24'!X$2:X$1577)</f>
        <v>250.74150552956297</v>
      </c>
      <c r="M417" s="242">
        <f>_xlfn.XLOOKUP($C417,'Site Level Financials - ''23 ''24'!$C$2:$C$1577,'Site Level Financials - ''23 ''24'!Y$2:Y$1577)</f>
        <v>331.00558369907799</v>
      </c>
      <c r="N417" s="242">
        <f>_xlfn.XLOOKUP($C417,'Site Level Financials - ''23 ''24'!$C$2:$C$1577,'Site Level Financials - ''23 ''24'!Z$2:Z$1577)</f>
        <v>305.25651382692627</v>
      </c>
      <c r="O417" s="242">
        <f>_xlfn.XLOOKUP($C417,'Site Level Financials - ''23 ''24'!$C$2:$C$1577,'Site Level Financials - ''23 ''24'!AA$2:AA$1577)</f>
        <v>278.97606915901611</v>
      </c>
      <c r="P417" s="242">
        <f>_xlfn.XLOOKUP($C417,'Site Level Financials - ''23 ''24'!$C$2:$C$1577,'Site Level Financials - ''23 ''24'!AB$2:AB$1577)</f>
        <v>301.58840330356259</v>
      </c>
      <c r="Q417" s="242">
        <f>_xlfn.XLOOKUP($C417,'Site Level Financials - ''23 ''24'!$C$2:$C$1577,'Site Level Financials - ''23 ''24'!AC$2:AC$1577)</f>
        <v>227.46404015072062</v>
      </c>
      <c r="R417" s="242">
        <f>_xlfn.XLOOKUP($C417,'Site Level Financials - ''23 ''24'!$C$2:$C$1577,'Site Level Financials - ''23 ''24'!AD$2:AD$1577)</f>
        <v>202.24511801516795</v>
      </c>
      <c r="S417" s="134">
        <f t="shared" ref="S417:AD417" si="1119">S416*S415</f>
        <v>296.02965475654656</v>
      </c>
      <c r="T417" s="135">
        <f t="shared" si="1119"/>
        <v>306.5324352365526</v>
      </c>
      <c r="U417" s="135">
        <f t="shared" si="1119"/>
        <v>329.15122888812903</v>
      </c>
      <c r="V417" s="135">
        <f t="shared" si="1119"/>
        <v>352.57413796579914</v>
      </c>
      <c r="W417" s="135">
        <f t="shared" si="1119"/>
        <v>419.03848328226832</v>
      </c>
      <c r="X417" s="135">
        <f t="shared" si="1119"/>
        <v>351.88704089043966</v>
      </c>
      <c r="Y417" s="135">
        <f t="shared" si="1119"/>
        <v>421.28542560473818</v>
      </c>
      <c r="Z417" s="135">
        <f t="shared" si="1119"/>
        <v>361.24838970855728</v>
      </c>
      <c r="AA417" s="135">
        <f t="shared" si="1119"/>
        <v>331.20590325527087</v>
      </c>
      <c r="AB417" s="135">
        <f t="shared" si="1119"/>
        <v>380.38757570823685</v>
      </c>
      <c r="AC417" s="135">
        <f t="shared" si="1119"/>
        <v>300.68457155414109</v>
      </c>
      <c r="AD417" s="136">
        <f t="shared" si="1119"/>
        <v>245.42252170022317</v>
      </c>
      <c r="AE417" s="15"/>
      <c r="AF417" s="113">
        <f>_xlfn.XLOOKUP($C417,'Site Level Financials - ''23 ''24'!$C$2:$C$1577,'Site Level Financials - ''23 ''24'!$AF$2:$AF$1577)</f>
        <v>3783.8595660690085</v>
      </c>
      <c r="AG417" s="95">
        <f>SUM(G417:R417)</f>
        <v>3485.0083417481078</v>
      </c>
      <c r="AH417" s="95">
        <f t="shared" ref="AH417" si="1120">SUM(S417:AD417)</f>
        <v>4095.4473685509029</v>
      </c>
    </row>
    <row r="418" spans="2:34" x14ac:dyDescent="0.2">
      <c r="B418" s="9">
        <f>G405</f>
        <v>9</v>
      </c>
      <c r="C418" s="9" t="str">
        <f t="shared" si="1112"/>
        <v>9 - % YoY Revenue Growth</v>
      </c>
      <c r="D418" s="9" t="s">
        <v>56</v>
      </c>
      <c r="F418" s="16" t="s">
        <v>174</v>
      </c>
      <c r="G418" s="245">
        <f>_xlfn.XLOOKUP($C418,'Site Level Financials - ''23 ''24'!$C$2:$C$1577,'Site Level Financials - ''23 ''24'!S$2:S$1577)</f>
        <v>0.26443621374468229</v>
      </c>
      <c r="H418" s="246">
        <f>_xlfn.XLOOKUP($C418,'Site Level Financials - ''23 ''24'!$C$2:$C$1577,'Site Level Financials - ''23 ''24'!T$2:T$1577)</f>
        <v>0.35249107337536678</v>
      </c>
      <c r="I418" s="246">
        <f>_xlfn.XLOOKUP($C418,'Site Level Financials - ''23 ''24'!$C$2:$C$1577,'Site Level Financials - ''23 ''24'!U$2:U$1577)</f>
        <v>0.30725302134966004</v>
      </c>
      <c r="J418" s="246">
        <f>_xlfn.XLOOKUP($C418,'Site Level Financials - ''23 ''24'!$C$2:$C$1577,'Site Level Financials - ''23 ''24'!V$2:V$1577)</f>
        <v>7.9238595016857261E-2</v>
      </c>
      <c r="K418" s="246">
        <f>_xlfn.XLOOKUP($C418,'Site Level Financials - ''23 ''24'!$C$2:$C$1577,'Site Level Financials - ''23 ''24'!W$2:W$1577)</f>
        <v>2.1104083214130931E-2</v>
      </c>
      <c r="L418" s="246">
        <f>_xlfn.XLOOKUP($C418,'Site Level Financials - ''23 ''24'!$C$2:$C$1577,'Site Level Financials - ''23 ''24'!X$2:X$1577)</f>
        <v>-4.7388792320596784E-2</v>
      </c>
      <c r="M418" s="246">
        <f>_xlfn.XLOOKUP($C418,'Site Level Financials - ''23 ''24'!$C$2:$C$1577,'Site Level Financials - ''23 ''24'!Y$2:Y$1577)</f>
        <v>9.9255413881289556E-3</v>
      </c>
      <c r="N418" s="246">
        <f>_xlfn.XLOOKUP($C418,'Site Level Financials - ''23 ''24'!$C$2:$C$1577,'Site Level Financials - ''23 ''24'!Z$2:Z$1577)</f>
        <v>-0.25625816216323649</v>
      </c>
      <c r="O418" s="246">
        <f>_xlfn.XLOOKUP($C418,'Site Level Financials - ''23 ''24'!$C$2:$C$1577,'Site Level Financials - ''23 ''24'!AA$2:AA$1577)</f>
        <v>-0.2452741105652293</v>
      </c>
      <c r="P418" s="246">
        <f>_xlfn.XLOOKUP($C418,'Site Level Financials - ''23 ''24'!$C$2:$C$1577,'Site Level Financials - ''23 ''24'!AB$2:AB$1577)</f>
        <v>-0.18682349128519715</v>
      </c>
      <c r="Q418" s="246">
        <f>_xlfn.XLOOKUP($C418,'Site Level Financials - ''23 ''24'!$C$2:$C$1577,'Site Level Financials - ''23 ''24'!AC$2:AC$1577)</f>
        <v>-0.44412485999249318</v>
      </c>
      <c r="R418" s="246">
        <f>_xlfn.XLOOKUP($C418,'Site Level Financials - ''23 ''24'!$C$2:$C$1577,'Site Level Financials - ''23 ''24'!AD$2:AD$1577)</f>
        <v>-0.3665126687888155</v>
      </c>
      <c r="S418" s="148">
        <f>S417/G417-1</f>
        <v>-0.1923305491733287</v>
      </c>
      <c r="T418" s="149">
        <f t="shared" ref="T418" si="1121">T417/H417-1</f>
        <v>-0.19337374208315683</v>
      </c>
      <c r="U418" s="149">
        <f t="shared" ref="U418" si="1122">U417/I417-1</f>
        <v>3.4316486333981544E-2</v>
      </c>
      <c r="V418" s="149">
        <f t="shared" ref="V418" si="1123">V417/J417-1</f>
        <v>0.43664241957261596</v>
      </c>
      <c r="W418" s="149">
        <f t="shared" ref="W418" si="1124">W417/K417-1</f>
        <v>0.5098099484084393</v>
      </c>
      <c r="X418" s="149">
        <f t="shared" ref="X418" si="1125">X417/L417-1</f>
        <v>0.40338569056311036</v>
      </c>
      <c r="Y418" s="149">
        <f t="shared" ref="Y418" si="1126">Y417/M417-1</f>
        <v>0.27274416611574415</v>
      </c>
      <c r="Z418" s="149">
        <f t="shared" ref="Z418" si="1127">Z417/N417-1</f>
        <v>0.18342565463935423</v>
      </c>
      <c r="AA418" s="149">
        <f t="shared" ref="AA418" si="1128">AA417/O417-1</f>
        <v>0.18721976495583847</v>
      </c>
      <c r="AB418" s="149">
        <f t="shared" ref="AB418" si="1129">AB417/P417-1</f>
        <v>0.26128051192127333</v>
      </c>
      <c r="AC418" s="149">
        <f t="shared" ref="AC418" si="1130">AC417/Q417-1</f>
        <v>0.32189937079682385</v>
      </c>
      <c r="AD418" s="150">
        <f t="shared" ref="AD418" si="1131">AD417/R417-1</f>
        <v>0.21349046201360977</v>
      </c>
      <c r="AE418" s="15"/>
      <c r="AF418" s="11"/>
      <c r="AG418" s="97">
        <f>AG417/AF417-1</f>
        <v>-7.8980527448954008E-2</v>
      </c>
      <c r="AH418" s="97">
        <f>AH417/AG417-1</f>
        <v>0.17516142486379072</v>
      </c>
    </row>
    <row r="419" spans="2:34" ht="6" customHeight="1" x14ac:dyDescent="0.2">
      <c r="B419" s="9">
        <f>G405</f>
        <v>9</v>
      </c>
      <c r="C419" s="9" t="str">
        <f t="shared" si="1112"/>
        <v xml:space="preserve">9 - </v>
      </c>
      <c r="D419" s="9" t="s">
        <v>56</v>
      </c>
      <c r="G419" s="80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80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81"/>
      <c r="AE419" s="15"/>
      <c r="AF419" s="11"/>
      <c r="AG419" s="15"/>
      <c r="AH419" s="15"/>
    </row>
    <row r="420" spans="2:34" x14ac:dyDescent="0.2">
      <c r="B420" s="9">
        <f>G405</f>
        <v>9</v>
      </c>
      <c r="C420" s="9" t="str">
        <f t="shared" si="1112"/>
        <v>9 - Doctor Compensation</v>
      </c>
      <c r="D420" s="9" t="s">
        <v>56</v>
      </c>
      <c r="F420" t="s">
        <v>4</v>
      </c>
      <c r="G420" s="178">
        <f>_xlfn.XLOOKUP($C420,'Site Level Financials - ''23 ''24'!$C$2:$C$1577,'Site Level Financials - ''23 ''24'!S$2:S$1577)</f>
        <v>-116.21200241517792</v>
      </c>
      <c r="H420" s="179">
        <f>_xlfn.XLOOKUP($C420,'Site Level Financials - ''23 ''24'!$C$2:$C$1577,'Site Level Financials - ''23 ''24'!T$2:T$1577)</f>
        <v>-117.99127249179932</v>
      </c>
      <c r="I420" s="179">
        <f>_xlfn.XLOOKUP($C420,'Site Level Financials - ''23 ''24'!$C$2:$C$1577,'Site Level Financials - ''23 ''24'!U$2:U$1577)</f>
        <v>-131.64201153058221</v>
      </c>
      <c r="J420" s="179">
        <f>_xlfn.XLOOKUP($C420,'Site Level Financials - ''23 ''24'!$C$2:$C$1577,'Site Level Financials - ''23 ''24'!V$2:V$1577)</f>
        <v>-101.55891752654448</v>
      </c>
      <c r="K420" s="179">
        <f>_xlfn.XLOOKUP($C420,'Site Level Financials - ''23 ''24'!$C$2:$C$1577,'Site Level Financials - ''23 ''24'!W$2:W$1577)</f>
        <v>-114.33901952678501</v>
      </c>
      <c r="L420" s="179">
        <f>_xlfn.XLOOKUP($C420,'Site Level Financials - ''23 ''24'!$C$2:$C$1577,'Site Level Financials - ''23 ''24'!X$2:X$1577)</f>
        <v>-103.17306304243318</v>
      </c>
      <c r="M420" s="179">
        <f>_xlfn.XLOOKUP($C420,'Site Level Financials - ''23 ''24'!$C$2:$C$1577,'Site Level Financials - ''23 ''24'!Y$2:Y$1577)</f>
        <v>-133.09491014405077</v>
      </c>
      <c r="N420" s="179">
        <f>_xlfn.XLOOKUP($C420,'Site Level Financials - ''23 ''24'!$C$2:$C$1577,'Site Level Financials - ''23 ''24'!Z$2:Z$1577)</f>
        <v>-122.62392150225088</v>
      </c>
      <c r="O420" s="179">
        <f>_xlfn.XLOOKUP($C420,'Site Level Financials - ''23 ''24'!$C$2:$C$1577,'Site Level Financials - ''23 ''24'!AA$2:AA$1577)</f>
        <v>-114.07296399470141</v>
      </c>
      <c r="P420" s="179">
        <f>_xlfn.XLOOKUP($C420,'Site Level Financials - ''23 ''24'!$C$2:$C$1577,'Site Level Financials - ''23 ''24'!AB$2:AB$1577)</f>
        <v>-120.14389299319532</v>
      </c>
      <c r="Q420" s="179">
        <f>_xlfn.XLOOKUP($C420,'Site Level Financials - ''23 ''24'!$C$2:$C$1577,'Site Level Financials - ''23 ''24'!AC$2:AC$1577)</f>
        <v>-91.205840726311934</v>
      </c>
      <c r="R420" s="179">
        <f>_xlfn.XLOOKUP($C420,'Site Level Financials - ''23 ''24'!$C$2:$C$1577,'Site Level Financials - ''23 ''24'!AD$2:AD$1577)</f>
        <v>-79.988644904683241</v>
      </c>
      <c r="S420" s="155">
        <f>S421*S417</f>
        <v>-93.86088417013454</v>
      </c>
      <c r="T420" s="154">
        <f t="shared" ref="T420" si="1132">T421*T417</f>
        <v>-95.174858596906645</v>
      </c>
      <c r="U420" s="154">
        <f t="shared" ref="U420" si="1133">U421*U417</f>
        <v>-136.15950282024926</v>
      </c>
      <c r="V420" s="154">
        <f t="shared" ref="V420" si="1134">V421*V417</f>
        <v>-145.90384900451062</v>
      </c>
      <c r="W420" s="154">
        <f t="shared" ref="W420" si="1135">W421*W417</f>
        <v>-172.63018917280681</v>
      </c>
      <c r="X420" s="154">
        <f t="shared" ref="X420" si="1136">X421*X417</f>
        <v>-144.79160032531641</v>
      </c>
      <c r="Y420" s="154">
        <f t="shared" ref="Y420" si="1137">Y421*Y417</f>
        <v>-169.39577042553978</v>
      </c>
      <c r="Z420" s="154">
        <f t="shared" ref="Z420" si="1138">Z421*Z417</f>
        <v>-145.11629457824603</v>
      </c>
      <c r="AA420" s="154">
        <f t="shared" ref="AA420" si="1139">AA421*AA417</f>
        <v>-135.42967750160525</v>
      </c>
      <c r="AB420" s="154">
        <f t="shared" ref="AB420" si="1140">AB421*AB417</f>
        <v>-151.53515085867207</v>
      </c>
      <c r="AC420" s="154">
        <f t="shared" ref="AC420" si="1141">AC421*AC417</f>
        <v>-120.56494346910708</v>
      </c>
      <c r="AD420" s="156">
        <f t="shared" ref="AD420" si="1142">AD421*AD417</f>
        <v>-97.065457661226631</v>
      </c>
      <c r="AE420" s="15"/>
      <c r="AF420" s="115">
        <f>_xlfn.XLOOKUP($C420,'Site Level Financials - ''23 ''24'!$C$2:$C$1577,'Site Level Financials - ''23 ''24'!$AF$2:$AF$1577)</f>
        <v>-1313.1793695253125</v>
      </c>
      <c r="AG420" s="93">
        <f>SUM(G420:R420)</f>
        <v>-1346.0464607985157</v>
      </c>
      <c r="AH420" s="93">
        <f t="shared" ref="AH420" si="1143">SUM(S420:AD420)</f>
        <v>-1607.6281785843212</v>
      </c>
    </row>
    <row r="421" spans="2:34" x14ac:dyDescent="0.2">
      <c r="B421" s="9">
        <f>G405</f>
        <v>9</v>
      </c>
      <c r="C421" s="9" t="str">
        <f t="shared" si="1112"/>
        <v>9 - % of Revenue - Doctor Compensation</v>
      </c>
      <c r="D421" s="9" t="s">
        <v>56</v>
      </c>
      <c r="F421" s="16" t="str">
        <f>"% of Revenue - "&amp;F420</f>
        <v>% of Revenue - Doctor Compensation</v>
      </c>
      <c r="G421" s="148">
        <f>G420/G417</f>
        <v>-0.31706581642074105</v>
      </c>
      <c r="H421" s="149">
        <f t="shared" ref="H421:R421" si="1144">H420/H417</f>
        <v>-0.31048870415119278</v>
      </c>
      <c r="I421" s="149">
        <f t="shared" si="1144"/>
        <v>-0.4136685233720539</v>
      </c>
      <c r="J421" s="149">
        <f t="shared" si="1144"/>
        <v>-0.4138245925986318</v>
      </c>
      <c r="K421" s="149">
        <f t="shared" si="1144"/>
        <v>-0.41196738738795374</v>
      </c>
      <c r="L421" s="149">
        <f t="shared" si="1144"/>
        <v>-0.41147181765752322</v>
      </c>
      <c r="M421" s="149">
        <f t="shared" si="1144"/>
        <v>-0.40209264344328793</v>
      </c>
      <c r="N421" s="149">
        <f t="shared" si="1144"/>
        <v>-0.40170779638719173</v>
      </c>
      <c r="O421" s="149">
        <f t="shared" si="1144"/>
        <v>-0.40889874295877304</v>
      </c>
      <c r="P421" s="149">
        <f t="shared" si="1144"/>
        <v>-0.39837040044363037</v>
      </c>
      <c r="Q421" s="149">
        <f t="shared" si="1144"/>
        <v>-0.40096817354460845</v>
      </c>
      <c r="R421" s="149">
        <f t="shared" si="1144"/>
        <v>-0.39550346475450776</v>
      </c>
      <c r="S421" s="245">
        <f>_xlfn.XLOOKUP($F421,'Budget Assumption Driver'!$A$33:$A$39,'Budget Assumption Driver'!E$33:E$39)+G421</f>
        <v>-0.31706581642074105</v>
      </c>
      <c r="T421" s="246">
        <f>_xlfn.XLOOKUP($F421,'Budget Assumption Driver'!$A$33:$A$39,'Budget Assumption Driver'!F$33:F$39)+H421</f>
        <v>-0.31048870415119278</v>
      </c>
      <c r="U421" s="246">
        <f>_xlfn.XLOOKUP($F421,'Budget Assumption Driver'!$A$33:$A$39,'Budget Assumption Driver'!G$33:G$39)+I421</f>
        <v>-0.4136685233720539</v>
      </c>
      <c r="V421" s="246">
        <f>_xlfn.XLOOKUP($F421,'Budget Assumption Driver'!$A$33:$A$39,'Budget Assumption Driver'!H$33:H$39)+J421</f>
        <v>-0.4138245925986318</v>
      </c>
      <c r="W421" s="246">
        <f>_xlfn.XLOOKUP($F421,'Budget Assumption Driver'!$A$33:$A$39,'Budget Assumption Driver'!I$33:I$39)+K421</f>
        <v>-0.41196738738795374</v>
      </c>
      <c r="X421" s="246">
        <f>_xlfn.XLOOKUP($F421,'Budget Assumption Driver'!$A$33:$A$39,'Budget Assumption Driver'!J$33:J$39)+L421</f>
        <v>-0.41147181765752322</v>
      </c>
      <c r="Y421" s="246">
        <f>_xlfn.XLOOKUP($F421,'Budget Assumption Driver'!$A$33:$A$39,'Budget Assumption Driver'!K$33:K$39)+M421</f>
        <v>-0.40209264344328793</v>
      </c>
      <c r="Z421" s="246">
        <f>_xlfn.XLOOKUP($F421,'Budget Assumption Driver'!$A$33:$A$39,'Budget Assumption Driver'!L$33:L$39)+N421</f>
        <v>-0.40170779638719173</v>
      </c>
      <c r="AA421" s="246">
        <f>_xlfn.XLOOKUP($F421,'Budget Assumption Driver'!$A$33:$A$39,'Budget Assumption Driver'!M$33:M$39)+O421</f>
        <v>-0.40889874295877304</v>
      </c>
      <c r="AB421" s="246">
        <f>_xlfn.XLOOKUP($F421,'Budget Assumption Driver'!$A$33:$A$39,'Budget Assumption Driver'!N$33:N$39)+P421</f>
        <v>-0.39837040044363037</v>
      </c>
      <c r="AC421" s="246">
        <f>_xlfn.XLOOKUP($F421,'Budget Assumption Driver'!$A$33:$A$39,'Budget Assumption Driver'!O$33:O$39)+Q421</f>
        <v>-0.40096817354460845</v>
      </c>
      <c r="AD421" s="296">
        <f>_xlfn.XLOOKUP($F421,'Budget Assumption Driver'!$A$33:$A$39,'Budget Assumption Driver'!P$33:P$39)+R421</f>
        <v>-0.39550346475450776</v>
      </c>
      <c r="AE421" s="15"/>
      <c r="AF421" s="232">
        <f>_xlfn.XLOOKUP($C421,'Site Level Financials - ''23 ''24'!$C$2:$C$1577,'Site Level Financials - ''23 ''24'!$AF$2:$AF$1577)</f>
        <v>-0.34704759693012438</v>
      </c>
      <c r="AG421" s="97">
        <f t="shared" ref="AG421:AH421" si="1145">AG420/AG417</f>
        <v>-0.38623909293810416</v>
      </c>
      <c r="AH421" s="97">
        <f t="shared" si="1145"/>
        <v>-0.39254030974231519</v>
      </c>
    </row>
    <row r="422" spans="2:34" ht="3" customHeight="1" x14ac:dyDescent="0.2">
      <c r="B422" s="9">
        <f>G405</f>
        <v>9</v>
      </c>
      <c r="C422" s="9" t="str">
        <f t="shared" si="1112"/>
        <v xml:space="preserve">9 - </v>
      </c>
      <c r="D422" s="9" t="s">
        <v>56</v>
      </c>
      <c r="F422" s="16"/>
      <c r="G422" s="84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4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6"/>
      <c r="AE422" s="15"/>
      <c r="AF422" s="36"/>
      <c r="AG422" s="38"/>
      <c r="AH422" s="38"/>
    </row>
    <row r="423" spans="2:34" x14ac:dyDescent="0.2">
      <c r="B423" s="9">
        <f>G405</f>
        <v>9</v>
      </c>
      <c r="C423" s="9" t="str">
        <f t="shared" si="1112"/>
        <v>9 - Administrative Staff Compensation</v>
      </c>
      <c r="D423" s="9" t="s">
        <v>56</v>
      </c>
      <c r="F423" t="s">
        <v>5</v>
      </c>
      <c r="G423" s="178">
        <f>_xlfn.XLOOKUP($C423,'Site Level Financials - ''23 ''24'!$C$2:$C$1577,'Site Level Financials - ''23 ''24'!S$2:S$1577)</f>
        <v>-65.08599589338138</v>
      </c>
      <c r="H423" s="179">
        <f>_xlfn.XLOOKUP($C423,'Site Level Financials - ''23 ''24'!$C$2:$C$1577,'Site Level Financials - ''23 ''24'!T$2:T$1577)</f>
        <v>-66.78179541029742</v>
      </c>
      <c r="I423" s="179">
        <f>_xlfn.XLOOKUP($C423,'Site Level Financials - ''23 ''24'!$C$2:$C$1577,'Site Level Financials - ''23 ''24'!U$2:U$1577)</f>
        <v>-73.047728017309467</v>
      </c>
      <c r="J423" s="179">
        <f>_xlfn.XLOOKUP($C423,'Site Level Financials - ''23 ''24'!$C$2:$C$1577,'Site Level Financials - ''23 ''24'!V$2:V$1577)</f>
        <v>-87.854814275422612</v>
      </c>
      <c r="K423" s="179">
        <f>_xlfn.XLOOKUP($C423,'Site Level Financials - ''23 ''24'!$C$2:$C$1577,'Site Level Financials - ''23 ''24'!W$2:W$1577)</f>
        <v>-102.79707438910366</v>
      </c>
      <c r="L423" s="179">
        <f>_xlfn.XLOOKUP($C423,'Site Level Financials - ''23 ''24'!$C$2:$C$1577,'Site Level Financials - ''23 ''24'!X$2:X$1577)</f>
        <v>-94.829589470850991</v>
      </c>
      <c r="M423" s="179">
        <f>_xlfn.XLOOKUP($C423,'Site Level Financials - ''23 ''24'!$C$2:$C$1577,'Site Level Financials - ''23 ''24'!Y$2:Y$1577)</f>
        <v>-84.941180800514545</v>
      </c>
      <c r="N423" s="179">
        <f>_xlfn.XLOOKUP($C423,'Site Level Financials - ''23 ''24'!$C$2:$C$1577,'Site Level Financials - ''23 ''24'!Z$2:Z$1577)</f>
        <v>-79.083862359361049</v>
      </c>
      <c r="O423" s="179">
        <f>_xlfn.XLOOKUP($C423,'Site Level Financials - ''23 ''24'!$C$2:$C$1577,'Site Level Financials - ''23 ''24'!AA$2:AA$1577)</f>
        <v>-70.019771045714734</v>
      </c>
      <c r="P423" s="179">
        <f>_xlfn.XLOOKUP($C423,'Site Level Financials - ''23 ''24'!$C$2:$C$1577,'Site Level Financials - ''23 ''24'!AB$2:AB$1577)</f>
        <v>-73.446593754113408</v>
      </c>
      <c r="Q423" s="179">
        <f>_xlfn.XLOOKUP($C423,'Site Level Financials - ''23 ''24'!$C$2:$C$1577,'Site Level Financials - ''23 ''24'!AC$2:AC$1577)</f>
        <v>-55.45103774001953</v>
      </c>
      <c r="R423" s="179">
        <f>_xlfn.XLOOKUP($C423,'Site Level Financials - ''23 ''24'!$C$2:$C$1577,'Site Level Financials - ''23 ''24'!AD$2:AD$1577)</f>
        <v>-47.314311261220553</v>
      </c>
      <c r="S423" s="155">
        <f>S424*S417</f>
        <v>-52.567970559714318</v>
      </c>
      <c r="T423" s="154">
        <f t="shared" ref="T423" si="1146">T424*T417</f>
        <v>-53.867949728776416</v>
      </c>
      <c r="U423" s="154">
        <f t="shared" ref="U423" si="1147">U424*U417</f>
        <v>-75.554469377543867</v>
      </c>
      <c r="V423" s="154">
        <f t="shared" ref="V423" si="1148">V424*V417</f>
        <v>-126.21595295174595</v>
      </c>
      <c r="W423" s="154">
        <f t="shared" ref="W423" si="1149">W424*W417</f>
        <v>-155.20404557995107</v>
      </c>
      <c r="X423" s="154">
        <f t="shared" ref="X423" si="1150">X424*X417</f>
        <v>-133.08248890536646</v>
      </c>
      <c r="Y423" s="154">
        <f t="shared" ref="Y423" si="1151">Y424*Y417</f>
        <v>-108.10839232683755</v>
      </c>
      <c r="Z423" s="154">
        <f t="shared" ref="Z423" si="1152">Z424*Z417</f>
        <v>-93.589871584035436</v>
      </c>
      <c r="AA423" s="154">
        <f t="shared" ref="AA423" si="1153">AA424*AA417</f>
        <v>-83.128856123155074</v>
      </c>
      <c r="AB423" s="154">
        <f t="shared" ref="AB423" si="1154">AB424*AB417</f>
        <v>-92.636757369061954</v>
      </c>
      <c r="AC423" s="154">
        <f t="shared" ref="AC423" si="1155">AC424*AC417</f>
        <v>-73.300691898562746</v>
      </c>
      <c r="AD423" s="156">
        <f t="shared" ref="AD423" si="1156">AD424*AD417</f>
        <v>-57.415465432234264</v>
      </c>
      <c r="AE423" s="15"/>
      <c r="AF423" s="115">
        <f>_xlfn.XLOOKUP($C423,'Site Level Financials - ''23 ''24'!$C$2:$C$1577,'Site Level Financials - ''23 ''24'!$AF$2:$AF$1577)</f>
        <v>-824.11675018471806</v>
      </c>
      <c r="AG423" s="93">
        <f>SUM(G423:R423)</f>
        <v>-900.6537544173093</v>
      </c>
      <c r="AH423" s="93">
        <f t="shared" ref="AH423" si="1157">SUM(S423:AD423)</f>
        <v>-1104.6729118369851</v>
      </c>
    </row>
    <row r="424" spans="2:34" x14ac:dyDescent="0.2">
      <c r="B424" s="9">
        <f>G405</f>
        <v>9</v>
      </c>
      <c r="C424" s="9" t="str">
        <f t="shared" si="1112"/>
        <v>9 - % of Revenue - Administrative Staff Compensation</v>
      </c>
      <c r="D424" s="9" t="s">
        <v>56</v>
      </c>
      <c r="F424" s="16" t="str">
        <f>"% of Revenue - "&amp;F423</f>
        <v>% of Revenue - Administrative Staff Compensation</v>
      </c>
      <c r="G424" s="148">
        <f>G423/G417</f>
        <v>-0.17757670461409003</v>
      </c>
      <c r="H424" s="149">
        <f t="shared" ref="H424:R424" si="1158">H423/H417</f>
        <v>-0.17573327823271379</v>
      </c>
      <c r="I424" s="149">
        <f t="shared" si="1158"/>
        <v>-0.22954333068348684</v>
      </c>
      <c r="J424" s="149">
        <f t="shared" si="1158"/>
        <v>-0.35798414960313768</v>
      </c>
      <c r="K424" s="149">
        <f t="shared" si="1158"/>
        <v>-0.37038136536830712</v>
      </c>
      <c r="L424" s="149">
        <f t="shared" si="1158"/>
        <v>-0.37819661834833473</v>
      </c>
      <c r="M424" s="149">
        <f t="shared" si="1158"/>
        <v>-0.25661555267821651</v>
      </c>
      <c r="N424" s="149">
        <f t="shared" si="1158"/>
        <v>-0.25907346371714074</v>
      </c>
      <c r="O424" s="149">
        <f t="shared" si="1158"/>
        <v>-0.25098844949960036</v>
      </c>
      <c r="P424" s="149">
        <f t="shared" si="1158"/>
        <v>-0.24353255280902175</v>
      </c>
      <c r="Q424" s="149">
        <f t="shared" si="1158"/>
        <v>-0.24377935828132197</v>
      </c>
      <c r="R424" s="149">
        <f t="shared" si="1158"/>
        <v>-0.23394538135487691</v>
      </c>
      <c r="S424" s="245">
        <f>_xlfn.XLOOKUP($F424,'Budget Assumption Driver'!$A$33:$A$39,'Budget Assumption Driver'!E$33:E$39)+G424</f>
        <v>-0.17757670461409003</v>
      </c>
      <c r="T424" s="246">
        <f>_xlfn.XLOOKUP($F424,'Budget Assumption Driver'!$A$33:$A$39,'Budget Assumption Driver'!F$33:F$39)+H424</f>
        <v>-0.17573327823271379</v>
      </c>
      <c r="U424" s="246">
        <f>_xlfn.XLOOKUP($F424,'Budget Assumption Driver'!$A$33:$A$39,'Budget Assumption Driver'!G$33:G$39)+I424</f>
        <v>-0.22954333068348684</v>
      </c>
      <c r="V424" s="246">
        <f>_xlfn.XLOOKUP($F424,'Budget Assumption Driver'!$A$33:$A$39,'Budget Assumption Driver'!H$33:H$39)+J424</f>
        <v>-0.35798414960313768</v>
      </c>
      <c r="W424" s="246">
        <f>_xlfn.XLOOKUP($F424,'Budget Assumption Driver'!$A$33:$A$39,'Budget Assumption Driver'!I$33:I$39)+K424</f>
        <v>-0.37038136536830712</v>
      </c>
      <c r="X424" s="246">
        <f>_xlfn.XLOOKUP($F424,'Budget Assumption Driver'!$A$33:$A$39,'Budget Assumption Driver'!J$33:J$39)+L424</f>
        <v>-0.37819661834833473</v>
      </c>
      <c r="Y424" s="246">
        <f>_xlfn.XLOOKUP($F424,'Budget Assumption Driver'!$A$33:$A$39,'Budget Assumption Driver'!K$33:K$39)+M424</f>
        <v>-0.25661555267821651</v>
      </c>
      <c r="Z424" s="246">
        <f>_xlfn.XLOOKUP($F424,'Budget Assumption Driver'!$A$33:$A$39,'Budget Assumption Driver'!L$33:L$39)+N424</f>
        <v>-0.25907346371714074</v>
      </c>
      <c r="AA424" s="246">
        <f>_xlfn.XLOOKUP($F424,'Budget Assumption Driver'!$A$33:$A$39,'Budget Assumption Driver'!M$33:M$39)+O424</f>
        <v>-0.25098844949960036</v>
      </c>
      <c r="AB424" s="246">
        <f>_xlfn.XLOOKUP($F424,'Budget Assumption Driver'!$A$33:$A$39,'Budget Assumption Driver'!N$33:N$39)+P424</f>
        <v>-0.24353255280902175</v>
      </c>
      <c r="AC424" s="246">
        <f>_xlfn.XLOOKUP($F424,'Budget Assumption Driver'!$A$33:$A$39,'Budget Assumption Driver'!O$33:O$39)+Q424</f>
        <v>-0.24377935828132197</v>
      </c>
      <c r="AD424" s="296">
        <f>_xlfn.XLOOKUP($F424,'Budget Assumption Driver'!$A$33:$A$39,'Budget Assumption Driver'!P$33:P$39)+R424</f>
        <v>-0.23394538135487691</v>
      </c>
      <c r="AE424" s="15"/>
      <c r="AF424" s="232">
        <f>_xlfn.XLOOKUP($C424,'Site Level Financials - ''23 ''24'!$C$2:$C$1577,'Site Level Financials - ''23 ''24'!$AF$2:$AF$1577)</f>
        <v>-0.21779792188241273</v>
      </c>
      <c r="AG424" s="97">
        <f t="shared" ref="AG424:AH424" si="1159">AG423/AG417</f>
        <v>-0.25843661365973497</v>
      </c>
      <c r="AH424" s="97">
        <f t="shared" si="1159"/>
        <v>-0.26973192729073037</v>
      </c>
    </row>
    <row r="425" spans="2:34" ht="3" customHeight="1" x14ac:dyDescent="0.2">
      <c r="B425" s="9">
        <f>G405</f>
        <v>9</v>
      </c>
      <c r="C425" s="9" t="str">
        <f t="shared" si="1112"/>
        <v xml:space="preserve">9 - </v>
      </c>
      <c r="D425" s="9" t="s">
        <v>56</v>
      </c>
      <c r="F425" s="16"/>
      <c r="G425" s="84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4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6"/>
      <c r="AE425" s="15"/>
      <c r="AF425" s="36"/>
      <c r="AG425" s="38"/>
      <c r="AH425" s="38"/>
    </row>
    <row r="426" spans="2:34" x14ac:dyDescent="0.2">
      <c r="B426" s="9">
        <f>G405</f>
        <v>9</v>
      </c>
      <c r="C426" s="9" t="str">
        <f t="shared" si="1112"/>
        <v>9 - Office Supplies</v>
      </c>
      <c r="D426" s="9" t="s">
        <v>56</v>
      </c>
      <c r="F426" t="s">
        <v>6</v>
      </c>
      <c r="G426" s="178">
        <f>_xlfn.XLOOKUP($C426,'Site Level Financials - ''23 ''24'!$C$2:$C$1577,'Site Level Financials - ''23 ''24'!S$2:S$1577)</f>
        <v>-25.895862578447986</v>
      </c>
      <c r="H426" s="179">
        <f>_xlfn.XLOOKUP($C426,'Site Level Financials - ''23 ''24'!$C$2:$C$1577,'Site Level Financials - ''23 ''24'!T$2:T$1577)</f>
        <v>-27.40134558965029</v>
      </c>
      <c r="I426" s="179">
        <f>_xlfn.XLOOKUP($C426,'Site Level Financials - ''23 ''24'!$C$2:$C$1577,'Site Level Financials - ''23 ''24'!U$2:U$1577)</f>
        <v>-29.727409978033059</v>
      </c>
      <c r="J426" s="179">
        <f>_xlfn.XLOOKUP($C426,'Site Level Financials - ''23 ''24'!$C$2:$C$1577,'Site Level Financials - ''23 ''24'!V$2:V$1577)</f>
        <v>-34.518155633225369</v>
      </c>
      <c r="K426" s="179">
        <f>_xlfn.XLOOKUP($C426,'Site Level Financials - ''23 ''24'!$C$2:$C$1577,'Site Level Financials - ''23 ''24'!W$2:W$1577)</f>
        <v>-38.441282671945793</v>
      </c>
      <c r="L426" s="179">
        <f>_xlfn.XLOOKUP($C426,'Site Level Financials - ''23 ''24'!$C$2:$C$1577,'Site Level Financials - ''23 ''24'!X$2:X$1577)</f>
        <v>-35.720544889602827</v>
      </c>
      <c r="M426" s="179">
        <f>_xlfn.XLOOKUP($C426,'Site Level Financials - ''23 ''24'!$C$2:$C$1577,'Site Level Financials - ''23 ''24'!Y$2:Y$1577)</f>
        <v>-32.733069316582608</v>
      </c>
      <c r="N426" s="179">
        <f>_xlfn.XLOOKUP($C426,'Site Level Financials - ''23 ''24'!$C$2:$C$1577,'Site Level Financials - ''23 ''24'!Z$2:Z$1577)</f>
        <v>-30.353221435094355</v>
      </c>
      <c r="O426" s="179">
        <f>_xlfn.XLOOKUP($C426,'Site Level Financials - ''23 ''24'!$C$2:$C$1577,'Site Level Financials - ''23 ''24'!AA$2:AA$1577)</f>
        <v>-28.036588128520194</v>
      </c>
      <c r="P426" s="179">
        <f>_xlfn.XLOOKUP($C426,'Site Level Financials - ''23 ''24'!$C$2:$C$1577,'Site Level Financials - ''23 ''24'!AB$2:AB$1577)</f>
        <v>-29.18340186370207</v>
      </c>
      <c r="Q426" s="179">
        <f>_xlfn.XLOOKUP($C426,'Site Level Financials - ''23 ''24'!$C$2:$C$1577,'Site Level Financials - ''23 ''24'!AC$2:AC$1577)</f>
        <v>-21.797647281115754</v>
      </c>
      <c r="R426" s="179">
        <f>_xlfn.XLOOKUP($C426,'Site Level Financials - ''23 ''24'!$C$2:$C$1577,'Site Level Financials - ''23 ''24'!AD$2:AD$1577)</f>
        <v>-18.965894850415619</v>
      </c>
      <c r="S426" s="155">
        <f>S427*S417</f>
        <v>-20.915297107418034</v>
      </c>
      <c r="T426" s="154">
        <f t="shared" ref="T426" si="1160">T427*T417</f>
        <v>-22.102644854865808</v>
      </c>
      <c r="U426" s="154">
        <f t="shared" ref="U426" si="1161">U427*U417</f>
        <v>-30.747550236288895</v>
      </c>
      <c r="V426" s="154">
        <f t="shared" ref="V426" si="1162">V427*V417</f>
        <v>-49.590246628101021</v>
      </c>
      <c r="W426" s="154">
        <f t="shared" ref="W426" si="1163">W427*W417</f>
        <v>-58.039031007684713</v>
      </c>
      <c r="X426" s="154">
        <f t="shared" ref="X426" si="1164">X427*X417</f>
        <v>-50.12970155718584</v>
      </c>
      <c r="Y426" s="154">
        <f t="shared" ref="Y426" si="1165">Y427*Y417</f>
        <v>-41.660823011742785</v>
      </c>
      <c r="Z426" s="154">
        <f t="shared" ref="Z426" si="1166">Z427*Z417</f>
        <v>-35.920780947239813</v>
      </c>
      <c r="AA426" s="154">
        <f t="shared" ref="AA426" si="1167">AA427*AA417</f>
        <v>-33.285591568105403</v>
      </c>
      <c r="AB426" s="154">
        <f t="shared" ref="AB426" si="1168">AB427*AB417</f>
        <v>-36.808456042254384</v>
      </c>
      <c r="AC426" s="154">
        <f t="shared" ref="AC426" si="1169">AC427*AC417</f>
        <v>-28.814296225758017</v>
      </c>
      <c r="AD426" s="156">
        <f t="shared" ref="AD426" si="1170">AD427*AD417</f>
        <v>-23.014932504532393</v>
      </c>
      <c r="AE426" s="15"/>
      <c r="AF426" s="115">
        <f>_xlfn.XLOOKUP($C426,'Site Level Financials - ''23 ''24'!$C$2:$C$1577,'Site Level Financials - ''23 ''24'!$AF$2:$AF$1577)</f>
        <v>-302.44373427517166</v>
      </c>
      <c r="AG426" s="93">
        <f>SUM(G426:R426)</f>
        <v>-352.77442421633589</v>
      </c>
      <c r="AH426" s="93">
        <f t="shared" ref="AH426" si="1171">SUM(S426:AD426)</f>
        <v>-431.02935169117706</v>
      </c>
    </row>
    <row r="427" spans="2:34" x14ac:dyDescent="0.2">
      <c r="B427" s="9">
        <f>G405</f>
        <v>9</v>
      </c>
      <c r="C427" s="9" t="str">
        <f t="shared" si="1112"/>
        <v>9 - % of Revenue - Office Supplies</v>
      </c>
      <c r="D427" s="9" t="s">
        <v>56</v>
      </c>
      <c r="F427" s="16" t="str">
        <f>"% of Revenue - "&amp;F426</f>
        <v>% of Revenue - Office Supplies</v>
      </c>
      <c r="G427" s="148">
        <f>G426/G417</f>
        <v>-7.0652709184215609E-2</v>
      </c>
      <c r="H427" s="149">
        <f t="shared" ref="H427:R427" si="1172">H426/H417</f>
        <v>-7.2105403259557471E-2</v>
      </c>
      <c r="I427" s="149">
        <f t="shared" si="1172"/>
        <v>-9.3414660307220926E-2</v>
      </c>
      <c r="J427" s="149">
        <f t="shared" si="1172"/>
        <v>-0.14065196872979788</v>
      </c>
      <c r="K427" s="149">
        <f t="shared" si="1172"/>
        <v>-0.1385052526752992</v>
      </c>
      <c r="L427" s="149">
        <f t="shared" si="1172"/>
        <v>-0.14245964111191514</v>
      </c>
      <c r="M427" s="149">
        <f t="shared" si="1172"/>
        <v>-9.8889779896706276E-2</v>
      </c>
      <c r="N427" s="149">
        <f t="shared" si="1172"/>
        <v>-9.9435130980706818E-2</v>
      </c>
      <c r="O427" s="149">
        <f t="shared" si="1172"/>
        <v>-0.10049818327800498</v>
      </c>
      <c r="P427" s="149">
        <f t="shared" si="1172"/>
        <v>-9.6765663215265058E-2</v>
      </c>
      <c r="Q427" s="149">
        <f t="shared" si="1172"/>
        <v>-9.5828981436680505E-2</v>
      </c>
      <c r="R427" s="149">
        <f t="shared" si="1172"/>
        <v>-9.3776774621542255E-2</v>
      </c>
      <c r="S427" s="245">
        <f>_xlfn.XLOOKUP($F427,'Budget Assumption Driver'!$A$33:$A$39,'Budget Assumption Driver'!E$33:E$39)+G427</f>
        <v>-7.0652709184215609E-2</v>
      </c>
      <c r="T427" s="246">
        <f>_xlfn.XLOOKUP($F427,'Budget Assumption Driver'!$A$33:$A$39,'Budget Assumption Driver'!F$33:F$39)+H427</f>
        <v>-7.2105403259557471E-2</v>
      </c>
      <c r="U427" s="246">
        <f>_xlfn.XLOOKUP($F427,'Budget Assumption Driver'!$A$33:$A$39,'Budget Assumption Driver'!G$33:G$39)+I427</f>
        <v>-9.3414660307220926E-2</v>
      </c>
      <c r="V427" s="246">
        <f>_xlfn.XLOOKUP($F427,'Budget Assumption Driver'!$A$33:$A$39,'Budget Assumption Driver'!H$33:H$39)+J427</f>
        <v>-0.14065196872979788</v>
      </c>
      <c r="W427" s="246">
        <f>_xlfn.XLOOKUP($F427,'Budget Assumption Driver'!$A$33:$A$39,'Budget Assumption Driver'!I$33:I$39)+K427</f>
        <v>-0.1385052526752992</v>
      </c>
      <c r="X427" s="246">
        <f>_xlfn.XLOOKUP($F427,'Budget Assumption Driver'!$A$33:$A$39,'Budget Assumption Driver'!J$33:J$39)+L427</f>
        <v>-0.14245964111191514</v>
      </c>
      <c r="Y427" s="246">
        <f>_xlfn.XLOOKUP($F427,'Budget Assumption Driver'!$A$33:$A$39,'Budget Assumption Driver'!K$33:K$39)+M427</f>
        <v>-9.8889779896706276E-2</v>
      </c>
      <c r="Z427" s="246">
        <f>_xlfn.XLOOKUP($F427,'Budget Assumption Driver'!$A$33:$A$39,'Budget Assumption Driver'!L$33:L$39)+N427</f>
        <v>-9.9435130980706818E-2</v>
      </c>
      <c r="AA427" s="246">
        <f>_xlfn.XLOOKUP($F427,'Budget Assumption Driver'!$A$33:$A$39,'Budget Assumption Driver'!M$33:M$39)+O427</f>
        <v>-0.10049818327800498</v>
      </c>
      <c r="AB427" s="246">
        <f>_xlfn.XLOOKUP($F427,'Budget Assumption Driver'!$A$33:$A$39,'Budget Assumption Driver'!N$33:N$39)+P427</f>
        <v>-9.6765663215265058E-2</v>
      </c>
      <c r="AC427" s="246">
        <f>_xlfn.XLOOKUP($F427,'Budget Assumption Driver'!$A$33:$A$39,'Budget Assumption Driver'!O$33:O$39)+Q427</f>
        <v>-9.5828981436680505E-2</v>
      </c>
      <c r="AD427" s="296">
        <f>_xlfn.XLOOKUP($F427,'Budget Assumption Driver'!$A$33:$A$39,'Budget Assumption Driver'!P$33:P$39)+R427</f>
        <v>-9.3776774621542255E-2</v>
      </c>
      <c r="AE427" s="15"/>
      <c r="AF427" s="232">
        <f>_xlfn.XLOOKUP($C427,'Site Level Financials - ''23 ''24'!$C$2:$C$1577,'Site Level Financials - ''23 ''24'!$AF$2:$AF$1577)</f>
        <v>-7.9929957492945666E-2</v>
      </c>
      <c r="AG427" s="97">
        <f t="shared" ref="AG427:AH427" si="1173">AG426/AG417</f>
        <v>-0.10122627828184234</v>
      </c>
      <c r="AH427" s="97">
        <f t="shared" si="1173"/>
        <v>-0.10524597507980885</v>
      </c>
    </row>
    <row r="428" spans="2:34" ht="6" customHeight="1" x14ac:dyDescent="0.2">
      <c r="B428" s="9">
        <f>G405</f>
        <v>9</v>
      </c>
      <c r="C428" s="9" t="str">
        <f t="shared" si="1112"/>
        <v xml:space="preserve">9 - </v>
      </c>
      <c r="D428" s="9" t="s">
        <v>56</v>
      </c>
      <c r="F428" s="16"/>
      <c r="G428" s="80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80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81"/>
      <c r="AE428" s="15"/>
      <c r="AF428" s="11"/>
      <c r="AG428" s="15"/>
      <c r="AH428" s="15"/>
    </row>
    <row r="429" spans="2:34" x14ac:dyDescent="0.2">
      <c r="B429" s="9">
        <f>G405</f>
        <v>9</v>
      </c>
      <c r="C429" s="9" t="str">
        <f t="shared" si="1112"/>
        <v>9 - Office Gross Profit</v>
      </c>
      <c r="D429" s="9" t="s">
        <v>56</v>
      </c>
      <c r="F429" s="8" t="s">
        <v>11</v>
      </c>
      <c r="G429" s="241">
        <f>_xlfn.XLOOKUP($C429,'Site Level Financials - ''23 ''24'!$C$2:$C$1577,'Site Level Financials - ''23 ''24'!S$2:S$1577)</f>
        <v>159.3294172356855</v>
      </c>
      <c r="H429" s="242">
        <f>_xlfn.XLOOKUP($C429,'Site Level Financials - ''23 ''24'!$C$2:$C$1577,'Site Level Financials - ''23 ''24'!T$2:T$1577)</f>
        <v>167.84350958974238</v>
      </c>
      <c r="I429" s="242">
        <f>_xlfn.XLOOKUP($C429,'Site Level Financials - ''23 ''24'!$C$2:$C$1577,'Site Level Financials - ''23 ''24'!U$2:U$1577)</f>
        <v>83.813520909164765</v>
      </c>
      <c r="J429" s="242">
        <f>_xlfn.XLOOKUP($C429,'Site Level Financials - ''23 ''24'!$C$2:$C$1577,'Site Level Financials - ''23 ''24'!V$2:V$1577)</f>
        <v>21.483487443328606</v>
      </c>
      <c r="K429" s="242">
        <f>_xlfn.XLOOKUP($C429,'Site Level Financials - ''23 ''24'!$C$2:$C$1577,'Site Level Financials - ''23 ''24'!W$2:W$1577)</f>
        <v>21.966484958445726</v>
      </c>
      <c r="L429" s="242">
        <f>_xlfn.XLOOKUP($C429,'Site Level Financials - ''23 ''24'!$C$2:$C$1577,'Site Level Financials - ''23 ''24'!X$2:X$1577)</f>
        <v>17.018308126675983</v>
      </c>
      <c r="M429" s="242">
        <f>_xlfn.XLOOKUP($C429,'Site Level Financials - ''23 ''24'!$C$2:$C$1577,'Site Level Financials - ''23 ''24'!Y$2:Y$1577)</f>
        <v>80.236423437930057</v>
      </c>
      <c r="N429" s="242">
        <f>_xlfn.XLOOKUP($C429,'Site Level Financials - ''23 ''24'!$C$2:$C$1577,'Site Level Financials - ''23 ''24'!Z$2:Z$1577)</f>
        <v>73.195508530219982</v>
      </c>
      <c r="O429" s="242">
        <f>_xlfn.XLOOKUP($C429,'Site Level Financials - ''23 ''24'!$C$2:$C$1577,'Site Level Financials - ''23 ''24'!AA$2:AA$1577)</f>
        <v>66.846745990079768</v>
      </c>
      <c r="P429" s="242">
        <f>_xlfn.XLOOKUP($C429,'Site Level Financials - ''23 ''24'!$C$2:$C$1577,'Site Level Financials - ''23 ''24'!AB$2:AB$1577)</f>
        <v>78.814514692551782</v>
      </c>
      <c r="Q429" s="242">
        <f>_xlfn.XLOOKUP($C429,'Site Level Financials - ''23 ''24'!$C$2:$C$1577,'Site Level Financials - ''23 ''24'!AC$2:AC$1577)</f>
        <v>59.009514403273414</v>
      </c>
      <c r="R429" s="242">
        <f>_xlfn.XLOOKUP($C429,'Site Level Financials - ''23 ''24'!$C$2:$C$1577,'Site Level Financials - ''23 ''24'!AD$2:AD$1577)</f>
        <v>55.97626699884853</v>
      </c>
      <c r="S429" s="134">
        <f t="shared" ref="S429:AD429" si="1174">S417+S420+S423+S426</f>
        <v>128.68550291927966</v>
      </c>
      <c r="T429" s="135">
        <f t="shared" si="1174"/>
        <v>135.38698205600375</v>
      </c>
      <c r="U429" s="135">
        <f t="shared" si="1174"/>
        <v>86.689706454047013</v>
      </c>
      <c r="V429" s="135">
        <f t="shared" si="1174"/>
        <v>30.864089381441552</v>
      </c>
      <c r="W429" s="135">
        <f t="shared" si="1174"/>
        <v>33.165217521825724</v>
      </c>
      <c r="X429" s="135">
        <f t="shared" si="1174"/>
        <v>23.883250102570955</v>
      </c>
      <c r="Y429" s="135">
        <f t="shared" si="1174"/>
        <v>102.12043984061805</v>
      </c>
      <c r="Z429" s="135">
        <f t="shared" si="1174"/>
        <v>86.621442599036016</v>
      </c>
      <c r="AA429" s="135">
        <f t="shared" si="1174"/>
        <v>79.361778062405136</v>
      </c>
      <c r="AB429" s="135">
        <f t="shared" si="1174"/>
        <v>99.407211438248424</v>
      </c>
      <c r="AC429" s="135">
        <f t="shared" si="1174"/>
        <v>78.004639960713249</v>
      </c>
      <c r="AD429" s="136">
        <f t="shared" si="1174"/>
        <v>67.926666102229888</v>
      </c>
      <c r="AE429" s="15"/>
      <c r="AF429" s="114">
        <f>_xlfn.XLOOKUP($C429,'Site Level Financials - ''23 ''24'!$C$2:$C$1577,'Site Level Financials - ''23 ''24'!$AF$2:$AF$1577)</f>
        <v>1344.1197120838067</v>
      </c>
      <c r="AG429" s="95">
        <f>SUM(G429:R429)</f>
        <v>885.53370231594658</v>
      </c>
      <c r="AH429" s="95">
        <f t="shared" ref="AH429" si="1175">SUM(S429:AD429)</f>
        <v>952.11692643841934</v>
      </c>
    </row>
    <row r="430" spans="2:34" x14ac:dyDescent="0.2">
      <c r="B430" s="9">
        <f>G405</f>
        <v>9</v>
      </c>
      <c r="C430" s="9" t="str">
        <f t="shared" si="1112"/>
        <v>9 - % of Revenue - Office Gross Profit</v>
      </c>
      <c r="D430" s="9" t="s">
        <v>56</v>
      </c>
      <c r="F430" s="16" t="str">
        <f>"% of Revenue - "&amp;F429</f>
        <v>% of Revenue - Office Gross Profit</v>
      </c>
      <c r="G430" s="148">
        <f>G429/G417</f>
        <v>0.43470476978095335</v>
      </c>
      <c r="H430" s="149">
        <f t="shared" ref="H430:AD430" si="1176">H429/H417</f>
        <v>0.44167261435653582</v>
      </c>
      <c r="I430" s="149">
        <f t="shared" si="1176"/>
        <v>0.26337348563723834</v>
      </c>
      <c r="J430" s="149">
        <f t="shared" si="1176"/>
        <v>8.7539289068432585E-2</v>
      </c>
      <c r="K430" s="149">
        <f t="shared" si="1176"/>
        <v>7.914599456843989E-2</v>
      </c>
      <c r="L430" s="149">
        <f t="shared" si="1176"/>
        <v>6.7871922882226959E-2</v>
      </c>
      <c r="M430" s="149">
        <f t="shared" si="1176"/>
        <v>0.24240202398178926</v>
      </c>
      <c r="N430" s="149">
        <f t="shared" si="1176"/>
        <v>0.2397836089149607</v>
      </c>
      <c r="O430" s="149">
        <f t="shared" si="1176"/>
        <v>0.23961462426362162</v>
      </c>
      <c r="P430" s="149">
        <f t="shared" si="1176"/>
        <v>0.26133138353208279</v>
      </c>
      <c r="Q430" s="149">
        <f t="shared" si="1176"/>
        <v>0.25942348673738913</v>
      </c>
      <c r="R430" s="149">
        <f t="shared" si="1176"/>
        <v>0.27677437926907306</v>
      </c>
      <c r="S430" s="148">
        <f t="shared" si="1176"/>
        <v>0.43470476978095329</v>
      </c>
      <c r="T430" s="149">
        <f t="shared" si="1176"/>
        <v>0.44167261435653599</v>
      </c>
      <c r="U430" s="149">
        <f t="shared" si="1176"/>
        <v>0.26337348563723839</v>
      </c>
      <c r="V430" s="149">
        <f t="shared" si="1176"/>
        <v>8.7539289068432669E-2</v>
      </c>
      <c r="W430" s="149">
        <f t="shared" si="1176"/>
        <v>7.9145994568439959E-2</v>
      </c>
      <c r="X430" s="149">
        <f t="shared" si="1176"/>
        <v>6.7871922882226932E-2</v>
      </c>
      <c r="Y430" s="149">
        <f t="shared" si="1176"/>
        <v>0.24240202398178928</v>
      </c>
      <c r="Z430" s="149">
        <f t="shared" si="1176"/>
        <v>0.2397836089149607</v>
      </c>
      <c r="AA430" s="149">
        <f t="shared" si="1176"/>
        <v>0.2396146242636216</v>
      </c>
      <c r="AB430" s="149">
        <f t="shared" si="1176"/>
        <v>0.26133138353208279</v>
      </c>
      <c r="AC430" s="149">
        <f t="shared" si="1176"/>
        <v>0.25942348673738913</v>
      </c>
      <c r="AD430" s="150">
        <f t="shared" si="1176"/>
        <v>0.27677437926907311</v>
      </c>
      <c r="AE430" s="15"/>
      <c r="AF430" s="233">
        <f>_xlfn.XLOOKUP($C430,'Site Level Financials - ''23 ''24'!$C$2:$C$1577,'Site Level Financials - ''23 ''24'!$AF$2:$AF$1577)</f>
        <v>0.35522452369451735</v>
      </c>
      <c r="AG430" s="97">
        <f t="shared" ref="AG430:AH430" si="1177">AG429/AG417</f>
        <v>0.25409801512031843</v>
      </c>
      <c r="AH430" s="97">
        <f t="shared" si="1177"/>
        <v>0.23248178788714555</v>
      </c>
    </row>
    <row r="431" spans="2:34" ht="6" customHeight="1" x14ac:dyDescent="0.2">
      <c r="B431" s="9">
        <f>G405</f>
        <v>9</v>
      </c>
      <c r="C431" s="9" t="str">
        <f t="shared" si="1112"/>
        <v xml:space="preserve">9 - </v>
      </c>
      <c r="D431" s="9" t="s">
        <v>56</v>
      </c>
      <c r="F431" s="16"/>
      <c r="G431" s="80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80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81"/>
      <c r="AE431" s="15"/>
      <c r="AF431" s="11"/>
      <c r="AG431" s="15"/>
      <c r="AH431" s="15"/>
    </row>
    <row r="432" spans="2:34" x14ac:dyDescent="0.2">
      <c r="B432" s="9">
        <f>G405</f>
        <v>9</v>
      </c>
      <c r="C432" s="9" t="str">
        <f t="shared" si="1112"/>
        <v>9 - General and Administrative Expense</v>
      </c>
      <c r="D432" s="9" t="s">
        <v>56</v>
      </c>
      <c r="F432" t="s">
        <v>10</v>
      </c>
      <c r="G432" s="178">
        <f>_xlfn.XLOOKUP($C432,'Site Level Financials - ''23 ''24'!$C$2:$C$1577,'Site Level Financials - ''23 ''24'!S$2:S$1577)</f>
        <v>-9.505835219208258</v>
      </c>
      <c r="H432" s="179">
        <f>_xlfn.XLOOKUP($C432,'Site Level Financials - ''23 ''24'!$C$2:$C$1577,'Site Level Financials - ''23 ''24'!T$2:T$1577)</f>
        <v>-10.302904004596693</v>
      </c>
      <c r="I432" s="179">
        <f>_xlfn.XLOOKUP($C432,'Site Level Financials - ''23 ''24'!$C$2:$C$1577,'Site Level Financials - ''23 ''24'!U$2:U$1577)</f>
        <v>-12.091119211435265</v>
      </c>
      <c r="J432" s="179">
        <f>_xlfn.XLOOKUP($C432,'Site Level Financials - ''23 ''24'!$C$2:$C$1577,'Site Level Financials - ''23 ''24'!V$2:V$1577)</f>
        <v>-14.20884456589615</v>
      </c>
      <c r="K432" s="179">
        <f>_xlfn.XLOOKUP($C432,'Site Level Financials - ''23 ''24'!$C$2:$C$1577,'Site Level Financials - ''23 ''24'!W$2:W$1577)</f>
        <v>-14.668737276302171</v>
      </c>
      <c r="L432" s="179">
        <f>_xlfn.XLOOKUP($C432,'Site Level Financials - ''23 ''24'!$C$2:$C$1577,'Site Level Financials - ''23 ''24'!X$2:X$1577)</f>
        <v>-14.048904138926773</v>
      </c>
      <c r="M432" s="179">
        <f>_xlfn.XLOOKUP($C432,'Site Level Financials - ''23 ''24'!$C$2:$C$1577,'Site Level Financials - ''23 ''24'!Y$2:Y$1577)</f>
        <v>-10.945852622481537</v>
      </c>
      <c r="N432" s="179">
        <f>_xlfn.XLOOKUP($C432,'Site Level Financials - ''23 ''24'!$C$2:$C$1577,'Site Level Financials - ''23 ''24'!Z$2:Z$1577)</f>
        <v>-9.1340591585379105</v>
      </c>
      <c r="O432" s="179">
        <f>_xlfn.XLOOKUP($C432,'Site Level Financials - ''23 ''24'!$C$2:$C$1577,'Site Level Financials - ''23 ''24'!AA$2:AA$1577)</f>
        <v>-9.396875341817065</v>
      </c>
      <c r="P432" s="179">
        <f>_xlfn.XLOOKUP($C432,'Site Level Financials - ''23 ''24'!$C$2:$C$1577,'Site Level Financials - ''23 ''24'!AB$2:AB$1577)</f>
        <v>-9.2233424149196068</v>
      </c>
      <c r="Q432" s="179">
        <f>_xlfn.XLOOKUP($C432,'Site Level Financials - ''23 ''24'!$C$2:$C$1577,'Site Level Financials - ''23 ''24'!AC$2:AC$1577)</f>
        <v>-6.3504310485757349</v>
      </c>
      <c r="R432" s="179">
        <f>_xlfn.XLOOKUP($C432,'Site Level Financials - ''23 ''24'!$C$2:$C$1577,'Site Level Financials - ''23 ''24'!AD$2:AD$1577)</f>
        <v>-6.0830233575710198</v>
      </c>
      <c r="S432" s="155">
        <f>S433*S417</f>
        <v>-7.6775727111467633</v>
      </c>
      <c r="T432" s="154">
        <f t="shared" ref="T432" si="1178">T433*T417</f>
        <v>-8.310592902904288</v>
      </c>
      <c r="U432" s="154">
        <f t="shared" ref="U432" si="1179">U433*U417</f>
        <v>-12.506043938617024</v>
      </c>
      <c r="V432" s="154">
        <f t="shared" ref="V432" si="1180">V433*V417</f>
        <v>-20.413028836480262</v>
      </c>
      <c r="W432" s="154">
        <f t="shared" ref="W432" si="1181">W433*W417</f>
        <v>-22.147005470350731</v>
      </c>
      <c r="X432" s="154">
        <f t="shared" ref="X432" si="1182">X433*X417</f>
        <v>-19.716031036662688</v>
      </c>
      <c r="Y432" s="154">
        <f t="shared" ref="Y432" si="1183">Y433*Y417</f>
        <v>-13.931270068426095</v>
      </c>
      <c r="Z432" s="154">
        <f t="shared" ref="Z432" si="1184">Z433*Z417</f>
        <v>-10.809479939207316</v>
      </c>
      <c r="AA432" s="154">
        <f t="shared" ref="AA432" si="1185">AA433*AA417</f>
        <v>-11.15615613463137</v>
      </c>
      <c r="AB432" s="154">
        <f t="shared" ref="AB432" si="1186">AB433*AB417</f>
        <v>-11.633222042714996</v>
      </c>
      <c r="AC432" s="154">
        <f t="shared" ref="AC432" si="1187">AC433*AC417</f>
        <v>-8.3946308074008797</v>
      </c>
      <c r="AD432" s="156">
        <f t="shared" ref="AD432" si="1188">AD433*AD417</f>
        <v>-7.3816908246184365</v>
      </c>
      <c r="AE432" s="15"/>
      <c r="AF432" s="115">
        <f>_xlfn.XLOOKUP($C432,'Site Level Financials - ''23 ''24'!$C$2:$C$1577,'Site Level Financials - ''23 ''24'!$AF$2:$AF$1577)</f>
        <v>-99.090643760737848</v>
      </c>
      <c r="AG432" s="93">
        <f>SUM(G432:R432)</f>
        <v>-125.95992836026818</v>
      </c>
      <c r="AH432" s="93">
        <f t="shared" ref="AH432" si="1189">SUM(S432:AD432)</f>
        <v>-154.07672471316084</v>
      </c>
    </row>
    <row r="433" spans="2:34" x14ac:dyDescent="0.2">
      <c r="B433" s="9">
        <f>G405</f>
        <v>9</v>
      </c>
      <c r="C433" s="9" t="str">
        <f t="shared" si="1112"/>
        <v>9 - % of Revenue - General and Administrative Expense</v>
      </c>
      <c r="D433" s="9" t="s">
        <v>56</v>
      </c>
      <c r="F433" s="16" t="str">
        <f>"% of Revenue - "&amp;F432</f>
        <v>% of Revenue - General and Administrative Expense</v>
      </c>
      <c r="G433" s="148">
        <f>G432/G417</f>
        <v>-2.5935147333333089E-2</v>
      </c>
      <c r="H433" s="149">
        <f t="shared" ref="H433:R433" si="1190">H432/H417</f>
        <v>-2.7111626528171357E-2</v>
      </c>
      <c r="I433" s="149">
        <f t="shared" si="1190"/>
        <v>-3.7994826818245127E-2</v>
      </c>
      <c r="J433" s="149">
        <f t="shared" si="1190"/>
        <v>-5.7897124713272061E-2</v>
      </c>
      <c r="K433" s="149">
        <f t="shared" si="1190"/>
        <v>-5.2851960748035394E-2</v>
      </c>
      <c r="L433" s="149">
        <f t="shared" si="1190"/>
        <v>-5.602943202105954E-2</v>
      </c>
      <c r="M433" s="149">
        <f t="shared" si="1190"/>
        <v>-3.3068483317286186E-2</v>
      </c>
      <c r="N433" s="149">
        <f t="shared" si="1190"/>
        <v>-2.9922569199347934E-2</v>
      </c>
      <c r="O433" s="149">
        <f t="shared" si="1190"/>
        <v>-3.368344593191918E-2</v>
      </c>
      <c r="P433" s="149">
        <f t="shared" si="1190"/>
        <v>-3.0582549971710581E-2</v>
      </c>
      <c r="Q433" s="149">
        <f t="shared" si="1190"/>
        <v>-2.7918395559877761E-2</v>
      </c>
      <c r="R433" s="149">
        <f t="shared" si="1190"/>
        <v>-3.0077479334333333E-2</v>
      </c>
      <c r="S433" s="245">
        <f>_xlfn.XLOOKUP($F433,'Budget Assumption Driver'!$A$33:$A$39,'Budget Assumption Driver'!E$33:E$39)+G433</f>
        <v>-2.5935147333333089E-2</v>
      </c>
      <c r="T433" s="246">
        <f>_xlfn.XLOOKUP($F433,'Budget Assumption Driver'!$A$33:$A$39,'Budget Assumption Driver'!F$33:F$39)+H433</f>
        <v>-2.7111626528171357E-2</v>
      </c>
      <c r="U433" s="246">
        <f>_xlfn.XLOOKUP($F433,'Budget Assumption Driver'!$A$33:$A$39,'Budget Assumption Driver'!G$33:G$39)+I433</f>
        <v>-3.7994826818245127E-2</v>
      </c>
      <c r="V433" s="246">
        <f>_xlfn.XLOOKUP($F433,'Budget Assumption Driver'!$A$33:$A$39,'Budget Assumption Driver'!H$33:H$39)+J433</f>
        <v>-5.7897124713272061E-2</v>
      </c>
      <c r="W433" s="246">
        <f>_xlfn.XLOOKUP($F433,'Budget Assumption Driver'!$A$33:$A$39,'Budget Assumption Driver'!I$33:I$39)+K433</f>
        <v>-5.2851960748035394E-2</v>
      </c>
      <c r="X433" s="246">
        <f>_xlfn.XLOOKUP($F433,'Budget Assumption Driver'!$A$33:$A$39,'Budget Assumption Driver'!J$33:J$39)+L433</f>
        <v>-5.602943202105954E-2</v>
      </c>
      <c r="Y433" s="246">
        <f>_xlfn.XLOOKUP($F433,'Budget Assumption Driver'!$A$33:$A$39,'Budget Assumption Driver'!K$33:K$39)+M433</f>
        <v>-3.3068483317286186E-2</v>
      </c>
      <c r="Z433" s="246">
        <f>_xlfn.XLOOKUP($F433,'Budget Assumption Driver'!$A$33:$A$39,'Budget Assumption Driver'!L$33:L$39)+N433</f>
        <v>-2.9922569199347934E-2</v>
      </c>
      <c r="AA433" s="246">
        <f>_xlfn.XLOOKUP($F433,'Budget Assumption Driver'!$A$33:$A$39,'Budget Assumption Driver'!M$33:M$39)+O433</f>
        <v>-3.368344593191918E-2</v>
      </c>
      <c r="AB433" s="246">
        <f>_xlfn.XLOOKUP($F433,'Budget Assumption Driver'!$A$33:$A$39,'Budget Assumption Driver'!N$33:N$39)+P433</f>
        <v>-3.0582549971710581E-2</v>
      </c>
      <c r="AC433" s="246">
        <f>_xlfn.XLOOKUP($F433,'Budget Assumption Driver'!$A$33:$A$39,'Budget Assumption Driver'!O$33:O$39)+Q433</f>
        <v>-2.7918395559877761E-2</v>
      </c>
      <c r="AD433" s="296">
        <f>_xlfn.XLOOKUP($F433,'Budget Assumption Driver'!$A$33:$A$39,'Budget Assumption Driver'!P$33:P$39)+R433</f>
        <v>-3.0077479334333333E-2</v>
      </c>
      <c r="AE433" s="15"/>
      <c r="AF433" s="232">
        <f>_xlfn.XLOOKUP($C433,'Site Level Financials - ''23 ''24'!$C$2:$C$1577,'Site Level Financials - ''23 ''24'!$AF$2:$AF$1577)</f>
        <v>-2.6187717073147494E-2</v>
      </c>
      <c r="AG433" s="97">
        <f t="shared" ref="AG433:AH433" si="1191">AG432/AG417</f>
        <v>-3.6143364953062258E-2</v>
      </c>
      <c r="AH433" s="97">
        <f t="shared" si="1191"/>
        <v>-3.762146374931391E-2</v>
      </c>
    </row>
    <row r="434" spans="2:34" ht="3" customHeight="1" x14ac:dyDescent="0.2">
      <c r="B434" s="9">
        <f>G405</f>
        <v>9</v>
      </c>
      <c r="C434" s="9" t="str">
        <f t="shared" si="1112"/>
        <v xml:space="preserve">9 - </v>
      </c>
      <c r="D434" s="9" t="s">
        <v>56</v>
      </c>
      <c r="F434" s="16"/>
      <c r="G434" s="84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4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6"/>
      <c r="AE434" s="15"/>
      <c r="AF434" s="36"/>
      <c r="AG434" s="38"/>
      <c r="AH434" s="38"/>
    </row>
    <row r="435" spans="2:34" x14ac:dyDescent="0.2">
      <c r="B435" s="9">
        <f>G405</f>
        <v>9</v>
      </c>
      <c r="C435" s="9" t="str">
        <f t="shared" si="1112"/>
        <v>9 - Marketing</v>
      </c>
      <c r="D435" s="9" t="s">
        <v>56</v>
      </c>
      <c r="F435" t="s">
        <v>7</v>
      </c>
      <c r="G435" s="178">
        <f>_xlfn.XLOOKUP($C435,'Site Level Financials - ''23 ''24'!$C$2:$C$1577,'Site Level Financials - ''23 ''24'!S$2:S$1577)</f>
        <v>-10.080548623748509</v>
      </c>
      <c r="H435" s="179">
        <f>_xlfn.XLOOKUP($C435,'Site Level Financials - ''23 ''24'!$C$2:$C$1577,'Site Level Financials - ''23 ''24'!T$2:T$1577)</f>
        <v>-11.815810008873111</v>
      </c>
      <c r="I435" s="179">
        <f>_xlfn.XLOOKUP($C435,'Site Level Financials - ''23 ''24'!$C$2:$C$1577,'Site Level Financials - ''23 ''24'!U$2:U$1577)</f>
        <v>-12.770912141344484</v>
      </c>
      <c r="J435" s="179">
        <f>_xlfn.XLOOKUP($C435,'Site Level Financials - ''23 ''24'!$C$2:$C$1577,'Site Level Financials - ''23 ''24'!V$2:V$1577)</f>
        <v>-14.808798114118625</v>
      </c>
      <c r="K435" s="179">
        <f>_xlfn.XLOOKUP($C435,'Site Level Financials - ''23 ''24'!$C$2:$C$1577,'Site Level Financials - ''23 ''24'!W$2:W$1577)</f>
        <v>-18.460245299215092</v>
      </c>
      <c r="L435" s="179">
        <f>_xlfn.XLOOKUP($C435,'Site Level Financials - ''23 ''24'!$C$2:$C$1577,'Site Level Financials - ''23 ''24'!X$2:X$1577)</f>
        <v>-16.842718233377067</v>
      </c>
      <c r="M435" s="179">
        <f>_xlfn.XLOOKUP($C435,'Site Level Financials - ''23 ''24'!$C$2:$C$1577,'Site Level Financials - ''23 ''24'!Y$2:Y$1577)</f>
        <v>-13.700181374713365</v>
      </c>
      <c r="N435" s="179">
        <f>_xlfn.XLOOKUP($C435,'Site Level Financials - ''23 ''24'!$C$2:$C$1577,'Site Level Financials - ''23 ''24'!Z$2:Z$1577)</f>
        <v>-11.550019543445558</v>
      </c>
      <c r="O435" s="179">
        <f>_xlfn.XLOOKUP($C435,'Site Level Financials - ''23 ''24'!$C$2:$C$1577,'Site Level Financials - ''23 ''24'!AA$2:AA$1577)</f>
        <v>-10.561944169213952</v>
      </c>
      <c r="P435" s="179">
        <f>_xlfn.XLOOKUP($C435,'Site Level Financials - ''23 ''24'!$C$2:$C$1577,'Site Level Financials - ''23 ''24'!AB$2:AB$1577)</f>
        <v>-12.823334837569165</v>
      </c>
      <c r="Q435" s="179">
        <f>_xlfn.XLOOKUP($C435,'Site Level Financials - ''23 ''24'!$C$2:$C$1577,'Site Level Financials - ''23 ''24'!AC$2:AC$1577)</f>
        <v>-9.9450961223151797</v>
      </c>
      <c r="R435" s="179">
        <f>_xlfn.XLOOKUP($C435,'Site Level Financials - ''23 ''24'!$C$2:$C$1577,'Site Level Financials - ''23 ''24'!AD$2:AD$1577)</f>
        <v>-8.0946931885617204</v>
      </c>
      <c r="S435" s="155">
        <f>S436*S417</f>
        <v>-8.1417511709745156</v>
      </c>
      <c r="T435" s="154">
        <f t="shared" ref="T435" si="1192">T436*T417</f>
        <v>-9.5309426117136997</v>
      </c>
      <c r="U435" s="154">
        <f t="shared" ref="U435" si="1193">U436*U417</f>
        <v>-13.20916497331541</v>
      </c>
      <c r="V435" s="154">
        <f t="shared" ref="V435" si="1194">V436*V417</f>
        <v>-21.274947553629776</v>
      </c>
      <c r="W435" s="154">
        <f t="shared" ref="W435" si="1195">W436*W417</f>
        <v>-27.871462002815068</v>
      </c>
      <c r="X435" s="154">
        <f t="shared" ref="X435" si="1196">X436*X417</f>
        <v>-23.636829758907762</v>
      </c>
      <c r="Y435" s="154">
        <f t="shared" ref="Y435" si="1197">Y436*Y417</f>
        <v>-17.43682591939401</v>
      </c>
      <c r="Z435" s="154">
        <f t="shared" ref="Z435" si="1198">Z436*Z417</f>
        <v>-13.668589439299392</v>
      </c>
      <c r="AA435" s="154">
        <f t="shared" ref="AA435" si="1199">AA436*AA417</f>
        <v>-12.539348874050877</v>
      </c>
      <c r="AB435" s="154">
        <f t="shared" ref="AB435" si="1200">AB436*AB417</f>
        <v>-16.173822328467136</v>
      </c>
      <c r="AC435" s="154">
        <f t="shared" ref="AC435" si="1201">AC436*AC417</f>
        <v>-13.146416306602369</v>
      </c>
      <c r="AD435" s="156">
        <f t="shared" ref="AD435" si="1202">AD436*AD417</f>
        <v>-9.8228329772461809</v>
      </c>
      <c r="AE435" s="15"/>
      <c r="AF435" s="115">
        <f>_xlfn.XLOOKUP($C435,'Site Level Financials - ''23 ''24'!$C$2:$C$1577,'Site Level Financials - ''23 ''24'!$AF$2:$AF$1577)</f>
        <v>-112.48312491521045</v>
      </c>
      <c r="AG435" s="93">
        <f>SUM(G435:R435)</f>
        <v>-151.45430165649583</v>
      </c>
      <c r="AH435" s="93">
        <f t="shared" ref="AH435" si="1203">SUM(S435:AD435)</f>
        <v>-186.45293391641619</v>
      </c>
    </row>
    <row r="436" spans="2:34" x14ac:dyDescent="0.2">
      <c r="B436" s="9">
        <f>G405</f>
        <v>9</v>
      </c>
      <c r="C436" s="9" t="str">
        <f t="shared" si="1112"/>
        <v>9 - % of Revenue - Marketing</v>
      </c>
      <c r="D436" s="9" t="s">
        <v>56</v>
      </c>
      <c r="F436" s="16" t="str">
        <f>"% of Revenue - "&amp;F435</f>
        <v>% of Revenue - Marketing</v>
      </c>
      <c r="G436" s="148">
        <f>G435/G417</f>
        <v>-2.7503160714321861E-2</v>
      </c>
      <c r="H436" s="149">
        <f t="shared" ref="H436:R436" si="1204">H435/H417</f>
        <v>-3.1092770343727649E-2</v>
      </c>
      <c r="I436" s="149">
        <f t="shared" si="1204"/>
        <v>-4.0130990906325624E-2</v>
      </c>
      <c r="J436" s="149">
        <f t="shared" si="1204"/>
        <v>-6.034177003559324E-2</v>
      </c>
      <c r="K436" s="149">
        <f t="shared" si="1204"/>
        <v>-6.6512893480574639E-2</v>
      </c>
      <c r="L436" s="149">
        <f t="shared" si="1204"/>
        <v>-6.7171640362473903E-2</v>
      </c>
      <c r="M436" s="149">
        <f t="shared" si="1204"/>
        <v>-4.1389577848234729E-2</v>
      </c>
      <c r="N436" s="149">
        <f t="shared" si="1204"/>
        <v>-3.7837094444425727E-2</v>
      </c>
      <c r="O436" s="149">
        <f t="shared" si="1204"/>
        <v>-3.7859678075805321E-2</v>
      </c>
      <c r="P436" s="149">
        <f t="shared" si="1204"/>
        <v>-4.2519323346335333E-2</v>
      </c>
      <c r="Q436" s="149">
        <f t="shared" si="1204"/>
        <v>-4.3721619099552744E-2</v>
      </c>
      <c r="R436" s="149">
        <f t="shared" si="1204"/>
        <v>-4.002417100597027E-2</v>
      </c>
      <c r="S436" s="245">
        <f>_xlfn.XLOOKUP($F436,'Budget Assumption Driver'!$A$33:$A$39,'Budget Assumption Driver'!E$33:E$39)+G436</f>
        <v>-2.7503160714321861E-2</v>
      </c>
      <c r="T436" s="246">
        <f>_xlfn.XLOOKUP($F436,'Budget Assumption Driver'!$A$33:$A$39,'Budget Assumption Driver'!F$33:F$39)+H436</f>
        <v>-3.1092770343727649E-2</v>
      </c>
      <c r="U436" s="246">
        <f>_xlfn.XLOOKUP($F436,'Budget Assumption Driver'!$A$33:$A$39,'Budget Assumption Driver'!G$33:G$39)+I436</f>
        <v>-4.0130990906325624E-2</v>
      </c>
      <c r="V436" s="246">
        <f>_xlfn.XLOOKUP($F436,'Budget Assumption Driver'!$A$33:$A$39,'Budget Assumption Driver'!H$33:H$39)+J436</f>
        <v>-6.034177003559324E-2</v>
      </c>
      <c r="W436" s="246">
        <f>_xlfn.XLOOKUP($F436,'Budget Assumption Driver'!$A$33:$A$39,'Budget Assumption Driver'!I$33:I$39)+K436</f>
        <v>-6.6512893480574639E-2</v>
      </c>
      <c r="X436" s="246">
        <f>_xlfn.XLOOKUP($F436,'Budget Assumption Driver'!$A$33:$A$39,'Budget Assumption Driver'!J$33:J$39)+L436</f>
        <v>-6.7171640362473903E-2</v>
      </c>
      <c r="Y436" s="246">
        <f>_xlfn.XLOOKUP($F436,'Budget Assumption Driver'!$A$33:$A$39,'Budget Assumption Driver'!K$33:K$39)+M436</f>
        <v>-4.1389577848234729E-2</v>
      </c>
      <c r="Z436" s="246">
        <f>_xlfn.XLOOKUP($F436,'Budget Assumption Driver'!$A$33:$A$39,'Budget Assumption Driver'!L$33:L$39)+N436</f>
        <v>-3.7837094444425727E-2</v>
      </c>
      <c r="AA436" s="246">
        <f>_xlfn.XLOOKUP($F436,'Budget Assumption Driver'!$A$33:$A$39,'Budget Assumption Driver'!M$33:M$39)+O436</f>
        <v>-3.7859678075805321E-2</v>
      </c>
      <c r="AB436" s="246">
        <f>_xlfn.XLOOKUP($F436,'Budget Assumption Driver'!$A$33:$A$39,'Budget Assumption Driver'!N$33:N$39)+P436</f>
        <v>-4.2519323346335333E-2</v>
      </c>
      <c r="AC436" s="246">
        <f>_xlfn.XLOOKUP($F436,'Budget Assumption Driver'!$A$33:$A$39,'Budget Assumption Driver'!O$33:O$39)+Q436</f>
        <v>-4.3721619099552744E-2</v>
      </c>
      <c r="AD436" s="296">
        <f>_xlfn.XLOOKUP($F436,'Budget Assumption Driver'!$A$33:$A$39,'Budget Assumption Driver'!P$33:P$39)+R436</f>
        <v>-4.002417100597027E-2</v>
      </c>
      <c r="AE436" s="15"/>
      <c r="AF436" s="232">
        <f>_xlfn.XLOOKUP($C436,'Site Level Financials - ''23 ''24'!$C$2:$C$1577,'Site Level Financials - ''23 ''24'!$AF$2:$AF$1577)</f>
        <v>-2.9727087633980926E-2</v>
      </c>
      <c r="AG436" s="97">
        <f t="shared" ref="AG436:AH436" si="1205">AG435/AG417</f>
        <v>-4.3458806064299159E-2</v>
      </c>
      <c r="AH436" s="97">
        <f t="shared" si="1205"/>
        <v>-4.5526878296177214E-2</v>
      </c>
    </row>
    <row r="437" spans="2:34" ht="3" customHeight="1" x14ac:dyDescent="0.2">
      <c r="B437" s="9">
        <f>G405</f>
        <v>9</v>
      </c>
      <c r="C437" s="9" t="str">
        <f t="shared" si="1112"/>
        <v xml:space="preserve">9 - </v>
      </c>
      <c r="D437" s="9" t="s">
        <v>56</v>
      </c>
      <c r="F437" s="16"/>
      <c r="G437" s="84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4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6"/>
      <c r="AE437" s="15"/>
      <c r="AF437" s="36"/>
      <c r="AG437" s="38"/>
      <c r="AH437" s="38"/>
    </row>
    <row r="438" spans="2:34" x14ac:dyDescent="0.2">
      <c r="B438" s="9">
        <f>G405</f>
        <v>9</v>
      </c>
      <c r="C438" s="9" t="str">
        <f t="shared" si="1112"/>
        <v>9 - Office Rent</v>
      </c>
      <c r="D438" s="9" t="s">
        <v>56</v>
      </c>
      <c r="F438" t="s">
        <v>162</v>
      </c>
      <c r="G438" s="178">
        <f>_xlfn.XLOOKUP($C438,'Site Level Financials - ''23 ''24'!$C$2:$C$1577,'Site Level Financials - ''23 ''24'!S$2:S$1577)</f>
        <v>-27.154498118256036</v>
      </c>
      <c r="H438" s="179">
        <f>_xlfn.XLOOKUP($C438,'Site Level Financials - ''23 ''24'!$C$2:$C$1577,'Site Level Financials - ''23 ''24'!T$2:T$1577)</f>
        <v>-27.154498118256036</v>
      </c>
      <c r="I438" s="179">
        <f>_xlfn.XLOOKUP($C438,'Site Level Financials - ''23 ''24'!$C$2:$C$1577,'Site Level Financials - ''23 ''24'!U$2:U$1577)</f>
        <v>-27.154498118256036</v>
      </c>
      <c r="J438" s="179">
        <f>_xlfn.XLOOKUP($C438,'Site Level Financials - ''23 ''24'!$C$2:$C$1577,'Site Level Financials - ''23 ''24'!V$2:V$1577)</f>
        <v>-27.969133061803717</v>
      </c>
      <c r="K438" s="179">
        <f>_xlfn.XLOOKUP($C438,'Site Level Financials - ''23 ''24'!$C$2:$C$1577,'Site Level Financials - ''23 ''24'!W$2:W$1577)</f>
        <v>-27.969133061803717</v>
      </c>
      <c r="L438" s="179">
        <f>_xlfn.XLOOKUP($C438,'Site Level Financials - ''23 ''24'!$C$2:$C$1577,'Site Level Financials - ''23 ''24'!X$2:X$1577)</f>
        <v>-27.969133061803717</v>
      </c>
      <c r="M438" s="179">
        <f>_xlfn.XLOOKUP($C438,'Site Level Financials - ''23 ''24'!$C$2:$C$1577,'Site Level Financials - ''23 ''24'!Y$2:Y$1577)</f>
        <v>-27.969133061803717</v>
      </c>
      <c r="N438" s="179">
        <f>_xlfn.XLOOKUP($C438,'Site Level Financials - ''23 ''24'!$C$2:$C$1577,'Site Level Financials - ''23 ''24'!Z$2:Z$1577)</f>
        <v>-27.969133061803717</v>
      </c>
      <c r="O438" s="179">
        <f>_xlfn.XLOOKUP($C438,'Site Level Financials - ''23 ''24'!$C$2:$C$1577,'Site Level Financials - ''23 ''24'!AA$2:AA$1577)</f>
        <v>-27.969133061803717</v>
      </c>
      <c r="P438" s="179">
        <f>_xlfn.XLOOKUP($C438,'Site Level Financials - ''23 ''24'!$C$2:$C$1577,'Site Level Financials - ''23 ''24'!AB$2:AB$1577)</f>
        <v>-27.969133061803717</v>
      </c>
      <c r="Q438" s="179">
        <f>_xlfn.XLOOKUP($C438,'Site Level Financials - ''23 ''24'!$C$2:$C$1577,'Site Level Financials - ''23 ''24'!AC$2:AC$1577)</f>
        <v>-27.969133061803717</v>
      </c>
      <c r="R438" s="179">
        <f>_xlfn.XLOOKUP($C438,'Site Level Financials - ''23 ''24'!$C$2:$C$1577,'Site Level Financials - ''23 ''24'!AD$2:AD$1577)</f>
        <v>-27.969133061803717</v>
      </c>
      <c r="S438" s="155">
        <f>G438*(1+S439)</f>
        <v>-27.969133061803717</v>
      </c>
      <c r="T438" s="154">
        <f t="shared" ref="T438" si="1206">H438*(1+T439)</f>
        <v>-27.969133061803717</v>
      </c>
      <c r="U438" s="154">
        <f t="shared" ref="U438" si="1207">I438*(1+U439)</f>
        <v>-27.969133061803717</v>
      </c>
      <c r="V438" s="154">
        <f t="shared" ref="V438" si="1208">J438*(1+V439)</f>
        <v>-28.808207053657828</v>
      </c>
      <c r="W438" s="154">
        <f t="shared" ref="W438" si="1209">K438*(1+W439)</f>
        <v>-28.808207053657828</v>
      </c>
      <c r="X438" s="154">
        <f t="shared" ref="X438" si="1210">L438*(1+X439)</f>
        <v>-28.808207053657828</v>
      </c>
      <c r="Y438" s="154">
        <f t="shared" ref="Y438" si="1211">M438*(1+Y439)</f>
        <v>-28.808207053657828</v>
      </c>
      <c r="Z438" s="154">
        <f t="shared" ref="Z438" si="1212">N438*(1+Z439)</f>
        <v>-28.808207053657828</v>
      </c>
      <c r="AA438" s="154">
        <f t="shared" ref="AA438" si="1213">O438*(1+AA439)</f>
        <v>-28.808207053657828</v>
      </c>
      <c r="AB438" s="154">
        <f t="shared" ref="AB438" si="1214">P438*(1+AB439)</f>
        <v>-28.808207053657828</v>
      </c>
      <c r="AC438" s="154">
        <f t="shared" ref="AC438" si="1215">Q438*(1+AC439)</f>
        <v>-28.808207053657828</v>
      </c>
      <c r="AD438" s="156">
        <f t="shared" ref="AD438" si="1216">R438*(1+AD439)</f>
        <v>-28.808207053657828</v>
      </c>
      <c r="AE438" s="15"/>
      <c r="AF438" s="115">
        <f>_xlfn.XLOOKUP($C438,'Site Level Financials - ''23 ''24'!$C$2:$C$1577,'Site Level Financials - ''23 ''24'!$AF$2:$AF$1577)</f>
        <v>-323.4829648739838</v>
      </c>
      <c r="AG438" s="93">
        <f>SUM(G438:R438)</f>
        <v>-333.18569191100164</v>
      </c>
      <c r="AH438" s="93">
        <f t="shared" ref="AH438" si="1217">SUM(S438:AD438)</f>
        <v>-343.18126266833167</v>
      </c>
    </row>
    <row r="439" spans="2:34" x14ac:dyDescent="0.2">
      <c r="B439" s="9">
        <f>G405</f>
        <v>9</v>
      </c>
      <c r="C439" s="9" t="str">
        <f t="shared" si="1112"/>
        <v>9 - % YoY Growth</v>
      </c>
      <c r="D439" s="9" t="s">
        <v>56</v>
      </c>
      <c r="F439" s="16" t="s">
        <v>8</v>
      </c>
      <c r="G439" s="245">
        <f>_xlfn.XLOOKUP($C439,'Site Level Financials - ''23 ''24'!$C$2:$C$1577,'Site Level Financials - ''23 ''24'!S$2:S$1577)</f>
        <v>2.9994553316888162E-2</v>
      </c>
      <c r="H439" s="246">
        <f>_xlfn.XLOOKUP($C439,'Site Level Financials - ''23 ''24'!$C$2:$C$1577,'Site Level Financials - ''23 ''24'!T$2:T$1577)</f>
        <v>2.9994553316888162E-2</v>
      </c>
      <c r="I439" s="246">
        <f>_xlfn.XLOOKUP($C439,'Site Level Financials - ''23 ''24'!$C$2:$C$1577,'Site Level Financials - ''23 ''24'!U$2:U$1577)</f>
        <v>2.9994553316888162E-2</v>
      </c>
      <c r="J439" s="246">
        <f>_xlfn.XLOOKUP($C439,'Site Level Financials - ''23 ''24'!$C$2:$C$1577,'Site Level Financials - ''23 ''24'!V$2:V$1577)</f>
        <v>2.9994553316888384E-2</v>
      </c>
      <c r="K439" s="246">
        <f>_xlfn.XLOOKUP($C439,'Site Level Financials - ''23 ''24'!$C$2:$C$1577,'Site Level Financials - ''23 ''24'!W$2:W$1577)</f>
        <v>2.9994553316888384E-2</v>
      </c>
      <c r="L439" s="246">
        <f>_xlfn.XLOOKUP($C439,'Site Level Financials - ''23 ''24'!$C$2:$C$1577,'Site Level Financials - ''23 ''24'!X$2:X$1577)</f>
        <v>2.9994553316888384E-2</v>
      </c>
      <c r="M439" s="246">
        <f>_xlfn.XLOOKUP($C439,'Site Level Financials - ''23 ''24'!$C$2:$C$1577,'Site Level Financials - ''23 ''24'!Y$2:Y$1577)</f>
        <v>2.9994553316888384E-2</v>
      </c>
      <c r="N439" s="246">
        <f>_xlfn.XLOOKUP($C439,'Site Level Financials - ''23 ''24'!$C$2:$C$1577,'Site Level Financials - ''23 ''24'!Z$2:Z$1577)</f>
        <v>2.9994553316888384E-2</v>
      </c>
      <c r="O439" s="246">
        <f>_xlfn.XLOOKUP($C439,'Site Level Financials - ''23 ''24'!$C$2:$C$1577,'Site Level Financials - ''23 ''24'!AA$2:AA$1577)</f>
        <v>2.9994553316888384E-2</v>
      </c>
      <c r="P439" s="246">
        <f>_xlfn.XLOOKUP($C439,'Site Level Financials - ''23 ''24'!$C$2:$C$1577,'Site Level Financials - ''23 ''24'!AB$2:AB$1577)</f>
        <v>2.9994553316888384E-2</v>
      </c>
      <c r="Q439" s="246">
        <f>_xlfn.XLOOKUP($C439,'Site Level Financials - ''23 ''24'!$C$2:$C$1577,'Site Level Financials - ''23 ''24'!AC$2:AC$1577)</f>
        <v>2.9994553316888384E-2</v>
      </c>
      <c r="R439" s="246">
        <f>_xlfn.XLOOKUP($C439,'Site Level Financials - ''23 ''24'!$C$2:$C$1577,'Site Level Financials - ''23 ''24'!AD$2:AD$1577)</f>
        <v>2.9994553316888384E-2</v>
      </c>
      <c r="S439" s="245">
        <f>_xlfn.XLOOKUP($F439,'Budget Assumption Driver'!$A$33:$A$39,'Budget Assumption Driver'!E$33:E$39)</f>
        <v>0.03</v>
      </c>
      <c r="T439" s="246">
        <f>_xlfn.XLOOKUP($F439,'Budget Assumption Driver'!$A$33:$A$39,'Budget Assumption Driver'!F$33:F$39)</f>
        <v>0.03</v>
      </c>
      <c r="U439" s="246">
        <f>_xlfn.XLOOKUP($F439,'Budget Assumption Driver'!$A$33:$A$39,'Budget Assumption Driver'!G$33:G$39)</f>
        <v>0.03</v>
      </c>
      <c r="V439" s="246">
        <f>_xlfn.XLOOKUP($F439,'Budget Assumption Driver'!$A$33:$A$39,'Budget Assumption Driver'!H$33:H$39)</f>
        <v>0.03</v>
      </c>
      <c r="W439" s="246">
        <f>_xlfn.XLOOKUP($F439,'Budget Assumption Driver'!$A$33:$A$39,'Budget Assumption Driver'!I$33:I$39)</f>
        <v>0.03</v>
      </c>
      <c r="X439" s="246">
        <f>_xlfn.XLOOKUP($F439,'Budget Assumption Driver'!$A$33:$A$39,'Budget Assumption Driver'!J$33:J$39)</f>
        <v>0.03</v>
      </c>
      <c r="Y439" s="246">
        <f>_xlfn.XLOOKUP($F439,'Budget Assumption Driver'!$A$33:$A$39,'Budget Assumption Driver'!K$33:K$39)</f>
        <v>0.03</v>
      </c>
      <c r="Z439" s="246">
        <f>_xlfn.XLOOKUP($F439,'Budget Assumption Driver'!$A$33:$A$39,'Budget Assumption Driver'!L$33:L$39)</f>
        <v>0.03</v>
      </c>
      <c r="AA439" s="246">
        <f>_xlfn.XLOOKUP($F439,'Budget Assumption Driver'!$A$33:$A$39,'Budget Assumption Driver'!M$33:M$39)</f>
        <v>0.03</v>
      </c>
      <c r="AB439" s="246">
        <f>_xlfn.XLOOKUP($F439,'Budget Assumption Driver'!$A$33:$A$39,'Budget Assumption Driver'!N$33:N$39)</f>
        <v>0.03</v>
      </c>
      <c r="AC439" s="246">
        <f>_xlfn.XLOOKUP($F439,'Budget Assumption Driver'!$A$33:$A$39,'Budget Assumption Driver'!O$33:O$39)</f>
        <v>0.03</v>
      </c>
      <c r="AD439" s="296">
        <f>_xlfn.XLOOKUP($F439,'Budget Assumption Driver'!$A$33:$A$39,'Budget Assumption Driver'!P$33:P$39)</f>
        <v>0.03</v>
      </c>
      <c r="AE439" s="15"/>
      <c r="AF439" s="11"/>
      <c r="AG439" s="97">
        <f>AG438/AF438-1</f>
        <v>2.9994553316888384E-2</v>
      </c>
      <c r="AH439" s="97">
        <f>AH438/AG438-1</f>
        <v>3.0000000000000027E-2</v>
      </c>
    </row>
    <row r="440" spans="2:34" ht="6" customHeight="1" x14ac:dyDescent="0.2">
      <c r="B440" s="9">
        <f>G405</f>
        <v>9</v>
      </c>
      <c r="C440" s="9" t="str">
        <f t="shared" si="1112"/>
        <v xml:space="preserve">9 - </v>
      </c>
      <c r="D440" s="9" t="s">
        <v>56</v>
      </c>
      <c r="F440" s="16"/>
      <c r="G440" s="80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80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81"/>
      <c r="AE440" s="15"/>
      <c r="AF440" s="11"/>
      <c r="AG440" s="15"/>
      <c r="AH440" s="15"/>
    </row>
    <row r="441" spans="2:34" x14ac:dyDescent="0.2">
      <c r="B441" s="9">
        <f>G405</f>
        <v>9</v>
      </c>
      <c r="C441" s="9" t="str">
        <f t="shared" si="1112"/>
        <v>9 - Office EBITDA</v>
      </c>
      <c r="D441" s="9" t="s">
        <v>56</v>
      </c>
      <c r="F441" s="8" t="s">
        <v>12</v>
      </c>
      <c r="G441" s="241">
        <f>_xlfn.XLOOKUP($C441,'Site Level Financials - ''23 ''24'!$C$2:$C$1577,'Site Level Financials - ''23 ''24'!S$2:S$1577)</f>
        <v>112.58853527447269</v>
      </c>
      <c r="H441" s="242">
        <f>_xlfn.XLOOKUP($C441,'Site Level Financials - ''23 ''24'!$C$2:$C$1577,'Site Level Financials - ''23 ''24'!T$2:T$1577)</f>
        <v>118.57029745801654</v>
      </c>
      <c r="I441" s="242">
        <f>_xlfn.XLOOKUP($C441,'Site Level Financials - ''23 ''24'!$C$2:$C$1577,'Site Level Financials - ''23 ''24'!U$2:U$1577)</f>
        <v>31.796991438128977</v>
      </c>
      <c r="J441" s="242">
        <f>_xlfn.XLOOKUP($C441,'Site Level Financials - ''23 ''24'!$C$2:$C$1577,'Site Level Financials - ''23 ''24'!V$2:V$1577)</f>
        <v>-35.503288298489885</v>
      </c>
      <c r="K441" s="242">
        <f>_xlfn.XLOOKUP($C441,'Site Level Financials - ''23 ''24'!$C$2:$C$1577,'Site Level Financials - ''23 ''24'!W$2:W$1577)</f>
        <v>-39.131630678875254</v>
      </c>
      <c r="L441" s="242">
        <f>_xlfn.XLOOKUP($C441,'Site Level Financials - ''23 ''24'!$C$2:$C$1577,'Site Level Financials - ''23 ''24'!X$2:X$1577)</f>
        <v>-41.84244730743157</v>
      </c>
      <c r="M441" s="242">
        <f>_xlfn.XLOOKUP($C441,'Site Level Financials - ''23 ''24'!$C$2:$C$1577,'Site Level Financials - ''23 ''24'!Y$2:Y$1577)</f>
        <v>27.621256378931434</v>
      </c>
      <c r="N441" s="242">
        <f>_xlfn.XLOOKUP($C441,'Site Level Financials - ''23 ''24'!$C$2:$C$1577,'Site Level Financials - ''23 ''24'!Z$2:Z$1577)</f>
        <v>24.542296766432798</v>
      </c>
      <c r="O441" s="242">
        <f>_xlfn.XLOOKUP($C441,'Site Level Financials - ''23 ''24'!$C$2:$C$1577,'Site Level Financials - ''23 ''24'!AA$2:AA$1577)</f>
        <v>18.918793417245034</v>
      </c>
      <c r="P441" s="242">
        <f>_xlfn.XLOOKUP($C441,'Site Level Financials - ''23 ''24'!$C$2:$C$1577,'Site Level Financials - ''23 ''24'!AB$2:AB$1577)</f>
        <v>28.798704378259302</v>
      </c>
      <c r="Q441" s="242">
        <f>_xlfn.XLOOKUP($C441,'Site Level Financials - ''23 ''24'!$C$2:$C$1577,'Site Level Financials - ''23 ''24'!AC$2:AC$1577)</f>
        <v>14.744854170578783</v>
      </c>
      <c r="R441" s="242">
        <f>_xlfn.XLOOKUP($C441,'Site Level Financials - ''23 ''24'!$C$2:$C$1577,'Site Level Financials - ''23 ''24'!AD$2:AD$1577)</f>
        <v>13.82941739091207</v>
      </c>
      <c r="S441" s="134">
        <f t="shared" ref="S441:AD441" si="1218">S429+S432+S435+S438</f>
        <v>84.897045975354658</v>
      </c>
      <c r="T441" s="135">
        <f t="shared" si="1218"/>
        <v>89.576313479582041</v>
      </c>
      <c r="U441" s="135">
        <f t="shared" si="1218"/>
        <v>33.00536448031086</v>
      </c>
      <c r="V441" s="135">
        <f t="shared" si="1218"/>
        <v>-39.632094062326317</v>
      </c>
      <c r="W441" s="135">
        <f t="shared" si="1218"/>
        <v>-45.661457004997899</v>
      </c>
      <c r="X441" s="135">
        <f t="shared" si="1218"/>
        <v>-48.27781774665732</v>
      </c>
      <c r="Y441" s="135">
        <f t="shared" si="1218"/>
        <v>41.944136799140111</v>
      </c>
      <c r="Z441" s="135">
        <f t="shared" si="1218"/>
        <v>33.335166166871474</v>
      </c>
      <c r="AA441" s="135">
        <f t="shared" si="1218"/>
        <v>26.858066000065062</v>
      </c>
      <c r="AB441" s="135">
        <f t="shared" si="1218"/>
        <v>42.79196001340847</v>
      </c>
      <c r="AC441" s="135">
        <f t="shared" si="1218"/>
        <v>27.655385793052179</v>
      </c>
      <c r="AD441" s="136">
        <f t="shared" si="1218"/>
        <v>21.913935246707442</v>
      </c>
      <c r="AE441" s="15"/>
      <c r="AF441" s="113">
        <f>_xlfn.XLOOKUP($C441,'Site Level Financials - ''23 ''24'!$C$2:$C$1577,'Site Level Financials - ''23 ''24'!$AF$2:$AF$1577)</f>
        <v>809.06297853387446</v>
      </c>
      <c r="AG441" s="95">
        <f>SUM(G441:R441)</f>
        <v>274.93378038818088</v>
      </c>
      <c r="AH441" s="95">
        <f t="shared" ref="AH441" si="1219">SUM(S441:AD441)</f>
        <v>268.40600514051079</v>
      </c>
    </row>
    <row r="442" spans="2:34" x14ac:dyDescent="0.2">
      <c r="B442" s="9">
        <f>G405</f>
        <v>9</v>
      </c>
      <c r="C442" s="9" t="str">
        <f t="shared" si="1112"/>
        <v>9 - % of Revenue - Office EBITDA</v>
      </c>
      <c r="D442" s="9" t="s">
        <v>56</v>
      </c>
      <c r="F442" s="16" t="str">
        <f>"% of Revenue - "&amp;F441</f>
        <v>% of Revenue - Office EBITDA</v>
      </c>
      <c r="G442" s="148">
        <f>G441/G417</f>
        <v>0.30717976727465574</v>
      </c>
      <c r="H442" s="149">
        <f t="shared" ref="H442:AD442" si="1220">H441/H417</f>
        <v>0.31201238219648608</v>
      </c>
      <c r="I442" s="149">
        <f t="shared" si="1220"/>
        <v>9.9918060677984546E-2</v>
      </c>
      <c r="J442" s="149">
        <f t="shared" si="1220"/>
        <v>-0.14466611277334915</v>
      </c>
      <c r="K442" s="149">
        <f t="shared" si="1220"/>
        <v>-0.14099260009160783</v>
      </c>
      <c r="L442" s="149">
        <f t="shared" si="1220"/>
        <v>-0.16687483477879275</v>
      </c>
      <c r="M442" s="149">
        <f t="shared" si="1220"/>
        <v>8.3446496793970468E-2</v>
      </c>
      <c r="N442" s="149">
        <f t="shared" si="1220"/>
        <v>8.0398928949138623E-2</v>
      </c>
      <c r="O442" s="149">
        <f t="shared" si="1220"/>
        <v>6.7815112150215795E-2</v>
      </c>
      <c r="P442" s="149">
        <f t="shared" si="1220"/>
        <v>9.549009200221828E-2</v>
      </c>
      <c r="Q442" s="149">
        <f t="shared" si="1220"/>
        <v>6.4822792036968363E-2</v>
      </c>
      <c r="R442" s="149">
        <f t="shared" si="1220"/>
        <v>6.8379486865412953E-2</v>
      </c>
      <c r="S442" s="148">
        <f t="shared" si="1220"/>
        <v>0.28678561289805105</v>
      </c>
      <c r="T442" s="149">
        <f t="shared" si="1220"/>
        <v>0.29222458435909254</v>
      </c>
      <c r="U442" s="149">
        <f t="shared" si="1220"/>
        <v>0.10027416452857488</v>
      </c>
      <c r="V442" s="149">
        <f t="shared" si="1220"/>
        <v>-0.11240783084938227</v>
      </c>
      <c r="W442" s="149">
        <f t="shared" si="1220"/>
        <v>-0.10896721620252693</v>
      </c>
      <c r="X442" s="149">
        <f t="shared" si="1220"/>
        <v>-0.13719691871713077</v>
      </c>
      <c r="Y442" s="149">
        <f t="shared" si="1220"/>
        <v>9.9562278326934761E-2</v>
      </c>
      <c r="Z442" s="149">
        <f t="shared" si="1220"/>
        <v>9.2277687919287713E-2</v>
      </c>
      <c r="AA442" s="149">
        <f t="shared" si="1220"/>
        <v>8.1091749078411504E-2</v>
      </c>
      <c r="AB442" s="149">
        <f t="shared" si="1220"/>
        <v>0.11249568268294484</v>
      </c>
      <c r="AC442" s="149">
        <f t="shared" si="1220"/>
        <v>9.1974741670683188E-2</v>
      </c>
      <c r="AD442" s="150">
        <f t="shared" si="1220"/>
        <v>8.9290644945269976E-2</v>
      </c>
      <c r="AE442" s="15"/>
      <c r="AF442" s="232">
        <f>_xlfn.XLOOKUP($C442,'Site Level Financials - ''23 ''24'!$C$2:$C$1577,'Site Level Financials - ''23 ''24'!$AF$2:$AF$1577)</f>
        <v>0.21381950476941117</v>
      </c>
      <c r="AG442" s="97">
        <f t="shared" ref="AG442:AH442" si="1221">AG441/AG417</f>
        <v>7.8890422468909191E-2</v>
      </c>
      <c r="AH442" s="97">
        <f t="shared" si="1221"/>
        <v>6.5537652174854147E-2</v>
      </c>
    </row>
    <row r="443" spans="2:34" ht="6" customHeight="1" x14ac:dyDescent="0.2">
      <c r="B443" s="9">
        <f>G405</f>
        <v>9</v>
      </c>
      <c r="C443" s="9" t="str">
        <f t="shared" si="1112"/>
        <v xml:space="preserve">9 - </v>
      </c>
      <c r="D443" s="9" t="s">
        <v>56</v>
      </c>
      <c r="G443" s="80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80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81"/>
      <c r="AE443" s="15"/>
      <c r="AF443" s="11"/>
      <c r="AG443" s="15"/>
      <c r="AH443" s="15"/>
    </row>
    <row r="444" spans="2:34" x14ac:dyDescent="0.2">
      <c r="B444" s="9">
        <f>G405</f>
        <v>9</v>
      </c>
      <c r="C444" s="9" t="str">
        <f t="shared" si="1112"/>
        <v>9 - Memo:</v>
      </c>
      <c r="D444" s="9" t="s">
        <v>56</v>
      </c>
      <c r="F444" s="6" t="s">
        <v>13</v>
      </c>
      <c r="G444" s="80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80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81"/>
      <c r="AE444" s="15"/>
      <c r="AF444" s="11"/>
      <c r="AG444" s="15"/>
      <c r="AH444" s="15"/>
    </row>
    <row r="445" spans="2:34" s="24" customFormat="1" x14ac:dyDescent="0.2">
      <c r="B445" s="9">
        <f>G405</f>
        <v>9</v>
      </c>
      <c r="C445" s="9" t="str">
        <f t="shared" si="1112"/>
        <v>9 - Collections</v>
      </c>
      <c r="D445" s="9" t="s">
        <v>56</v>
      </c>
      <c r="E445" s="49"/>
      <c r="F445" s="24" t="s">
        <v>15</v>
      </c>
      <c r="G445" s="247">
        <f>_xlfn.XLOOKUP($C445,'Site Level Financials - ''23 ''24'!$C$2:$C$1577,'Site Level Financials - ''23 ''24'!S$2:S$1577)</f>
        <v>370.94056840616031</v>
      </c>
      <c r="H445" s="248">
        <f>_xlfn.XLOOKUP($C445,'Site Level Financials - ''23 ''24'!$C$2:$C$1577,'Site Level Financials - ''23 ''24'!T$2:T$1577)</f>
        <v>375.37909293480715</v>
      </c>
      <c r="I445" s="248">
        <f>_xlfn.XLOOKUP($C445,'Site Level Financials - ''23 ''24'!$C$2:$C$1577,'Site Level Financials - ''23 ''24'!U$2:U$1577)</f>
        <v>319.78711356246339</v>
      </c>
      <c r="J445" s="248">
        <f>_xlfn.XLOOKUP($C445,'Site Level Financials - ''23 ''24'!$C$2:$C$1577,'Site Level Financials - ''23 ''24'!V$2:V$1577)</f>
        <v>240.13321271609863</v>
      </c>
      <c r="K445" s="248">
        <f>_xlfn.XLOOKUP($C445,'Site Level Financials - ''23 ''24'!$C$2:$C$1577,'Site Level Financials - ''23 ''24'!W$2:W$1577)</f>
        <v>275.9153579635464</v>
      </c>
      <c r="L445" s="248">
        <f>_xlfn.XLOOKUP($C445,'Site Level Financials - ''23 ''24'!$C$2:$C$1577,'Site Level Financials - ''23 ''24'!X$2:X$1577)</f>
        <v>246.94107786687178</v>
      </c>
      <c r="M445" s="248">
        <f>_xlfn.XLOOKUP($C445,'Site Level Financials - ''23 ''24'!$C$2:$C$1577,'Site Level Financials - ''23 ''24'!Y$2:Y$1577)</f>
        <v>323.3958755934994</v>
      </c>
      <c r="N445" s="248">
        <f>_xlfn.XLOOKUP($C445,'Site Level Financials - ''23 ''24'!$C$2:$C$1577,'Site Level Financials - ''23 ''24'!Z$2:Z$1577)</f>
        <v>301.48143600487919</v>
      </c>
      <c r="O445" s="248">
        <f>_xlfn.XLOOKUP($C445,'Site Level Financials - ''23 ''24'!$C$2:$C$1577,'Site Level Financials - ''23 ''24'!AA$2:AA$1577)</f>
        <v>273.57953374205346</v>
      </c>
      <c r="P445" s="248">
        <f>_xlfn.XLOOKUP($C445,'Site Level Financials - ''23 ''24'!$C$2:$C$1577,'Site Level Financials - ''23 ''24'!AB$2:AB$1577)</f>
        <v>293.8626296474385</v>
      </c>
      <c r="Q445" s="248">
        <f>_xlfn.XLOOKUP($C445,'Site Level Financials - ''23 ''24'!$C$2:$C$1577,'Site Level Financials - ''23 ''24'!AC$2:AC$1577)</f>
        <v>222.41590146521355</v>
      </c>
      <c r="R445" s="248">
        <f>_xlfn.XLOOKUP($C445,'Site Level Financials - ''23 ''24'!$C$2:$C$1577,'Site Level Financials - ''23 ''24'!AD$2:AD$1577)</f>
        <v>204.889518804208</v>
      </c>
      <c r="S445" s="169">
        <f t="shared" ref="S445:AD445" si="1222">S446*S415</f>
        <v>296.02965475654656</v>
      </c>
      <c r="T445" s="170">
        <f t="shared" si="1222"/>
        <v>306.5324352365526</v>
      </c>
      <c r="U445" s="170">
        <f t="shared" si="1222"/>
        <v>329.15122888812903</v>
      </c>
      <c r="V445" s="170">
        <f t="shared" si="1222"/>
        <v>352.57413796579914</v>
      </c>
      <c r="W445" s="170">
        <f t="shared" si="1222"/>
        <v>419.03848328226832</v>
      </c>
      <c r="X445" s="170">
        <f t="shared" si="1222"/>
        <v>351.88704089043966</v>
      </c>
      <c r="Y445" s="170">
        <f t="shared" si="1222"/>
        <v>421.28542560473818</v>
      </c>
      <c r="Z445" s="170">
        <f t="shared" si="1222"/>
        <v>361.24838970855728</v>
      </c>
      <c r="AA445" s="170">
        <f t="shared" si="1222"/>
        <v>331.20590325527087</v>
      </c>
      <c r="AB445" s="170">
        <f t="shared" si="1222"/>
        <v>380.38757570823685</v>
      </c>
      <c r="AC445" s="170">
        <f t="shared" si="1222"/>
        <v>300.68457155414109</v>
      </c>
      <c r="AD445" s="171">
        <f t="shared" si="1222"/>
        <v>245.42252170022317</v>
      </c>
      <c r="AE445" s="26"/>
      <c r="AF445" s="234">
        <f>_xlfn.XLOOKUP($C445,'Site Level Financials - ''23 ''24'!$C$2:$C$1577,'Site Level Financials - ''23 ''24'!$AF$2:$AF$1577)</f>
        <v>3776.061609632472</v>
      </c>
      <c r="AG445" s="99">
        <f>SUM(G445:R445)</f>
        <v>3448.7213187072398</v>
      </c>
      <c r="AH445" s="99">
        <f t="shared" ref="AH445" si="1223">SUM(S445:AD445)</f>
        <v>4095.4473685509029</v>
      </c>
    </row>
    <row r="446" spans="2:34" x14ac:dyDescent="0.2">
      <c r="B446" s="9">
        <f>G405</f>
        <v>9</v>
      </c>
      <c r="C446" s="9" t="str">
        <f t="shared" si="1112"/>
        <v>9 - Collections as a % of Production</v>
      </c>
      <c r="D446" s="9" t="s">
        <v>56</v>
      </c>
      <c r="F446" s="16" t="s">
        <v>17</v>
      </c>
      <c r="G446" s="245">
        <f>_xlfn.XLOOKUP($C446,'Site Level Financials - ''23 ''24'!$C$2:$C$1577,'Site Level Financials - ''23 ''24'!S$2:S$1577)</f>
        <v>0.99841027747489297</v>
      </c>
      <c r="H446" s="246">
        <f>_xlfn.XLOOKUP($C446,'Site Level Financials - ''23 ''24'!$C$2:$C$1577,'Site Level Financials - ''23 ''24'!T$2:T$1577)</f>
        <v>0.97447852415722824</v>
      </c>
      <c r="I446" s="246">
        <f>_xlfn.XLOOKUP($C446,'Site Level Financials - ''23 ''24'!$C$2:$C$1577,'Site Level Financials - ''23 ''24'!U$2:U$1577)</f>
        <v>0.99134585996388447</v>
      </c>
      <c r="J446" s="246">
        <f>_xlfn.XLOOKUP($C446,'Site Level Financials - ''23 ''24'!$C$2:$C$1577,'Site Level Financials - ''23 ''24'!V$2:V$1577)</f>
        <v>0.96528761965514154</v>
      </c>
      <c r="K446" s="246">
        <f>_xlfn.XLOOKUP($C446,'Site Level Financials - ''23 ''24'!$C$2:$C$1577,'Site Level Financials - ''23 ''24'!W$2:W$1577)</f>
        <v>0.98073239363828568</v>
      </c>
      <c r="L446" s="246">
        <f>_xlfn.XLOOKUP($C446,'Site Level Financials - ''23 ''24'!$C$2:$C$1577,'Site Level Financials - ''23 ''24'!X$2:X$1577)</f>
        <v>0.97156840268009148</v>
      </c>
      <c r="M446" s="246">
        <f>_xlfn.XLOOKUP($C446,'Site Level Financials - ''23 ''24'!$C$2:$C$1577,'Site Level Financials - ''23 ''24'!Y$2:Y$1577)</f>
        <v>0.96384107210281378</v>
      </c>
      <c r="N446" s="246">
        <f>_xlfn.XLOOKUP($C446,'Site Level Financials - ''23 ''24'!$C$2:$C$1577,'Site Level Financials - ''23 ''24'!Z$2:Z$1577)</f>
        <v>0.9743206498374215</v>
      </c>
      <c r="O446" s="246">
        <f>_xlfn.XLOOKUP($C446,'Site Level Financials - ''23 ''24'!$C$2:$C$1577,'Site Level Financials - ''23 ''24'!AA$2:AA$1577)</f>
        <v>0.96743751954197565</v>
      </c>
      <c r="P446" s="246">
        <f>_xlfn.XLOOKUP($C446,'Site Level Financials - ''23 ''24'!$C$2:$C$1577,'Site Level Financials - ''23 ''24'!AB$2:AB$1577)</f>
        <v>0.96124920706075789</v>
      </c>
      <c r="Q446" s="246">
        <f>_xlfn.XLOOKUP($C446,'Site Level Financials - ''23 ''24'!$C$2:$C$1577,'Site Level Financials - ''23 ''24'!AC$2:AC$1577)</f>
        <v>0.96462687377387579</v>
      </c>
      <c r="R446" s="246">
        <f>_xlfn.XLOOKUP($C446,'Site Level Financials - ''23 ''24'!$C$2:$C$1577,'Site Level Financials - ''23 ''24'!AD$2:AD$1577)</f>
        <v>0.99941984197123568</v>
      </c>
      <c r="S446" s="148">
        <f>S416</f>
        <v>0.97624888686245925</v>
      </c>
      <c r="T446" s="149">
        <f t="shared" ref="T446:AD446" si="1224">T416</f>
        <v>0.97624888686245925</v>
      </c>
      <c r="U446" s="149">
        <f t="shared" si="1224"/>
        <v>0.97624888686245925</v>
      </c>
      <c r="V446" s="149">
        <f t="shared" si="1224"/>
        <v>0.97624888686245925</v>
      </c>
      <c r="W446" s="149">
        <f t="shared" si="1224"/>
        <v>0.97624888686245925</v>
      </c>
      <c r="X446" s="149">
        <f t="shared" si="1224"/>
        <v>0.97624888686245925</v>
      </c>
      <c r="Y446" s="149">
        <f t="shared" si="1224"/>
        <v>0.97624888686245925</v>
      </c>
      <c r="Z446" s="149">
        <f t="shared" si="1224"/>
        <v>0.97624888686245925</v>
      </c>
      <c r="AA446" s="149">
        <f t="shared" si="1224"/>
        <v>0.97624888686245925</v>
      </c>
      <c r="AB446" s="149">
        <f t="shared" si="1224"/>
        <v>0.97624888686245925</v>
      </c>
      <c r="AC446" s="149">
        <f t="shared" si="1224"/>
        <v>0.97624888686245925</v>
      </c>
      <c r="AD446" s="150">
        <f t="shared" si="1224"/>
        <v>0.97624888686245925</v>
      </c>
      <c r="AE446" s="15"/>
      <c r="AF446" s="232">
        <f>_xlfn.XLOOKUP($C446,'Site Level Financials - ''23 ''24'!$C$2:$C$1577,'Site Level Financials - ''23 ''24'!$AF$2:$AF$1577)</f>
        <v>0.97567634845407958</v>
      </c>
      <c r="AG446" s="97">
        <f t="shared" ref="AG446:AH446" si="1225">AG445/AG415</f>
        <v>0.97624888686245925</v>
      </c>
      <c r="AH446" s="97">
        <f t="shared" si="1225"/>
        <v>0.97624888686245925</v>
      </c>
    </row>
    <row r="447" spans="2:34" ht="6" customHeight="1" x14ac:dyDescent="0.2">
      <c r="B447" s="9">
        <f>G405</f>
        <v>9</v>
      </c>
      <c r="C447" s="9" t="str">
        <f t="shared" si="1112"/>
        <v xml:space="preserve">9 - </v>
      </c>
      <c r="D447" s="9" t="s">
        <v>56</v>
      </c>
      <c r="F447" s="27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81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81"/>
      <c r="AE447" s="15"/>
      <c r="AF447" s="11"/>
      <c r="AH447" s="224"/>
    </row>
    <row r="448" spans="2:34" s="24" customFormat="1" x14ac:dyDescent="0.2">
      <c r="B448" s="9">
        <f>G405</f>
        <v>9</v>
      </c>
      <c r="C448" s="9" t="str">
        <f t="shared" si="1112"/>
        <v>9 - Production per Vet Workday - YoY Change</v>
      </c>
      <c r="D448" s="9" t="s">
        <v>56</v>
      </c>
      <c r="E448" s="49"/>
      <c r="F448" s="24" t="s">
        <v>55</v>
      </c>
      <c r="G448" s="249">
        <f>_xlfn.XLOOKUP($C448,'Site Level Financials - ''23 ''24'!$C$2:$C$1577,'Site Level Financials - ''23 ''24'!S$2:S$1577)</f>
        <v>-0.10102321393140479</v>
      </c>
      <c r="H448" s="250">
        <f>_xlfn.XLOOKUP($C448,'Site Level Financials - ''23 ''24'!$C$2:$C$1577,'Site Level Financials - ''23 ''24'!T$2:T$1577)</f>
        <v>-4.0405548597463592E-2</v>
      </c>
      <c r="I448" s="250">
        <f>_xlfn.XLOOKUP($C448,'Site Level Financials - ''23 ''24'!$C$2:$C$1577,'Site Level Financials - ''23 ''24'!U$2:U$1577)</f>
        <v>-5.7779824326112728E-2</v>
      </c>
      <c r="J448" s="250">
        <f>_xlfn.XLOOKUP($C448,'Site Level Financials - ''23 ''24'!$C$2:$C$1577,'Site Level Financials - ''23 ''24'!V$2:V$1577)</f>
        <v>2.0961875859734747E-2</v>
      </c>
      <c r="K448" s="250">
        <f>_xlfn.XLOOKUP($C448,'Site Level Financials - ''23 ''24'!$C$2:$C$1577,'Site Level Financials - ''23 ''24'!W$2:W$1577)</f>
        <v>-3.0200288483839932E-2</v>
      </c>
      <c r="L448" s="250">
        <f>_xlfn.XLOOKUP($C448,'Site Level Financials - ''23 ''24'!$C$2:$C$1577,'Site Level Financials - ''23 ''24'!X$2:X$1577)</f>
        <v>3.3997935127594525E-2</v>
      </c>
      <c r="M448" s="250">
        <f>_xlfn.XLOOKUP($C448,'Site Level Financials - ''23 ''24'!$C$2:$C$1577,'Site Level Financials - ''23 ''24'!Y$2:Y$1577)</f>
        <v>-4.2630375502135553E-2</v>
      </c>
      <c r="N448" s="250">
        <f>_xlfn.XLOOKUP($C448,'Site Level Financials - ''23 ''24'!$C$2:$C$1577,'Site Level Financials - ''23 ''24'!Z$2:Z$1577)</f>
        <v>2.5509760807911119E-2</v>
      </c>
      <c r="O448" s="250">
        <f>_xlfn.XLOOKUP($C448,'Site Level Financials - ''23 ''24'!$C$2:$C$1577,'Site Level Financials - ''23 ''24'!AA$2:AA$1577)</f>
        <v>4.4784723850977315E-2</v>
      </c>
      <c r="P448" s="250">
        <f>_xlfn.XLOOKUP($C448,'Site Level Financials - ''23 ''24'!$C$2:$C$1577,'Site Level Financials - ''23 ''24'!AB$2:AB$1577)</f>
        <v>-1.5013125634290025E-2</v>
      </c>
      <c r="Q448" s="250">
        <f>_xlfn.XLOOKUP($C448,'Site Level Financials - ''23 ''24'!$C$2:$C$1577,'Site Level Financials - ''23 ''24'!AC$2:AC$1577)</f>
        <v>-4.0098655277675754E-2</v>
      </c>
      <c r="R448" s="251">
        <f>_xlfn.XLOOKUP($C448,'Site Level Financials - ''23 ''24'!$C$2:$C$1577,'Site Level Financials - ''23 ''24'!AD$2:AD$1577)</f>
        <v>4.636240432566674E-2</v>
      </c>
      <c r="S448" s="151">
        <f>S414/G414-1</f>
        <v>8.8223533067291804E-2</v>
      </c>
      <c r="T448" s="152">
        <f t="shared" ref="T448" si="1226">T414/H414-1</f>
        <v>8.6817974056929703E-2</v>
      </c>
      <c r="U448" s="152">
        <f t="shared" ref="U448" si="1227">U414/I414-1</f>
        <v>4.5199437637573503E-2</v>
      </c>
      <c r="V448" s="152">
        <f t="shared" ref="V448" si="1228">V414/J414-1</f>
        <v>-3.2160936642158577E-2</v>
      </c>
      <c r="W448" s="152">
        <f t="shared" ref="W448" si="1229">W414/K414-1</f>
        <v>1.7130655762399138E-2</v>
      </c>
      <c r="X448" s="152">
        <f t="shared" ref="X448" si="1230">X414/L414-1</f>
        <v>-5.456537146629592E-2</v>
      </c>
      <c r="Y448" s="152">
        <f t="shared" ref="Y448" si="1231">Y414/M414-1</f>
        <v>-3.5398131816735234E-2</v>
      </c>
      <c r="Z448" s="152">
        <f t="shared" ref="Z448" si="1232">Z414/N414-1</f>
        <v>-0.10309186424720007</v>
      </c>
      <c r="AA448" s="152">
        <f t="shared" ref="AA448" si="1233">AA414/O414-1</f>
        <v>-0.10021634063702811</v>
      </c>
      <c r="AB448" s="152">
        <f t="shared" ref="AB448" si="1234">AB414/P414-1</f>
        <v>-4.4086336835926665E-2</v>
      </c>
      <c r="AC448" s="152">
        <f t="shared" ref="AC448" si="1235">AC414/Q414-1</f>
        <v>1.8561754734764957E-3</v>
      </c>
      <c r="AD448" s="153">
        <f t="shared" ref="AD448" si="1236">AD414/R414-1</f>
        <v>-8.030600505266694E-2</v>
      </c>
      <c r="AF448" s="43"/>
      <c r="AG448" s="177">
        <f>AG414/AF414-1</f>
        <v>-4.23595720645078E-2</v>
      </c>
      <c r="AH448" s="225">
        <f>AH414/AG414-1</f>
        <v>-1.0394725542777539E-2</v>
      </c>
    </row>
    <row r="449" spans="2:35" s="24" customFormat="1" ht="6" customHeight="1" x14ac:dyDescent="0.2">
      <c r="D449" s="9" t="s">
        <v>56</v>
      </c>
      <c r="E449" s="49"/>
      <c r="G449" s="28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29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29"/>
      <c r="AE449" s="25"/>
      <c r="AF449" s="28"/>
      <c r="AG449" s="30"/>
      <c r="AH449" s="226"/>
    </row>
    <row r="450" spans="2:35" s="24" customFormat="1" ht="6" customHeight="1" x14ac:dyDescent="0.2">
      <c r="D450" s="9" t="s">
        <v>56</v>
      </c>
      <c r="E450" s="49"/>
    </row>
    <row r="451" spans="2:35" x14ac:dyDescent="0.2">
      <c r="D451" s="9" t="s">
        <v>56</v>
      </c>
      <c r="F451" s="16"/>
    </row>
    <row r="452" spans="2:35" ht="15.75" thickBot="1" x14ac:dyDescent="0.4">
      <c r="B452" s="35" t="s">
        <v>52</v>
      </c>
      <c r="C452" s="35"/>
      <c r="D452" s="9" t="s">
        <v>56</v>
      </c>
      <c r="E452" s="48" t="s">
        <v>0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74"/>
      <c r="AH452" s="3">
        <f ca="1">TODAY()</f>
        <v>45999</v>
      </c>
      <c r="AI452" s="1"/>
    </row>
    <row r="453" spans="2:35" x14ac:dyDescent="0.2">
      <c r="B453" s="9">
        <f>G455</f>
        <v>10</v>
      </c>
      <c r="C453" s="9"/>
      <c r="D453" s="9" t="s">
        <v>56</v>
      </c>
      <c r="F453" t="s">
        <v>159</v>
      </c>
      <c r="AG453" s="6"/>
      <c r="AH453" s="6" t="s">
        <v>16</v>
      </c>
    </row>
    <row r="454" spans="2:35" x14ac:dyDescent="0.2">
      <c r="B454" s="9"/>
      <c r="C454" s="9"/>
      <c r="D454" s="9" t="s">
        <v>56</v>
      </c>
      <c r="AG454" s="6"/>
      <c r="AH454" s="6"/>
    </row>
    <row r="455" spans="2:35" x14ac:dyDescent="0.2">
      <c r="B455" s="9">
        <f>G455</f>
        <v>10</v>
      </c>
      <c r="C455" s="9"/>
      <c r="D455" s="9" t="s">
        <v>56</v>
      </c>
      <c r="F455" s="40" t="s">
        <v>53</v>
      </c>
      <c r="G455" s="42">
        <v>10</v>
      </c>
    </row>
    <row r="456" spans="2:35" x14ac:dyDescent="0.2">
      <c r="B456" s="9">
        <f>G455</f>
        <v>10</v>
      </c>
      <c r="C456" s="9"/>
      <c r="D456" s="9" t="s">
        <v>56</v>
      </c>
      <c r="F456" s="39" t="s">
        <v>27</v>
      </c>
      <c r="G456" s="41"/>
      <c r="H456" s="11"/>
    </row>
    <row r="457" spans="2:35" x14ac:dyDescent="0.2">
      <c r="B457" s="9">
        <f>G455</f>
        <v>10</v>
      </c>
      <c r="C457" s="9"/>
      <c r="D457" s="9" t="s">
        <v>56</v>
      </c>
      <c r="G457" s="23"/>
    </row>
    <row r="458" spans="2:35" x14ac:dyDescent="0.2">
      <c r="B458" s="9">
        <f>G455</f>
        <v>10</v>
      </c>
      <c r="C458" s="9"/>
      <c r="D458" s="9" t="s">
        <v>56</v>
      </c>
      <c r="G458" s="208" t="s">
        <v>229</v>
      </c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10"/>
      <c r="S458" s="266" t="s">
        <v>230</v>
      </c>
      <c r="T458" s="267"/>
      <c r="U458" s="267"/>
      <c r="V458" s="267"/>
      <c r="W458" s="267"/>
      <c r="X458" s="267"/>
      <c r="Y458" s="267"/>
      <c r="Z458" s="267"/>
      <c r="AA458" s="267"/>
      <c r="AB458" s="267"/>
      <c r="AC458" s="267"/>
      <c r="AD458" s="268"/>
      <c r="AF458" s="17" t="s">
        <v>231</v>
      </c>
      <c r="AG458" s="50"/>
      <c r="AH458" s="269" t="s">
        <v>232</v>
      </c>
    </row>
    <row r="459" spans="2:35" ht="15" customHeight="1" x14ac:dyDescent="0.35">
      <c r="B459" s="9">
        <f>G455</f>
        <v>10</v>
      </c>
      <c r="C459" s="9"/>
      <c r="D459" s="9" t="s">
        <v>56</v>
      </c>
      <c r="G459" s="211">
        <v>44957</v>
      </c>
      <c r="H459" s="212">
        <f>EOMONTH(G459,1)</f>
        <v>44985</v>
      </c>
      <c r="I459" s="212">
        <f t="shared" ref="I459" si="1237">EOMONTH(H459,1)</f>
        <v>45016</v>
      </c>
      <c r="J459" s="212">
        <f t="shared" ref="J459" si="1238">EOMONTH(I459,1)</f>
        <v>45046</v>
      </c>
      <c r="K459" s="212">
        <f t="shared" ref="K459" si="1239">EOMONTH(J459,1)</f>
        <v>45077</v>
      </c>
      <c r="L459" s="212">
        <f t="shared" ref="L459" si="1240">EOMONTH(K459,1)</f>
        <v>45107</v>
      </c>
      <c r="M459" s="212">
        <f t="shared" ref="M459" si="1241">EOMONTH(L459,1)</f>
        <v>45138</v>
      </c>
      <c r="N459" s="212">
        <f t="shared" ref="N459" si="1242">EOMONTH(M459,1)</f>
        <v>45169</v>
      </c>
      <c r="O459" s="212">
        <f t="shared" ref="O459" si="1243">EOMONTH(N459,1)</f>
        <v>45199</v>
      </c>
      <c r="P459" s="212">
        <f t="shared" ref="P459" si="1244">EOMONTH(O459,1)</f>
        <v>45230</v>
      </c>
      <c r="Q459" s="212">
        <f t="shared" ref="Q459" si="1245">EOMONTH(P459,1)</f>
        <v>45260</v>
      </c>
      <c r="R459" s="213">
        <f t="shared" ref="R459" si="1246">EOMONTH(Q459,1)</f>
        <v>45291</v>
      </c>
      <c r="S459" s="4">
        <f t="shared" ref="S459" si="1247">EOMONTH(R459,1)</f>
        <v>45322</v>
      </c>
      <c r="T459" s="19">
        <f t="shared" ref="T459" si="1248">EOMONTH(S459,1)</f>
        <v>45351</v>
      </c>
      <c r="U459" s="19">
        <f t="shared" ref="U459" si="1249">EOMONTH(T459,1)</f>
        <v>45382</v>
      </c>
      <c r="V459" s="19">
        <f t="shared" ref="V459" si="1250">EOMONTH(U459,1)</f>
        <v>45412</v>
      </c>
      <c r="W459" s="19">
        <f t="shared" ref="W459" si="1251">EOMONTH(V459,1)</f>
        <v>45443</v>
      </c>
      <c r="X459" s="19">
        <f t="shared" ref="X459" si="1252">EOMONTH(W459,1)</f>
        <v>45473</v>
      </c>
      <c r="Y459" s="19">
        <f t="shared" ref="Y459" si="1253">EOMONTH(X459,1)</f>
        <v>45504</v>
      </c>
      <c r="Z459" s="19">
        <f t="shared" ref="Z459" si="1254">EOMONTH(Y459,1)</f>
        <v>45535</v>
      </c>
      <c r="AA459" s="19">
        <f t="shared" ref="AA459" si="1255">EOMONTH(Z459,1)</f>
        <v>45565</v>
      </c>
      <c r="AB459" s="19">
        <f t="shared" ref="AB459" si="1256">EOMONTH(AA459,1)</f>
        <v>45596</v>
      </c>
      <c r="AC459" s="19">
        <f t="shared" ref="AC459" si="1257">EOMONTH(AB459,1)</f>
        <v>45626</v>
      </c>
      <c r="AD459" s="5">
        <f t="shared" ref="AD459" si="1258">EOMONTH(AC459,1)</f>
        <v>45657</v>
      </c>
      <c r="AE459" s="168"/>
      <c r="AF459" s="13">
        <v>45291</v>
      </c>
      <c r="AG459" s="14">
        <v>45657</v>
      </c>
      <c r="AH459" s="14">
        <v>46022</v>
      </c>
    </row>
    <row r="460" spans="2:35" ht="0.95" customHeight="1" x14ac:dyDescent="0.2">
      <c r="B460" s="9">
        <f>G455</f>
        <v>10</v>
      </c>
      <c r="C460" s="9"/>
      <c r="D460" s="9" t="s">
        <v>56</v>
      </c>
      <c r="G460" s="11"/>
      <c r="S460" s="11"/>
      <c r="AD460" s="15"/>
      <c r="AE460" s="15"/>
      <c r="AF460" s="11"/>
      <c r="AG460" s="15"/>
      <c r="AH460" s="15"/>
    </row>
    <row r="461" spans="2:35" x14ac:dyDescent="0.2">
      <c r="B461" s="9">
        <f>G455</f>
        <v>10</v>
      </c>
      <c r="C461" s="9" t="str">
        <f>B461&amp;" - "&amp;F461</f>
        <v>10 - Employed Vets</v>
      </c>
      <c r="D461" s="9" t="s">
        <v>56</v>
      </c>
      <c r="F461" s="7" t="s">
        <v>160</v>
      </c>
      <c r="G461" s="178">
        <f>_xlfn.XLOOKUP($C461,'Site Level Financials - ''23 ''24'!$C$2:$C$1577,'Site Level Financials - ''23 ''24'!S$2:S$1577)</f>
        <v>4</v>
      </c>
      <c r="H461" s="179">
        <f>_xlfn.XLOOKUP($C461,'Site Level Financials - ''23 ''24'!$C$2:$C$1577,'Site Level Financials - ''23 ''24'!T$2:T$1577)</f>
        <v>3</v>
      </c>
      <c r="I461" s="179">
        <f>_xlfn.XLOOKUP($C461,'Site Level Financials - ''23 ''24'!$C$2:$C$1577,'Site Level Financials - ''23 ''24'!U$2:U$1577)</f>
        <v>3</v>
      </c>
      <c r="J461" s="179">
        <f>_xlfn.XLOOKUP($C461,'Site Level Financials - ''23 ''24'!$C$2:$C$1577,'Site Level Financials - ''23 ''24'!V$2:V$1577)</f>
        <v>2</v>
      </c>
      <c r="K461" s="179">
        <f>_xlfn.XLOOKUP($C461,'Site Level Financials - ''23 ''24'!$C$2:$C$1577,'Site Level Financials - ''23 ''24'!W$2:W$1577)</f>
        <v>2</v>
      </c>
      <c r="L461" s="179">
        <f>_xlfn.XLOOKUP($C461,'Site Level Financials - ''23 ''24'!$C$2:$C$1577,'Site Level Financials - ''23 ''24'!X$2:X$1577)</f>
        <v>2</v>
      </c>
      <c r="M461" s="179">
        <f>_xlfn.XLOOKUP($C461,'Site Level Financials - ''23 ''24'!$C$2:$C$1577,'Site Level Financials - ''23 ''24'!Y$2:Y$1577)</f>
        <v>3</v>
      </c>
      <c r="N461" s="179">
        <f>_xlfn.XLOOKUP($C461,'Site Level Financials - ''23 ''24'!$C$2:$C$1577,'Site Level Financials - ''23 ''24'!Z$2:Z$1577)</f>
        <v>4</v>
      </c>
      <c r="O461" s="179">
        <f>_xlfn.XLOOKUP($C461,'Site Level Financials - ''23 ''24'!$C$2:$C$1577,'Site Level Financials - ''23 ''24'!AA$2:AA$1577)</f>
        <v>4</v>
      </c>
      <c r="P461" s="179">
        <f>_xlfn.XLOOKUP($C461,'Site Level Financials - ''23 ''24'!$C$2:$C$1577,'Site Level Financials - ''23 ''24'!AB$2:AB$1577)</f>
        <v>4</v>
      </c>
      <c r="Q461" s="179">
        <f>_xlfn.XLOOKUP($C461,'Site Level Financials - ''23 ''24'!$C$2:$C$1577,'Site Level Financials - ''23 ''24'!AC$2:AC$1577)</f>
        <v>5</v>
      </c>
      <c r="R461" s="179">
        <f>_xlfn.XLOOKUP($C461,'Site Level Financials - ''23 ''24'!$C$2:$C$1577,'Site Level Financials - ''23 ''24'!AD$2:AD$1577)</f>
        <v>5</v>
      </c>
      <c r="S461" s="178">
        <f>R461+_xlfn.XLOOKUP($R461,'Budget Assumption Driver'!$A$7:$A$11,'Budget Assumption Driver'!E$7:E$11)</f>
        <v>5</v>
      </c>
      <c r="T461" s="179">
        <f>S461+_xlfn.XLOOKUP($R461,'Budget Assumption Driver'!$A$7:$A$11,'Budget Assumption Driver'!F$7:F$11)</f>
        <v>5</v>
      </c>
      <c r="U461" s="179">
        <f>T461+_xlfn.XLOOKUP($R461,'Budget Assumption Driver'!$A$7:$A$11,'Budget Assumption Driver'!G$7:G$11)</f>
        <v>5</v>
      </c>
      <c r="V461" s="179">
        <f>U461+_xlfn.XLOOKUP($R461,'Budget Assumption Driver'!$A$7:$A$11,'Budget Assumption Driver'!H$7:H$11)</f>
        <v>5</v>
      </c>
      <c r="W461" s="179">
        <f>V461+_xlfn.XLOOKUP($R461,'Budget Assumption Driver'!$A$7:$A$11,'Budget Assumption Driver'!I$7:I$11)</f>
        <v>5</v>
      </c>
      <c r="X461" s="179">
        <f>W461+_xlfn.XLOOKUP($R461,'Budget Assumption Driver'!$A$7:$A$11,'Budget Assumption Driver'!J$7:J$11)</f>
        <v>5</v>
      </c>
      <c r="Y461" s="179">
        <f>X461+_xlfn.XLOOKUP($R461,'Budget Assumption Driver'!$A$7:$A$11,'Budget Assumption Driver'!K$7:K$11)</f>
        <v>5</v>
      </c>
      <c r="Z461" s="179">
        <f>Y461+_xlfn.XLOOKUP($R461,'Budget Assumption Driver'!$A$7:$A$11,'Budget Assumption Driver'!L$7:L$11)</f>
        <v>5</v>
      </c>
      <c r="AA461" s="179">
        <f>Z461+_xlfn.XLOOKUP($R461,'Budget Assumption Driver'!$A$7:$A$11,'Budget Assumption Driver'!M$7:M$11)</f>
        <v>5</v>
      </c>
      <c r="AB461" s="179">
        <f>AA461+_xlfn.XLOOKUP($R461,'Budget Assumption Driver'!$A$7:$A$11,'Budget Assumption Driver'!N$7:N$11)</f>
        <v>5</v>
      </c>
      <c r="AC461" s="179">
        <f>AB461+_xlfn.XLOOKUP($R461,'Budget Assumption Driver'!$A$7:$A$11,'Budget Assumption Driver'!O$7:O$11)</f>
        <v>5</v>
      </c>
      <c r="AD461" s="290">
        <f>AC461+_xlfn.XLOOKUP($R461,'Budget Assumption Driver'!$A$7:$A$11,'Budget Assumption Driver'!P$7:P$11)</f>
        <v>5</v>
      </c>
      <c r="AE461" s="15"/>
      <c r="AF461" s="229">
        <f>_xlfn.XLOOKUP($C461,'Site Level Financials - ''23 ''24'!$C$2:$C$1577,'Site Level Financials - ''23 ''24'!$AF$2:$AF$1577)</f>
        <v>2.1666666666666665</v>
      </c>
      <c r="AG461" s="91">
        <f t="shared" ref="AG461:AH461" si="1259">AG463/AG462</f>
        <v>3.4163568773234201</v>
      </c>
      <c r="AH461" s="91">
        <f t="shared" si="1259"/>
        <v>5</v>
      </c>
    </row>
    <row r="462" spans="2:35" x14ac:dyDescent="0.2">
      <c r="B462" s="9">
        <f>G455</f>
        <v>10</v>
      </c>
      <c r="C462" s="9" t="str">
        <f t="shared" ref="C462:C498" si="1260">B462&amp;" - "&amp;F462</f>
        <v>10 - Workdays in Month / Year</v>
      </c>
      <c r="D462" s="9" t="s">
        <v>56</v>
      </c>
      <c r="F462" s="7" t="s">
        <v>54</v>
      </c>
      <c r="G462" s="178">
        <f>_xlfn.XLOOKUP($C462,'Site Level Financials - ''23 ''24'!$C$2:$C$1577,'Site Level Financials - ''23 ''24'!S$2:S$1577)</f>
        <v>23</v>
      </c>
      <c r="H462" s="235">
        <f>_xlfn.XLOOKUP($C462,'Site Level Financials - ''23 ''24'!$C$2:$C$1577,'Site Level Financials - ''23 ''24'!T$2:T$1577)</f>
        <v>22</v>
      </c>
      <c r="I462" s="235">
        <f>_xlfn.XLOOKUP($C462,'Site Level Financials - ''23 ''24'!$C$2:$C$1577,'Site Level Financials - ''23 ''24'!U$2:U$1577)</f>
        <v>22</v>
      </c>
      <c r="J462" s="179">
        <f>_xlfn.XLOOKUP($C462,'Site Level Financials - ''23 ''24'!$C$2:$C$1577,'Site Level Financials - ''23 ''24'!V$2:V$1577)</f>
        <v>22</v>
      </c>
      <c r="K462" s="179">
        <f>_xlfn.XLOOKUP($C462,'Site Level Financials - ''23 ''24'!$C$2:$C$1577,'Site Level Financials - ''23 ''24'!W$2:W$1577)</f>
        <v>24</v>
      </c>
      <c r="L462" s="179">
        <f>_xlfn.XLOOKUP($C462,'Site Level Financials - ''23 ''24'!$C$2:$C$1577,'Site Level Financials - ''23 ''24'!X$2:X$1577)</f>
        <v>21</v>
      </c>
      <c r="M462" s="179">
        <f>_xlfn.XLOOKUP($C462,'Site Level Financials - ''23 ''24'!$C$2:$C$1577,'Site Level Financials - ''23 ''24'!Y$2:Y$1577)</f>
        <v>23</v>
      </c>
      <c r="N462" s="179">
        <f>_xlfn.XLOOKUP($C462,'Site Level Financials - ''23 ''24'!$C$2:$C$1577,'Site Level Financials - ''23 ''24'!Z$2:Z$1577)</f>
        <v>23</v>
      </c>
      <c r="O462" s="179">
        <f>_xlfn.XLOOKUP($C462,'Site Level Financials - ''23 ''24'!$C$2:$C$1577,'Site Level Financials - ''23 ''24'!AA$2:AA$1577)</f>
        <v>21</v>
      </c>
      <c r="P462" s="179">
        <f>_xlfn.XLOOKUP($C462,'Site Level Financials - ''23 ''24'!$C$2:$C$1577,'Site Level Financials - ''23 ''24'!AB$2:AB$1577)</f>
        <v>24</v>
      </c>
      <c r="Q462" s="179">
        <f>_xlfn.XLOOKUP($C462,'Site Level Financials - ''23 ''24'!$C$2:$C$1577,'Site Level Financials - ''23 ''24'!AC$2:AC$1577)</f>
        <v>22</v>
      </c>
      <c r="R462" s="179">
        <f>_xlfn.XLOOKUP($C462,'Site Level Financials - ''23 ''24'!$C$2:$C$1577,'Site Level Financials - ''23 ''24'!AD$2:AD$1577)</f>
        <v>22</v>
      </c>
      <c r="S462" s="155">
        <f>NETWORKDAYS(R459,S459)</f>
        <v>23</v>
      </c>
      <c r="T462" s="154">
        <f t="shared" ref="T462:AD462" si="1261">NETWORKDAYS(S459,T459)</f>
        <v>22</v>
      </c>
      <c r="U462" s="154">
        <f t="shared" si="1261"/>
        <v>22</v>
      </c>
      <c r="V462" s="154">
        <f t="shared" si="1261"/>
        <v>22</v>
      </c>
      <c r="W462" s="154">
        <f t="shared" si="1261"/>
        <v>24</v>
      </c>
      <c r="X462" s="154">
        <f t="shared" si="1261"/>
        <v>21</v>
      </c>
      <c r="Y462" s="154">
        <f t="shared" si="1261"/>
        <v>23</v>
      </c>
      <c r="Z462" s="154">
        <f t="shared" si="1261"/>
        <v>23</v>
      </c>
      <c r="AA462" s="154">
        <f t="shared" si="1261"/>
        <v>21</v>
      </c>
      <c r="AB462" s="154">
        <f t="shared" si="1261"/>
        <v>24</v>
      </c>
      <c r="AC462" s="154">
        <f t="shared" si="1261"/>
        <v>22</v>
      </c>
      <c r="AD462" s="156">
        <f t="shared" si="1261"/>
        <v>22</v>
      </c>
      <c r="AE462" s="15"/>
      <c r="AF462" s="115">
        <f>_xlfn.XLOOKUP($C462,'Site Level Financials - ''23 ''24'!$C$2:$C$1577,'Site Level Financials - ''23 ''24'!$AF$2:$AF$1577)</f>
        <v>269</v>
      </c>
      <c r="AG462" s="93">
        <f>SUM(G462:R462)</f>
        <v>269</v>
      </c>
      <c r="AH462" s="93">
        <f>SUM(S462:AD462)</f>
        <v>269</v>
      </c>
    </row>
    <row r="463" spans="2:35" x14ac:dyDescent="0.2">
      <c r="B463" s="9">
        <f>G455</f>
        <v>10</v>
      </c>
      <c r="C463" s="9" t="str">
        <f t="shared" si="1260"/>
        <v>10 - Total Vet Days</v>
      </c>
      <c r="D463" s="9" t="s">
        <v>56</v>
      </c>
      <c r="F463" s="8" t="s">
        <v>51</v>
      </c>
      <c r="G463" s="236">
        <f>_xlfn.XLOOKUP($C463,'Site Level Financials - ''23 ''24'!$C$2:$C$1577,'Site Level Financials - ''23 ''24'!S$2:S$1577)</f>
        <v>92</v>
      </c>
      <c r="H463" s="237">
        <f>_xlfn.XLOOKUP($C463,'Site Level Financials - ''23 ''24'!$C$2:$C$1577,'Site Level Financials - ''23 ''24'!T$2:T$1577)</f>
        <v>66</v>
      </c>
      <c r="I463" s="237">
        <f>_xlfn.XLOOKUP($C463,'Site Level Financials - ''23 ''24'!$C$2:$C$1577,'Site Level Financials - ''23 ''24'!U$2:U$1577)</f>
        <v>66</v>
      </c>
      <c r="J463" s="238">
        <f>_xlfn.XLOOKUP($C463,'Site Level Financials - ''23 ''24'!$C$2:$C$1577,'Site Level Financials - ''23 ''24'!V$2:V$1577)</f>
        <v>44</v>
      </c>
      <c r="K463" s="238">
        <f>_xlfn.XLOOKUP($C463,'Site Level Financials - ''23 ''24'!$C$2:$C$1577,'Site Level Financials - ''23 ''24'!W$2:W$1577)</f>
        <v>48</v>
      </c>
      <c r="L463" s="238">
        <f>_xlfn.XLOOKUP($C463,'Site Level Financials - ''23 ''24'!$C$2:$C$1577,'Site Level Financials - ''23 ''24'!X$2:X$1577)</f>
        <v>42</v>
      </c>
      <c r="M463" s="238">
        <f>_xlfn.XLOOKUP($C463,'Site Level Financials - ''23 ''24'!$C$2:$C$1577,'Site Level Financials - ''23 ''24'!Y$2:Y$1577)</f>
        <v>69</v>
      </c>
      <c r="N463" s="238">
        <f>_xlfn.XLOOKUP($C463,'Site Level Financials - ''23 ''24'!$C$2:$C$1577,'Site Level Financials - ''23 ''24'!Z$2:Z$1577)</f>
        <v>92</v>
      </c>
      <c r="O463" s="238">
        <f>_xlfn.XLOOKUP($C463,'Site Level Financials - ''23 ''24'!$C$2:$C$1577,'Site Level Financials - ''23 ''24'!AA$2:AA$1577)</f>
        <v>84</v>
      </c>
      <c r="P463" s="238">
        <f>_xlfn.XLOOKUP($C463,'Site Level Financials - ''23 ''24'!$C$2:$C$1577,'Site Level Financials - ''23 ''24'!AB$2:AB$1577)</f>
        <v>96</v>
      </c>
      <c r="Q463" s="238">
        <f>_xlfn.XLOOKUP($C463,'Site Level Financials - ''23 ''24'!$C$2:$C$1577,'Site Level Financials - ''23 ''24'!AC$2:AC$1577)</f>
        <v>110</v>
      </c>
      <c r="R463" s="238">
        <f>_xlfn.XLOOKUP($C463,'Site Level Financials - ''23 ''24'!$C$2:$C$1577,'Site Level Financials - ''23 ''24'!AD$2:AD$1577)</f>
        <v>110</v>
      </c>
      <c r="S463" s="125">
        <f t="shared" ref="S463:AD463" si="1262">S461*S462</f>
        <v>115</v>
      </c>
      <c r="T463" s="127">
        <f t="shared" si="1262"/>
        <v>110</v>
      </c>
      <c r="U463" s="127">
        <f t="shared" si="1262"/>
        <v>110</v>
      </c>
      <c r="V463" s="127">
        <f t="shared" si="1262"/>
        <v>110</v>
      </c>
      <c r="W463" s="127">
        <f t="shared" si="1262"/>
        <v>120</v>
      </c>
      <c r="X463" s="127">
        <f t="shared" si="1262"/>
        <v>105</v>
      </c>
      <c r="Y463" s="127">
        <f t="shared" si="1262"/>
        <v>115</v>
      </c>
      <c r="Z463" s="127">
        <f t="shared" si="1262"/>
        <v>115</v>
      </c>
      <c r="AA463" s="127">
        <f t="shared" si="1262"/>
        <v>105</v>
      </c>
      <c r="AB463" s="127">
        <f t="shared" si="1262"/>
        <v>120</v>
      </c>
      <c r="AC463" s="127">
        <f t="shared" si="1262"/>
        <v>110</v>
      </c>
      <c r="AD463" s="128">
        <f t="shared" si="1262"/>
        <v>110</v>
      </c>
      <c r="AF463" s="112">
        <f>_xlfn.XLOOKUP($C463,'Site Level Financials - ''23 ''24'!$C$2:$C$1577,'Site Level Financials - ''23 ''24'!$AF$2:$AF$1577)</f>
        <v>584</v>
      </c>
      <c r="AG463" s="120">
        <f>SUM(G463:R463)</f>
        <v>919</v>
      </c>
      <c r="AH463" s="120">
        <f t="shared" ref="AH463" si="1263">SUM(S463:AD463)</f>
        <v>1345</v>
      </c>
    </row>
    <row r="464" spans="2:35" x14ac:dyDescent="0.2">
      <c r="B464" s="9">
        <f>G455</f>
        <v>10</v>
      </c>
      <c r="C464" s="9" t="str">
        <f t="shared" si="1260"/>
        <v>10 - Production per Vet Workday</v>
      </c>
      <c r="D464" s="9" t="s">
        <v>56</v>
      </c>
      <c r="F464" s="7" t="s">
        <v>50</v>
      </c>
      <c r="G464" s="239">
        <f>_xlfn.XLOOKUP($C464,'Site Level Financials - ''23 ''24'!$C$2:$C$1577,'Site Level Financials - ''23 ''24'!S$2:S$1577)</f>
        <v>6.1832771353200568</v>
      </c>
      <c r="H464" s="240">
        <f>_xlfn.XLOOKUP($C464,'Site Level Financials - ''23 ''24'!$C$2:$C$1577,'Site Level Financials - ''23 ''24'!T$2:T$1577)</f>
        <v>6.8508507658405193</v>
      </c>
      <c r="I464" s="240">
        <f>_xlfn.XLOOKUP($C464,'Site Level Financials - ''23 ''24'!$C$2:$C$1577,'Site Level Financials - ''23 ''24'!U$2:U$1577)</f>
        <v>7.2155854002630306</v>
      </c>
      <c r="J464" s="240">
        <f>_xlfn.XLOOKUP($C464,'Site Level Financials - ''23 ''24'!$C$2:$C$1577,'Site Level Financials - ''23 ''24'!V$2:V$1577)</f>
        <v>8.5417432230032588</v>
      </c>
      <c r="K464" s="240">
        <f>_xlfn.XLOOKUP($C464,'Site Level Financials - ''23 ''24'!$C$2:$C$1577,'Site Level Financials - ''23 ''24'!W$2:W$1577)</f>
        <v>8.8524438465084234</v>
      </c>
      <c r="L464" s="240">
        <f>_xlfn.XLOOKUP($C464,'Site Level Financials - ''23 ''24'!$C$2:$C$1577,'Site Level Financials - ''23 ''24'!X$2:X$1577)</f>
        <v>8.0309354980169569</v>
      </c>
      <c r="M464" s="240">
        <f>_xlfn.XLOOKUP($C464,'Site Level Financials - ''23 ''24'!$C$2:$C$1577,'Site Level Financials - ''23 ''24'!Y$2:Y$1577)</f>
        <v>7.0918550250236558</v>
      </c>
      <c r="N464" s="240">
        <f>_xlfn.XLOOKUP($C464,'Site Level Financials - ''23 ''24'!$C$2:$C$1577,'Site Level Financials - ''23 ''24'!Z$2:Z$1577)</f>
        <v>6.3621308797203522</v>
      </c>
      <c r="O464" s="240">
        <f>_xlfn.XLOOKUP($C464,'Site Level Financials - ''23 ''24'!$C$2:$C$1577,'Site Level Financials - ''23 ''24'!AA$2:AA$1577)</f>
        <v>6.191496003236562</v>
      </c>
      <c r="P464" s="240">
        <f>_xlfn.XLOOKUP($C464,'Site Level Financials - ''23 ''24'!$C$2:$C$1577,'Site Level Financials - ''23 ''24'!AB$2:AB$1577)</f>
        <v>6.2848683932263594</v>
      </c>
      <c r="Q464" s="240">
        <f>_xlfn.XLOOKUP($C464,'Site Level Financials - ''23 ''24'!$C$2:$C$1577,'Site Level Financials - ''23 ''24'!AC$2:AC$1577)</f>
        <v>5.1005888452130312</v>
      </c>
      <c r="R464" s="240">
        <f>_xlfn.XLOOKUP($C464,'Site Level Financials - ''23 ''24'!$C$2:$C$1577,'Site Level Financials - ''23 ''24'!AD$2:AD$1577)</f>
        <v>4.3980053403768196</v>
      </c>
      <c r="S464" s="239">
        <f>R464*(1+_xlfn.XLOOKUP($R461,'Budget Assumption Driver'!$A$15:$A$19,'Budget Assumption Driver'!E$15:E$19))</f>
        <v>6.222336433351944</v>
      </c>
      <c r="T464" s="240">
        <f>S464*(1+_xlfn.XLOOKUP($R461,'Budget Assumption Driver'!$A$15:$A$19,'Budget Assumption Driver'!F$15:F$19))</f>
        <v>6.7359656080489474</v>
      </c>
      <c r="U464" s="240">
        <f>T464*(1+_xlfn.XLOOKUP($R461,'Budget Assumption Driver'!$A$15:$A$19,'Budget Assumption Driver'!G$15:G$19))</f>
        <v>7.2330073518206888</v>
      </c>
      <c r="V464" s="240">
        <f>U464*(1+_xlfn.XLOOKUP($R461,'Budget Assumption Driver'!$A$15:$A$19,'Budget Assumption Driver'!H$15:H$19))</f>
        <v>7.7477193100051052</v>
      </c>
      <c r="W464" s="240">
        <f>V464*(1+_xlfn.XLOOKUP($R461,'Budget Assumption Driver'!$A$15:$A$19,'Budget Assumption Driver'!I$15:I$19))</f>
        <v>8.4409003640624203</v>
      </c>
      <c r="X464" s="240">
        <f>W464*(1+_xlfn.XLOOKUP($R461,'Budget Assumption Driver'!$A$15:$A$19,'Budget Assumption Driver'!J$15:J$19))</f>
        <v>8.1008405673196524</v>
      </c>
      <c r="Y464" s="240">
        <f>X464*(1+_xlfn.XLOOKUP($R461,'Budget Assumption Driver'!$A$15:$A$19,'Budget Assumption Driver'!K$15:K$19))</f>
        <v>7.4514279486209896</v>
      </c>
      <c r="Z464" s="240">
        <f>Y464*(1+_xlfn.XLOOKUP($R461,'Budget Assumption Driver'!$A$15:$A$19,'Budget Assumption Driver'!L$15:L$19))</f>
        <v>6.3895311441279441</v>
      </c>
      <c r="AA464" s="240">
        <f>Z464*(1+_xlfn.XLOOKUP($R461,'Budget Assumption Driver'!$A$15:$A$19,'Budget Assumption Driver'!M$15:M$19))</f>
        <v>6.4160786881748022</v>
      </c>
      <c r="AB464" s="240">
        <f>AA464*(1+_xlfn.XLOOKUP($R461,'Budget Assumption Driver'!$A$15:$A$19,'Budget Assumption Driver'!N$15:N$19))</f>
        <v>6.4477173249042936</v>
      </c>
      <c r="AC464" s="240">
        <f>AB464*(1+_xlfn.XLOOKUP($R461,'Budget Assumption Driver'!$A$15:$A$19,'Budget Assumption Driver'!O$15:O$19))</f>
        <v>5.5600586305778208</v>
      </c>
      <c r="AD464" s="291">
        <f>AC464*(1+_xlfn.XLOOKUP($R461,'Budget Assumption Driver'!$A$15:$A$19,'Budget Assumption Driver'!P$15:P$19))</f>
        <v>4.5381896479241064</v>
      </c>
      <c r="AE464" s="15"/>
      <c r="AF464" s="230">
        <f>_xlfn.XLOOKUP($C464,'Site Level Financials - ''23 ''24'!$C$2:$C$1577,'Site Level Financials - ''23 ''24'!$AF$2:$AF$1577)</f>
        <v>6.6934553496197235</v>
      </c>
      <c r="AG464" s="101">
        <f>AG465/AG463</f>
        <v>6.3963351565516096</v>
      </c>
      <c r="AH464" s="101">
        <f>AH465/AH463</f>
        <v>6.7790580597219003</v>
      </c>
    </row>
    <row r="465" spans="2:34" x14ac:dyDescent="0.2">
      <c r="B465" s="9">
        <f>G455</f>
        <v>10</v>
      </c>
      <c r="C465" s="9" t="str">
        <f t="shared" si="1260"/>
        <v>10 - Total Production</v>
      </c>
      <c r="D465" s="9" t="s">
        <v>56</v>
      </c>
      <c r="F465" s="8" t="s">
        <v>1</v>
      </c>
      <c r="G465" s="241">
        <f>_xlfn.XLOOKUP($C465,'Site Level Financials - ''23 ''24'!$C$2:$C$1577,'Site Level Financials - ''23 ''24'!S$2:S$1577)</f>
        <v>568.86149644944521</v>
      </c>
      <c r="H465" s="242">
        <f>_xlfn.XLOOKUP($C465,'Site Level Financials - ''23 ''24'!$C$2:$C$1577,'Site Level Financials - ''23 ''24'!T$2:T$1577)</f>
        <v>452.15615054547425</v>
      </c>
      <c r="I465" s="242">
        <f>_xlfn.XLOOKUP($C465,'Site Level Financials - ''23 ''24'!$C$2:$C$1577,'Site Level Financials - ''23 ''24'!U$2:U$1577)</f>
        <v>476.22863641736001</v>
      </c>
      <c r="J465" s="242">
        <f>_xlfn.XLOOKUP($C465,'Site Level Financials - ''23 ''24'!$C$2:$C$1577,'Site Level Financials - ''23 ''24'!V$2:V$1577)</f>
        <v>375.83670181214336</v>
      </c>
      <c r="K465" s="242">
        <f>_xlfn.XLOOKUP($C465,'Site Level Financials - ''23 ''24'!$C$2:$C$1577,'Site Level Financials - ''23 ''24'!W$2:W$1577)</f>
        <v>424.91730463240435</v>
      </c>
      <c r="L465" s="242">
        <f>_xlfn.XLOOKUP($C465,'Site Level Financials - ''23 ''24'!$C$2:$C$1577,'Site Level Financials - ''23 ''24'!X$2:X$1577)</f>
        <v>337.29929091671221</v>
      </c>
      <c r="M465" s="242">
        <f>_xlfn.XLOOKUP($C465,'Site Level Financials - ''23 ''24'!$C$2:$C$1577,'Site Level Financials - ''23 ''24'!Y$2:Y$1577)</f>
        <v>489.33799672663224</v>
      </c>
      <c r="N465" s="242">
        <f>_xlfn.XLOOKUP($C465,'Site Level Financials - ''23 ''24'!$C$2:$C$1577,'Site Level Financials - ''23 ''24'!Z$2:Z$1577)</f>
        <v>585.31604093427245</v>
      </c>
      <c r="O465" s="242">
        <f>_xlfn.XLOOKUP($C465,'Site Level Financials - ''23 ''24'!$C$2:$C$1577,'Site Level Financials - ''23 ''24'!AA$2:AA$1577)</f>
        <v>520.08566427187122</v>
      </c>
      <c r="P465" s="242">
        <f>_xlfn.XLOOKUP($C465,'Site Level Financials - ''23 ''24'!$C$2:$C$1577,'Site Level Financials - ''23 ''24'!AB$2:AB$1577)</f>
        <v>603.34736574973044</v>
      </c>
      <c r="Q465" s="242">
        <f>_xlfn.XLOOKUP($C465,'Site Level Financials - ''23 ''24'!$C$2:$C$1577,'Site Level Financials - ''23 ''24'!AC$2:AC$1577)</f>
        <v>561.06477297343349</v>
      </c>
      <c r="R465" s="242">
        <f>_xlfn.XLOOKUP($C465,'Site Level Financials - ''23 ''24'!$C$2:$C$1577,'Site Level Financials - ''23 ''24'!AD$2:AD$1577)</f>
        <v>483.78058744145017</v>
      </c>
      <c r="S465" s="134">
        <f t="shared" ref="S465:AD465" si="1264">S464*S463</f>
        <v>715.56868983547361</v>
      </c>
      <c r="T465" s="135">
        <f t="shared" si="1264"/>
        <v>740.95621688538426</v>
      </c>
      <c r="U465" s="135">
        <f t="shared" si="1264"/>
        <v>795.63080870027579</v>
      </c>
      <c r="V465" s="135">
        <f t="shared" si="1264"/>
        <v>852.24912410056152</v>
      </c>
      <c r="W465" s="135">
        <f t="shared" si="1264"/>
        <v>1012.9080436874905</v>
      </c>
      <c r="X465" s="135">
        <f t="shared" si="1264"/>
        <v>850.58825956856356</v>
      </c>
      <c r="Y465" s="135">
        <f t="shared" si="1264"/>
        <v>856.91421409141378</v>
      </c>
      <c r="Z465" s="135">
        <f t="shared" si="1264"/>
        <v>734.79608157471353</v>
      </c>
      <c r="AA465" s="135">
        <f t="shared" si="1264"/>
        <v>673.68826225835426</v>
      </c>
      <c r="AB465" s="135">
        <f t="shared" si="1264"/>
        <v>773.72607898851527</v>
      </c>
      <c r="AC465" s="135">
        <f t="shared" si="1264"/>
        <v>611.60644936356027</v>
      </c>
      <c r="AD465" s="136">
        <f t="shared" si="1264"/>
        <v>499.20086127165172</v>
      </c>
      <c r="AE465" s="15"/>
      <c r="AF465" s="113">
        <f>_xlfn.XLOOKUP($C465,'Site Level Financials - ''23 ''24'!$C$2:$C$1577,'Site Level Financials - ''23 ''24'!$AF$2:$AF$1577)</f>
        <v>3568.191656557477</v>
      </c>
      <c r="AG465" s="95">
        <f>SUM(G465:R465)</f>
        <v>5878.2320088709293</v>
      </c>
      <c r="AH465" s="95">
        <f t="shared" ref="AH465" si="1265">SUM(S465:AD465)</f>
        <v>9117.8330903259557</v>
      </c>
    </row>
    <row r="466" spans="2:34" x14ac:dyDescent="0.2">
      <c r="B466" s="9">
        <f>G455</f>
        <v>10</v>
      </c>
      <c r="C466" s="9" t="str">
        <f t="shared" si="1260"/>
        <v>10 - Revenue as a % of Production</v>
      </c>
      <c r="D466" s="9" t="s">
        <v>56</v>
      </c>
      <c r="F466" s="7" t="s">
        <v>2</v>
      </c>
      <c r="G466" s="243">
        <f>_xlfn.XLOOKUP($C466,'Site Level Financials - ''23 ''24'!$C$2:$C$1577,'Site Level Financials - ''23 ''24'!S$2:S$1577)</f>
        <v>0.99133429502405157</v>
      </c>
      <c r="H466" s="244">
        <f>_xlfn.XLOOKUP($C466,'Site Level Financials - ''23 ''24'!$C$2:$C$1577,'Site Level Financials - ''23 ''24'!T$2:T$1577)</f>
        <v>0.99133429502405157</v>
      </c>
      <c r="I466" s="244">
        <f>_xlfn.XLOOKUP($C466,'Site Level Financials - ''23 ''24'!$C$2:$C$1577,'Site Level Financials - ''23 ''24'!U$2:U$1577)</f>
        <v>0.99133429502405157</v>
      </c>
      <c r="J466" s="244">
        <f>_xlfn.XLOOKUP($C466,'Site Level Financials - ''23 ''24'!$C$2:$C$1577,'Site Level Financials - ''23 ''24'!V$2:V$1577)</f>
        <v>0.99133429502405157</v>
      </c>
      <c r="K466" s="244">
        <f>_xlfn.XLOOKUP($C466,'Site Level Financials - ''23 ''24'!$C$2:$C$1577,'Site Level Financials - ''23 ''24'!W$2:W$1577)</f>
        <v>0.99133429502405157</v>
      </c>
      <c r="L466" s="244">
        <f>_xlfn.XLOOKUP($C466,'Site Level Financials - ''23 ''24'!$C$2:$C$1577,'Site Level Financials - ''23 ''24'!X$2:X$1577)</f>
        <v>0.99133429502405157</v>
      </c>
      <c r="M466" s="244">
        <f>_xlfn.XLOOKUP($C466,'Site Level Financials - ''23 ''24'!$C$2:$C$1577,'Site Level Financials - ''23 ''24'!Y$2:Y$1577)</f>
        <v>0.99133429502405157</v>
      </c>
      <c r="N466" s="244">
        <f>_xlfn.XLOOKUP($C466,'Site Level Financials - ''23 ''24'!$C$2:$C$1577,'Site Level Financials - ''23 ''24'!Z$2:Z$1577)</f>
        <v>0.99133429502405157</v>
      </c>
      <c r="O466" s="244">
        <f>_xlfn.XLOOKUP($C466,'Site Level Financials - ''23 ''24'!$C$2:$C$1577,'Site Level Financials - ''23 ''24'!AA$2:AA$1577)</f>
        <v>0.99133429502405157</v>
      </c>
      <c r="P466" s="244">
        <f>_xlfn.XLOOKUP($C466,'Site Level Financials - ''23 ''24'!$C$2:$C$1577,'Site Level Financials - ''23 ''24'!AB$2:AB$1577)</f>
        <v>0.99133429502405157</v>
      </c>
      <c r="Q466" s="244">
        <f>_xlfn.XLOOKUP($C466,'Site Level Financials - ''23 ''24'!$C$2:$C$1577,'Site Level Financials - ''23 ''24'!AC$2:AC$1577)</f>
        <v>0.99133429502405157</v>
      </c>
      <c r="R466" s="244">
        <f>_xlfn.XLOOKUP($C466,'Site Level Financials - ''23 ''24'!$C$2:$C$1577,'Site Level Financials - ''23 ''24'!AD$2:AD$1577)</f>
        <v>0.99133429502405157</v>
      </c>
      <c r="S466" s="292">
        <f>SUM(G495:R495)/SUM(G465:R465)</f>
        <v>0.98061322077216861</v>
      </c>
      <c r="T466" s="203">
        <f>S466</f>
        <v>0.98061322077216861</v>
      </c>
      <c r="U466" s="203">
        <f t="shared" ref="U466:AD466" si="1266">T466</f>
        <v>0.98061322077216861</v>
      </c>
      <c r="V466" s="203">
        <f t="shared" si="1266"/>
        <v>0.98061322077216861</v>
      </c>
      <c r="W466" s="203">
        <f t="shared" si="1266"/>
        <v>0.98061322077216861</v>
      </c>
      <c r="X466" s="203">
        <f t="shared" si="1266"/>
        <v>0.98061322077216861</v>
      </c>
      <c r="Y466" s="203">
        <f t="shared" si="1266"/>
        <v>0.98061322077216861</v>
      </c>
      <c r="Z466" s="203">
        <f t="shared" si="1266"/>
        <v>0.98061322077216861</v>
      </c>
      <c r="AA466" s="203">
        <f t="shared" si="1266"/>
        <v>0.98061322077216861</v>
      </c>
      <c r="AB466" s="203">
        <f t="shared" si="1266"/>
        <v>0.98061322077216861</v>
      </c>
      <c r="AC466" s="203">
        <f t="shared" si="1266"/>
        <v>0.98061322077216861</v>
      </c>
      <c r="AD466" s="204">
        <f t="shared" si="1266"/>
        <v>0.98061322077216861</v>
      </c>
      <c r="AE466" s="15"/>
      <c r="AF466" s="231">
        <f>_xlfn.XLOOKUP($C466,'Site Level Financials - ''23 ''24'!$C$2:$C$1577,'Site Level Financials - ''23 ''24'!$AF$2:$AF$1577)</f>
        <v>0.97788075142514985</v>
      </c>
      <c r="AG466" s="103">
        <f>AG467/AG465</f>
        <v>0.99133429502405168</v>
      </c>
      <c r="AH466" s="103">
        <f>AH467/AH465</f>
        <v>0.98061322077216895</v>
      </c>
    </row>
    <row r="467" spans="2:34" x14ac:dyDescent="0.2">
      <c r="B467" s="9">
        <f>G455</f>
        <v>10</v>
      </c>
      <c r="C467" s="9" t="str">
        <f t="shared" si="1260"/>
        <v>10 - Total Revenue</v>
      </c>
      <c r="D467" s="9" t="s">
        <v>56</v>
      </c>
      <c r="F467" s="8" t="s">
        <v>3</v>
      </c>
      <c r="G467" s="241">
        <f>_xlfn.XLOOKUP($C467,'Site Level Financials - ''23 ''24'!$C$2:$C$1577,'Site Level Financials - ''23 ''24'!S$2:S$1577)</f>
        <v>563.93191054903775</v>
      </c>
      <c r="H467" s="242">
        <f>_xlfn.XLOOKUP($C467,'Site Level Financials - ''23 ''24'!$C$2:$C$1577,'Site Level Financials - ''23 ''24'!T$2:T$1577)</f>
        <v>448.23789874178664</v>
      </c>
      <c r="I467" s="242">
        <f>_xlfn.XLOOKUP($C467,'Site Level Financials - ''23 ''24'!$C$2:$C$1577,'Site Level Financials - ''23 ''24'!U$2:U$1577)</f>
        <v>472.10177955306898</v>
      </c>
      <c r="J467" s="242">
        <f>_xlfn.XLOOKUP($C467,'Site Level Financials - ''23 ''24'!$C$2:$C$1577,'Site Level Financials - ''23 ''24'!V$2:V$1577)</f>
        <v>372.57981183510583</v>
      </c>
      <c r="K467" s="242">
        <f>_xlfn.XLOOKUP($C467,'Site Level Financials - ''23 ''24'!$C$2:$C$1577,'Site Level Financials - ''23 ''24'!W$2:W$1577)</f>
        <v>421.2350966312847</v>
      </c>
      <c r="L467" s="242">
        <f>_xlfn.XLOOKUP($C467,'Site Level Financials - ''23 ''24'!$C$2:$C$1577,'Site Level Financials - ''23 ''24'!X$2:X$1577)</f>
        <v>334.37635477303138</v>
      </c>
      <c r="M467" s="242">
        <f>_xlfn.XLOOKUP($C467,'Site Level Financials - ''23 ''24'!$C$2:$C$1577,'Site Level Financials - ''23 ''24'!Y$2:Y$1577)</f>
        <v>485.09753801347762</v>
      </c>
      <c r="N467" s="242">
        <f>_xlfn.XLOOKUP($C467,'Site Level Financials - ''23 ''24'!$C$2:$C$1577,'Site Level Financials - ''23 ''24'!Z$2:Z$1577)</f>
        <v>580.24386480584587</v>
      </c>
      <c r="O467" s="242">
        <f>_xlfn.XLOOKUP($C467,'Site Level Financials - ''23 ''24'!$C$2:$C$1577,'Site Level Financials - ''23 ''24'!AA$2:AA$1577)</f>
        <v>515.57875534307107</v>
      </c>
      <c r="P467" s="242">
        <f>_xlfn.XLOOKUP($C467,'Site Level Financials - ''23 ''24'!$C$2:$C$1577,'Site Level Financials - ''23 ''24'!AB$2:AB$1577)</f>
        <v>598.11893548012767</v>
      </c>
      <c r="Q467" s="242">
        <f>_xlfn.XLOOKUP($C467,'Site Level Financials - ''23 ''24'!$C$2:$C$1577,'Site Level Financials - ''23 ''24'!AC$2:AC$1577)</f>
        <v>556.20275117844824</v>
      </c>
      <c r="R467" s="242">
        <f>_xlfn.XLOOKUP($C467,'Site Level Financials - ''23 ''24'!$C$2:$C$1577,'Site Level Financials - ''23 ''24'!AD$2:AD$1577)</f>
        <v>479.58828759759155</v>
      </c>
      <c r="S467" s="134">
        <f t="shared" ref="S467:AD467" si="1267">S466*S465</f>
        <v>701.69611762328475</v>
      </c>
      <c r="T467" s="135">
        <f t="shared" si="1267"/>
        <v>726.59146229113821</v>
      </c>
      <c r="U467" s="135">
        <f t="shared" si="1267"/>
        <v>780.20608986514264</v>
      </c>
      <c r="V467" s="135">
        <f t="shared" si="1267"/>
        <v>835.72675848451127</v>
      </c>
      <c r="W467" s="135">
        <f t="shared" si="1267"/>
        <v>993.27101906642656</v>
      </c>
      <c r="X467" s="135">
        <f t="shared" si="1267"/>
        <v>834.09809276652243</v>
      </c>
      <c r="Y467" s="135">
        <f t="shared" si="1267"/>
        <v>840.30140740563286</v>
      </c>
      <c r="Z467" s="135">
        <f t="shared" si="1267"/>
        <v>720.55075216374894</v>
      </c>
      <c r="AA467" s="135">
        <f t="shared" si="1267"/>
        <v>660.6276166495702</v>
      </c>
      <c r="AB467" s="135">
        <f t="shared" si="1267"/>
        <v>758.7260223123493</v>
      </c>
      <c r="AC467" s="135">
        <f t="shared" si="1267"/>
        <v>599.74937015543105</v>
      </c>
      <c r="AD467" s="136">
        <f t="shared" si="1267"/>
        <v>489.5229643838349</v>
      </c>
      <c r="AE467" s="15"/>
      <c r="AF467" s="113">
        <f>_xlfn.XLOOKUP($C467,'Site Level Financials - ''23 ''24'!$C$2:$C$1577,'Site Level Financials - ''23 ''24'!$AF$2:$AF$1577)</f>
        <v>3489.2659383433756</v>
      </c>
      <c r="AG467" s="95">
        <f>SUM(G467:R467)</f>
        <v>5827.292984501878</v>
      </c>
      <c r="AH467" s="95">
        <f t="shared" ref="AH467" si="1268">SUM(S467:AD467)</f>
        <v>8941.067673167594</v>
      </c>
    </row>
    <row r="468" spans="2:34" x14ac:dyDescent="0.2">
      <c r="B468" s="9">
        <f>G455</f>
        <v>10</v>
      </c>
      <c r="C468" s="9" t="str">
        <f t="shared" si="1260"/>
        <v>10 - % YoY Revenue Growth</v>
      </c>
      <c r="D468" s="9" t="s">
        <v>56</v>
      </c>
      <c r="F468" s="16" t="s">
        <v>174</v>
      </c>
      <c r="G468" s="245">
        <f>_xlfn.XLOOKUP($C468,'Site Level Financials - ''23 ''24'!$C$2:$C$1577,'Site Level Financials - ''23 ''24'!S$2:S$1577)</f>
        <v>3.3680426542817994</v>
      </c>
      <c r="H468" s="246">
        <f>_xlfn.XLOOKUP($C468,'Site Level Financials - ''23 ''24'!$C$2:$C$1577,'Site Level Financials - ''23 ''24'!T$2:T$1577)</f>
        <v>2.3535022336630127</v>
      </c>
      <c r="I468" s="246">
        <f>_xlfn.XLOOKUP($C468,'Site Level Financials - ''23 ''24'!$C$2:$C$1577,'Site Level Financials - ''23 ''24'!U$2:U$1577)</f>
        <v>1.7505532019310577</v>
      </c>
      <c r="J468" s="246">
        <f>_xlfn.XLOOKUP($C468,'Site Level Financials - ''23 ''24'!$C$2:$C$1577,'Site Level Financials - ''23 ''24'!V$2:V$1577)</f>
        <v>1.2482178688076604</v>
      </c>
      <c r="K468" s="246">
        <f>_xlfn.XLOOKUP($C468,'Site Level Financials - ''23 ''24'!$C$2:$C$1577,'Site Level Financials - ''23 ''24'!W$2:W$1577)</f>
        <v>1.1521236797368606</v>
      </c>
      <c r="L468" s="246">
        <f>_xlfn.XLOOKUP($C468,'Site Level Financials - ''23 ''24'!$C$2:$C$1577,'Site Level Financials - ''23 ''24'!X$2:X$1577)</f>
        <v>0.85994651280701739</v>
      </c>
      <c r="M468" s="246">
        <f>_xlfn.XLOOKUP($C468,'Site Level Financials - ''23 ''24'!$C$2:$C$1577,'Site Level Financials - ''23 ''24'!Y$2:Y$1577)</f>
        <v>0.58701725856679809</v>
      </c>
      <c r="N468" s="246">
        <f>_xlfn.XLOOKUP($C468,'Site Level Financials - ''23 ''24'!$C$2:$C$1577,'Site Level Financials - ''23 ''24'!Z$2:Z$1577)</f>
        <v>0.32768975633063691</v>
      </c>
      <c r="O468" s="246">
        <f>_xlfn.XLOOKUP($C468,'Site Level Financials - ''23 ''24'!$C$2:$C$1577,'Site Level Financials - ''23 ''24'!AA$2:AA$1577)</f>
        <v>0.26080191436871147</v>
      </c>
      <c r="P468" s="246">
        <f>_xlfn.XLOOKUP($C468,'Site Level Financials - ''23 ''24'!$C$2:$C$1577,'Site Level Financials - ''23 ''24'!AB$2:AB$1577)</f>
        <v>0.48560022880032028</v>
      </c>
      <c r="Q468" s="246">
        <f>_xlfn.XLOOKUP($C468,'Site Level Financials - ''23 ''24'!$C$2:$C$1577,'Site Level Financials - ''23 ''24'!AC$2:AC$1577)</f>
        <v>0.15035116688455941</v>
      </c>
      <c r="R468" s="246">
        <f>_xlfn.XLOOKUP($C468,'Site Level Financials - ''23 ''24'!$C$2:$C$1577,'Site Level Financials - ''23 ''24'!AD$2:AD$1577)</f>
        <v>7.7824308389209396E-3</v>
      </c>
      <c r="S468" s="148">
        <f>S467/G467-1</f>
        <v>0.24429227092349026</v>
      </c>
      <c r="T468" s="149">
        <f t="shared" ref="T468" si="1269">T467/H467-1</f>
        <v>0.62099515531974414</v>
      </c>
      <c r="U468" s="149">
        <f t="shared" ref="U468" si="1270">U467/I467-1</f>
        <v>0.65262264125280556</v>
      </c>
      <c r="V468" s="149">
        <f t="shared" ref="V468" si="1271">V467/J467-1</f>
        <v>1.2430811652628733</v>
      </c>
      <c r="W468" s="149">
        <f t="shared" ref="W468" si="1272">W467/K467-1</f>
        <v>1.3579968217507195</v>
      </c>
      <c r="X468" s="149">
        <f t="shared" ref="X468" si="1273">X467/L467-1</f>
        <v>1.4944888622064592</v>
      </c>
      <c r="Y468" s="149">
        <f t="shared" ref="Y468" si="1274">Y467/M467-1</f>
        <v>0.73223185350878128</v>
      </c>
      <c r="Z468" s="149">
        <f t="shared" ref="Z468" si="1275">Z467/N467-1</f>
        <v>0.24180675724137268</v>
      </c>
      <c r="AA468" s="149">
        <f t="shared" ref="AA468" si="1276">AA467/O467-1</f>
        <v>0.28133211425669047</v>
      </c>
      <c r="AB468" s="149">
        <f t="shared" ref="AB468" si="1277">AB467/P467-1</f>
        <v>0.26852031812585508</v>
      </c>
      <c r="AC468" s="149">
        <f t="shared" ref="AC468" si="1278">AC467/Q467-1</f>
        <v>7.8292706903586806E-2</v>
      </c>
      <c r="AD468" s="150">
        <f t="shared" ref="AD468" si="1279">AD467/R467-1</f>
        <v>2.0715011277713469E-2</v>
      </c>
      <c r="AE468" s="15"/>
      <c r="AF468" s="11"/>
      <c r="AG468" s="97">
        <f>AG467/AF467-1</f>
        <v>0.67006272593499849</v>
      </c>
      <c r="AH468" s="97">
        <f>AH467/AG467-1</f>
        <v>0.53434325285291684</v>
      </c>
    </row>
    <row r="469" spans="2:34" ht="6" customHeight="1" x14ac:dyDescent="0.2">
      <c r="B469" s="9">
        <f>G455</f>
        <v>10</v>
      </c>
      <c r="C469" s="9" t="str">
        <f t="shared" si="1260"/>
        <v xml:space="preserve">10 - </v>
      </c>
      <c r="D469" s="9" t="s">
        <v>56</v>
      </c>
      <c r="G469" s="80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80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81"/>
      <c r="AE469" s="15"/>
      <c r="AF469" s="11"/>
      <c r="AG469" s="15"/>
      <c r="AH469" s="15"/>
    </row>
    <row r="470" spans="2:34" x14ac:dyDescent="0.2">
      <c r="B470" s="9">
        <f>G455</f>
        <v>10</v>
      </c>
      <c r="C470" s="9" t="str">
        <f t="shared" si="1260"/>
        <v>10 - Doctor Compensation</v>
      </c>
      <c r="D470" s="9" t="s">
        <v>56</v>
      </c>
      <c r="F470" t="s">
        <v>4</v>
      </c>
      <c r="G470" s="178">
        <f>_xlfn.XLOOKUP($C470,'Site Level Financials - ''23 ''24'!$C$2:$C$1577,'Site Level Financials - ''23 ''24'!S$2:S$1577)</f>
        <v>-103.09888484093301</v>
      </c>
      <c r="H470" s="179">
        <f>_xlfn.XLOOKUP($C470,'Site Level Financials - ''23 ''24'!$C$2:$C$1577,'Site Level Financials - ''23 ''24'!T$2:T$1577)</f>
        <v>-107.13494152951004</v>
      </c>
      <c r="I470" s="179">
        <f>_xlfn.XLOOKUP($C470,'Site Level Financials - ''23 ''24'!$C$2:$C$1577,'Site Level Financials - ''23 ''24'!U$2:U$1577)</f>
        <v>-112.87275382592969</v>
      </c>
      <c r="J470" s="179">
        <f>_xlfn.XLOOKUP($C470,'Site Level Financials - ''23 ''24'!$C$2:$C$1577,'Site Level Financials - ''23 ''24'!V$2:V$1577)</f>
        <v>-136.95581800591503</v>
      </c>
      <c r="K470" s="179">
        <f>_xlfn.XLOOKUP($C470,'Site Level Financials - ''23 ''24'!$C$2:$C$1577,'Site Level Financials - ''23 ''24'!W$2:W$1577)</f>
        <v>-155.52116803471029</v>
      </c>
      <c r="L470" s="179">
        <f>_xlfn.XLOOKUP($C470,'Site Level Financials - ''23 ''24'!$C$2:$C$1577,'Site Level Financials - ''23 ''24'!X$2:X$1577)</f>
        <v>-120.70768529589898</v>
      </c>
      <c r="M470" s="179">
        <f>_xlfn.XLOOKUP($C470,'Site Level Financials - ''23 ''24'!$C$2:$C$1577,'Site Level Financials - ''23 ''24'!Y$2:Y$1577)</f>
        <v>-116.14630269957016</v>
      </c>
      <c r="N470" s="179">
        <f>_xlfn.XLOOKUP($C470,'Site Level Financials - ''23 ''24'!$C$2:$C$1577,'Site Level Financials - ''23 ''24'!Z$2:Z$1577)</f>
        <v>-106.05907068792585</v>
      </c>
      <c r="O470" s="179">
        <f>_xlfn.XLOOKUP($C470,'Site Level Financials - ''23 ''24'!$C$2:$C$1577,'Site Level Financials - ''23 ''24'!AA$2:AA$1577)</f>
        <v>-139.51245534701306</v>
      </c>
      <c r="P470" s="179">
        <f>_xlfn.XLOOKUP($C470,'Site Level Financials - ''23 ''24'!$C$2:$C$1577,'Site Level Financials - ''23 ''24'!AB$2:AB$1577)</f>
        <v>-159.31256176598828</v>
      </c>
      <c r="Q470" s="179">
        <f>_xlfn.XLOOKUP($C470,'Site Level Financials - ''23 ''24'!$C$2:$C$1577,'Site Level Financials - ''23 ''24'!AC$2:AC$1577)</f>
        <v>-119.21161415075925</v>
      </c>
      <c r="R470" s="179">
        <f>_xlfn.XLOOKUP($C470,'Site Level Financials - ''23 ''24'!$C$2:$C$1577,'Site Level Financials - ''23 ''24'!AD$2:AD$1577)</f>
        <v>-102.92040456957457</v>
      </c>
      <c r="S470" s="155">
        <f>S471*S467</f>
        <v>-128.28514554840393</v>
      </c>
      <c r="T470" s="154">
        <f t="shared" ref="T470" si="1280">T471*T467</f>
        <v>-173.66522118479986</v>
      </c>
      <c r="U470" s="154">
        <f t="shared" ref="U470" si="1281">U471*U467</f>
        <v>-186.53606855328565</v>
      </c>
      <c r="V470" s="154">
        <f t="shared" ref="V470" si="1282">V471*V467</f>
        <v>-307.2030158422379</v>
      </c>
      <c r="W470" s="154">
        <f t="shared" ref="W470" si="1283">W471*W467</f>
        <v>-366.71841994080643</v>
      </c>
      <c r="X470" s="154">
        <f t="shared" ref="X470" si="1284">X471*X467</f>
        <v>-301.10397655334242</v>
      </c>
      <c r="Y470" s="154">
        <f t="shared" ref="Y470" si="1285">Y471*Y467</f>
        <v>-201.19232520346839</v>
      </c>
      <c r="Z470" s="154">
        <f t="shared" ref="Z470" si="1286">Z471*Z467</f>
        <v>-131.70487064700671</v>
      </c>
      <c r="AA470" s="154">
        <f t="shared" ref="AA470" si="1287">AA471*AA467</f>
        <v>-178.76178937493034</v>
      </c>
      <c r="AB470" s="154">
        <f t="shared" ref="AB470" si="1288">AB471*AB467</f>
        <v>-202.09122153283639</v>
      </c>
      <c r="AC470" s="154">
        <f t="shared" ref="AC470" si="1289">AC471*AC467</f>
        <v>-128.5450141169681</v>
      </c>
      <c r="AD470" s="156">
        <f t="shared" ref="AD470" si="1290">AD471*AD467</f>
        <v>-105.05240191094013</v>
      </c>
      <c r="AE470" s="15"/>
      <c r="AF470" s="115">
        <f>_xlfn.XLOOKUP($C470,'Site Level Financials - ''23 ''24'!$C$2:$C$1577,'Site Level Financials - ''23 ''24'!$AF$2:$AF$1577)</f>
        <v>-850.42200958576495</v>
      </c>
      <c r="AG470" s="93">
        <f>SUM(G470:R470)</f>
        <v>-1479.4536607537282</v>
      </c>
      <c r="AH470" s="93">
        <f t="shared" ref="AH470" si="1291">SUM(S470:AD470)</f>
        <v>-2410.859470409026</v>
      </c>
    </row>
    <row r="471" spans="2:34" x14ac:dyDescent="0.2">
      <c r="B471" s="9">
        <f>G455</f>
        <v>10</v>
      </c>
      <c r="C471" s="9" t="str">
        <f t="shared" si="1260"/>
        <v>10 - % of Revenue - Doctor Compensation</v>
      </c>
      <c r="D471" s="9" t="s">
        <v>56</v>
      </c>
      <c r="F471" s="16" t="str">
        <f>"% of Revenue - "&amp;F470</f>
        <v>% of Revenue - Doctor Compensation</v>
      </c>
      <c r="G471" s="148">
        <f>G470/G467</f>
        <v>-0.18282151251302148</v>
      </c>
      <c r="H471" s="149">
        <f t="shared" ref="H471:R471" si="1292">H470/H467</f>
        <v>-0.23901357254761393</v>
      </c>
      <c r="I471" s="149">
        <f t="shared" si="1292"/>
        <v>-0.23908563516279155</v>
      </c>
      <c r="J471" s="149">
        <f t="shared" si="1292"/>
        <v>-0.36758786615772981</v>
      </c>
      <c r="K471" s="149">
        <f t="shared" si="1292"/>
        <v>-0.36920277839726395</v>
      </c>
      <c r="L471" s="149">
        <f t="shared" si="1292"/>
        <v>-0.36099348405730775</v>
      </c>
      <c r="M471" s="149">
        <f t="shared" si="1292"/>
        <v>-0.23942876143053776</v>
      </c>
      <c r="N471" s="149">
        <f t="shared" si="1292"/>
        <v>-0.18278361413336794</v>
      </c>
      <c r="O471" s="149">
        <f t="shared" si="1292"/>
        <v>-0.27059387901695081</v>
      </c>
      <c r="P471" s="149">
        <f t="shared" si="1292"/>
        <v>-0.26635599095036744</v>
      </c>
      <c r="Q471" s="149">
        <f t="shared" si="1292"/>
        <v>-0.2143312198621474</v>
      </c>
      <c r="R471" s="149">
        <f t="shared" si="1292"/>
        <v>-0.21460158062894993</v>
      </c>
      <c r="S471" s="245">
        <f>_xlfn.XLOOKUP($F471,'Budget Assumption Driver'!$A$33:$A$39,'Budget Assumption Driver'!E$33:E$39)+G471</f>
        <v>-0.18282151251302148</v>
      </c>
      <c r="T471" s="246">
        <f>_xlfn.XLOOKUP($F471,'Budget Assumption Driver'!$A$33:$A$39,'Budget Assumption Driver'!F$33:F$39)+H471</f>
        <v>-0.23901357254761393</v>
      </c>
      <c r="U471" s="246">
        <f>_xlfn.XLOOKUP($F471,'Budget Assumption Driver'!$A$33:$A$39,'Budget Assumption Driver'!G$33:G$39)+I471</f>
        <v>-0.23908563516279155</v>
      </c>
      <c r="V471" s="246">
        <f>_xlfn.XLOOKUP($F471,'Budget Assumption Driver'!$A$33:$A$39,'Budget Assumption Driver'!H$33:H$39)+J471</f>
        <v>-0.36758786615772981</v>
      </c>
      <c r="W471" s="246">
        <f>_xlfn.XLOOKUP($F471,'Budget Assumption Driver'!$A$33:$A$39,'Budget Assumption Driver'!I$33:I$39)+K471</f>
        <v>-0.36920277839726395</v>
      </c>
      <c r="X471" s="246">
        <f>_xlfn.XLOOKUP($F471,'Budget Assumption Driver'!$A$33:$A$39,'Budget Assumption Driver'!J$33:J$39)+L471</f>
        <v>-0.36099348405730775</v>
      </c>
      <c r="Y471" s="246">
        <f>_xlfn.XLOOKUP($F471,'Budget Assumption Driver'!$A$33:$A$39,'Budget Assumption Driver'!K$33:K$39)+M471</f>
        <v>-0.23942876143053776</v>
      </c>
      <c r="Z471" s="246">
        <f>_xlfn.XLOOKUP($F471,'Budget Assumption Driver'!$A$33:$A$39,'Budget Assumption Driver'!L$33:L$39)+N471</f>
        <v>-0.18278361413336794</v>
      </c>
      <c r="AA471" s="246">
        <f>_xlfn.XLOOKUP($F471,'Budget Assumption Driver'!$A$33:$A$39,'Budget Assumption Driver'!M$33:M$39)+O471</f>
        <v>-0.27059387901695081</v>
      </c>
      <c r="AB471" s="246">
        <f>_xlfn.XLOOKUP($F471,'Budget Assumption Driver'!$A$33:$A$39,'Budget Assumption Driver'!N$33:N$39)+P471</f>
        <v>-0.26635599095036744</v>
      </c>
      <c r="AC471" s="246">
        <f>_xlfn.XLOOKUP($F471,'Budget Assumption Driver'!$A$33:$A$39,'Budget Assumption Driver'!O$33:O$39)+Q471</f>
        <v>-0.2143312198621474</v>
      </c>
      <c r="AD471" s="296">
        <f>_xlfn.XLOOKUP($F471,'Budget Assumption Driver'!$A$33:$A$39,'Budget Assumption Driver'!P$33:P$39)+R471</f>
        <v>-0.21460158062894993</v>
      </c>
      <c r="AE471" s="15"/>
      <c r="AF471" s="232">
        <f>_xlfn.XLOOKUP($C471,'Site Level Financials - ''23 ''24'!$C$2:$C$1577,'Site Level Financials - ''23 ''24'!$AF$2:$AF$1577)</f>
        <v>-0.2437251916629565</v>
      </c>
      <c r="AG471" s="97">
        <f t="shared" ref="AG471:AH471" si="1293">AG470/AG467</f>
        <v>-0.25388352099138417</v>
      </c>
      <c r="AH471" s="97">
        <f t="shared" si="1293"/>
        <v>-0.26963887966580163</v>
      </c>
    </row>
    <row r="472" spans="2:34" ht="3" customHeight="1" x14ac:dyDescent="0.2">
      <c r="B472" s="9">
        <f>G455</f>
        <v>10</v>
      </c>
      <c r="C472" s="9" t="str">
        <f t="shared" si="1260"/>
        <v xml:space="preserve">10 - </v>
      </c>
      <c r="D472" s="9" t="s">
        <v>56</v>
      </c>
      <c r="F472" s="16"/>
      <c r="G472" s="84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4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6"/>
      <c r="AE472" s="15"/>
      <c r="AF472" s="36"/>
      <c r="AG472" s="38"/>
      <c r="AH472" s="38"/>
    </row>
    <row r="473" spans="2:34" x14ac:dyDescent="0.2">
      <c r="B473" s="9">
        <f>G455</f>
        <v>10</v>
      </c>
      <c r="C473" s="9" t="str">
        <f t="shared" si="1260"/>
        <v>10 - Administrative Staff Compensation</v>
      </c>
      <c r="D473" s="9" t="s">
        <v>56</v>
      </c>
      <c r="F473" t="s">
        <v>5</v>
      </c>
      <c r="G473" s="178">
        <f>_xlfn.XLOOKUP($C473,'Site Level Financials - ''23 ''24'!$C$2:$C$1577,'Site Level Financials - ''23 ''24'!S$2:S$1577)</f>
        <v>-50.690888569464732</v>
      </c>
      <c r="H473" s="179">
        <f>_xlfn.XLOOKUP($C473,'Site Level Financials - ''23 ''24'!$C$2:$C$1577,'Site Level Financials - ''23 ''24'!T$2:T$1577)</f>
        <v>-50.896693413774742</v>
      </c>
      <c r="I473" s="179">
        <f>_xlfn.XLOOKUP($C473,'Site Level Financials - ''23 ''24'!$C$2:$C$1577,'Site Level Financials - ''23 ''24'!U$2:U$1577)</f>
        <v>-55.245308735313493</v>
      </c>
      <c r="J473" s="179">
        <f>_xlfn.XLOOKUP($C473,'Site Level Financials - ''23 ''24'!$C$2:$C$1577,'Site Level Financials - ''23 ''24'!V$2:V$1577)</f>
        <v>-65.135996772058022</v>
      </c>
      <c r="K473" s="179">
        <f>_xlfn.XLOOKUP($C473,'Site Level Financials - ''23 ''24'!$C$2:$C$1577,'Site Level Financials - ''23 ''24'!W$2:W$1577)</f>
        <v>-70.894904170046175</v>
      </c>
      <c r="L473" s="179">
        <f>_xlfn.XLOOKUP($C473,'Site Level Financials - ''23 ''24'!$C$2:$C$1577,'Site Level Financials - ''23 ''24'!X$2:X$1577)</f>
        <v>-57.1947385848989</v>
      </c>
      <c r="M473" s="179">
        <f>_xlfn.XLOOKUP($C473,'Site Level Financials - ''23 ''24'!$C$2:$C$1577,'Site Level Financials - ''23 ''24'!Y$2:Y$1577)</f>
        <v>-55.817621947409499</v>
      </c>
      <c r="N473" s="179">
        <f>_xlfn.XLOOKUP($C473,'Site Level Financials - ''23 ''24'!$C$2:$C$1577,'Site Level Financials - ''23 ''24'!Z$2:Z$1577)</f>
        <v>-58.636132525184955</v>
      </c>
      <c r="O473" s="179">
        <f>_xlfn.XLOOKUP($C473,'Site Level Financials - ''23 ''24'!$C$2:$C$1577,'Site Level Financials - ''23 ''24'!AA$2:AA$1577)</f>
        <v>-53.955295251821063</v>
      </c>
      <c r="P473" s="179">
        <f>_xlfn.XLOOKUP($C473,'Site Level Financials - ''23 ''24'!$C$2:$C$1577,'Site Level Financials - ''23 ''24'!AB$2:AB$1577)</f>
        <v>-65.689805520000562</v>
      </c>
      <c r="Q473" s="179">
        <f>_xlfn.XLOOKUP($C473,'Site Level Financials - ''23 ''24'!$C$2:$C$1577,'Site Level Financials - ''23 ''24'!AC$2:AC$1577)</f>
        <v>-49.157859413659885</v>
      </c>
      <c r="R473" s="179">
        <f>_xlfn.XLOOKUP($C473,'Site Level Financials - ''23 ''24'!$C$2:$C$1577,'Site Level Financials - ''23 ''24'!AD$2:AD$1577)</f>
        <v>-44.446413700042363</v>
      </c>
      <c r="S473" s="155">
        <f>S474*S467</f>
        <v>-63.074280853228871</v>
      </c>
      <c r="T473" s="154">
        <f t="shared" ref="T473" si="1294">T474*T467</f>
        <v>-82.503293445523184</v>
      </c>
      <c r="U473" s="154">
        <f t="shared" ref="U473" si="1295">U474*U467</f>
        <v>-91.299648038980479</v>
      </c>
      <c r="V473" s="154">
        <f t="shared" ref="V473" si="1296">V474*V467</f>
        <v>-146.10532754002665</v>
      </c>
      <c r="W473" s="154">
        <f t="shared" ref="W473" si="1297">W474*W467</f>
        <v>-167.16995871129072</v>
      </c>
      <c r="X473" s="154">
        <f t="shared" ref="X473" si="1298">X474*X467</f>
        <v>-142.67163837684032</v>
      </c>
      <c r="Y473" s="154">
        <f t="shared" ref="Y473" si="1299">Y474*Y467</f>
        <v>-96.689062724413589</v>
      </c>
      <c r="Z473" s="154">
        <f t="shared" ref="Z473" si="1300">Z474*Z467</f>
        <v>-72.814745588275315</v>
      </c>
      <c r="AA473" s="154">
        <f t="shared" ref="AA473" si="1301">AA474*AA467</f>
        <v>-69.134652540359852</v>
      </c>
      <c r="AB473" s="154">
        <f t="shared" ref="AB473" si="1302">AB474*AB467</f>
        <v>-83.32885299585665</v>
      </c>
      <c r="AC473" s="154">
        <f t="shared" ref="AC473" si="1303">AC474*AC467</f>
        <v>-53.006561292741281</v>
      </c>
      <c r="AD473" s="156">
        <f t="shared" ref="AD473" si="1304">AD474*AD467</f>
        <v>-45.367121661092654</v>
      </c>
      <c r="AE473" s="15"/>
      <c r="AF473" s="115">
        <f>_xlfn.XLOOKUP($C473,'Site Level Financials - ''23 ''24'!$C$2:$C$1577,'Site Level Financials - ''23 ''24'!$AF$2:$AF$1577)</f>
        <v>-311.37912363929712</v>
      </c>
      <c r="AG473" s="93">
        <f>SUM(G473:R473)</f>
        <v>-677.76165860367462</v>
      </c>
      <c r="AH473" s="93">
        <f t="shared" ref="AH473" si="1305">SUM(S473:AD473)</f>
        <v>-1113.1651437686296</v>
      </c>
    </row>
    <row r="474" spans="2:34" x14ac:dyDescent="0.2">
      <c r="B474" s="9">
        <f>G455</f>
        <v>10</v>
      </c>
      <c r="C474" s="9" t="str">
        <f t="shared" si="1260"/>
        <v>10 - % of Revenue - Administrative Staff Compensation</v>
      </c>
      <c r="D474" s="9" t="s">
        <v>56</v>
      </c>
      <c r="F474" s="16" t="str">
        <f>"% of Revenue - "&amp;F473</f>
        <v>% of Revenue - Administrative Staff Compensation</v>
      </c>
      <c r="G474" s="148">
        <f>G473/G467</f>
        <v>-8.9888313857097848E-2</v>
      </c>
      <c r="H474" s="149">
        <f t="shared" ref="H474:R474" si="1306">H473/H467</f>
        <v>-0.11354839373610051</v>
      </c>
      <c r="I474" s="149">
        <f t="shared" si="1306"/>
        <v>-0.11701991207830931</v>
      </c>
      <c r="J474" s="149">
        <f t="shared" si="1306"/>
        <v>-0.17482427845791473</v>
      </c>
      <c r="K474" s="149">
        <f t="shared" si="1306"/>
        <v>-0.16830246277437291</v>
      </c>
      <c r="L474" s="149">
        <f t="shared" si="1306"/>
        <v>-0.17104899245558691</v>
      </c>
      <c r="M474" s="149">
        <f t="shared" si="1306"/>
        <v>-0.11506473971397212</v>
      </c>
      <c r="N474" s="149">
        <f t="shared" si="1306"/>
        <v>-0.10105429127597078</v>
      </c>
      <c r="O474" s="149">
        <f t="shared" si="1306"/>
        <v>-0.10464995830931531</v>
      </c>
      <c r="P474" s="149">
        <f t="shared" si="1306"/>
        <v>-0.10982732968865033</v>
      </c>
      <c r="Q474" s="149">
        <f t="shared" si="1306"/>
        <v>-8.8381187093208788E-2</v>
      </c>
      <c r="R474" s="149">
        <f t="shared" si="1306"/>
        <v>-9.2676186740690475E-2</v>
      </c>
      <c r="S474" s="245">
        <f>_xlfn.XLOOKUP($F474,'Budget Assumption Driver'!$A$33:$A$39,'Budget Assumption Driver'!E$33:E$39)+G474</f>
        <v>-8.9888313857097848E-2</v>
      </c>
      <c r="T474" s="246">
        <f>_xlfn.XLOOKUP($F474,'Budget Assumption Driver'!$A$33:$A$39,'Budget Assumption Driver'!F$33:F$39)+H474</f>
        <v>-0.11354839373610051</v>
      </c>
      <c r="U474" s="246">
        <f>_xlfn.XLOOKUP($F474,'Budget Assumption Driver'!$A$33:$A$39,'Budget Assumption Driver'!G$33:G$39)+I474</f>
        <v>-0.11701991207830931</v>
      </c>
      <c r="V474" s="246">
        <f>_xlfn.XLOOKUP($F474,'Budget Assumption Driver'!$A$33:$A$39,'Budget Assumption Driver'!H$33:H$39)+J474</f>
        <v>-0.17482427845791473</v>
      </c>
      <c r="W474" s="246">
        <f>_xlfn.XLOOKUP($F474,'Budget Assumption Driver'!$A$33:$A$39,'Budget Assumption Driver'!I$33:I$39)+K474</f>
        <v>-0.16830246277437291</v>
      </c>
      <c r="X474" s="246">
        <f>_xlfn.XLOOKUP($F474,'Budget Assumption Driver'!$A$33:$A$39,'Budget Assumption Driver'!J$33:J$39)+L474</f>
        <v>-0.17104899245558691</v>
      </c>
      <c r="Y474" s="246">
        <f>_xlfn.XLOOKUP($F474,'Budget Assumption Driver'!$A$33:$A$39,'Budget Assumption Driver'!K$33:K$39)+M474</f>
        <v>-0.11506473971397212</v>
      </c>
      <c r="Z474" s="246">
        <f>_xlfn.XLOOKUP($F474,'Budget Assumption Driver'!$A$33:$A$39,'Budget Assumption Driver'!L$33:L$39)+N474</f>
        <v>-0.10105429127597078</v>
      </c>
      <c r="AA474" s="246">
        <f>_xlfn.XLOOKUP($F474,'Budget Assumption Driver'!$A$33:$A$39,'Budget Assumption Driver'!M$33:M$39)+O474</f>
        <v>-0.10464995830931531</v>
      </c>
      <c r="AB474" s="246">
        <f>_xlfn.XLOOKUP($F474,'Budget Assumption Driver'!$A$33:$A$39,'Budget Assumption Driver'!N$33:N$39)+P474</f>
        <v>-0.10982732968865033</v>
      </c>
      <c r="AC474" s="246">
        <f>_xlfn.XLOOKUP($F474,'Budget Assumption Driver'!$A$33:$A$39,'Budget Assumption Driver'!O$33:O$39)+Q474</f>
        <v>-8.8381187093208788E-2</v>
      </c>
      <c r="AD474" s="296">
        <f>_xlfn.XLOOKUP($F474,'Budget Assumption Driver'!$A$33:$A$39,'Budget Assumption Driver'!P$33:P$39)+R474</f>
        <v>-9.2676186740690475E-2</v>
      </c>
      <c r="AE474" s="15"/>
      <c r="AF474" s="232">
        <f>_xlfn.XLOOKUP($C474,'Site Level Financials - ''23 ''24'!$C$2:$C$1577,'Site Level Financials - ''23 ''24'!$AF$2:$AF$1577)</f>
        <v>-8.9239149191114073E-2</v>
      </c>
      <c r="AG474" s="97">
        <f t="shared" ref="AG474:AH474" si="1307">AG473/AG467</f>
        <v>-0.11630814863886757</v>
      </c>
      <c r="AH474" s="97">
        <f t="shared" si="1307"/>
        <v>-0.1245002481201737</v>
      </c>
    </row>
    <row r="475" spans="2:34" ht="3" customHeight="1" x14ac:dyDescent="0.2">
      <c r="B475" s="9">
        <f>G455</f>
        <v>10</v>
      </c>
      <c r="C475" s="9" t="str">
        <f t="shared" si="1260"/>
        <v xml:space="preserve">10 - </v>
      </c>
      <c r="D475" s="9" t="s">
        <v>56</v>
      </c>
      <c r="F475" s="16"/>
      <c r="G475" s="84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4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6"/>
      <c r="AE475" s="15"/>
      <c r="AF475" s="36"/>
      <c r="AG475" s="38"/>
      <c r="AH475" s="38"/>
    </row>
    <row r="476" spans="2:34" x14ac:dyDescent="0.2">
      <c r="B476" s="9">
        <f>G455</f>
        <v>10</v>
      </c>
      <c r="C476" s="9" t="str">
        <f t="shared" si="1260"/>
        <v>10 - Office Supplies</v>
      </c>
      <c r="D476" s="9" t="s">
        <v>56</v>
      </c>
      <c r="F476" t="s">
        <v>6</v>
      </c>
      <c r="G476" s="178">
        <f>_xlfn.XLOOKUP($C476,'Site Level Financials - ''23 ''24'!$C$2:$C$1577,'Site Level Financials - ''23 ''24'!S$2:S$1577)</f>
        <v>-19.48850221848204</v>
      </c>
      <c r="H476" s="179">
        <f>_xlfn.XLOOKUP($C476,'Site Level Financials - ''23 ''24'!$C$2:$C$1577,'Site Level Financials - ''23 ''24'!T$2:T$1577)</f>
        <v>-21.174398416764568</v>
      </c>
      <c r="I476" s="179">
        <f>_xlfn.XLOOKUP($C476,'Site Level Financials - ''23 ''24'!$C$2:$C$1577,'Site Level Financials - ''23 ''24'!U$2:U$1577)</f>
        <v>-23.283876526479084</v>
      </c>
      <c r="J476" s="179">
        <f>_xlfn.XLOOKUP($C476,'Site Level Financials - ''23 ''24'!$C$2:$C$1577,'Site Level Financials - ''23 ''24'!V$2:V$1577)</f>
        <v>-27.817289813944033</v>
      </c>
      <c r="K476" s="179">
        <f>_xlfn.XLOOKUP($C476,'Site Level Financials - ''23 ''24'!$C$2:$C$1577,'Site Level Financials - ''23 ''24'!W$2:W$1577)</f>
        <v>-31.007240084300566</v>
      </c>
      <c r="L476" s="179">
        <f>_xlfn.XLOOKUP($C476,'Site Level Financials - ''23 ''24'!$C$2:$C$1577,'Site Level Financials - ''23 ''24'!X$2:X$1577)</f>
        <v>-25.107312676411784</v>
      </c>
      <c r="M476" s="179">
        <f>_xlfn.XLOOKUP($C476,'Site Level Financials - ''23 ''24'!$C$2:$C$1577,'Site Level Financials - ''23 ''24'!Y$2:Y$1577)</f>
        <v>-24.50739947341048</v>
      </c>
      <c r="N476" s="179">
        <f>_xlfn.XLOOKUP($C476,'Site Level Financials - ''23 ''24'!$C$2:$C$1577,'Site Level Financials - ''23 ''24'!Z$2:Z$1577)</f>
        <v>-21.937835677012966</v>
      </c>
      <c r="O476" s="179">
        <f>_xlfn.XLOOKUP($C476,'Site Level Financials - ''23 ''24'!$C$2:$C$1577,'Site Level Financials - ''23 ''24'!AA$2:AA$1577)</f>
        <v>-19.446833231650974</v>
      </c>
      <c r="P476" s="179">
        <f>_xlfn.XLOOKUP($C476,'Site Level Financials - ''23 ''24'!$C$2:$C$1577,'Site Level Financials - ''23 ''24'!AB$2:AB$1577)</f>
        <v>-22.579749428654345</v>
      </c>
      <c r="Q476" s="179">
        <f>_xlfn.XLOOKUP($C476,'Site Level Financials - ''23 ''24'!$C$2:$C$1577,'Site Level Financials - ''23 ''24'!AC$2:AC$1577)</f>
        <v>-16.606363212279188</v>
      </c>
      <c r="R476" s="179">
        <f>_xlfn.XLOOKUP($C476,'Site Level Financials - ''23 ''24'!$C$2:$C$1577,'Site Level Financials - ''23 ''24'!AD$2:AD$1577)</f>
        <v>-14.925516526888684</v>
      </c>
      <c r="S476" s="155">
        <f>S477*S467</f>
        <v>-24.249392682332495</v>
      </c>
      <c r="T476" s="154">
        <f t="shared" ref="T476" si="1308">T477*T467</f>
        <v>-34.323597250385426</v>
      </c>
      <c r="U476" s="154">
        <f t="shared" ref="U476" si="1309">U477*U467</f>
        <v>-38.479461523794065</v>
      </c>
      <c r="V476" s="154">
        <f t="shared" ref="V476" si="1310">V477*V467</f>
        <v>-62.396438850316642</v>
      </c>
      <c r="W476" s="154">
        <f t="shared" ref="W476" si="1311">W477*W467</f>
        <v>-73.114973570042238</v>
      </c>
      <c r="X476" s="154">
        <f t="shared" ref="X476" si="1312">X477*X467</f>
        <v>-62.629911831244243</v>
      </c>
      <c r="Y476" s="154">
        <f t="shared" ref="Y476" si="1313">Y477*Y467</f>
        <v>-42.45249801450597</v>
      </c>
      <c r="Z476" s="154">
        <f t="shared" ref="Z476" si="1314">Z477*Z467</f>
        <v>-27.242552582965565</v>
      </c>
      <c r="AA476" s="154">
        <f t="shared" ref="AA476" si="1315">AA477*AA467</f>
        <v>-24.917851940308609</v>
      </c>
      <c r="AB476" s="154">
        <f t="shared" ref="AB476" si="1316">AB477*AB467</f>
        <v>-28.642870928438704</v>
      </c>
      <c r="AC476" s="154">
        <f t="shared" ref="AC476" si="1317">AC477*AC467</f>
        <v>-17.906520339992667</v>
      </c>
      <c r="AD476" s="156">
        <f t="shared" ref="AD476" si="1318">AD477*AD467</f>
        <v>-15.23469877006888</v>
      </c>
      <c r="AE476" s="15"/>
      <c r="AF476" s="115">
        <f>_xlfn.XLOOKUP($C476,'Site Level Financials - ''23 ''24'!$C$2:$C$1577,'Site Level Financials - ''23 ''24'!$AF$2:$AF$1577)</f>
        <v>-182.66401251810706</v>
      </c>
      <c r="AG476" s="93">
        <f>SUM(G476:R476)</f>
        <v>-267.88231728627869</v>
      </c>
      <c r="AH476" s="93">
        <f t="shared" ref="AH476" si="1319">SUM(S476:AD476)</f>
        <v>-451.59076828439549</v>
      </c>
    </row>
    <row r="477" spans="2:34" x14ac:dyDescent="0.2">
      <c r="B477" s="9">
        <f>G455</f>
        <v>10</v>
      </c>
      <c r="C477" s="9" t="str">
        <f t="shared" si="1260"/>
        <v>10 - % of Revenue - Office Supplies</v>
      </c>
      <c r="D477" s="9" t="s">
        <v>56</v>
      </c>
      <c r="F477" s="16" t="str">
        <f>"% of Revenue - "&amp;F476</f>
        <v>% of Revenue - Office Supplies</v>
      </c>
      <c r="G477" s="148">
        <f>G476/G467</f>
        <v>-3.4558254026639944E-2</v>
      </c>
      <c r="H477" s="149">
        <f t="shared" ref="H477:R477" si="1320">H476/H467</f>
        <v>-4.7239197033989218E-2</v>
      </c>
      <c r="I477" s="149">
        <f t="shared" si="1320"/>
        <v>-4.9319611861072726E-2</v>
      </c>
      <c r="J477" s="149">
        <f t="shared" si="1320"/>
        <v>-7.4661291165865007E-2</v>
      </c>
      <c r="K477" s="149">
        <f t="shared" si="1320"/>
        <v>-7.3610295847313517E-2</v>
      </c>
      <c r="L477" s="149">
        <f t="shared" si="1320"/>
        <v>-7.5086986020450441E-2</v>
      </c>
      <c r="M477" s="149">
        <f t="shared" si="1320"/>
        <v>-5.0520560408883343E-2</v>
      </c>
      <c r="N477" s="149">
        <f t="shared" si="1320"/>
        <v>-3.7807958011505279E-2</v>
      </c>
      <c r="O477" s="149">
        <f t="shared" si="1320"/>
        <v>-3.7718453349985033E-2</v>
      </c>
      <c r="P477" s="149">
        <f t="shared" si="1320"/>
        <v>-3.7751270005402716E-2</v>
      </c>
      <c r="Q477" s="149">
        <f t="shared" si="1320"/>
        <v>-2.9856672188504362E-2</v>
      </c>
      <c r="R477" s="149">
        <f t="shared" si="1320"/>
        <v>-3.11215200889398E-2</v>
      </c>
      <c r="S477" s="245">
        <f>_xlfn.XLOOKUP($F477,'Budget Assumption Driver'!$A$33:$A$39,'Budget Assumption Driver'!E$33:E$39)+G477</f>
        <v>-3.4558254026639944E-2</v>
      </c>
      <c r="T477" s="246">
        <f>_xlfn.XLOOKUP($F477,'Budget Assumption Driver'!$A$33:$A$39,'Budget Assumption Driver'!F$33:F$39)+H477</f>
        <v>-4.7239197033989218E-2</v>
      </c>
      <c r="U477" s="246">
        <f>_xlfn.XLOOKUP($F477,'Budget Assumption Driver'!$A$33:$A$39,'Budget Assumption Driver'!G$33:G$39)+I477</f>
        <v>-4.9319611861072726E-2</v>
      </c>
      <c r="V477" s="246">
        <f>_xlfn.XLOOKUP($F477,'Budget Assumption Driver'!$A$33:$A$39,'Budget Assumption Driver'!H$33:H$39)+J477</f>
        <v>-7.4661291165865007E-2</v>
      </c>
      <c r="W477" s="246">
        <f>_xlfn.XLOOKUP($F477,'Budget Assumption Driver'!$A$33:$A$39,'Budget Assumption Driver'!I$33:I$39)+K477</f>
        <v>-7.3610295847313517E-2</v>
      </c>
      <c r="X477" s="246">
        <f>_xlfn.XLOOKUP($F477,'Budget Assumption Driver'!$A$33:$A$39,'Budget Assumption Driver'!J$33:J$39)+L477</f>
        <v>-7.5086986020450441E-2</v>
      </c>
      <c r="Y477" s="246">
        <f>_xlfn.XLOOKUP($F477,'Budget Assumption Driver'!$A$33:$A$39,'Budget Assumption Driver'!K$33:K$39)+M477</f>
        <v>-5.0520560408883343E-2</v>
      </c>
      <c r="Z477" s="246">
        <f>_xlfn.XLOOKUP($F477,'Budget Assumption Driver'!$A$33:$A$39,'Budget Assumption Driver'!L$33:L$39)+N477</f>
        <v>-3.7807958011505279E-2</v>
      </c>
      <c r="AA477" s="246">
        <f>_xlfn.XLOOKUP($F477,'Budget Assumption Driver'!$A$33:$A$39,'Budget Assumption Driver'!M$33:M$39)+O477</f>
        <v>-3.7718453349985033E-2</v>
      </c>
      <c r="AB477" s="246">
        <f>_xlfn.XLOOKUP($F477,'Budget Assumption Driver'!$A$33:$A$39,'Budget Assumption Driver'!N$33:N$39)+P477</f>
        <v>-3.7751270005402716E-2</v>
      </c>
      <c r="AC477" s="246">
        <f>_xlfn.XLOOKUP($F477,'Budget Assumption Driver'!$A$33:$A$39,'Budget Assumption Driver'!O$33:O$39)+Q477</f>
        <v>-2.9856672188504362E-2</v>
      </c>
      <c r="AD477" s="296">
        <f>_xlfn.XLOOKUP($F477,'Budget Assumption Driver'!$A$33:$A$39,'Budget Assumption Driver'!P$33:P$39)+R477</f>
        <v>-3.11215200889398E-2</v>
      </c>
      <c r="AE477" s="15"/>
      <c r="AF477" s="232">
        <f>_xlfn.XLOOKUP($C477,'Site Level Financials - ''23 ''24'!$C$2:$C$1577,'Site Level Financials - ''23 ''24'!$AF$2:$AF$1577)</f>
        <v>-5.235026958272828E-2</v>
      </c>
      <c r="AG477" s="97">
        <f t="shared" ref="AG477:AH477" si="1321">AG476/AG467</f>
        <v>-4.5970284658542443E-2</v>
      </c>
      <c r="AH477" s="97">
        <f t="shared" si="1321"/>
        <v>-5.0507476824007566E-2</v>
      </c>
    </row>
    <row r="478" spans="2:34" ht="6" customHeight="1" x14ac:dyDescent="0.2">
      <c r="B478" s="9">
        <f>G455</f>
        <v>10</v>
      </c>
      <c r="C478" s="9" t="str">
        <f t="shared" si="1260"/>
        <v xml:space="preserve">10 - </v>
      </c>
      <c r="D478" s="9" t="s">
        <v>56</v>
      </c>
      <c r="F478" s="16"/>
      <c r="G478" s="80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80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81"/>
      <c r="AE478" s="15"/>
      <c r="AF478" s="11"/>
      <c r="AG478" s="15"/>
      <c r="AH478" s="15"/>
    </row>
    <row r="479" spans="2:34" x14ac:dyDescent="0.2">
      <c r="B479" s="9">
        <f>G455</f>
        <v>10</v>
      </c>
      <c r="C479" s="9" t="str">
        <f t="shared" si="1260"/>
        <v>10 - Office Gross Profit</v>
      </c>
      <c r="D479" s="9" t="s">
        <v>56</v>
      </c>
      <c r="F479" s="8" t="s">
        <v>11</v>
      </c>
      <c r="G479" s="241">
        <f>_xlfn.XLOOKUP($C479,'Site Level Financials - ''23 ''24'!$C$2:$C$1577,'Site Level Financials - ''23 ''24'!S$2:S$1577)</f>
        <v>390.65363492015797</v>
      </c>
      <c r="H479" s="242">
        <f>_xlfn.XLOOKUP($C479,'Site Level Financials - ''23 ''24'!$C$2:$C$1577,'Site Level Financials - ''23 ''24'!T$2:T$1577)</f>
        <v>269.03186538173725</v>
      </c>
      <c r="I479" s="242">
        <f>_xlfn.XLOOKUP($C479,'Site Level Financials - ''23 ''24'!$C$2:$C$1577,'Site Level Financials - ''23 ''24'!U$2:U$1577)</f>
        <v>280.69984046534671</v>
      </c>
      <c r="J479" s="242">
        <f>_xlfn.XLOOKUP($C479,'Site Level Financials - ''23 ''24'!$C$2:$C$1577,'Site Level Financials - ''23 ''24'!V$2:V$1577)</f>
        <v>142.67070724318873</v>
      </c>
      <c r="K479" s="242">
        <f>_xlfn.XLOOKUP($C479,'Site Level Financials - ''23 ''24'!$C$2:$C$1577,'Site Level Financials - ''23 ''24'!W$2:W$1577)</f>
        <v>163.81178434222767</v>
      </c>
      <c r="L479" s="242">
        <f>_xlfn.XLOOKUP($C479,'Site Level Financials - ''23 ''24'!$C$2:$C$1577,'Site Level Financials - ''23 ''24'!X$2:X$1577)</f>
        <v>131.36661821582172</v>
      </c>
      <c r="M479" s="242">
        <f>_xlfn.XLOOKUP($C479,'Site Level Financials - ''23 ''24'!$C$2:$C$1577,'Site Level Financials - ''23 ''24'!Y$2:Y$1577)</f>
        <v>288.62621389308742</v>
      </c>
      <c r="N479" s="242">
        <f>_xlfn.XLOOKUP($C479,'Site Level Financials - ''23 ''24'!$C$2:$C$1577,'Site Level Financials - ''23 ''24'!Z$2:Z$1577)</f>
        <v>393.6108259157221</v>
      </c>
      <c r="O479" s="242">
        <f>_xlfn.XLOOKUP($C479,'Site Level Financials - ''23 ''24'!$C$2:$C$1577,'Site Level Financials - ''23 ''24'!AA$2:AA$1577)</f>
        <v>302.66417151258594</v>
      </c>
      <c r="P479" s="242">
        <f>_xlfn.XLOOKUP($C479,'Site Level Financials - ''23 ''24'!$C$2:$C$1577,'Site Level Financials - ''23 ''24'!AB$2:AB$1577)</f>
        <v>350.5368187654845</v>
      </c>
      <c r="Q479" s="242">
        <f>_xlfn.XLOOKUP($C479,'Site Level Financials - ''23 ''24'!$C$2:$C$1577,'Site Level Financials - ''23 ''24'!AC$2:AC$1577)</f>
        <v>371.22691440174992</v>
      </c>
      <c r="R479" s="242">
        <f>_xlfn.XLOOKUP($C479,'Site Level Financials - ''23 ''24'!$C$2:$C$1577,'Site Level Financials - ''23 ''24'!AD$2:AD$1577)</f>
        <v>317.29595280108595</v>
      </c>
      <c r="S479" s="134">
        <f t="shared" ref="S479:AD479" si="1322">S467+S470+S473+S476</f>
        <v>486.08729853931953</v>
      </c>
      <c r="T479" s="135">
        <f t="shared" si="1322"/>
        <v>436.09935041042974</v>
      </c>
      <c r="U479" s="135">
        <f t="shared" si="1322"/>
        <v>463.89091174908248</v>
      </c>
      <c r="V479" s="135">
        <f t="shared" si="1322"/>
        <v>320.02197625193008</v>
      </c>
      <c r="W479" s="135">
        <f t="shared" si="1322"/>
        <v>386.26766684428719</v>
      </c>
      <c r="X479" s="135">
        <f t="shared" si="1322"/>
        <v>327.69256600509539</v>
      </c>
      <c r="Y479" s="135">
        <f t="shared" si="1322"/>
        <v>499.96752146324491</v>
      </c>
      <c r="Z479" s="135">
        <f t="shared" si="1322"/>
        <v>488.78858334550137</v>
      </c>
      <c r="AA479" s="135">
        <f t="shared" si="1322"/>
        <v>387.81332279397139</v>
      </c>
      <c r="AB479" s="135">
        <f t="shared" si="1322"/>
        <v>444.66307685521758</v>
      </c>
      <c r="AC479" s="135">
        <f t="shared" si="1322"/>
        <v>400.29127440572904</v>
      </c>
      <c r="AD479" s="136">
        <f t="shared" si="1322"/>
        <v>323.86874204173324</v>
      </c>
      <c r="AE479" s="15"/>
      <c r="AF479" s="114">
        <f>_xlfn.XLOOKUP($C479,'Site Level Financials - ''23 ''24'!$C$2:$C$1577,'Site Level Financials - ''23 ''24'!$AF$2:$AF$1577)</f>
        <v>2144.8007926002065</v>
      </c>
      <c r="AG479" s="95">
        <f>SUM(G479:R479)</f>
        <v>3402.1953478581963</v>
      </c>
      <c r="AH479" s="95">
        <f t="shared" ref="AH479" si="1323">SUM(S479:AD479)</f>
        <v>4965.4522907055434</v>
      </c>
    </row>
    <row r="480" spans="2:34" x14ac:dyDescent="0.2">
      <c r="B480" s="9">
        <f>G455</f>
        <v>10</v>
      </c>
      <c r="C480" s="9" t="str">
        <f t="shared" si="1260"/>
        <v>10 - % of Revenue - Office Gross Profit</v>
      </c>
      <c r="D480" s="9" t="s">
        <v>56</v>
      </c>
      <c r="F480" s="16" t="str">
        <f>"% of Revenue - "&amp;F479</f>
        <v>% of Revenue - Office Gross Profit</v>
      </c>
      <c r="G480" s="148">
        <f>G479/G467</f>
        <v>0.69273191960324076</v>
      </c>
      <c r="H480" s="149">
        <f t="shared" ref="H480:AD480" si="1324">H479/H467</f>
        <v>0.60019883668229623</v>
      </c>
      <c r="I480" s="149">
        <f t="shared" si="1324"/>
        <v>0.59457484089782642</v>
      </c>
      <c r="J480" s="149">
        <f t="shared" si="1324"/>
        <v>0.38292656421849042</v>
      </c>
      <c r="K480" s="149">
        <f t="shared" si="1324"/>
        <v>0.38888446298104956</v>
      </c>
      <c r="L480" s="149">
        <f t="shared" si="1324"/>
        <v>0.3928705374666549</v>
      </c>
      <c r="M480" s="149">
        <f t="shared" si="1324"/>
        <v>0.59498593844660663</v>
      </c>
      <c r="N480" s="149">
        <f t="shared" si="1324"/>
        <v>0.678354136579156</v>
      </c>
      <c r="O480" s="149">
        <f t="shared" si="1324"/>
        <v>0.58703770932374877</v>
      </c>
      <c r="P480" s="149">
        <f t="shared" si="1324"/>
        <v>0.58606540935557949</v>
      </c>
      <c r="Q480" s="149">
        <f t="shared" si="1324"/>
        <v>0.66743092085613942</v>
      </c>
      <c r="R480" s="149">
        <f t="shared" si="1324"/>
        <v>0.66160071254141983</v>
      </c>
      <c r="S480" s="148">
        <f t="shared" si="1324"/>
        <v>0.69273191960324088</v>
      </c>
      <c r="T480" s="149">
        <f t="shared" si="1324"/>
        <v>0.60019883668229634</v>
      </c>
      <c r="U480" s="149">
        <f t="shared" si="1324"/>
        <v>0.59457484089782642</v>
      </c>
      <c r="V480" s="149">
        <f t="shared" si="1324"/>
        <v>0.38292656421849047</v>
      </c>
      <c r="W480" s="149">
        <f t="shared" si="1324"/>
        <v>0.38888446298104962</v>
      </c>
      <c r="X480" s="149">
        <f t="shared" si="1324"/>
        <v>0.39287053746665485</v>
      </c>
      <c r="Y480" s="149">
        <f t="shared" si="1324"/>
        <v>0.59498593844660674</v>
      </c>
      <c r="Z480" s="149">
        <f t="shared" si="1324"/>
        <v>0.678354136579156</v>
      </c>
      <c r="AA480" s="149">
        <f t="shared" si="1324"/>
        <v>0.58703770932374888</v>
      </c>
      <c r="AB480" s="149">
        <f t="shared" si="1324"/>
        <v>0.5860654093555796</v>
      </c>
      <c r="AC480" s="149">
        <f t="shared" si="1324"/>
        <v>0.66743092085613953</v>
      </c>
      <c r="AD480" s="150">
        <f t="shared" si="1324"/>
        <v>0.66160071254141983</v>
      </c>
      <c r="AE480" s="15"/>
      <c r="AF480" s="233">
        <f>_xlfn.XLOOKUP($C480,'Site Level Financials - ''23 ''24'!$C$2:$C$1577,'Site Level Financials - ''23 ''24'!$AF$2:$AF$1577)</f>
        <v>0.61468538956320118</v>
      </c>
      <c r="AG480" s="97">
        <f t="shared" ref="AG480:AH480" si="1325">AG479/AG467</f>
        <v>0.58383804571120579</v>
      </c>
      <c r="AH480" s="97">
        <f t="shared" si="1325"/>
        <v>0.55535339539001716</v>
      </c>
    </row>
    <row r="481" spans="2:34" ht="6" customHeight="1" x14ac:dyDescent="0.2">
      <c r="B481" s="9">
        <f>G455</f>
        <v>10</v>
      </c>
      <c r="C481" s="9" t="str">
        <f t="shared" si="1260"/>
        <v xml:space="preserve">10 - </v>
      </c>
      <c r="D481" s="9" t="s">
        <v>56</v>
      </c>
      <c r="F481" s="16"/>
      <c r="G481" s="80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80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81"/>
      <c r="AE481" s="15"/>
      <c r="AF481" s="11"/>
      <c r="AG481" s="15"/>
      <c r="AH481" s="15"/>
    </row>
    <row r="482" spans="2:34" x14ac:dyDescent="0.2">
      <c r="B482" s="9">
        <f>G455</f>
        <v>10</v>
      </c>
      <c r="C482" s="9" t="str">
        <f t="shared" si="1260"/>
        <v>10 - General and Administrative Expense</v>
      </c>
      <c r="D482" s="9" t="s">
        <v>56</v>
      </c>
      <c r="F482" t="s">
        <v>10</v>
      </c>
      <c r="G482" s="178">
        <f>_xlfn.XLOOKUP($C482,'Site Level Financials - ''23 ''24'!$C$2:$C$1577,'Site Level Financials - ''23 ''24'!S$2:S$1577)</f>
        <v>-5.1471911980919351</v>
      </c>
      <c r="H482" s="179">
        <f>_xlfn.XLOOKUP($C482,'Site Level Financials - ''23 ''24'!$C$2:$C$1577,'Site Level Financials - ''23 ''24'!T$2:T$1577)</f>
        <v>-6.0565636824494309</v>
      </c>
      <c r="I482" s="179">
        <f>_xlfn.XLOOKUP($C482,'Site Level Financials - ''23 ''24'!$C$2:$C$1577,'Site Level Financials - ''23 ''24'!U$2:U$1577)</f>
        <v>-5.7984603368222469</v>
      </c>
      <c r="J482" s="179">
        <f>_xlfn.XLOOKUP($C482,'Site Level Financials - ''23 ''24'!$C$2:$C$1577,'Site Level Financials - ''23 ''24'!V$2:V$1577)</f>
        <v>-7.580072661150262</v>
      </c>
      <c r="K482" s="179">
        <f>_xlfn.XLOOKUP($C482,'Site Level Financials - ''23 ''24'!$C$2:$C$1577,'Site Level Financials - ''23 ''24'!W$2:W$1577)</f>
        <v>-7.7830928461813906</v>
      </c>
      <c r="L482" s="179">
        <f>_xlfn.XLOOKUP($C482,'Site Level Financials - ''23 ''24'!$C$2:$C$1577,'Site Level Financials - ''23 ''24'!X$2:X$1577)</f>
        <v>-6.6183859136282353</v>
      </c>
      <c r="M482" s="179">
        <f>_xlfn.XLOOKUP($C482,'Site Level Financials - ''23 ''24'!$C$2:$C$1577,'Site Level Financials - ''23 ''24'!Y$2:Y$1577)</f>
        <v>-6.2335359992710853</v>
      </c>
      <c r="N482" s="179">
        <f>_xlfn.XLOOKUP($C482,'Site Level Financials - ''23 ''24'!$C$2:$C$1577,'Site Level Financials - ''23 ''24'!Z$2:Z$1577)</f>
        <v>-5.7587690627591339</v>
      </c>
      <c r="O482" s="179">
        <f>_xlfn.XLOOKUP($C482,'Site Level Financials - ''23 ''24'!$C$2:$C$1577,'Site Level Financials - ''23 ''24'!AA$2:AA$1577)</f>
        <v>-5.3842753535380528</v>
      </c>
      <c r="P482" s="179">
        <f>_xlfn.XLOOKUP($C482,'Site Level Financials - ''23 ''24'!$C$2:$C$1577,'Site Level Financials - ''23 ''24'!AB$2:AB$1577)</f>
        <v>-6.520542770832952</v>
      </c>
      <c r="Q482" s="179">
        <f>_xlfn.XLOOKUP($C482,'Site Level Financials - ''23 ''24'!$C$2:$C$1577,'Site Level Financials - ''23 ''24'!AC$2:AC$1577)</f>
        <v>-5.3828827660264613</v>
      </c>
      <c r="R482" s="179">
        <f>_xlfn.XLOOKUP($C482,'Site Level Financials - ''23 ''24'!$C$2:$C$1577,'Site Level Financials - ''23 ''24'!AD$2:AD$1577)</f>
        <v>-4.8975527975007331</v>
      </c>
      <c r="S482" s="155">
        <f>S483*S467</f>
        <v>-6.4046102247512149</v>
      </c>
      <c r="T482" s="154">
        <f t="shared" ref="T482" si="1326">T483*T467</f>
        <v>-9.8176603871360371</v>
      </c>
      <c r="U482" s="154">
        <f t="shared" ref="U482" si="1327">U483*U467</f>
        <v>-9.5826668370388148</v>
      </c>
      <c r="V482" s="154">
        <f t="shared" ref="V482" si="1328">V483*V467</f>
        <v>-17.002718217550179</v>
      </c>
      <c r="W482" s="154">
        <f t="shared" ref="W482" si="1329">W483*W467</f>
        <v>-18.352508194686482</v>
      </c>
      <c r="X482" s="154">
        <f t="shared" ref="X482" si="1330">X483*X467</f>
        <v>-16.509489947329755</v>
      </c>
      <c r="Y482" s="154">
        <f t="shared" ref="Y482" si="1331">Y483*Y467</f>
        <v>-10.797929617931066</v>
      </c>
      <c r="Z482" s="154">
        <f t="shared" ref="Z482" si="1332">Z483*Z467</f>
        <v>-7.1512783355268601</v>
      </c>
      <c r="AA482" s="154">
        <f t="shared" ref="AA482" si="1333">AA483*AA467</f>
        <v>-6.8990449224891028</v>
      </c>
      <c r="AB482" s="154">
        <f t="shared" ref="AB482" si="1334">AB483*AB467</f>
        <v>-8.2714409900102606</v>
      </c>
      <c r="AC482" s="154">
        <f t="shared" ref="AC482" si="1335">AC483*AC467</f>
        <v>-5.8043232287233399</v>
      </c>
      <c r="AD482" s="156">
        <f t="shared" ref="AD482" si="1336">AD483*AD467</f>
        <v>-4.9990056589341574</v>
      </c>
      <c r="AE482" s="15"/>
      <c r="AF482" s="115">
        <f>_xlfn.XLOOKUP($C482,'Site Level Financials - ''23 ''24'!$C$2:$C$1577,'Site Level Financials - ''23 ''24'!$AF$2:$AF$1577)</f>
        <v>-77.141716881751407</v>
      </c>
      <c r="AG482" s="93">
        <f>SUM(G482:R482)</f>
        <v>-73.161325388251925</v>
      </c>
      <c r="AH482" s="93">
        <f t="shared" ref="AH482" si="1337">SUM(S482:AD482)</f>
        <v>-121.59267656210724</v>
      </c>
    </row>
    <row r="483" spans="2:34" x14ac:dyDescent="0.2">
      <c r="B483" s="9">
        <f>G455</f>
        <v>10</v>
      </c>
      <c r="C483" s="9" t="str">
        <f t="shared" si="1260"/>
        <v>10 - % of Revenue - General and Administrative Expense</v>
      </c>
      <c r="D483" s="9" t="s">
        <v>56</v>
      </c>
      <c r="F483" s="16" t="str">
        <f>"% of Revenue - "&amp;F482</f>
        <v>% of Revenue - General and Administrative Expense</v>
      </c>
      <c r="G483" s="148">
        <f>G482/G467</f>
        <v>-9.1273274340526109E-3</v>
      </c>
      <c r="H483" s="149">
        <f t="shared" ref="H483:R483" si="1338">H482/H467</f>
        <v>-1.3511940198386471E-2</v>
      </c>
      <c r="I483" s="149">
        <f t="shared" si="1338"/>
        <v>-1.2282225121692095E-2</v>
      </c>
      <c r="J483" s="149">
        <f t="shared" si="1338"/>
        <v>-2.0344829269775374E-2</v>
      </c>
      <c r="K483" s="149">
        <f t="shared" si="1338"/>
        <v>-1.8476838488588911E-2</v>
      </c>
      <c r="L483" s="149">
        <f t="shared" si="1338"/>
        <v>-1.9793223471559991E-2</v>
      </c>
      <c r="M483" s="149">
        <f t="shared" si="1338"/>
        <v>-1.2850067276774959E-2</v>
      </c>
      <c r="N483" s="149">
        <f t="shared" si="1338"/>
        <v>-9.924739255426791E-3</v>
      </c>
      <c r="O483" s="149">
        <f t="shared" si="1338"/>
        <v>-1.0443167600952262E-2</v>
      </c>
      <c r="P483" s="149">
        <f t="shared" si="1338"/>
        <v>-1.0901749441519889E-2</v>
      </c>
      <c r="Q483" s="149">
        <f t="shared" si="1338"/>
        <v>-9.6779146716220663E-3</v>
      </c>
      <c r="R483" s="149">
        <f t="shared" si="1338"/>
        <v>-1.0211994171154834E-2</v>
      </c>
      <c r="S483" s="245">
        <f>_xlfn.XLOOKUP($F483,'Budget Assumption Driver'!$A$33:$A$39,'Budget Assumption Driver'!E$33:E$39)+G483</f>
        <v>-9.1273274340526109E-3</v>
      </c>
      <c r="T483" s="246">
        <f>_xlfn.XLOOKUP($F483,'Budget Assumption Driver'!$A$33:$A$39,'Budget Assumption Driver'!F$33:F$39)+H483</f>
        <v>-1.3511940198386471E-2</v>
      </c>
      <c r="U483" s="246">
        <f>_xlfn.XLOOKUP($F483,'Budget Assumption Driver'!$A$33:$A$39,'Budget Assumption Driver'!G$33:G$39)+I483</f>
        <v>-1.2282225121692095E-2</v>
      </c>
      <c r="V483" s="246">
        <f>_xlfn.XLOOKUP($F483,'Budget Assumption Driver'!$A$33:$A$39,'Budget Assumption Driver'!H$33:H$39)+J483</f>
        <v>-2.0344829269775374E-2</v>
      </c>
      <c r="W483" s="246">
        <f>_xlfn.XLOOKUP($F483,'Budget Assumption Driver'!$A$33:$A$39,'Budget Assumption Driver'!I$33:I$39)+K483</f>
        <v>-1.8476838488588911E-2</v>
      </c>
      <c r="X483" s="246">
        <f>_xlfn.XLOOKUP($F483,'Budget Assumption Driver'!$A$33:$A$39,'Budget Assumption Driver'!J$33:J$39)+L483</f>
        <v>-1.9793223471559991E-2</v>
      </c>
      <c r="Y483" s="246">
        <f>_xlfn.XLOOKUP($F483,'Budget Assumption Driver'!$A$33:$A$39,'Budget Assumption Driver'!K$33:K$39)+M483</f>
        <v>-1.2850067276774959E-2</v>
      </c>
      <c r="Z483" s="246">
        <f>_xlfn.XLOOKUP($F483,'Budget Assumption Driver'!$A$33:$A$39,'Budget Assumption Driver'!L$33:L$39)+N483</f>
        <v>-9.924739255426791E-3</v>
      </c>
      <c r="AA483" s="246">
        <f>_xlfn.XLOOKUP($F483,'Budget Assumption Driver'!$A$33:$A$39,'Budget Assumption Driver'!M$33:M$39)+O483</f>
        <v>-1.0443167600952262E-2</v>
      </c>
      <c r="AB483" s="246">
        <f>_xlfn.XLOOKUP($F483,'Budget Assumption Driver'!$A$33:$A$39,'Budget Assumption Driver'!N$33:N$39)+P483</f>
        <v>-1.0901749441519889E-2</v>
      </c>
      <c r="AC483" s="246">
        <f>_xlfn.XLOOKUP($F483,'Budget Assumption Driver'!$A$33:$A$39,'Budget Assumption Driver'!O$33:O$39)+Q483</f>
        <v>-9.6779146716220663E-3</v>
      </c>
      <c r="AD483" s="296">
        <f>_xlfn.XLOOKUP($F483,'Budget Assumption Driver'!$A$33:$A$39,'Budget Assumption Driver'!P$33:P$39)+R483</f>
        <v>-1.0211994171154834E-2</v>
      </c>
      <c r="AE483" s="15"/>
      <c r="AF483" s="232">
        <f>_xlfn.XLOOKUP($C483,'Site Level Financials - ''23 ''24'!$C$2:$C$1577,'Site Level Financials - ''23 ''24'!$AF$2:$AF$1577)</f>
        <v>-2.2108293906189489E-2</v>
      </c>
      <c r="AG483" s="97">
        <f t="shared" ref="AG483:AH483" si="1339">AG482/AG467</f>
        <v>-1.2554941991561082E-2</v>
      </c>
      <c r="AH483" s="97">
        <f t="shared" si="1339"/>
        <v>-1.3599346409938316E-2</v>
      </c>
    </row>
    <row r="484" spans="2:34" ht="3" customHeight="1" x14ac:dyDescent="0.2">
      <c r="B484" s="9">
        <f>G455</f>
        <v>10</v>
      </c>
      <c r="C484" s="9" t="str">
        <f t="shared" si="1260"/>
        <v xml:space="preserve">10 - </v>
      </c>
      <c r="D484" s="9" t="s">
        <v>56</v>
      </c>
      <c r="F484" s="16"/>
      <c r="G484" s="84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4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6"/>
      <c r="AE484" s="15"/>
      <c r="AF484" s="36"/>
      <c r="AG484" s="38"/>
      <c r="AH484" s="38"/>
    </row>
    <row r="485" spans="2:34" x14ac:dyDescent="0.2">
      <c r="B485" s="9">
        <f>G455</f>
        <v>10</v>
      </c>
      <c r="C485" s="9" t="str">
        <f t="shared" si="1260"/>
        <v>10 - Marketing</v>
      </c>
      <c r="D485" s="9" t="s">
        <v>56</v>
      </c>
      <c r="F485" t="s">
        <v>7</v>
      </c>
      <c r="G485" s="178">
        <f>_xlfn.XLOOKUP($C485,'Site Level Financials - ''23 ''24'!$C$2:$C$1577,'Site Level Financials - ''23 ''24'!S$2:S$1577)</f>
        <v>-2.7084459068007978</v>
      </c>
      <c r="H485" s="179">
        <f>_xlfn.XLOOKUP($C485,'Site Level Financials - ''23 ''24'!$C$2:$C$1577,'Site Level Financials - ''23 ''24'!T$2:T$1577)</f>
        <v>-2.1966180226850374</v>
      </c>
      <c r="I485" s="179">
        <f>_xlfn.XLOOKUP($C485,'Site Level Financials - ''23 ''24'!$C$2:$C$1577,'Site Level Financials - ''23 ''24'!U$2:U$1577)</f>
        <v>-1.9059308958027927</v>
      </c>
      <c r="J485" s="179">
        <f>_xlfn.XLOOKUP($C485,'Site Level Financials - ''23 ''24'!$C$2:$C$1577,'Site Level Financials - ''23 ''24'!V$2:V$1577)</f>
        <v>-1.8628990591755292</v>
      </c>
      <c r="K485" s="179">
        <f>_xlfn.XLOOKUP($C485,'Site Level Financials - ''23 ''24'!$C$2:$C$1577,'Site Level Financials - ''23 ''24'!W$2:W$1577)</f>
        <v>-2.1061754831564237</v>
      </c>
      <c r="L485" s="179">
        <f>_xlfn.XLOOKUP($C485,'Site Level Financials - ''23 ''24'!$C$2:$C$1577,'Site Level Financials - ''23 ''24'!X$2:X$1577)</f>
        <v>-1.671881773865157</v>
      </c>
      <c r="M485" s="179">
        <f>_xlfn.XLOOKUP($C485,'Site Level Financials - ''23 ''24'!$C$2:$C$1577,'Site Level Financials - ''23 ''24'!Y$2:Y$1577)</f>
        <v>-1.6169917933782585</v>
      </c>
      <c r="N485" s="179">
        <f>_xlfn.XLOOKUP($C485,'Site Level Financials - ''23 ''24'!$C$2:$C$1577,'Site Level Financials - ''23 ''24'!Z$2:Z$1577)</f>
        <v>-1.6552624857657814</v>
      </c>
      <c r="O485" s="179">
        <f>_xlfn.XLOOKUP($C485,'Site Level Financials - ''23 ''24'!$C$2:$C$1577,'Site Level Financials - ''23 ''24'!AA$2:AA$1577)</f>
        <v>-1.2889468883576778</v>
      </c>
      <c r="P485" s="179">
        <f>_xlfn.XLOOKUP($C485,'Site Level Financials - ''23 ''24'!$C$2:$C$1577,'Site Level Financials - ''23 ''24'!AB$2:AB$1577)</f>
        <v>-1.4952973387003192</v>
      </c>
      <c r="Q485" s="179">
        <f>_xlfn.XLOOKUP($C485,'Site Level Financials - ''23 ''24'!$C$2:$C$1577,'Site Level Financials - ''23 ''24'!AC$2:AC$1577)</f>
        <v>-1.4613771077877</v>
      </c>
      <c r="R485" s="179">
        <f>_xlfn.XLOOKUP($C485,'Site Level Financials - ''23 ''24'!$C$2:$C$1577,'Site Level Financials - ''23 ''24'!AD$2:AD$1577)</f>
        <v>-1.5460889556809607</v>
      </c>
      <c r="S485" s="155">
        <f>S486*S467</f>
        <v>-3.3700983080465963</v>
      </c>
      <c r="T485" s="154">
        <f t="shared" ref="T485" si="1340">T486*T467</f>
        <v>-3.5607071728604813</v>
      </c>
      <c r="U485" s="154">
        <f t="shared" ref="U485" si="1341">U486*U467</f>
        <v>-3.1497845510669373</v>
      </c>
      <c r="V485" s="154">
        <f t="shared" ref="V485" si="1342">V486*V467</f>
        <v>-4.1786337924225565</v>
      </c>
      <c r="W485" s="154">
        <f t="shared" ref="W485" si="1343">W486*W467</f>
        <v>-4.9663550953321325</v>
      </c>
      <c r="X485" s="154">
        <f t="shared" ref="X485" si="1344">X486*X467</f>
        <v>-4.1704904638326123</v>
      </c>
      <c r="Y485" s="154">
        <f t="shared" ref="Y485" si="1345">Y486*Y467</f>
        <v>-2.8010046913521092</v>
      </c>
      <c r="Z485" s="154">
        <f t="shared" ref="Z485" si="1346">Z486*Z467</f>
        <v>-2.0555161398320987</v>
      </c>
      <c r="AA485" s="154">
        <f t="shared" ref="AA485" si="1347">AA486*AA467</f>
        <v>-1.6515690416239255</v>
      </c>
      <c r="AB485" s="154">
        <f t="shared" ref="AB485" si="1348">AB486*AB467</f>
        <v>-1.8968150557808734</v>
      </c>
      <c r="AC485" s="154">
        <f t="shared" ref="AC485" si="1349">AC486*AC467</f>
        <v>-1.5757922773633335</v>
      </c>
      <c r="AD485" s="156">
        <f t="shared" ref="AD485" si="1350">AD486*AD467</f>
        <v>-1.5781162058342399</v>
      </c>
      <c r="AE485" s="15"/>
      <c r="AF485" s="115">
        <f>_xlfn.XLOOKUP($C485,'Site Level Financials - ''23 ''24'!$C$2:$C$1577,'Site Level Financials - ''23 ''24'!$AF$2:$AF$1577)</f>
        <v>-34.617481876651574</v>
      </c>
      <c r="AG485" s="93">
        <f>SUM(G485:R485)</f>
        <v>-21.515915711156435</v>
      </c>
      <c r="AH485" s="93">
        <f t="shared" ref="AH485" si="1351">SUM(S485:AD485)</f>
        <v>-34.954882795347899</v>
      </c>
    </row>
    <row r="486" spans="2:34" x14ac:dyDescent="0.2">
      <c r="B486" s="9">
        <f>G455</f>
        <v>10</v>
      </c>
      <c r="C486" s="9" t="str">
        <f t="shared" si="1260"/>
        <v>10 - % of Revenue - Marketing</v>
      </c>
      <c r="D486" s="9" t="s">
        <v>56</v>
      </c>
      <c r="F486" s="16" t="str">
        <f>"% of Revenue - "&amp;F485</f>
        <v>% of Revenue - Marketing</v>
      </c>
      <c r="G486" s="148">
        <f>G485/G467</f>
        <v>-4.802788875990162E-3</v>
      </c>
      <c r="H486" s="149">
        <f t="shared" ref="H486:R486" si="1352">H485/H467</f>
        <v>-4.9005629127991876E-3</v>
      </c>
      <c r="I486" s="149">
        <f t="shared" si="1352"/>
        <v>-4.0371186433719999E-3</v>
      </c>
      <c r="J486" s="149">
        <f t="shared" si="1352"/>
        <v>-5.0000000000000001E-3</v>
      </c>
      <c r="K486" s="149">
        <f t="shared" si="1352"/>
        <v>-5.0000000000000001E-3</v>
      </c>
      <c r="L486" s="149">
        <f t="shared" si="1352"/>
        <v>-5.0000000000000001E-3</v>
      </c>
      <c r="M486" s="149">
        <f t="shared" si="1352"/>
        <v>-3.3333333333333327E-3</v>
      </c>
      <c r="N486" s="149">
        <f t="shared" si="1352"/>
        <v>-2.852701400504502E-3</v>
      </c>
      <c r="O486" s="149">
        <f t="shared" si="1352"/>
        <v>-2.5000000000000001E-3</v>
      </c>
      <c r="P486" s="149">
        <f t="shared" si="1352"/>
        <v>-2.5000000000000001E-3</v>
      </c>
      <c r="Q486" s="149">
        <f t="shared" si="1352"/>
        <v>-2.6274179778712418E-3</v>
      </c>
      <c r="R486" s="149">
        <f t="shared" si="1352"/>
        <v>-3.2237838072022278E-3</v>
      </c>
      <c r="S486" s="245">
        <f>_xlfn.XLOOKUP($F486,'Budget Assumption Driver'!$A$33:$A$39,'Budget Assumption Driver'!E$33:E$39)+G486</f>
        <v>-4.802788875990162E-3</v>
      </c>
      <c r="T486" s="246">
        <f>_xlfn.XLOOKUP($F486,'Budget Assumption Driver'!$A$33:$A$39,'Budget Assumption Driver'!F$33:F$39)+H486</f>
        <v>-4.9005629127991876E-3</v>
      </c>
      <c r="U486" s="246">
        <f>_xlfn.XLOOKUP($F486,'Budget Assumption Driver'!$A$33:$A$39,'Budget Assumption Driver'!G$33:G$39)+I486</f>
        <v>-4.0371186433719999E-3</v>
      </c>
      <c r="V486" s="246">
        <f>_xlfn.XLOOKUP($F486,'Budget Assumption Driver'!$A$33:$A$39,'Budget Assumption Driver'!H$33:H$39)+J486</f>
        <v>-5.0000000000000001E-3</v>
      </c>
      <c r="W486" s="246">
        <f>_xlfn.XLOOKUP($F486,'Budget Assumption Driver'!$A$33:$A$39,'Budget Assumption Driver'!I$33:I$39)+K486</f>
        <v>-5.0000000000000001E-3</v>
      </c>
      <c r="X486" s="246">
        <f>_xlfn.XLOOKUP($F486,'Budget Assumption Driver'!$A$33:$A$39,'Budget Assumption Driver'!J$33:J$39)+L486</f>
        <v>-5.0000000000000001E-3</v>
      </c>
      <c r="Y486" s="246">
        <f>_xlfn.XLOOKUP($F486,'Budget Assumption Driver'!$A$33:$A$39,'Budget Assumption Driver'!K$33:K$39)+M486</f>
        <v>-3.3333333333333327E-3</v>
      </c>
      <c r="Z486" s="246">
        <f>_xlfn.XLOOKUP($F486,'Budget Assumption Driver'!$A$33:$A$39,'Budget Assumption Driver'!L$33:L$39)+N486</f>
        <v>-2.852701400504502E-3</v>
      </c>
      <c r="AA486" s="246">
        <f>_xlfn.XLOOKUP($F486,'Budget Assumption Driver'!$A$33:$A$39,'Budget Assumption Driver'!M$33:M$39)+O486</f>
        <v>-2.5000000000000001E-3</v>
      </c>
      <c r="AB486" s="246">
        <f>_xlfn.XLOOKUP($F486,'Budget Assumption Driver'!$A$33:$A$39,'Budget Assumption Driver'!N$33:N$39)+P486</f>
        <v>-2.5000000000000001E-3</v>
      </c>
      <c r="AC486" s="246">
        <f>_xlfn.XLOOKUP($F486,'Budget Assumption Driver'!$A$33:$A$39,'Budget Assumption Driver'!O$33:O$39)+Q486</f>
        <v>-2.6274179778712418E-3</v>
      </c>
      <c r="AD486" s="296">
        <f>_xlfn.XLOOKUP($F486,'Budget Assumption Driver'!$A$33:$A$39,'Budget Assumption Driver'!P$33:P$39)+R486</f>
        <v>-3.2237838072022278E-3</v>
      </c>
      <c r="AE486" s="15"/>
      <c r="AF486" s="232">
        <f>_xlfn.XLOOKUP($C486,'Site Level Financials - ''23 ''24'!$C$2:$C$1577,'Site Level Financials - ''23 ''24'!$AF$2:$AF$1577)</f>
        <v>-9.9211359891608515E-3</v>
      </c>
      <c r="AG486" s="97">
        <f t="shared" ref="AG486:AH486" si="1353">AG485/AG467</f>
        <v>-3.6922659918386847E-3</v>
      </c>
      <c r="AH486" s="97">
        <f t="shared" si="1353"/>
        <v>-3.9094752520718E-3</v>
      </c>
    </row>
    <row r="487" spans="2:34" ht="3" customHeight="1" x14ac:dyDescent="0.2">
      <c r="B487" s="9">
        <f>G455</f>
        <v>10</v>
      </c>
      <c r="C487" s="9" t="str">
        <f t="shared" si="1260"/>
        <v xml:space="preserve">10 - </v>
      </c>
      <c r="D487" s="9" t="s">
        <v>56</v>
      </c>
      <c r="F487" s="16"/>
      <c r="G487" s="84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4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6"/>
      <c r="AE487" s="15"/>
      <c r="AF487" s="36"/>
      <c r="AG487" s="38"/>
      <c r="AH487" s="38"/>
    </row>
    <row r="488" spans="2:34" x14ac:dyDescent="0.2">
      <c r="B488" s="9">
        <f>G455</f>
        <v>10</v>
      </c>
      <c r="C488" s="9" t="str">
        <f t="shared" si="1260"/>
        <v>10 - Office Rent</v>
      </c>
      <c r="D488" s="9" t="s">
        <v>56</v>
      </c>
      <c r="F488" t="s">
        <v>162</v>
      </c>
      <c r="G488" s="178">
        <f>_xlfn.XLOOKUP($C488,'Site Level Financials - ''23 ''24'!$C$2:$C$1577,'Site Level Financials - ''23 ''24'!S$2:S$1577)</f>
        <v>-15.985097809060303</v>
      </c>
      <c r="H488" s="179">
        <f>_xlfn.XLOOKUP($C488,'Site Level Financials - ''23 ''24'!$C$2:$C$1577,'Site Level Financials - ''23 ''24'!T$2:T$1577)</f>
        <v>-15.985097809060303</v>
      </c>
      <c r="I488" s="179">
        <f>_xlfn.XLOOKUP($C488,'Site Level Financials - ''23 ''24'!$C$2:$C$1577,'Site Level Financials - ''23 ''24'!U$2:U$1577)</f>
        <v>-15.985097809060303</v>
      </c>
      <c r="J488" s="179">
        <f>_xlfn.XLOOKUP($C488,'Site Level Financials - ''23 ''24'!$C$2:$C$1577,'Site Level Financials - ''23 ''24'!V$2:V$1577)</f>
        <v>-15.985097809060303</v>
      </c>
      <c r="K488" s="179">
        <f>_xlfn.XLOOKUP($C488,'Site Level Financials - ''23 ''24'!$C$2:$C$1577,'Site Level Financials - ''23 ''24'!W$2:W$1577)</f>
        <v>-15.985097809060303</v>
      </c>
      <c r="L488" s="179">
        <f>_xlfn.XLOOKUP($C488,'Site Level Financials - ''23 ''24'!$C$2:$C$1577,'Site Level Financials - ''23 ''24'!X$2:X$1577)</f>
        <v>-16.464650743332115</v>
      </c>
      <c r="M488" s="179">
        <f>_xlfn.XLOOKUP($C488,'Site Level Financials - ''23 ''24'!$C$2:$C$1577,'Site Level Financials - ''23 ''24'!Y$2:Y$1577)</f>
        <v>-16.464650743332115</v>
      </c>
      <c r="N488" s="179">
        <f>_xlfn.XLOOKUP($C488,'Site Level Financials - ''23 ''24'!$C$2:$C$1577,'Site Level Financials - ''23 ''24'!Z$2:Z$1577)</f>
        <v>-16.464650743332115</v>
      </c>
      <c r="O488" s="179">
        <f>_xlfn.XLOOKUP($C488,'Site Level Financials - ''23 ''24'!$C$2:$C$1577,'Site Level Financials - ''23 ''24'!AA$2:AA$1577)</f>
        <v>-16.464650743332115</v>
      </c>
      <c r="P488" s="179">
        <f>_xlfn.XLOOKUP($C488,'Site Level Financials - ''23 ''24'!$C$2:$C$1577,'Site Level Financials - ''23 ''24'!AB$2:AB$1577)</f>
        <v>-16.464650743332115</v>
      </c>
      <c r="Q488" s="179">
        <f>_xlfn.XLOOKUP($C488,'Site Level Financials - ''23 ''24'!$C$2:$C$1577,'Site Level Financials - ''23 ''24'!AC$2:AC$1577)</f>
        <v>-16.464650743332115</v>
      </c>
      <c r="R488" s="179">
        <f>_xlfn.XLOOKUP($C488,'Site Level Financials - ''23 ''24'!$C$2:$C$1577,'Site Level Financials - ''23 ''24'!AD$2:AD$1577)</f>
        <v>-16.464650743332115</v>
      </c>
      <c r="S488" s="155">
        <f>G488*(1+S489)</f>
        <v>-16.464650743332111</v>
      </c>
      <c r="T488" s="154">
        <f t="shared" ref="T488" si="1354">H488*(1+T489)</f>
        <v>-16.464650743332111</v>
      </c>
      <c r="U488" s="154">
        <f t="shared" ref="U488" si="1355">I488*(1+U489)</f>
        <v>-16.464650743332111</v>
      </c>
      <c r="V488" s="154">
        <f t="shared" ref="V488" si="1356">J488*(1+V489)</f>
        <v>-16.464650743332111</v>
      </c>
      <c r="W488" s="154">
        <f t="shared" ref="W488" si="1357">K488*(1+W489)</f>
        <v>-16.464650743332111</v>
      </c>
      <c r="X488" s="154">
        <f t="shared" ref="X488" si="1358">L488*(1+X489)</f>
        <v>-16.958590265632079</v>
      </c>
      <c r="Y488" s="154">
        <f t="shared" ref="Y488" si="1359">M488*(1+Y489)</f>
        <v>-16.958590265632079</v>
      </c>
      <c r="Z488" s="154">
        <f t="shared" ref="Z488" si="1360">N488*(1+Z489)</f>
        <v>-16.958590265632079</v>
      </c>
      <c r="AA488" s="154">
        <f t="shared" ref="AA488" si="1361">O488*(1+AA489)</f>
        <v>-16.958590265632079</v>
      </c>
      <c r="AB488" s="154">
        <f t="shared" ref="AB488" si="1362">P488*(1+AB489)</f>
        <v>-16.958590265632079</v>
      </c>
      <c r="AC488" s="154">
        <f t="shared" ref="AC488" si="1363">Q488*(1+AC489)</f>
        <v>-16.958590265632079</v>
      </c>
      <c r="AD488" s="156">
        <f t="shared" ref="AD488" si="1364">R488*(1+AD489)</f>
        <v>-16.958590265632079</v>
      </c>
      <c r="AE488" s="15"/>
      <c r="AF488" s="115">
        <f>_xlfn.XLOOKUP($C488,'Site Level Financials - ''23 ''24'!$C$2:$C$1577,'Site Level Financials - ''23 ''24'!$AF$2:$AF$1577)</f>
        <v>-189.49018954188682</v>
      </c>
      <c r="AG488" s="93">
        <f>SUM(G488:R488)</f>
        <v>-195.17804424862635</v>
      </c>
      <c r="AH488" s="93">
        <f t="shared" ref="AH488" si="1365">SUM(S488:AD488)</f>
        <v>-201.03338557608507</v>
      </c>
    </row>
    <row r="489" spans="2:34" x14ac:dyDescent="0.2">
      <c r="B489" s="9">
        <f>G455</f>
        <v>10</v>
      </c>
      <c r="C489" s="9" t="str">
        <f t="shared" si="1260"/>
        <v>10 - % YoY Growth</v>
      </c>
      <c r="D489" s="9" t="s">
        <v>56</v>
      </c>
      <c r="F489" s="16" t="s">
        <v>8</v>
      </c>
      <c r="G489" s="245">
        <f>_xlfn.XLOOKUP($C489,'Site Level Financials - ''23 ''24'!$C$2:$C$1577,'Site Level Financials - ''23 ''24'!S$2:S$1577)</f>
        <v>3.0016618382674665E-2</v>
      </c>
      <c r="H489" s="246">
        <f>_xlfn.XLOOKUP($C489,'Site Level Financials - ''23 ''24'!$C$2:$C$1577,'Site Level Financials - ''23 ''24'!T$2:T$1577)</f>
        <v>3.0016618382674665E-2</v>
      </c>
      <c r="I489" s="246">
        <f>_xlfn.XLOOKUP($C489,'Site Level Financials - ''23 ''24'!$C$2:$C$1577,'Site Level Financials - ''23 ''24'!U$2:U$1577)</f>
        <v>3.0016618382674665E-2</v>
      </c>
      <c r="J489" s="246">
        <f>_xlfn.XLOOKUP($C489,'Site Level Financials - ''23 ''24'!$C$2:$C$1577,'Site Level Financials - ''23 ''24'!V$2:V$1577)</f>
        <v>3.0016618382674665E-2</v>
      </c>
      <c r="K489" s="246">
        <f>_xlfn.XLOOKUP($C489,'Site Level Financials - ''23 ''24'!$C$2:$C$1577,'Site Level Financials - ''23 ''24'!W$2:W$1577)</f>
        <v>3.0016618382674665E-2</v>
      </c>
      <c r="L489" s="246">
        <f>_xlfn.XLOOKUP($C489,'Site Level Financials - ''23 ''24'!$C$2:$C$1577,'Site Level Financials - ''23 ''24'!X$2:X$1577)</f>
        <v>3.0016618382674887E-2</v>
      </c>
      <c r="M489" s="246">
        <f>_xlfn.XLOOKUP($C489,'Site Level Financials - ''23 ''24'!$C$2:$C$1577,'Site Level Financials - ''23 ''24'!Y$2:Y$1577)</f>
        <v>3.0016618382674887E-2</v>
      </c>
      <c r="N489" s="246">
        <f>_xlfn.XLOOKUP($C489,'Site Level Financials - ''23 ''24'!$C$2:$C$1577,'Site Level Financials - ''23 ''24'!Z$2:Z$1577)</f>
        <v>3.0016618382674887E-2</v>
      </c>
      <c r="O489" s="246">
        <f>_xlfn.XLOOKUP($C489,'Site Level Financials - ''23 ''24'!$C$2:$C$1577,'Site Level Financials - ''23 ''24'!AA$2:AA$1577)</f>
        <v>3.0016618382674887E-2</v>
      </c>
      <c r="P489" s="246">
        <f>_xlfn.XLOOKUP($C489,'Site Level Financials - ''23 ''24'!$C$2:$C$1577,'Site Level Financials - ''23 ''24'!AB$2:AB$1577)</f>
        <v>3.0016618382674887E-2</v>
      </c>
      <c r="Q489" s="246">
        <f>_xlfn.XLOOKUP($C489,'Site Level Financials - ''23 ''24'!$C$2:$C$1577,'Site Level Financials - ''23 ''24'!AC$2:AC$1577)</f>
        <v>3.0016618382674887E-2</v>
      </c>
      <c r="R489" s="246">
        <f>_xlfn.XLOOKUP($C489,'Site Level Financials - ''23 ''24'!$C$2:$C$1577,'Site Level Financials - ''23 ''24'!AD$2:AD$1577)</f>
        <v>3.0016618382674887E-2</v>
      </c>
      <c r="S489" s="245">
        <f>_xlfn.XLOOKUP($F489,'Budget Assumption Driver'!$A$33:$A$39,'Budget Assumption Driver'!E$33:E$39)</f>
        <v>0.03</v>
      </c>
      <c r="T489" s="246">
        <f>_xlfn.XLOOKUP($F489,'Budget Assumption Driver'!$A$33:$A$39,'Budget Assumption Driver'!F$33:F$39)</f>
        <v>0.03</v>
      </c>
      <c r="U489" s="246">
        <f>_xlfn.XLOOKUP($F489,'Budget Assumption Driver'!$A$33:$A$39,'Budget Assumption Driver'!G$33:G$39)</f>
        <v>0.03</v>
      </c>
      <c r="V489" s="246">
        <f>_xlfn.XLOOKUP($F489,'Budget Assumption Driver'!$A$33:$A$39,'Budget Assumption Driver'!H$33:H$39)</f>
        <v>0.03</v>
      </c>
      <c r="W489" s="246">
        <f>_xlfn.XLOOKUP($F489,'Budget Assumption Driver'!$A$33:$A$39,'Budget Assumption Driver'!I$33:I$39)</f>
        <v>0.03</v>
      </c>
      <c r="X489" s="246">
        <f>_xlfn.XLOOKUP($F489,'Budget Assumption Driver'!$A$33:$A$39,'Budget Assumption Driver'!J$33:J$39)</f>
        <v>0.03</v>
      </c>
      <c r="Y489" s="246">
        <f>_xlfn.XLOOKUP($F489,'Budget Assumption Driver'!$A$33:$A$39,'Budget Assumption Driver'!K$33:K$39)</f>
        <v>0.03</v>
      </c>
      <c r="Z489" s="246">
        <f>_xlfn.XLOOKUP($F489,'Budget Assumption Driver'!$A$33:$A$39,'Budget Assumption Driver'!L$33:L$39)</f>
        <v>0.03</v>
      </c>
      <c r="AA489" s="246">
        <f>_xlfn.XLOOKUP($F489,'Budget Assumption Driver'!$A$33:$A$39,'Budget Assumption Driver'!M$33:M$39)</f>
        <v>0.03</v>
      </c>
      <c r="AB489" s="246">
        <f>_xlfn.XLOOKUP($F489,'Budget Assumption Driver'!$A$33:$A$39,'Budget Assumption Driver'!N$33:N$39)</f>
        <v>0.03</v>
      </c>
      <c r="AC489" s="246">
        <f>_xlfn.XLOOKUP($F489,'Budget Assumption Driver'!$A$33:$A$39,'Budget Assumption Driver'!O$33:O$39)</f>
        <v>0.03</v>
      </c>
      <c r="AD489" s="296">
        <f>_xlfn.XLOOKUP($F489,'Budget Assumption Driver'!$A$33:$A$39,'Budget Assumption Driver'!P$33:P$39)</f>
        <v>0.03</v>
      </c>
      <c r="AE489" s="15"/>
      <c r="AF489" s="11"/>
      <c r="AG489" s="97">
        <f>AG488/AF488-1</f>
        <v>3.0016618382674887E-2</v>
      </c>
      <c r="AH489" s="97">
        <f>AH488/AG488-1</f>
        <v>2.9999999999999583E-2</v>
      </c>
    </row>
    <row r="490" spans="2:34" ht="6" customHeight="1" x14ac:dyDescent="0.2">
      <c r="B490" s="9">
        <f>G455</f>
        <v>10</v>
      </c>
      <c r="C490" s="9" t="str">
        <f t="shared" si="1260"/>
        <v xml:space="preserve">10 - </v>
      </c>
      <c r="D490" s="9" t="s">
        <v>56</v>
      </c>
      <c r="F490" s="16"/>
      <c r="G490" s="80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80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81"/>
      <c r="AE490" s="15"/>
      <c r="AF490" s="11"/>
      <c r="AG490" s="15"/>
      <c r="AH490" s="15"/>
    </row>
    <row r="491" spans="2:34" x14ac:dyDescent="0.2">
      <c r="B491" s="9">
        <f>G455</f>
        <v>10</v>
      </c>
      <c r="C491" s="9" t="str">
        <f t="shared" si="1260"/>
        <v>10 - Office EBITDA</v>
      </c>
      <c r="D491" s="9" t="s">
        <v>56</v>
      </c>
      <c r="F491" s="8" t="s">
        <v>12</v>
      </c>
      <c r="G491" s="241">
        <f>_xlfn.XLOOKUP($C491,'Site Level Financials - ''23 ''24'!$C$2:$C$1577,'Site Level Financials - ''23 ''24'!S$2:S$1577)</f>
        <v>366.81290000620493</v>
      </c>
      <c r="H491" s="242">
        <f>_xlfn.XLOOKUP($C491,'Site Level Financials - ''23 ''24'!$C$2:$C$1577,'Site Level Financials - ''23 ''24'!T$2:T$1577)</f>
        <v>244.79358586754248</v>
      </c>
      <c r="I491" s="242">
        <f>_xlfn.XLOOKUP($C491,'Site Level Financials - ''23 ''24'!$C$2:$C$1577,'Site Level Financials - ''23 ''24'!U$2:U$1577)</f>
        <v>257.0103514236614</v>
      </c>
      <c r="J491" s="242">
        <f>_xlfn.XLOOKUP($C491,'Site Level Financials - ''23 ''24'!$C$2:$C$1577,'Site Level Financials - ''23 ''24'!V$2:V$1577)</f>
        <v>117.24263771380262</v>
      </c>
      <c r="K491" s="242">
        <f>_xlfn.XLOOKUP($C491,'Site Level Financials - ''23 ''24'!$C$2:$C$1577,'Site Level Financials - ''23 ''24'!W$2:W$1577)</f>
        <v>137.93741820382954</v>
      </c>
      <c r="L491" s="242">
        <f>_xlfn.XLOOKUP($C491,'Site Level Financials - ''23 ''24'!$C$2:$C$1577,'Site Level Financials - ''23 ''24'!X$2:X$1577)</f>
        <v>106.61169978499622</v>
      </c>
      <c r="M491" s="242">
        <f>_xlfn.XLOOKUP($C491,'Site Level Financials - ''23 ''24'!$C$2:$C$1577,'Site Level Financials - ''23 ''24'!Y$2:Y$1577)</f>
        <v>264.31103535710594</v>
      </c>
      <c r="N491" s="242">
        <f>_xlfn.XLOOKUP($C491,'Site Level Financials - ''23 ''24'!$C$2:$C$1577,'Site Level Financials - ''23 ''24'!Z$2:Z$1577)</f>
        <v>369.73214362386506</v>
      </c>
      <c r="O491" s="242">
        <f>_xlfn.XLOOKUP($C491,'Site Level Financials - ''23 ''24'!$C$2:$C$1577,'Site Level Financials - ''23 ''24'!AA$2:AA$1577)</f>
        <v>279.52629852735811</v>
      </c>
      <c r="P491" s="242">
        <f>_xlfn.XLOOKUP($C491,'Site Level Financials - ''23 ''24'!$C$2:$C$1577,'Site Level Financials - ''23 ''24'!AB$2:AB$1577)</f>
        <v>326.05632791261911</v>
      </c>
      <c r="Q491" s="242">
        <f>_xlfn.XLOOKUP($C491,'Site Level Financials - ''23 ''24'!$C$2:$C$1577,'Site Level Financials - ''23 ''24'!AC$2:AC$1577)</f>
        <v>347.91800378460363</v>
      </c>
      <c r="R491" s="242">
        <f>_xlfn.XLOOKUP($C491,'Site Level Financials - ''23 ''24'!$C$2:$C$1577,'Site Level Financials - ''23 ''24'!AD$2:AD$1577)</f>
        <v>294.38766030457214</v>
      </c>
      <c r="S491" s="134">
        <f t="shared" ref="S491:AD491" si="1366">S479+S482+S485+S488</f>
        <v>459.84793926318963</v>
      </c>
      <c r="T491" s="135">
        <f t="shared" si="1366"/>
        <v>406.25633210710112</v>
      </c>
      <c r="U491" s="135">
        <f t="shared" si="1366"/>
        <v>434.6938096176446</v>
      </c>
      <c r="V491" s="135">
        <f t="shared" si="1366"/>
        <v>282.37597349862523</v>
      </c>
      <c r="W491" s="135">
        <f t="shared" si="1366"/>
        <v>346.48415281093645</v>
      </c>
      <c r="X491" s="135">
        <f t="shared" si="1366"/>
        <v>290.05399532830091</v>
      </c>
      <c r="Y491" s="135">
        <f t="shared" si="1366"/>
        <v>469.40999688832966</v>
      </c>
      <c r="Z491" s="135">
        <f t="shared" si="1366"/>
        <v>462.62319860451032</v>
      </c>
      <c r="AA491" s="135">
        <f t="shared" si="1366"/>
        <v>362.30411856422626</v>
      </c>
      <c r="AB491" s="135">
        <f t="shared" si="1366"/>
        <v>417.53623054379437</v>
      </c>
      <c r="AC491" s="135">
        <f t="shared" si="1366"/>
        <v>375.95256863401028</v>
      </c>
      <c r="AD491" s="136">
        <f t="shared" si="1366"/>
        <v>300.33302991133274</v>
      </c>
      <c r="AE491" s="15"/>
      <c r="AF491" s="113">
        <f>_xlfn.XLOOKUP($C491,'Site Level Financials - ''23 ''24'!$C$2:$C$1577,'Site Level Financials - ''23 ''24'!$AF$2:$AF$1577)</f>
        <v>1843.5514042999168</v>
      </c>
      <c r="AG491" s="95">
        <f>SUM(G491:R491)</f>
        <v>3112.3400625101613</v>
      </c>
      <c r="AH491" s="95">
        <f t="shared" ref="AH491" si="1367">SUM(S491:AD491)</f>
        <v>4607.8713457720023</v>
      </c>
    </row>
    <row r="492" spans="2:34" x14ac:dyDescent="0.2">
      <c r="B492" s="9">
        <f>G455</f>
        <v>10</v>
      </c>
      <c r="C492" s="9" t="str">
        <f t="shared" si="1260"/>
        <v>10 - % of Revenue - Office EBITDA</v>
      </c>
      <c r="D492" s="9" t="s">
        <v>56</v>
      </c>
      <c r="F492" s="16" t="str">
        <f>"% of Revenue - "&amp;F491</f>
        <v>% of Revenue - Office EBITDA</v>
      </c>
      <c r="G492" s="148">
        <f>G491/G467</f>
        <v>0.65045600921763769</v>
      </c>
      <c r="H492" s="149">
        <f t="shared" ref="H492:AD492" si="1368">H491/H467</f>
        <v>0.54612424909781909</v>
      </c>
      <c r="I492" s="149">
        <f t="shared" si="1368"/>
        <v>0.54439606575295885</v>
      </c>
      <c r="J492" s="149">
        <f t="shared" si="1368"/>
        <v>0.31467791326732208</v>
      </c>
      <c r="K492" s="149">
        <f t="shared" si="1368"/>
        <v>0.3274594622028108</v>
      </c>
      <c r="L492" s="149">
        <f t="shared" si="1368"/>
        <v>0.31883743650881746</v>
      </c>
      <c r="M492" s="149">
        <f t="shared" si="1368"/>
        <v>0.5448616301774809</v>
      </c>
      <c r="N492" s="149">
        <f t="shared" si="1368"/>
        <v>0.63720129767779676</v>
      </c>
      <c r="O492" s="149">
        <f t="shared" si="1368"/>
        <v>0.54216023377720168</v>
      </c>
      <c r="P492" s="149">
        <f t="shared" si="1368"/>
        <v>0.54513627402697773</v>
      </c>
      <c r="Q492" s="149">
        <f t="shared" si="1368"/>
        <v>0.62552370164918514</v>
      </c>
      <c r="R492" s="149">
        <f t="shared" si="1368"/>
        <v>0.6138341321454126</v>
      </c>
      <c r="S492" s="148">
        <f t="shared" si="1368"/>
        <v>0.65533772770574927</v>
      </c>
      <c r="T492" s="149">
        <f t="shared" si="1368"/>
        <v>0.55912621217164549</v>
      </c>
      <c r="U492" s="149">
        <f t="shared" si="1368"/>
        <v>0.55715254631347566</v>
      </c>
      <c r="V492" s="149">
        <f t="shared" si="1368"/>
        <v>0.33788073749209574</v>
      </c>
      <c r="W492" s="149">
        <f t="shared" si="1368"/>
        <v>0.34883143287176166</v>
      </c>
      <c r="X492" s="149">
        <f t="shared" si="1368"/>
        <v>0.34774566426144765</v>
      </c>
      <c r="Y492" s="149">
        <f t="shared" si="1368"/>
        <v>0.55862098141379724</v>
      </c>
      <c r="Z492" s="149">
        <f t="shared" si="1368"/>
        <v>0.64204110149811733</v>
      </c>
      <c r="AA492" s="149">
        <f t="shared" si="1368"/>
        <v>0.54842411887302378</v>
      </c>
      <c r="AB492" s="149">
        <f t="shared" si="1368"/>
        <v>0.55031225800227623</v>
      </c>
      <c r="AC492" s="149">
        <f t="shared" si="1368"/>
        <v>0.62684945969443606</v>
      </c>
      <c r="AD492" s="150">
        <f t="shared" si="1368"/>
        <v>0.61352184016405331</v>
      </c>
      <c r="AE492" s="15"/>
      <c r="AF492" s="232">
        <f>_xlfn.XLOOKUP($C492,'Site Level Financials - ''23 ''24'!$C$2:$C$1577,'Site Level Financials - ''23 ''24'!$AF$2:$AF$1577)</f>
        <v>0.52834935395471549</v>
      </c>
      <c r="AG492" s="97">
        <f t="shared" ref="AG492:AH492" si="1369">AG491/AG467</f>
        <v>0.53409706201278406</v>
      </c>
      <c r="AH492" s="97">
        <f t="shared" si="1369"/>
        <v>0.51536030306541125</v>
      </c>
    </row>
    <row r="493" spans="2:34" ht="6" customHeight="1" x14ac:dyDescent="0.2">
      <c r="B493" s="9">
        <f>G455</f>
        <v>10</v>
      </c>
      <c r="C493" s="9" t="str">
        <f t="shared" si="1260"/>
        <v xml:space="preserve">10 - </v>
      </c>
      <c r="D493" s="9" t="s">
        <v>56</v>
      </c>
      <c r="G493" s="80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80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81"/>
      <c r="AE493" s="15"/>
      <c r="AF493" s="11"/>
      <c r="AG493" s="15"/>
      <c r="AH493" s="15"/>
    </row>
    <row r="494" spans="2:34" x14ac:dyDescent="0.2">
      <c r="B494" s="9">
        <f>G455</f>
        <v>10</v>
      </c>
      <c r="C494" s="9" t="str">
        <f t="shared" si="1260"/>
        <v>10 - Memo:</v>
      </c>
      <c r="D494" s="9" t="s">
        <v>56</v>
      </c>
      <c r="F494" s="6" t="s">
        <v>13</v>
      </c>
      <c r="G494" s="80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80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81"/>
      <c r="AE494" s="15"/>
      <c r="AF494" s="11"/>
      <c r="AG494" s="15"/>
      <c r="AH494" s="15"/>
    </row>
    <row r="495" spans="2:34" s="24" customFormat="1" x14ac:dyDescent="0.2">
      <c r="B495" s="9">
        <f>G455</f>
        <v>10</v>
      </c>
      <c r="C495" s="9" t="str">
        <f t="shared" si="1260"/>
        <v>10 - Collections</v>
      </c>
      <c r="D495" s="9" t="s">
        <v>56</v>
      </c>
      <c r="E495" s="49"/>
      <c r="F495" s="24" t="s">
        <v>15</v>
      </c>
      <c r="G495" s="247">
        <f>_xlfn.XLOOKUP($C495,'Site Level Financials - ''23 ''24'!$C$2:$C$1577,'Site Level Financials - ''23 ''24'!S$2:S$1577)</f>
        <v>554.30690906932807</v>
      </c>
      <c r="H495" s="248">
        <f>_xlfn.XLOOKUP($C495,'Site Level Financials - ''23 ''24'!$C$2:$C$1577,'Site Level Financials - ''23 ''24'!T$2:T$1577)</f>
        <v>436.61461240471959</v>
      </c>
      <c r="I495" s="248">
        <f>_xlfn.XLOOKUP($C495,'Site Level Financials - ''23 ''24'!$C$2:$C$1577,'Site Level Financials - ''23 ''24'!U$2:U$1577)</f>
        <v>469.42120820123455</v>
      </c>
      <c r="J495" s="248">
        <f>_xlfn.XLOOKUP($C495,'Site Level Financials - ''23 ''24'!$C$2:$C$1577,'Site Level Financials - ''23 ''24'!V$2:V$1577)</f>
        <v>368.490299792695</v>
      </c>
      <c r="K495" s="248">
        <f>_xlfn.XLOOKUP($C495,'Site Level Financials - ''23 ''24'!$C$2:$C$1577,'Site Level Financials - ''23 ''24'!W$2:W$1577)</f>
        <v>422.41925297702022</v>
      </c>
      <c r="L495" s="248">
        <f>_xlfn.XLOOKUP($C495,'Site Level Financials - ''23 ''24'!$C$2:$C$1577,'Site Level Financials - ''23 ''24'!X$2:X$1577)</f>
        <v>334.85114408983117</v>
      </c>
      <c r="M495" s="248">
        <f>_xlfn.XLOOKUP($C495,'Site Level Financials - ''23 ''24'!$C$2:$C$1577,'Site Level Financials - ''23 ''24'!Y$2:Y$1577)</f>
        <v>480.50921635158733</v>
      </c>
      <c r="N495" s="248">
        <f>_xlfn.XLOOKUP($C495,'Site Level Financials - ''23 ''24'!$C$2:$C$1577,'Site Level Financials - ''23 ''24'!Z$2:Z$1577)</f>
        <v>569.35099739822681</v>
      </c>
      <c r="O495" s="248">
        <f>_xlfn.XLOOKUP($C495,'Site Level Financials - ''23 ''24'!$C$2:$C$1577,'Site Level Financials - ''23 ''24'!AA$2:AA$1577)</f>
        <v>500.04532417889709</v>
      </c>
      <c r="P495" s="248">
        <f>_xlfn.XLOOKUP($C495,'Site Level Financials - ''23 ''24'!$C$2:$C$1577,'Site Level Financials - ''23 ''24'!AB$2:AB$1577)</f>
        <v>602.93499042192298</v>
      </c>
      <c r="Q495" s="248">
        <f>_xlfn.XLOOKUP($C495,'Site Level Financials - ''23 ''24'!$C$2:$C$1577,'Site Level Financials - ''23 ''24'!AC$2:AC$1577)</f>
        <v>553.35922617916606</v>
      </c>
      <c r="R495" s="248">
        <f>_xlfn.XLOOKUP($C495,'Site Level Financials - ''23 ''24'!$C$2:$C$1577,'Site Level Financials - ''23 ''24'!AD$2:AD$1577)</f>
        <v>471.96884160034784</v>
      </c>
      <c r="S495" s="169">
        <f t="shared" ref="S495:AD495" si="1370">S496*S465</f>
        <v>701.69611762328475</v>
      </c>
      <c r="T495" s="170">
        <f t="shared" si="1370"/>
        <v>726.59146229113821</v>
      </c>
      <c r="U495" s="170">
        <f t="shared" si="1370"/>
        <v>780.20608986514264</v>
      </c>
      <c r="V495" s="170">
        <f t="shared" si="1370"/>
        <v>835.72675848451127</v>
      </c>
      <c r="W495" s="170">
        <f t="shared" si="1370"/>
        <v>993.27101906642656</v>
      </c>
      <c r="X495" s="170">
        <f t="shared" si="1370"/>
        <v>834.09809276652243</v>
      </c>
      <c r="Y495" s="170">
        <f t="shared" si="1370"/>
        <v>840.30140740563286</v>
      </c>
      <c r="Z495" s="170">
        <f t="shared" si="1370"/>
        <v>720.55075216374894</v>
      </c>
      <c r="AA495" s="170">
        <f t="shared" si="1370"/>
        <v>660.6276166495702</v>
      </c>
      <c r="AB495" s="170">
        <f t="shared" si="1370"/>
        <v>758.7260223123493</v>
      </c>
      <c r="AC495" s="170">
        <f t="shared" si="1370"/>
        <v>599.74937015543105</v>
      </c>
      <c r="AD495" s="171">
        <f t="shared" si="1370"/>
        <v>489.5229643838349</v>
      </c>
      <c r="AE495" s="26"/>
      <c r="AF495" s="234">
        <f>_xlfn.XLOOKUP($C495,'Site Level Financials - ''23 ''24'!$C$2:$C$1577,'Site Level Financials - ''23 ''24'!$AF$2:$AF$1577)</f>
        <v>3498.8130441767003</v>
      </c>
      <c r="AG495" s="99">
        <f>SUM(G495:R495)</f>
        <v>5764.2720226649772</v>
      </c>
      <c r="AH495" s="99">
        <f t="shared" ref="AH495" si="1371">SUM(S495:AD495)</f>
        <v>8941.067673167594</v>
      </c>
    </row>
    <row r="496" spans="2:34" x14ac:dyDescent="0.2">
      <c r="B496" s="9">
        <f>G455</f>
        <v>10</v>
      </c>
      <c r="C496" s="9" t="str">
        <f t="shared" si="1260"/>
        <v>10 - Collections as a % of Production</v>
      </c>
      <c r="D496" s="9" t="s">
        <v>56</v>
      </c>
      <c r="F496" s="16" t="s">
        <v>17</v>
      </c>
      <c r="G496" s="245">
        <f>_xlfn.XLOOKUP($C496,'Site Level Financials - ''23 ''24'!$C$2:$C$1577,'Site Level Financials - ''23 ''24'!S$2:S$1577)</f>
        <v>0.97441453241085974</v>
      </c>
      <c r="H496" s="246">
        <f>_xlfn.XLOOKUP($C496,'Site Level Financials - ''23 ''24'!$C$2:$C$1577,'Site Level Financials - ''23 ''24'!T$2:T$1577)</f>
        <v>0.96562794043162836</v>
      </c>
      <c r="I496" s="246">
        <f>_xlfn.XLOOKUP($C496,'Site Level Financials - ''23 ''24'!$C$2:$C$1577,'Site Level Financials - ''23 ''24'!U$2:U$1577)</f>
        <v>0.98570554625329265</v>
      </c>
      <c r="J496" s="246">
        <f>_xlfn.XLOOKUP($C496,'Site Level Financials - ''23 ''24'!$C$2:$C$1577,'Site Level Financials - ''23 ''24'!V$2:V$1577)</f>
        <v>0.98045320751265963</v>
      </c>
      <c r="K496" s="246">
        <f>_xlfn.XLOOKUP($C496,'Site Level Financials - ''23 ''24'!$C$2:$C$1577,'Site Level Financials - ''23 ''24'!W$2:W$1577)</f>
        <v>0.99412108749596539</v>
      </c>
      <c r="L496" s="246">
        <f>_xlfn.XLOOKUP($C496,'Site Level Financials - ''23 ''24'!$C$2:$C$1577,'Site Level Financials - ''23 ''24'!X$2:X$1577)</f>
        <v>0.99274191528767386</v>
      </c>
      <c r="M496" s="246">
        <f>_xlfn.XLOOKUP($C496,'Site Level Financials - ''23 ''24'!$C$2:$C$1577,'Site Level Financials - ''23 ''24'!Y$2:Y$1577)</f>
        <v>0.9819577052382934</v>
      </c>
      <c r="N496" s="246">
        <f>_xlfn.XLOOKUP($C496,'Site Level Financials - ''23 ''24'!$C$2:$C$1577,'Site Level Financials - ''23 ''24'!Z$2:Z$1577)</f>
        <v>0.97272406286599888</v>
      </c>
      <c r="O496" s="246">
        <f>_xlfn.XLOOKUP($C496,'Site Level Financials - ''23 ''24'!$C$2:$C$1577,'Site Level Financials - ''23 ''24'!AA$2:AA$1577)</f>
        <v>0.96146723228560638</v>
      </c>
      <c r="P496" s="246">
        <f>_xlfn.XLOOKUP($C496,'Site Level Financials - ''23 ''24'!$C$2:$C$1577,'Site Level Financials - ''23 ''24'!AB$2:AB$1577)</f>
        <v>0.99931652087799361</v>
      </c>
      <c r="Q496" s="246">
        <f>_xlfn.XLOOKUP($C496,'Site Level Financials - ''23 ''24'!$C$2:$C$1577,'Site Level Financials - ''23 ''24'!AC$2:AC$1577)</f>
        <v>0.98626620817159671</v>
      </c>
      <c r="R496" s="246">
        <f>_xlfn.XLOOKUP($C496,'Site Level Financials - ''23 ''24'!$C$2:$C$1577,'Site Level Financials - ''23 ''24'!AD$2:AD$1577)</f>
        <v>0.97558449812223635</v>
      </c>
      <c r="S496" s="148">
        <f>S466</f>
        <v>0.98061322077216861</v>
      </c>
      <c r="T496" s="149">
        <f t="shared" ref="T496:AD496" si="1372">T466</f>
        <v>0.98061322077216861</v>
      </c>
      <c r="U496" s="149">
        <f t="shared" si="1372"/>
        <v>0.98061322077216861</v>
      </c>
      <c r="V496" s="149">
        <f t="shared" si="1372"/>
        <v>0.98061322077216861</v>
      </c>
      <c r="W496" s="149">
        <f t="shared" si="1372"/>
        <v>0.98061322077216861</v>
      </c>
      <c r="X496" s="149">
        <f t="shared" si="1372"/>
        <v>0.98061322077216861</v>
      </c>
      <c r="Y496" s="149">
        <f t="shared" si="1372"/>
        <v>0.98061322077216861</v>
      </c>
      <c r="Z496" s="149">
        <f t="shared" si="1372"/>
        <v>0.98061322077216861</v>
      </c>
      <c r="AA496" s="149">
        <f t="shared" si="1372"/>
        <v>0.98061322077216861</v>
      </c>
      <c r="AB496" s="149">
        <f t="shared" si="1372"/>
        <v>0.98061322077216861</v>
      </c>
      <c r="AC496" s="149">
        <f t="shared" si="1372"/>
        <v>0.98061322077216861</v>
      </c>
      <c r="AD496" s="150">
        <f t="shared" si="1372"/>
        <v>0.98061322077216861</v>
      </c>
      <c r="AE496" s="15"/>
      <c r="AF496" s="232">
        <f>_xlfn.XLOOKUP($C496,'Site Level Financials - ''23 ''24'!$C$2:$C$1577,'Site Level Financials - ''23 ''24'!$AF$2:$AF$1577)</f>
        <v>0.98055636606478924</v>
      </c>
      <c r="AG496" s="97">
        <f t="shared" ref="AG496:AH496" si="1373">AG495/AG465</f>
        <v>0.98061322077216861</v>
      </c>
      <c r="AH496" s="97">
        <f t="shared" si="1373"/>
        <v>0.98061322077216895</v>
      </c>
    </row>
    <row r="497" spans="2:35" ht="6" customHeight="1" x14ac:dyDescent="0.2">
      <c r="B497" s="9">
        <f>G455</f>
        <v>10</v>
      </c>
      <c r="C497" s="9" t="str">
        <f t="shared" si="1260"/>
        <v xml:space="preserve">10 - </v>
      </c>
      <c r="D497" s="9" t="s">
        <v>56</v>
      </c>
      <c r="F497" s="27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81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81"/>
      <c r="AE497" s="15"/>
      <c r="AF497" s="11"/>
      <c r="AH497" s="224"/>
    </row>
    <row r="498" spans="2:35" s="24" customFormat="1" x14ac:dyDescent="0.2">
      <c r="B498" s="9">
        <f>G455</f>
        <v>10</v>
      </c>
      <c r="C498" s="9" t="str">
        <f t="shared" si="1260"/>
        <v>10 - Production per Vet Workday - YoY Change</v>
      </c>
      <c r="D498" s="9" t="s">
        <v>56</v>
      </c>
      <c r="E498" s="49"/>
      <c r="F498" s="24" t="s">
        <v>55</v>
      </c>
      <c r="G498" s="249">
        <f>_xlfn.XLOOKUP($C498,'Site Level Financials - ''23 ''24'!$C$2:$C$1577,'Site Level Financials - ''23 ''24'!S$2:S$1577)</f>
        <v>3.035644241280222E-2</v>
      </c>
      <c r="H498" s="250">
        <f>_xlfn.XLOOKUP($C498,'Site Level Financials - ''23 ''24'!$C$2:$C$1577,'Site Level Financials - ''23 ''24'!T$2:T$1577)</f>
        <v>5.2542705887541175E-2</v>
      </c>
      <c r="I498" s="250">
        <f>_xlfn.XLOOKUP($C498,'Site Level Financials - ''23 ''24'!$C$2:$C$1577,'Site Level Financials - ''23 ''24'!U$2:U$1577)</f>
        <v>-1.3372712848618629E-2</v>
      </c>
      <c r="J498" s="250">
        <f>_xlfn.XLOOKUP($C498,'Site Level Financials - ''23 ''24'!$C$2:$C$1577,'Site Level Financials - ''23 ''24'!V$2:V$1577)</f>
        <v>5.8451055424580511E-2</v>
      </c>
      <c r="K498" s="250">
        <f>_xlfn.XLOOKUP($C498,'Site Level Financials - ''23 ''24'!$C$2:$C$1577,'Site Level Financials - ''23 ''24'!W$2:W$1577)</f>
        <v>1.723101102815594E-2</v>
      </c>
      <c r="L498" s="250">
        <f>_xlfn.XLOOKUP($C498,'Site Level Financials - ''23 ''24'!$C$2:$C$1577,'Site Level Financials - ''23 ''24'!X$2:X$1577)</f>
        <v>4.7193527264772772E-3</v>
      </c>
      <c r="M498" s="250">
        <f>_xlfn.XLOOKUP($C498,'Site Level Financials - ''23 ''24'!$C$2:$C$1577,'Site Level Financials - ''23 ''24'!Y$2:Y$1577)</f>
        <v>-1.7231448160905938E-3</v>
      </c>
      <c r="N498" s="250">
        <f>_xlfn.XLOOKUP($C498,'Site Level Financials - ''23 ''24'!$C$2:$C$1577,'Site Level Financials - ''23 ''24'!Z$2:Z$1577)</f>
        <v>2.4960291254394029E-2</v>
      </c>
      <c r="O498" s="250">
        <f>_xlfn.XLOOKUP($C498,'Site Level Financials - ''23 ''24'!$C$2:$C$1577,'Site Level Financials - ''23 ''24'!AA$2:AA$1577)</f>
        <v>-2.2813910957718009E-2</v>
      </c>
      <c r="P498" s="250">
        <f>_xlfn.XLOOKUP($C498,'Site Level Financials - ''23 ''24'!$C$2:$C$1577,'Site Level Financials - ''23 ''24'!AB$2:AB$1577)</f>
        <v>7.4892640173438441E-3</v>
      </c>
      <c r="Q498" s="250">
        <f>_xlfn.XLOOKUP($C498,'Site Level Financials - ''23 ''24'!$C$2:$C$1577,'Site Level Financials - ''23 ''24'!AC$2:AC$1577)</f>
        <v>-5.0945076941896983E-2</v>
      </c>
      <c r="R498" s="251">
        <f>_xlfn.XLOOKUP($C498,'Site Level Financials - ''23 ''24'!$C$2:$C$1577,'Site Level Financials - ''23 ''24'!AD$2:AD$1577)</f>
        <v>-5.8943328315720356E-3</v>
      </c>
      <c r="S498" s="151">
        <f>S464/G464-1</f>
        <v>6.3169250184134107E-3</v>
      </c>
      <c r="T498" s="152">
        <f t="shared" ref="T498" si="1374">T464/H464-1</f>
        <v>-1.6769473123602219E-2</v>
      </c>
      <c r="U498" s="152">
        <f t="shared" ref="U498" si="1375">U464/I464-1</f>
        <v>2.4144889972508299E-3</v>
      </c>
      <c r="V498" s="152">
        <f t="shared" ref="V498" si="1376">V464/J464-1</f>
        <v>-9.2958063976895877E-2</v>
      </c>
      <c r="W498" s="152">
        <f t="shared" ref="W498" si="1377">W464/K464-1</f>
        <v>-4.6489250830811457E-2</v>
      </c>
      <c r="X498" s="152">
        <f t="shared" ref="X498" si="1378">X464/L464-1</f>
        <v>8.7044740080350902E-3</v>
      </c>
      <c r="Y498" s="152">
        <f t="shared" ref="Y498" si="1379">Y464/M464-1</f>
        <v>5.0702238318264925E-2</v>
      </c>
      <c r="Z498" s="152">
        <f t="shared" ref="Z498" si="1380">Z464/N464-1</f>
        <v>4.3067747152030211E-3</v>
      </c>
      <c r="AA498" s="152">
        <f t="shared" ref="AA498" si="1381">AA464/O464-1</f>
        <v>3.627276587448991E-2</v>
      </c>
      <c r="AB498" s="152">
        <f t="shared" ref="AB498" si="1382">AB464/P464-1</f>
        <v>2.5911271563529903E-2</v>
      </c>
      <c r="AC498" s="152">
        <f t="shared" ref="AC498" si="1383">AC464/Q464-1</f>
        <v>9.0081713956616571E-2</v>
      </c>
      <c r="AD498" s="153">
        <f t="shared" ref="AD498" si="1384">AD464/R464-1</f>
        <v>3.1874519628317666E-2</v>
      </c>
      <c r="AF498" s="43"/>
      <c r="AG498" s="177">
        <f>AG464/AF464-1</f>
        <v>-4.4389657889477685E-2</v>
      </c>
      <c r="AH498" s="225">
        <f>AH464/AG464-1</f>
        <v>5.9834716881318695E-2</v>
      </c>
    </row>
    <row r="499" spans="2:35" s="24" customFormat="1" ht="6" customHeight="1" x14ac:dyDescent="0.2">
      <c r="D499" s="9" t="s">
        <v>56</v>
      </c>
      <c r="E499" s="49"/>
      <c r="G499" s="28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29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29"/>
      <c r="AE499" s="25"/>
      <c r="AF499" s="28"/>
      <c r="AG499" s="30"/>
      <c r="AH499" s="226"/>
    </row>
    <row r="500" spans="2:35" s="24" customFormat="1" ht="6" customHeight="1" x14ac:dyDescent="0.2">
      <c r="D500" s="9" t="s">
        <v>56</v>
      </c>
      <c r="E500" s="49"/>
    </row>
    <row r="501" spans="2:35" x14ac:dyDescent="0.2">
      <c r="D501" s="9" t="s">
        <v>56</v>
      </c>
      <c r="F501" s="16"/>
    </row>
    <row r="502" spans="2:35" ht="15.75" thickBot="1" x14ac:dyDescent="0.4">
      <c r="B502" s="35" t="s">
        <v>52</v>
      </c>
      <c r="C502" s="35"/>
      <c r="D502" s="9" t="s">
        <v>56</v>
      </c>
      <c r="E502" s="48" t="s">
        <v>0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74"/>
      <c r="AH502" s="3">
        <f ca="1">TODAY()</f>
        <v>45999</v>
      </c>
      <c r="AI502" s="1"/>
    </row>
    <row r="503" spans="2:35" x14ac:dyDescent="0.2">
      <c r="B503" s="9">
        <f>G505</f>
        <v>11</v>
      </c>
      <c r="C503" s="9"/>
      <c r="D503" s="9" t="s">
        <v>56</v>
      </c>
      <c r="F503" t="s">
        <v>159</v>
      </c>
      <c r="AG503" s="6"/>
      <c r="AH503" s="6" t="s">
        <v>16</v>
      </c>
    </row>
    <row r="504" spans="2:35" x14ac:dyDescent="0.2">
      <c r="B504" s="9"/>
      <c r="C504" s="9"/>
      <c r="D504" s="9" t="s">
        <v>56</v>
      </c>
      <c r="AG504" s="6"/>
      <c r="AH504" s="6"/>
    </row>
    <row r="505" spans="2:35" x14ac:dyDescent="0.2">
      <c r="B505" s="9">
        <f>G505</f>
        <v>11</v>
      </c>
      <c r="C505" s="9"/>
      <c r="D505" s="9" t="s">
        <v>56</v>
      </c>
      <c r="F505" s="40" t="s">
        <v>53</v>
      </c>
      <c r="G505" s="42">
        <v>11</v>
      </c>
    </row>
    <row r="506" spans="2:35" x14ac:dyDescent="0.2">
      <c r="B506" s="9">
        <f>G505</f>
        <v>11</v>
      </c>
      <c r="C506" s="9"/>
      <c r="D506" s="9" t="s">
        <v>56</v>
      </c>
      <c r="F506" s="39" t="s">
        <v>28</v>
      </c>
      <c r="G506" s="41"/>
      <c r="H506" s="11"/>
    </row>
    <row r="507" spans="2:35" x14ac:dyDescent="0.2">
      <c r="B507" s="9">
        <f>G505</f>
        <v>11</v>
      </c>
      <c r="C507" s="9"/>
      <c r="D507" s="9" t="s">
        <v>56</v>
      </c>
      <c r="G507" s="23"/>
    </row>
    <row r="508" spans="2:35" x14ac:dyDescent="0.2">
      <c r="B508" s="9">
        <f>G505</f>
        <v>11</v>
      </c>
      <c r="C508" s="9"/>
      <c r="D508" s="9" t="s">
        <v>56</v>
      </c>
      <c r="G508" s="208" t="s">
        <v>229</v>
      </c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10"/>
      <c r="S508" s="266" t="s">
        <v>230</v>
      </c>
      <c r="T508" s="267"/>
      <c r="U508" s="267"/>
      <c r="V508" s="267"/>
      <c r="W508" s="267"/>
      <c r="X508" s="267"/>
      <c r="Y508" s="267"/>
      <c r="Z508" s="267"/>
      <c r="AA508" s="267"/>
      <c r="AB508" s="267"/>
      <c r="AC508" s="267"/>
      <c r="AD508" s="268"/>
      <c r="AF508" s="17" t="s">
        <v>231</v>
      </c>
      <c r="AG508" s="50"/>
      <c r="AH508" s="269" t="s">
        <v>232</v>
      </c>
    </row>
    <row r="509" spans="2:35" ht="15" customHeight="1" x14ac:dyDescent="0.35">
      <c r="B509" s="9">
        <f>G505</f>
        <v>11</v>
      </c>
      <c r="C509" s="9"/>
      <c r="D509" s="9" t="s">
        <v>56</v>
      </c>
      <c r="G509" s="211">
        <v>44957</v>
      </c>
      <c r="H509" s="212">
        <f>EOMONTH(G509,1)</f>
        <v>44985</v>
      </c>
      <c r="I509" s="212">
        <f t="shared" ref="I509" si="1385">EOMONTH(H509,1)</f>
        <v>45016</v>
      </c>
      <c r="J509" s="212">
        <f t="shared" ref="J509" si="1386">EOMONTH(I509,1)</f>
        <v>45046</v>
      </c>
      <c r="K509" s="212">
        <f t="shared" ref="K509" si="1387">EOMONTH(J509,1)</f>
        <v>45077</v>
      </c>
      <c r="L509" s="212">
        <f t="shared" ref="L509" si="1388">EOMONTH(K509,1)</f>
        <v>45107</v>
      </c>
      <c r="M509" s="212">
        <f t="shared" ref="M509" si="1389">EOMONTH(L509,1)</f>
        <v>45138</v>
      </c>
      <c r="N509" s="212">
        <f t="shared" ref="N509" si="1390">EOMONTH(M509,1)</f>
        <v>45169</v>
      </c>
      <c r="O509" s="212">
        <f t="shared" ref="O509" si="1391">EOMONTH(N509,1)</f>
        <v>45199</v>
      </c>
      <c r="P509" s="212">
        <f t="shared" ref="P509" si="1392">EOMONTH(O509,1)</f>
        <v>45230</v>
      </c>
      <c r="Q509" s="212">
        <f t="shared" ref="Q509" si="1393">EOMONTH(P509,1)</f>
        <v>45260</v>
      </c>
      <c r="R509" s="213">
        <f t="shared" ref="R509" si="1394">EOMONTH(Q509,1)</f>
        <v>45291</v>
      </c>
      <c r="S509" s="4">
        <f t="shared" ref="S509" si="1395">EOMONTH(R509,1)</f>
        <v>45322</v>
      </c>
      <c r="T509" s="19">
        <f t="shared" ref="T509" si="1396">EOMONTH(S509,1)</f>
        <v>45351</v>
      </c>
      <c r="U509" s="19">
        <f t="shared" ref="U509" si="1397">EOMONTH(T509,1)</f>
        <v>45382</v>
      </c>
      <c r="V509" s="19">
        <f t="shared" ref="V509" si="1398">EOMONTH(U509,1)</f>
        <v>45412</v>
      </c>
      <c r="W509" s="19">
        <f t="shared" ref="W509" si="1399">EOMONTH(V509,1)</f>
        <v>45443</v>
      </c>
      <c r="X509" s="19">
        <f t="shared" ref="X509" si="1400">EOMONTH(W509,1)</f>
        <v>45473</v>
      </c>
      <c r="Y509" s="19">
        <f t="shared" ref="Y509" si="1401">EOMONTH(X509,1)</f>
        <v>45504</v>
      </c>
      <c r="Z509" s="19">
        <f t="shared" ref="Z509" si="1402">EOMONTH(Y509,1)</f>
        <v>45535</v>
      </c>
      <c r="AA509" s="19">
        <f t="shared" ref="AA509" si="1403">EOMONTH(Z509,1)</f>
        <v>45565</v>
      </c>
      <c r="AB509" s="19">
        <f t="shared" ref="AB509" si="1404">EOMONTH(AA509,1)</f>
        <v>45596</v>
      </c>
      <c r="AC509" s="19">
        <f t="shared" ref="AC509" si="1405">EOMONTH(AB509,1)</f>
        <v>45626</v>
      </c>
      <c r="AD509" s="5">
        <f t="shared" ref="AD509" si="1406">EOMONTH(AC509,1)</f>
        <v>45657</v>
      </c>
      <c r="AE509" s="168"/>
      <c r="AF509" s="13">
        <v>45291</v>
      </c>
      <c r="AG509" s="14">
        <v>45657</v>
      </c>
      <c r="AH509" s="14">
        <v>46022</v>
      </c>
    </row>
    <row r="510" spans="2:35" ht="0.95" customHeight="1" x14ac:dyDescent="0.2">
      <c r="B510" s="9">
        <f>G505</f>
        <v>11</v>
      </c>
      <c r="C510" s="9"/>
      <c r="D510" s="9" t="s">
        <v>56</v>
      </c>
      <c r="G510" s="11"/>
      <c r="S510" s="11"/>
      <c r="AD510" s="15"/>
      <c r="AE510" s="15"/>
      <c r="AF510" s="11"/>
      <c r="AG510" s="15"/>
      <c r="AH510" s="15"/>
    </row>
    <row r="511" spans="2:35" x14ac:dyDescent="0.2">
      <c r="B511" s="9">
        <f>G505</f>
        <v>11</v>
      </c>
      <c r="C511" s="9" t="str">
        <f>B511&amp;" - "&amp;F511</f>
        <v>11 - Employed Vets</v>
      </c>
      <c r="D511" s="9" t="s">
        <v>56</v>
      </c>
      <c r="F511" s="7" t="s">
        <v>160</v>
      </c>
      <c r="G511" s="178">
        <f>_xlfn.XLOOKUP($C511,'Site Level Financials - ''23 ''24'!$C$2:$C$1577,'Site Level Financials - ''23 ''24'!S$2:S$1577)</f>
        <v>4</v>
      </c>
      <c r="H511" s="179">
        <f>_xlfn.XLOOKUP($C511,'Site Level Financials - ''23 ''24'!$C$2:$C$1577,'Site Level Financials - ''23 ''24'!T$2:T$1577)</f>
        <v>3</v>
      </c>
      <c r="I511" s="179">
        <f>_xlfn.XLOOKUP($C511,'Site Level Financials - ''23 ''24'!$C$2:$C$1577,'Site Level Financials - ''23 ''24'!U$2:U$1577)</f>
        <v>2</v>
      </c>
      <c r="J511" s="179">
        <f>_xlfn.XLOOKUP($C511,'Site Level Financials - ''23 ''24'!$C$2:$C$1577,'Site Level Financials - ''23 ''24'!V$2:V$1577)</f>
        <v>1</v>
      </c>
      <c r="K511" s="179">
        <f>_xlfn.XLOOKUP($C511,'Site Level Financials - ''23 ''24'!$C$2:$C$1577,'Site Level Financials - ''23 ''24'!W$2:W$1577)</f>
        <v>1</v>
      </c>
      <c r="L511" s="179">
        <f>_xlfn.XLOOKUP($C511,'Site Level Financials - ''23 ''24'!$C$2:$C$1577,'Site Level Financials - ''23 ''24'!X$2:X$1577)</f>
        <v>2</v>
      </c>
      <c r="M511" s="179">
        <f>_xlfn.XLOOKUP($C511,'Site Level Financials - ''23 ''24'!$C$2:$C$1577,'Site Level Financials - ''23 ''24'!Y$2:Y$1577)</f>
        <v>2</v>
      </c>
      <c r="N511" s="179">
        <f>_xlfn.XLOOKUP($C511,'Site Level Financials - ''23 ''24'!$C$2:$C$1577,'Site Level Financials - ''23 ''24'!Z$2:Z$1577)</f>
        <v>3</v>
      </c>
      <c r="O511" s="179">
        <f>_xlfn.XLOOKUP($C511,'Site Level Financials - ''23 ''24'!$C$2:$C$1577,'Site Level Financials - ''23 ''24'!AA$2:AA$1577)</f>
        <v>2</v>
      </c>
      <c r="P511" s="179">
        <f>_xlfn.XLOOKUP($C511,'Site Level Financials - ''23 ''24'!$C$2:$C$1577,'Site Level Financials - ''23 ''24'!AB$2:AB$1577)</f>
        <v>2</v>
      </c>
      <c r="Q511" s="179">
        <f>_xlfn.XLOOKUP($C511,'Site Level Financials - ''23 ''24'!$C$2:$C$1577,'Site Level Financials - ''23 ''24'!AC$2:AC$1577)</f>
        <v>3</v>
      </c>
      <c r="R511" s="179">
        <f>_xlfn.XLOOKUP($C511,'Site Level Financials - ''23 ''24'!$C$2:$C$1577,'Site Level Financials - ''23 ''24'!AD$2:AD$1577)</f>
        <v>4</v>
      </c>
      <c r="S511" s="178">
        <f>R511+_xlfn.XLOOKUP($R511,'Budget Assumption Driver'!$A$7:$A$11,'Budget Assumption Driver'!E$7:E$11)</f>
        <v>4</v>
      </c>
      <c r="T511" s="179">
        <f>S511+_xlfn.XLOOKUP($R511,'Budget Assumption Driver'!$A$7:$A$11,'Budget Assumption Driver'!F$7:F$11)</f>
        <v>4</v>
      </c>
      <c r="U511" s="179">
        <f>T511+_xlfn.XLOOKUP($R511,'Budget Assumption Driver'!$A$7:$A$11,'Budget Assumption Driver'!G$7:G$11)</f>
        <v>4</v>
      </c>
      <c r="V511" s="179">
        <f>U511+_xlfn.XLOOKUP($R511,'Budget Assumption Driver'!$A$7:$A$11,'Budget Assumption Driver'!H$7:H$11)</f>
        <v>4</v>
      </c>
      <c r="W511" s="179">
        <f>V511+_xlfn.XLOOKUP($R511,'Budget Assumption Driver'!$A$7:$A$11,'Budget Assumption Driver'!I$7:I$11)</f>
        <v>4</v>
      </c>
      <c r="X511" s="179">
        <f>W511+_xlfn.XLOOKUP($R511,'Budget Assumption Driver'!$A$7:$A$11,'Budget Assumption Driver'!J$7:J$11)</f>
        <v>4</v>
      </c>
      <c r="Y511" s="179">
        <f>X511+_xlfn.XLOOKUP($R511,'Budget Assumption Driver'!$A$7:$A$11,'Budget Assumption Driver'!K$7:K$11)</f>
        <v>4</v>
      </c>
      <c r="Z511" s="179">
        <f>Y511+_xlfn.XLOOKUP($R511,'Budget Assumption Driver'!$A$7:$A$11,'Budget Assumption Driver'!L$7:L$11)</f>
        <v>4</v>
      </c>
      <c r="AA511" s="179">
        <f>Z511+_xlfn.XLOOKUP($R511,'Budget Assumption Driver'!$A$7:$A$11,'Budget Assumption Driver'!M$7:M$11)</f>
        <v>4</v>
      </c>
      <c r="AB511" s="179">
        <f>AA511+_xlfn.XLOOKUP($R511,'Budget Assumption Driver'!$A$7:$A$11,'Budget Assumption Driver'!N$7:N$11)</f>
        <v>4</v>
      </c>
      <c r="AC511" s="179">
        <f>AB511+_xlfn.XLOOKUP($R511,'Budget Assumption Driver'!$A$7:$A$11,'Budget Assumption Driver'!O$7:O$11)</f>
        <v>4</v>
      </c>
      <c r="AD511" s="290">
        <f>AC511+_xlfn.XLOOKUP($R511,'Budget Assumption Driver'!$A$7:$A$11,'Budget Assumption Driver'!P$7:P$11)</f>
        <v>4</v>
      </c>
      <c r="AE511" s="15"/>
      <c r="AF511" s="229">
        <f>_xlfn.XLOOKUP($C511,'Site Level Financials - ''23 ''24'!$C$2:$C$1577,'Site Level Financials - ''23 ''24'!$AF$2:$AF$1577)</f>
        <v>1.9166666666666667</v>
      </c>
      <c r="AG511" s="91">
        <f t="shared" ref="AG511:AH511" si="1407">AG513/AG512</f>
        <v>2.4126394052044611</v>
      </c>
      <c r="AH511" s="91">
        <f t="shared" si="1407"/>
        <v>4</v>
      </c>
    </row>
    <row r="512" spans="2:35" x14ac:dyDescent="0.2">
      <c r="B512" s="9">
        <f>G505</f>
        <v>11</v>
      </c>
      <c r="C512" s="9" t="str">
        <f t="shared" ref="C512:C548" si="1408">B512&amp;" - "&amp;F512</f>
        <v>11 - Workdays in Month / Year</v>
      </c>
      <c r="D512" s="9" t="s">
        <v>56</v>
      </c>
      <c r="F512" s="7" t="s">
        <v>54</v>
      </c>
      <c r="G512" s="178">
        <f>_xlfn.XLOOKUP($C512,'Site Level Financials - ''23 ''24'!$C$2:$C$1577,'Site Level Financials - ''23 ''24'!S$2:S$1577)</f>
        <v>23</v>
      </c>
      <c r="H512" s="235">
        <f>_xlfn.XLOOKUP($C512,'Site Level Financials - ''23 ''24'!$C$2:$C$1577,'Site Level Financials - ''23 ''24'!T$2:T$1577)</f>
        <v>22</v>
      </c>
      <c r="I512" s="235">
        <f>_xlfn.XLOOKUP($C512,'Site Level Financials - ''23 ''24'!$C$2:$C$1577,'Site Level Financials - ''23 ''24'!U$2:U$1577)</f>
        <v>22</v>
      </c>
      <c r="J512" s="179">
        <f>_xlfn.XLOOKUP($C512,'Site Level Financials - ''23 ''24'!$C$2:$C$1577,'Site Level Financials - ''23 ''24'!V$2:V$1577)</f>
        <v>22</v>
      </c>
      <c r="K512" s="179">
        <f>_xlfn.XLOOKUP($C512,'Site Level Financials - ''23 ''24'!$C$2:$C$1577,'Site Level Financials - ''23 ''24'!W$2:W$1577)</f>
        <v>24</v>
      </c>
      <c r="L512" s="179">
        <f>_xlfn.XLOOKUP($C512,'Site Level Financials - ''23 ''24'!$C$2:$C$1577,'Site Level Financials - ''23 ''24'!X$2:X$1577)</f>
        <v>21</v>
      </c>
      <c r="M512" s="179">
        <f>_xlfn.XLOOKUP($C512,'Site Level Financials - ''23 ''24'!$C$2:$C$1577,'Site Level Financials - ''23 ''24'!Y$2:Y$1577)</f>
        <v>23</v>
      </c>
      <c r="N512" s="179">
        <f>_xlfn.XLOOKUP($C512,'Site Level Financials - ''23 ''24'!$C$2:$C$1577,'Site Level Financials - ''23 ''24'!Z$2:Z$1577)</f>
        <v>23</v>
      </c>
      <c r="O512" s="179">
        <f>_xlfn.XLOOKUP($C512,'Site Level Financials - ''23 ''24'!$C$2:$C$1577,'Site Level Financials - ''23 ''24'!AA$2:AA$1577)</f>
        <v>21</v>
      </c>
      <c r="P512" s="179">
        <f>_xlfn.XLOOKUP($C512,'Site Level Financials - ''23 ''24'!$C$2:$C$1577,'Site Level Financials - ''23 ''24'!AB$2:AB$1577)</f>
        <v>24</v>
      </c>
      <c r="Q512" s="179">
        <f>_xlfn.XLOOKUP($C512,'Site Level Financials - ''23 ''24'!$C$2:$C$1577,'Site Level Financials - ''23 ''24'!AC$2:AC$1577)</f>
        <v>22</v>
      </c>
      <c r="R512" s="179">
        <f>_xlfn.XLOOKUP($C512,'Site Level Financials - ''23 ''24'!$C$2:$C$1577,'Site Level Financials - ''23 ''24'!AD$2:AD$1577)</f>
        <v>22</v>
      </c>
      <c r="S512" s="155">
        <f>NETWORKDAYS(R509,S509)</f>
        <v>23</v>
      </c>
      <c r="T512" s="154">
        <f t="shared" ref="T512:AD512" si="1409">NETWORKDAYS(S509,T509)</f>
        <v>22</v>
      </c>
      <c r="U512" s="154">
        <f t="shared" si="1409"/>
        <v>22</v>
      </c>
      <c r="V512" s="154">
        <f t="shared" si="1409"/>
        <v>22</v>
      </c>
      <c r="W512" s="154">
        <f t="shared" si="1409"/>
        <v>24</v>
      </c>
      <c r="X512" s="154">
        <f t="shared" si="1409"/>
        <v>21</v>
      </c>
      <c r="Y512" s="154">
        <f t="shared" si="1409"/>
        <v>23</v>
      </c>
      <c r="Z512" s="154">
        <f t="shared" si="1409"/>
        <v>23</v>
      </c>
      <c r="AA512" s="154">
        <f t="shared" si="1409"/>
        <v>21</v>
      </c>
      <c r="AB512" s="154">
        <f t="shared" si="1409"/>
        <v>24</v>
      </c>
      <c r="AC512" s="154">
        <f t="shared" si="1409"/>
        <v>22</v>
      </c>
      <c r="AD512" s="156">
        <f t="shared" si="1409"/>
        <v>22</v>
      </c>
      <c r="AE512" s="15"/>
      <c r="AF512" s="115">
        <f>_xlfn.XLOOKUP($C512,'Site Level Financials - ''23 ''24'!$C$2:$C$1577,'Site Level Financials - ''23 ''24'!$AF$2:$AF$1577)</f>
        <v>269</v>
      </c>
      <c r="AG512" s="93">
        <f>SUM(G512:R512)</f>
        <v>269</v>
      </c>
      <c r="AH512" s="93">
        <f>SUM(S512:AD512)</f>
        <v>269</v>
      </c>
    </row>
    <row r="513" spans="2:34" x14ac:dyDescent="0.2">
      <c r="B513" s="9">
        <f>G505</f>
        <v>11</v>
      </c>
      <c r="C513" s="9" t="str">
        <f t="shared" si="1408"/>
        <v>11 - Total Vet Days</v>
      </c>
      <c r="D513" s="9" t="s">
        <v>56</v>
      </c>
      <c r="F513" s="8" t="s">
        <v>51</v>
      </c>
      <c r="G513" s="236">
        <f>_xlfn.XLOOKUP($C513,'Site Level Financials - ''23 ''24'!$C$2:$C$1577,'Site Level Financials - ''23 ''24'!S$2:S$1577)</f>
        <v>92</v>
      </c>
      <c r="H513" s="237">
        <f>_xlfn.XLOOKUP($C513,'Site Level Financials - ''23 ''24'!$C$2:$C$1577,'Site Level Financials - ''23 ''24'!T$2:T$1577)</f>
        <v>66</v>
      </c>
      <c r="I513" s="237">
        <f>_xlfn.XLOOKUP($C513,'Site Level Financials - ''23 ''24'!$C$2:$C$1577,'Site Level Financials - ''23 ''24'!U$2:U$1577)</f>
        <v>44</v>
      </c>
      <c r="J513" s="238">
        <f>_xlfn.XLOOKUP($C513,'Site Level Financials - ''23 ''24'!$C$2:$C$1577,'Site Level Financials - ''23 ''24'!V$2:V$1577)</f>
        <v>22</v>
      </c>
      <c r="K513" s="238">
        <f>_xlfn.XLOOKUP($C513,'Site Level Financials - ''23 ''24'!$C$2:$C$1577,'Site Level Financials - ''23 ''24'!W$2:W$1577)</f>
        <v>24</v>
      </c>
      <c r="L513" s="238">
        <f>_xlfn.XLOOKUP($C513,'Site Level Financials - ''23 ''24'!$C$2:$C$1577,'Site Level Financials - ''23 ''24'!X$2:X$1577)</f>
        <v>42</v>
      </c>
      <c r="M513" s="238">
        <f>_xlfn.XLOOKUP($C513,'Site Level Financials - ''23 ''24'!$C$2:$C$1577,'Site Level Financials - ''23 ''24'!Y$2:Y$1577)</f>
        <v>46</v>
      </c>
      <c r="N513" s="238">
        <f>_xlfn.XLOOKUP($C513,'Site Level Financials - ''23 ''24'!$C$2:$C$1577,'Site Level Financials - ''23 ''24'!Z$2:Z$1577)</f>
        <v>69</v>
      </c>
      <c r="O513" s="238">
        <f>_xlfn.XLOOKUP($C513,'Site Level Financials - ''23 ''24'!$C$2:$C$1577,'Site Level Financials - ''23 ''24'!AA$2:AA$1577)</f>
        <v>42</v>
      </c>
      <c r="P513" s="238">
        <f>_xlfn.XLOOKUP($C513,'Site Level Financials - ''23 ''24'!$C$2:$C$1577,'Site Level Financials - ''23 ''24'!AB$2:AB$1577)</f>
        <v>48</v>
      </c>
      <c r="Q513" s="238">
        <f>_xlfn.XLOOKUP($C513,'Site Level Financials - ''23 ''24'!$C$2:$C$1577,'Site Level Financials - ''23 ''24'!AC$2:AC$1577)</f>
        <v>66</v>
      </c>
      <c r="R513" s="238">
        <f>_xlfn.XLOOKUP($C513,'Site Level Financials - ''23 ''24'!$C$2:$C$1577,'Site Level Financials - ''23 ''24'!AD$2:AD$1577)</f>
        <v>88</v>
      </c>
      <c r="S513" s="125">
        <f t="shared" ref="S513:AD513" si="1410">S511*S512</f>
        <v>92</v>
      </c>
      <c r="T513" s="127">
        <f t="shared" si="1410"/>
        <v>88</v>
      </c>
      <c r="U513" s="127">
        <f t="shared" si="1410"/>
        <v>88</v>
      </c>
      <c r="V513" s="127">
        <f t="shared" si="1410"/>
        <v>88</v>
      </c>
      <c r="W513" s="127">
        <f t="shared" si="1410"/>
        <v>96</v>
      </c>
      <c r="X513" s="127">
        <f t="shared" si="1410"/>
        <v>84</v>
      </c>
      <c r="Y513" s="127">
        <f t="shared" si="1410"/>
        <v>92</v>
      </c>
      <c r="Z513" s="127">
        <f t="shared" si="1410"/>
        <v>92</v>
      </c>
      <c r="AA513" s="127">
        <f t="shared" si="1410"/>
        <v>84</v>
      </c>
      <c r="AB513" s="127">
        <f t="shared" si="1410"/>
        <v>96</v>
      </c>
      <c r="AC513" s="127">
        <f t="shared" si="1410"/>
        <v>88</v>
      </c>
      <c r="AD513" s="128">
        <f t="shared" si="1410"/>
        <v>88</v>
      </c>
      <c r="AF513" s="112">
        <f>_xlfn.XLOOKUP($C513,'Site Level Financials - ''23 ''24'!$C$2:$C$1577,'Site Level Financials - ''23 ''24'!$AF$2:$AF$1577)</f>
        <v>514</v>
      </c>
      <c r="AG513" s="120">
        <f>SUM(G513:R513)</f>
        <v>649</v>
      </c>
      <c r="AH513" s="120">
        <f t="shared" ref="AH513" si="1411">SUM(S513:AD513)</f>
        <v>1076</v>
      </c>
    </row>
    <row r="514" spans="2:34" x14ac:dyDescent="0.2">
      <c r="B514" s="9">
        <f>G505</f>
        <v>11</v>
      </c>
      <c r="C514" s="9" t="str">
        <f t="shared" si="1408"/>
        <v>11 - Production per Vet Workday</v>
      </c>
      <c r="D514" s="9" t="s">
        <v>56</v>
      </c>
      <c r="F514" s="7" t="s">
        <v>50</v>
      </c>
      <c r="G514" s="239">
        <f>_xlfn.XLOOKUP($C514,'Site Level Financials - ''23 ''24'!$C$2:$C$1577,'Site Level Financials - ''23 ''24'!S$2:S$1577)</f>
        <v>4.9675735112953321</v>
      </c>
      <c r="H514" s="240">
        <f>_xlfn.XLOOKUP($C514,'Site Level Financials - ''23 ''24'!$C$2:$C$1577,'Site Level Financials - ''23 ''24'!T$2:T$1577)</f>
        <v>5.6106908935985391</v>
      </c>
      <c r="I514" s="240">
        <f>_xlfn.XLOOKUP($C514,'Site Level Financials - ''23 ''24'!$C$2:$C$1577,'Site Level Financials - ''23 ''24'!U$2:U$1577)</f>
        <v>6.941507334474605</v>
      </c>
      <c r="J514" s="240">
        <f>_xlfn.XLOOKUP($C514,'Site Level Financials - ''23 ''24'!$C$2:$C$1577,'Site Level Financials - ''23 ''24'!V$2:V$1577)</f>
        <v>7.6851447267400035</v>
      </c>
      <c r="K514" s="240">
        <f>_xlfn.XLOOKUP($C514,'Site Level Financials - ''23 ''24'!$C$2:$C$1577,'Site Level Financials - ''23 ''24'!W$2:W$1577)</f>
        <v>8.6788882309222366</v>
      </c>
      <c r="L514" s="240">
        <f>_xlfn.XLOOKUP($C514,'Site Level Financials - ''23 ''24'!$C$2:$C$1577,'Site Level Financials - ''23 ''24'!X$2:X$1577)</f>
        <v>7.8095416773141331</v>
      </c>
      <c r="M514" s="240">
        <f>_xlfn.XLOOKUP($C514,'Site Level Financials - ''23 ''24'!$C$2:$C$1577,'Site Level Financials - ''23 ''24'!Y$2:Y$1577)</f>
        <v>7.7222446695289442</v>
      </c>
      <c r="N514" s="240">
        <f>_xlfn.XLOOKUP($C514,'Site Level Financials - ''23 ''24'!$C$2:$C$1577,'Site Level Financials - ''23 ''24'!Z$2:Z$1577)</f>
        <v>6.921137336657825</v>
      </c>
      <c r="O514" s="240">
        <f>_xlfn.XLOOKUP($C514,'Site Level Financials - ''23 ''24'!$C$2:$C$1577,'Site Level Financials - ''23 ''24'!AA$2:AA$1577)</f>
        <v>8.0144665396112362</v>
      </c>
      <c r="P514" s="240">
        <f>_xlfn.XLOOKUP($C514,'Site Level Financials - ''23 ''24'!$C$2:$C$1577,'Site Level Financials - ''23 ''24'!AB$2:AB$1577)</f>
        <v>7.6850698931502466</v>
      </c>
      <c r="Q514" s="240">
        <f>_xlfn.XLOOKUP($C514,'Site Level Financials - ''23 ''24'!$C$2:$C$1577,'Site Level Financials - ''23 ''24'!AC$2:AC$1577)</f>
        <v>6.4591010294059474</v>
      </c>
      <c r="R514" s="240">
        <f>_xlfn.XLOOKUP($C514,'Site Level Financials - ''23 ''24'!$C$2:$C$1577,'Site Level Financials - ''23 ''24'!AD$2:AD$1577)</f>
        <v>4.9464719591927686</v>
      </c>
      <c r="S514" s="239">
        <f>R514*(1+_xlfn.XLOOKUP($R511,'Budget Assumption Driver'!$A$15:$A$19,'Budget Assumption Driver'!E$15:E$19))</f>
        <v>6.9983118041420642</v>
      </c>
      <c r="T514" s="240">
        <f>S514*(1+_xlfn.XLOOKUP($R511,'Budget Assumption Driver'!$A$15:$A$19,'Budget Assumption Driver'!F$15:F$19))</f>
        <v>7.5759946656740995</v>
      </c>
      <c r="U514" s="240">
        <f>T514*(1+_xlfn.XLOOKUP($R511,'Budget Assumption Driver'!$A$15:$A$19,'Budget Assumption Driver'!G$15:G$19))</f>
        <v>8.1350215103082952</v>
      </c>
      <c r="V514" s="240">
        <f>U514*(1+_xlfn.XLOOKUP($R511,'Budget Assumption Driver'!$A$15:$A$19,'Budget Assumption Driver'!H$15:H$19))</f>
        <v>8.7139221871324573</v>
      </c>
      <c r="W514" s="240">
        <f>V514*(1+_xlfn.XLOOKUP($R511,'Budget Assumption Driver'!$A$15:$A$19,'Budget Assumption Driver'!I$15:I$19))</f>
        <v>9.4935484906886085</v>
      </c>
      <c r="X514" s="240">
        <f>W514*(1+_xlfn.XLOOKUP($R511,'Budget Assumption Driver'!$A$15:$A$19,'Budget Assumption Driver'!J$15:J$19))</f>
        <v>9.111080503759613</v>
      </c>
      <c r="Y514" s="240">
        <f>X514*(1+_xlfn.XLOOKUP($R511,'Budget Assumption Driver'!$A$15:$A$19,'Budget Assumption Driver'!K$15:K$19))</f>
        <v>8.3806809112789793</v>
      </c>
      <c r="Z514" s="240">
        <f>Y514*(1+_xlfn.XLOOKUP($R511,'Budget Assumption Driver'!$A$15:$A$19,'Budget Assumption Driver'!L$15:L$19))</f>
        <v>7.1863570393276985</v>
      </c>
      <c r="AA514" s="240">
        <f>Z514*(1+_xlfn.XLOOKUP($R511,'Budget Assumption Driver'!$A$15:$A$19,'Budget Assumption Driver'!M$15:M$19))</f>
        <v>7.2162152755166451</v>
      </c>
      <c r="AB514" s="240">
        <f>AA514*(1+_xlfn.XLOOKUP($R511,'Budget Assumption Driver'!$A$15:$A$19,'Budget Assumption Driver'!N$15:N$19))</f>
        <v>7.2517995045699246</v>
      </c>
      <c r="AC514" s="240">
        <f>AB514*(1+_xlfn.XLOOKUP($R511,'Budget Assumption Driver'!$A$15:$A$19,'Budget Assumption Driver'!O$15:O$19))</f>
        <v>6.2534426357164268</v>
      </c>
      <c r="AD514" s="291">
        <f>AC514*(1+_xlfn.XLOOKUP($R511,'Budget Assumption Driver'!$A$15:$A$19,'Budget Assumption Driver'!P$15:P$19))</f>
        <v>5.1041383767469819</v>
      </c>
      <c r="AE514" s="15"/>
      <c r="AF514" s="230">
        <f>_xlfn.XLOOKUP($C514,'Site Level Financials - ''23 ''24'!$C$2:$C$1577,'Site Level Financials - ''23 ''24'!$AF$2:$AF$1577)</f>
        <v>7.0055905502206723</v>
      </c>
      <c r="AG514" s="101">
        <f>AG515/AG513</f>
        <v>6.530013586476926</v>
      </c>
      <c r="AH514" s="101">
        <f>AH515/AH513</f>
        <v>7.6244610924644949</v>
      </c>
    </row>
    <row r="515" spans="2:34" x14ac:dyDescent="0.2">
      <c r="B515" s="9">
        <f>G505</f>
        <v>11</v>
      </c>
      <c r="C515" s="9" t="str">
        <f t="shared" si="1408"/>
        <v>11 - Total Production</v>
      </c>
      <c r="D515" s="9" t="s">
        <v>56</v>
      </c>
      <c r="F515" s="8" t="s">
        <v>1</v>
      </c>
      <c r="G515" s="241">
        <f>_xlfn.XLOOKUP($C515,'Site Level Financials - ''23 ''24'!$C$2:$C$1577,'Site Level Financials - ''23 ''24'!S$2:S$1577)</f>
        <v>457.01676303917054</v>
      </c>
      <c r="H515" s="242">
        <f>_xlfn.XLOOKUP($C515,'Site Level Financials - ''23 ''24'!$C$2:$C$1577,'Site Level Financials - ''23 ''24'!T$2:T$1577)</f>
        <v>370.30559897750356</v>
      </c>
      <c r="I515" s="242">
        <f>_xlfn.XLOOKUP($C515,'Site Level Financials - ''23 ''24'!$C$2:$C$1577,'Site Level Financials - ''23 ''24'!U$2:U$1577)</f>
        <v>305.42632271688262</v>
      </c>
      <c r="J515" s="242">
        <f>_xlfn.XLOOKUP($C515,'Site Level Financials - ''23 ''24'!$C$2:$C$1577,'Site Level Financials - ''23 ''24'!V$2:V$1577)</f>
        <v>169.07318398828008</v>
      </c>
      <c r="K515" s="242">
        <f>_xlfn.XLOOKUP($C515,'Site Level Financials - ''23 ''24'!$C$2:$C$1577,'Site Level Financials - ''23 ''24'!W$2:W$1577)</f>
        <v>208.29331754213368</v>
      </c>
      <c r="L515" s="242">
        <f>_xlfn.XLOOKUP($C515,'Site Level Financials - ''23 ''24'!$C$2:$C$1577,'Site Level Financials - ''23 ''24'!X$2:X$1577)</f>
        <v>328.00075044719358</v>
      </c>
      <c r="M515" s="242">
        <f>_xlfn.XLOOKUP($C515,'Site Level Financials - ''23 ''24'!$C$2:$C$1577,'Site Level Financials - ''23 ''24'!Y$2:Y$1577)</f>
        <v>355.22325479833142</v>
      </c>
      <c r="N515" s="242">
        <f>_xlfn.XLOOKUP($C515,'Site Level Financials - ''23 ''24'!$C$2:$C$1577,'Site Level Financials - ''23 ''24'!Z$2:Z$1577)</f>
        <v>477.55847622938995</v>
      </c>
      <c r="O515" s="242">
        <f>_xlfn.XLOOKUP($C515,'Site Level Financials - ''23 ''24'!$C$2:$C$1577,'Site Level Financials - ''23 ''24'!AA$2:AA$1577)</f>
        <v>336.60759466367193</v>
      </c>
      <c r="P515" s="242">
        <f>_xlfn.XLOOKUP($C515,'Site Level Financials - ''23 ''24'!$C$2:$C$1577,'Site Level Financials - ''23 ''24'!AB$2:AB$1577)</f>
        <v>368.88335487121185</v>
      </c>
      <c r="Q515" s="242">
        <f>_xlfn.XLOOKUP($C515,'Site Level Financials - ''23 ''24'!$C$2:$C$1577,'Site Level Financials - ''23 ''24'!AC$2:AC$1577)</f>
        <v>426.30066794079255</v>
      </c>
      <c r="R515" s="242">
        <f>_xlfn.XLOOKUP($C515,'Site Level Financials - ''23 ''24'!$C$2:$C$1577,'Site Level Financials - ''23 ''24'!AD$2:AD$1577)</f>
        <v>435.28953240896362</v>
      </c>
      <c r="S515" s="134">
        <f t="shared" ref="S515:AD515" si="1412">S514*S513</f>
        <v>643.84468598106992</v>
      </c>
      <c r="T515" s="135">
        <f t="shared" si="1412"/>
        <v>666.68753057932076</v>
      </c>
      <c r="U515" s="135">
        <f t="shared" si="1412"/>
        <v>715.88189290713001</v>
      </c>
      <c r="V515" s="135">
        <f t="shared" si="1412"/>
        <v>766.82515246765627</v>
      </c>
      <c r="W515" s="135">
        <f t="shared" si="1412"/>
        <v>911.38065510610636</v>
      </c>
      <c r="X515" s="135">
        <f t="shared" si="1412"/>
        <v>765.33076231580753</v>
      </c>
      <c r="Y515" s="135">
        <f t="shared" si="1412"/>
        <v>771.02264383766612</v>
      </c>
      <c r="Z515" s="135">
        <f t="shared" si="1412"/>
        <v>661.14484761814822</v>
      </c>
      <c r="AA515" s="135">
        <f t="shared" si="1412"/>
        <v>606.16208314339815</v>
      </c>
      <c r="AB515" s="135">
        <f t="shared" si="1412"/>
        <v>696.17275243871279</v>
      </c>
      <c r="AC515" s="135">
        <f t="shared" si="1412"/>
        <v>550.30295194304551</v>
      </c>
      <c r="AD515" s="136">
        <f t="shared" si="1412"/>
        <v>449.16417715373439</v>
      </c>
      <c r="AE515" s="15"/>
      <c r="AF515" s="113">
        <f>_xlfn.XLOOKUP($C515,'Site Level Financials - ''23 ''24'!$C$2:$C$1577,'Site Level Financials - ''23 ''24'!$AF$2:$AF$1577)</f>
        <v>3355.0200783653727</v>
      </c>
      <c r="AG515" s="95">
        <f>SUM(G515:R515)</f>
        <v>4237.9788176235252</v>
      </c>
      <c r="AH515" s="95">
        <f t="shared" ref="AH515" si="1413">SUM(S515:AD515)</f>
        <v>8203.9201354917968</v>
      </c>
    </row>
    <row r="516" spans="2:34" x14ac:dyDescent="0.2">
      <c r="B516" s="9">
        <f>G505</f>
        <v>11</v>
      </c>
      <c r="C516" s="9" t="str">
        <f t="shared" si="1408"/>
        <v>11 - Revenue as a % of Production</v>
      </c>
      <c r="D516" s="9" t="s">
        <v>56</v>
      </c>
      <c r="F516" s="7" t="s">
        <v>2</v>
      </c>
      <c r="G516" s="243">
        <f>_xlfn.XLOOKUP($C516,'Site Level Financials - ''23 ''24'!$C$2:$C$1577,'Site Level Financials - ''23 ''24'!S$2:S$1577)</f>
        <v>0.98963462974820693</v>
      </c>
      <c r="H516" s="244">
        <f>_xlfn.XLOOKUP($C516,'Site Level Financials - ''23 ''24'!$C$2:$C$1577,'Site Level Financials - ''23 ''24'!T$2:T$1577)</f>
        <v>0.98963462974820693</v>
      </c>
      <c r="I516" s="244">
        <f>_xlfn.XLOOKUP($C516,'Site Level Financials - ''23 ''24'!$C$2:$C$1577,'Site Level Financials - ''23 ''24'!U$2:U$1577)</f>
        <v>0.98963462974820693</v>
      </c>
      <c r="J516" s="244">
        <f>_xlfn.XLOOKUP($C516,'Site Level Financials - ''23 ''24'!$C$2:$C$1577,'Site Level Financials - ''23 ''24'!V$2:V$1577)</f>
        <v>0.98963462974820693</v>
      </c>
      <c r="K516" s="244">
        <f>_xlfn.XLOOKUP($C516,'Site Level Financials - ''23 ''24'!$C$2:$C$1577,'Site Level Financials - ''23 ''24'!W$2:W$1577)</f>
        <v>0.98963462974820693</v>
      </c>
      <c r="L516" s="244">
        <f>_xlfn.XLOOKUP($C516,'Site Level Financials - ''23 ''24'!$C$2:$C$1577,'Site Level Financials - ''23 ''24'!X$2:X$1577)</f>
        <v>0.98963462974820693</v>
      </c>
      <c r="M516" s="244">
        <f>_xlfn.XLOOKUP($C516,'Site Level Financials - ''23 ''24'!$C$2:$C$1577,'Site Level Financials - ''23 ''24'!Y$2:Y$1577)</f>
        <v>0.98963462974820693</v>
      </c>
      <c r="N516" s="244">
        <f>_xlfn.XLOOKUP($C516,'Site Level Financials - ''23 ''24'!$C$2:$C$1577,'Site Level Financials - ''23 ''24'!Z$2:Z$1577)</f>
        <v>0.98963462974820693</v>
      </c>
      <c r="O516" s="244">
        <f>_xlfn.XLOOKUP($C516,'Site Level Financials - ''23 ''24'!$C$2:$C$1577,'Site Level Financials - ''23 ''24'!AA$2:AA$1577)</f>
        <v>0.98963462974820693</v>
      </c>
      <c r="P516" s="244">
        <f>_xlfn.XLOOKUP($C516,'Site Level Financials - ''23 ''24'!$C$2:$C$1577,'Site Level Financials - ''23 ''24'!AB$2:AB$1577)</f>
        <v>0.98963462974820693</v>
      </c>
      <c r="Q516" s="244">
        <f>_xlfn.XLOOKUP($C516,'Site Level Financials - ''23 ''24'!$C$2:$C$1577,'Site Level Financials - ''23 ''24'!AC$2:AC$1577)</f>
        <v>0.98963462974820693</v>
      </c>
      <c r="R516" s="244">
        <f>_xlfn.XLOOKUP($C516,'Site Level Financials - ''23 ''24'!$C$2:$C$1577,'Site Level Financials - ''23 ''24'!AD$2:AD$1577)</f>
        <v>0.98963462974820693</v>
      </c>
      <c r="S516" s="292">
        <f>SUM(G545:R545)/SUM(G515:R515)</f>
        <v>0.98334357950683682</v>
      </c>
      <c r="T516" s="203">
        <f>S516</f>
        <v>0.98334357950683682</v>
      </c>
      <c r="U516" s="203">
        <f t="shared" ref="U516:AD516" si="1414">T516</f>
        <v>0.98334357950683682</v>
      </c>
      <c r="V516" s="203">
        <f t="shared" si="1414"/>
        <v>0.98334357950683682</v>
      </c>
      <c r="W516" s="203">
        <f t="shared" si="1414"/>
        <v>0.98334357950683682</v>
      </c>
      <c r="X516" s="203">
        <f t="shared" si="1414"/>
        <v>0.98334357950683682</v>
      </c>
      <c r="Y516" s="203">
        <f t="shared" si="1414"/>
        <v>0.98334357950683682</v>
      </c>
      <c r="Z516" s="203">
        <f t="shared" si="1414"/>
        <v>0.98334357950683682</v>
      </c>
      <c r="AA516" s="203">
        <f t="shared" si="1414"/>
        <v>0.98334357950683682</v>
      </c>
      <c r="AB516" s="203">
        <f t="shared" si="1414"/>
        <v>0.98334357950683682</v>
      </c>
      <c r="AC516" s="203">
        <f t="shared" si="1414"/>
        <v>0.98334357950683682</v>
      </c>
      <c r="AD516" s="204">
        <f t="shared" si="1414"/>
        <v>0.98334357950683682</v>
      </c>
      <c r="AE516" s="15"/>
      <c r="AF516" s="231">
        <f>_xlfn.XLOOKUP($C516,'Site Level Financials - ''23 ''24'!$C$2:$C$1577,'Site Level Financials - ''23 ''24'!$AF$2:$AF$1577)</f>
        <v>0.9881229448190324</v>
      </c>
      <c r="AG516" s="103">
        <f>AG517/AG515</f>
        <v>0.98963462974820704</v>
      </c>
      <c r="AH516" s="103">
        <f>AH517/AH515</f>
        <v>0.98334357950683671</v>
      </c>
    </row>
    <row r="517" spans="2:34" x14ac:dyDescent="0.2">
      <c r="B517" s="9">
        <f>G505</f>
        <v>11</v>
      </c>
      <c r="C517" s="9" t="str">
        <f t="shared" si="1408"/>
        <v>11 - Total Revenue</v>
      </c>
      <c r="D517" s="9" t="s">
        <v>56</v>
      </c>
      <c r="F517" s="8" t="s">
        <v>3</v>
      </c>
      <c r="G517" s="241">
        <f>_xlfn.XLOOKUP($C517,'Site Level Financials - ''23 ''24'!$C$2:$C$1577,'Site Level Financials - ''23 ''24'!S$2:S$1577)</f>
        <v>452.27961507899357</v>
      </c>
      <c r="H517" s="242">
        <f>_xlfn.XLOOKUP($C517,'Site Level Financials - ''23 ''24'!$C$2:$C$1577,'Site Level Financials - ''23 ''24'!T$2:T$1577)</f>
        <v>366.46724433778974</v>
      </c>
      <c r="I517" s="242">
        <f>_xlfn.XLOOKUP($C517,'Site Level Financials - ''23 ''24'!$C$2:$C$1577,'Site Level Financials - ''23 ''24'!U$2:U$1577)</f>
        <v>302.26046579727847</v>
      </c>
      <c r="J517" s="242">
        <f>_xlfn.XLOOKUP($C517,'Site Level Financials - ''23 ''24'!$C$2:$C$1577,'Site Level Financials - ''23 ''24'!V$2:V$1577)</f>
        <v>167.32067783659201</v>
      </c>
      <c r="K517" s="242">
        <f>_xlfn.XLOOKUP($C517,'Site Level Financials - ''23 ''24'!$C$2:$C$1577,'Site Level Financials - ''23 ''24'!W$2:W$1577)</f>
        <v>206.13428018483515</v>
      </c>
      <c r="L517" s="242">
        <f>_xlfn.XLOOKUP($C517,'Site Level Financials - ''23 ''24'!$C$2:$C$1577,'Site Level Financials - ''23 ''24'!X$2:X$1577)</f>
        <v>324.60090122594244</v>
      </c>
      <c r="M517" s="242">
        <f>_xlfn.XLOOKUP($C517,'Site Level Financials - ''23 ''24'!$C$2:$C$1577,'Site Level Financials - ''23 ''24'!Y$2:Y$1577)</f>
        <v>351.54123424029967</v>
      </c>
      <c r="N517" s="242">
        <f>_xlfn.XLOOKUP($C517,'Site Level Financials - ''23 ''24'!$C$2:$C$1577,'Site Level Financials - ''23 ''24'!Z$2:Z$1577)</f>
        <v>472.60840580639018</v>
      </c>
      <c r="O517" s="242">
        <f>_xlfn.XLOOKUP($C517,'Site Level Financials - ''23 ''24'!$C$2:$C$1577,'Site Level Financials - ''23 ''24'!AA$2:AA$1577)</f>
        <v>333.1185323154175</v>
      </c>
      <c r="P517" s="242">
        <f>_xlfn.XLOOKUP($C517,'Site Level Financials - ''23 ''24'!$C$2:$C$1577,'Site Level Financials - ''23 ''24'!AB$2:AB$1577)</f>
        <v>365.05974231824814</v>
      </c>
      <c r="Q517" s="242">
        <f>_xlfn.XLOOKUP($C517,'Site Level Financials - ''23 ''24'!$C$2:$C$1577,'Site Level Financials - ''23 ''24'!AC$2:AC$1577)</f>
        <v>421.88190367899955</v>
      </c>
      <c r="R517" s="242">
        <f>_xlfn.XLOOKUP($C517,'Site Level Financials - ''23 ''24'!$C$2:$C$1577,'Site Level Financials - ''23 ''24'!AD$2:AD$1577)</f>
        <v>430.77759523881485</v>
      </c>
      <c r="S517" s="134">
        <f t="shared" ref="S517:AD517" si="1415">S516*S515</f>
        <v>633.12053815908064</v>
      </c>
      <c r="T517" s="135">
        <f t="shared" si="1415"/>
        <v>655.58290273244302</v>
      </c>
      <c r="U517" s="135">
        <f t="shared" si="1415"/>
        <v>703.95786307542721</v>
      </c>
      <c r="V517" s="135">
        <f t="shared" si="1415"/>
        <v>754.05259028342107</v>
      </c>
      <c r="W517" s="135">
        <f t="shared" si="1415"/>
        <v>896.20031568532454</v>
      </c>
      <c r="X517" s="135">
        <f t="shared" si="1415"/>
        <v>752.58309132232228</v>
      </c>
      <c r="Y517" s="135">
        <f t="shared" si="1415"/>
        <v>758.18016647215552</v>
      </c>
      <c r="Z517" s="135">
        <f t="shared" si="1415"/>
        <v>650.13254102933206</v>
      </c>
      <c r="AA517" s="135">
        <f t="shared" si="1415"/>
        <v>596.06559259954997</v>
      </c>
      <c r="AB517" s="135">
        <f t="shared" si="1415"/>
        <v>684.57700633821082</v>
      </c>
      <c r="AC517" s="135">
        <f t="shared" si="1415"/>
        <v>541.13687457685319</v>
      </c>
      <c r="AD517" s="136">
        <f t="shared" si="1415"/>
        <v>441.68270974859615</v>
      </c>
      <c r="AE517" s="15"/>
      <c r="AF517" s="113">
        <f>_xlfn.XLOOKUP($C517,'Site Level Financials - ''23 ''24'!$C$2:$C$1577,'Site Level Financials - ''23 ''24'!$AF$2:$AF$1577)</f>
        <v>3315.1723197613724</v>
      </c>
      <c r="AG517" s="95">
        <f>SUM(G517:R517)</f>
        <v>4194.0505980596017</v>
      </c>
      <c r="AH517" s="95">
        <f t="shared" ref="AH517" si="1416">SUM(S517:AD517)</f>
        <v>8067.2721920227159</v>
      </c>
    </row>
    <row r="518" spans="2:34" x14ac:dyDescent="0.2">
      <c r="B518" s="9">
        <f>G505</f>
        <v>11</v>
      </c>
      <c r="C518" s="9" t="str">
        <f t="shared" si="1408"/>
        <v>11 - % YoY Revenue Growth</v>
      </c>
      <c r="D518" s="9" t="s">
        <v>56</v>
      </c>
      <c r="F518" s="16" t="s">
        <v>174</v>
      </c>
      <c r="G518" s="245">
        <f>_xlfn.XLOOKUP($C518,'Site Level Financials - ''23 ''24'!$C$2:$C$1577,'Site Level Financials - ''23 ''24'!S$2:S$1577)</f>
        <v>0.36441316319657147</v>
      </c>
      <c r="H518" s="246">
        <f>_xlfn.XLOOKUP($C518,'Site Level Financials - ''23 ''24'!$C$2:$C$1577,'Site Level Financials - ''23 ''24'!T$2:T$1577)</f>
        <v>0.47150496913906981</v>
      </c>
      <c r="I518" s="246">
        <f>_xlfn.XLOOKUP($C518,'Site Level Financials - ''23 ''24'!$C$2:$C$1577,'Site Level Financials - ''23 ''24'!U$2:U$1577)</f>
        <v>0.86662404956999528</v>
      </c>
      <c r="J518" s="246">
        <f>_xlfn.XLOOKUP($C518,'Site Level Financials - ''23 ''24'!$C$2:$C$1577,'Site Level Financials - ''23 ''24'!V$2:V$1577)</f>
        <v>9.0984156021018503E-2</v>
      </c>
      <c r="K518" s="246">
        <f>_xlfn.XLOOKUP($C518,'Site Level Financials - ''23 ''24'!$C$2:$C$1577,'Site Level Financials - ''23 ''24'!W$2:W$1577)</f>
        <v>-4.9731111657644878E-3</v>
      </c>
      <c r="L518" s="246">
        <f>_xlfn.XLOOKUP($C518,'Site Level Financials - ''23 ''24'!$C$2:$C$1577,'Site Level Financials - ''23 ''24'!X$2:X$1577)</f>
        <v>0.66595742934271063</v>
      </c>
      <c r="M518" s="246">
        <f>_xlfn.XLOOKUP($C518,'Site Level Financials - ''23 ''24'!$C$2:$C$1577,'Site Level Financials - ''23 ''24'!Y$2:Y$1577)</f>
        <v>1.0511278325872051</v>
      </c>
      <c r="N518" s="246">
        <f>_xlfn.XLOOKUP($C518,'Site Level Financials - ''23 ''24'!$C$2:$C$1577,'Site Level Financials - ''23 ''24'!Z$2:Z$1577)</f>
        <v>0.42157289760189198</v>
      </c>
      <c r="O518" s="246">
        <f>_xlfn.XLOOKUP($C518,'Site Level Financials - ''23 ''24'!$C$2:$C$1577,'Site Level Financials - ''23 ''24'!AA$2:AA$1577)</f>
        <v>7.5177813961579076E-2</v>
      </c>
      <c r="P518" s="246">
        <f>_xlfn.XLOOKUP($C518,'Site Level Financials - ''23 ''24'!$C$2:$C$1577,'Site Level Financials - ''23 ''24'!AB$2:AB$1577)</f>
        <v>0.14768777882040762</v>
      </c>
      <c r="Q518" s="246">
        <f>_xlfn.XLOOKUP($C518,'Site Level Financials - ''23 ''24'!$C$2:$C$1577,'Site Level Financials - ''23 ''24'!AC$2:AC$1577)</f>
        <v>-4.5522767884799031E-2</v>
      </c>
      <c r="R518" s="246">
        <f>_xlfn.XLOOKUP($C518,'Site Level Financials - ''23 ''24'!$C$2:$C$1577,'Site Level Financials - ''23 ''24'!AD$2:AD$1577)</f>
        <v>-2.8877119664715512E-2</v>
      </c>
      <c r="S518" s="148">
        <f>S517/G517-1</f>
        <v>0.39984318782198924</v>
      </c>
      <c r="T518" s="149">
        <f t="shared" ref="T518" si="1417">T517/H517-1</f>
        <v>0.7889263306931793</v>
      </c>
      <c r="U518" s="149">
        <f t="shared" ref="U518" si="1418">U517/I517-1</f>
        <v>1.328977629338933</v>
      </c>
      <c r="V518" s="149">
        <f t="shared" ref="V518" si="1419">V517/J517-1</f>
        <v>3.5066312187656843</v>
      </c>
      <c r="W518" s="149">
        <f t="shared" ref="W518" si="1420">W517/K517-1</f>
        <v>3.3476529710716987</v>
      </c>
      <c r="X518" s="149">
        <f t="shared" ref="X518" si="1421">X517/L517-1</f>
        <v>1.3184873747423071</v>
      </c>
      <c r="Y518" s="149">
        <f t="shared" ref="Y518" si="1422">Y517/M517-1</f>
        <v>1.1567318215475502</v>
      </c>
      <c r="Z518" s="149">
        <f t="shared" ref="Z518" si="1423">Z517/N517-1</f>
        <v>0.37562627545745952</v>
      </c>
      <c r="AA518" s="149">
        <f t="shared" ref="AA518" si="1424">AA517/O517-1</f>
        <v>0.78934984029996191</v>
      </c>
      <c r="AB518" s="149">
        <f t="shared" ref="AB518" si="1425">AB517/P517-1</f>
        <v>0.87524650620450251</v>
      </c>
      <c r="AC518" s="149">
        <f t="shared" ref="AC518" si="1426">AC517/Q517-1</f>
        <v>0.28267382378314121</v>
      </c>
      <c r="AD518" s="150">
        <f t="shared" ref="AD518" si="1427">AD517/R517-1</f>
        <v>2.5314952844136984E-2</v>
      </c>
      <c r="AE518" s="15"/>
      <c r="AF518" s="11"/>
      <c r="AG518" s="97">
        <f>AG517/AF517-1</f>
        <v>0.26510787178673456</v>
      </c>
      <c r="AH518" s="97">
        <f>AH517/AG517-1</f>
        <v>0.92350378313391812</v>
      </c>
    </row>
    <row r="519" spans="2:34" ht="6" customHeight="1" x14ac:dyDescent="0.2">
      <c r="B519" s="9">
        <f>G505</f>
        <v>11</v>
      </c>
      <c r="C519" s="9" t="str">
        <f t="shared" si="1408"/>
        <v xml:space="preserve">11 - </v>
      </c>
      <c r="D519" s="9" t="s">
        <v>56</v>
      </c>
      <c r="G519" s="80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80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81"/>
      <c r="AE519" s="15"/>
      <c r="AF519" s="11"/>
      <c r="AG519" s="15"/>
      <c r="AH519" s="15"/>
    </row>
    <row r="520" spans="2:34" x14ac:dyDescent="0.2">
      <c r="B520" s="9">
        <f>G505</f>
        <v>11</v>
      </c>
      <c r="C520" s="9" t="str">
        <f t="shared" si="1408"/>
        <v>11 - Doctor Compensation</v>
      </c>
      <c r="D520" s="9" t="s">
        <v>56</v>
      </c>
      <c r="F520" t="s">
        <v>4</v>
      </c>
      <c r="G520" s="178">
        <f>_xlfn.XLOOKUP($C520,'Site Level Financials - ''23 ''24'!$C$2:$C$1577,'Site Level Financials - ''23 ''24'!S$2:S$1577)</f>
        <v>-102.77738138878777</v>
      </c>
      <c r="H520" s="179">
        <f>_xlfn.XLOOKUP($C520,'Site Level Financials - ''23 ''24'!$C$2:$C$1577,'Site Level Financials - ''23 ''24'!T$2:T$1577)</f>
        <v>-114.16270583193098</v>
      </c>
      <c r="I520" s="179">
        <f>_xlfn.XLOOKUP($C520,'Site Level Financials - ''23 ''24'!$C$2:$C$1577,'Site Level Financials - ''23 ''24'!U$2:U$1577)</f>
        <v>-137.28298473654485</v>
      </c>
      <c r="J520" s="179">
        <f>_xlfn.XLOOKUP($C520,'Site Level Financials - ''23 ''24'!$C$2:$C$1577,'Site Level Financials - ''23 ''24'!V$2:V$1577)</f>
        <v>-148.50529846196719</v>
      </c>
      <c r="K520" s="179">
        <f>_xlfn.XLOOKUP($C520,'Site Level Financials - ''23 ''24'!$C$2:$C$1577,'Site Level Financials - ''23 ''24'!W$2:W$1577)</f>
        <v>-123.73867979423466</v>
      </c>
      <c r="L520" s="179">
        <f>_xlfn.XLOOKUP($C520,'Site Level Financials - ''23 ''24'!$C$2:$C$1577,'Site Level Financials - ''23 ''24'!X$2:X$1577)</f>
        <v>-147.71471569693367</v>
      </c>
      <c r="M520" s="179">
        <f>_xlfn.XLOOKUP($C520,'Site Level Financials - ''23 ''24'!$C$2:$C$1577,'Site Level Financials - ''23 ''24'!Y$2:Y$1577)</f>
        <v>-160.86670065154615</v>
      </c>
      <c r="N520" s="179">
        <f>_xlfn.XLOOKUP($C520,'Site Level Financials - ''23 ''24'!$C$2:$C$1577,'Site Level Financials - ''23 ''24'!Z$2:Z$1577)</f>
        <v>-142.60535772188365</v>
      </c>
      <c r="O520" s="179">
        <f>_xlfn.XLOOKUP($C520,'Site Level Financials - ''23 ''24'!$C$2:$C$1577,'Site Level Financials - ''23 ''24'!AA$2:AA$1577)</f>
        <v>-150.87139068633724</v>
      </c>
      <c r="P520" s="179">
        <f>_xlfn.XLOOKUP($C520,'Site Level Financials - ''23 ''24'!$C$2:$C$1577,'Site Level Financials - ''23 ''24'!AB$2:AB$1577)</f>
        <v>-161.28001580772741</v>
      </c>
      <c r="Q520" s="179">
        <f>_xlfn.XLOOKUP($C520,'Site Level Financials - ''23 ''24'!$C$2:$C$1577,'Site Level Financials - ''23 ''24'!AC$2:AC$1577)</f>
        <v>-126.16837129808033</v>
      </c>
      <c r="R520" s="179">
        <f>_xlfn.XLOOKUP($C520,'Site Level Financials - ''23 ''24'!$C$2:$C$1577,'Site Level Financials - ''23 ''24'!AD$2:AD$1577)</f>
        <v>-93.67466960779079</v>
      </c>
      <c r="S520" s="155">
        <f>S521*S517</f>
        <v>-143.87221719927709</v>
      </c>
      <c r="T520" s="154">
        <f t="shared" ref="T520" si="1428">T521*T517</f>
        <v>-204.22867044592113</v>
      </c>
      <c r="U520" s="154">
        <f t="shared" ref="U520" si="1429">U521*U517</f>
        <v>-319.72900034029112</v>
      </c>
      <c r="V520" s="154">
        <f t="shared" ref="V520" si="1430">V521*V517</f>
        <v>-669.25861420081685</v>
      </c>
      <c r="W520" s="154">
        <f t="shared" ref="W520" si="1431">W521*W517</f>
        <v>-537.9728388438939</v>
      </c>
      <c r="X520" s="154">
        <f t="shared" ref="X520" si="1432">X521*X517</f>
        <v>-342.47470340699005</v>
      </c>
      <c r="Y520" s="154">
        <f t="shared" ref="Y520" si="1433">Y521*Y517</f>
        <v>-346.94633232255359</v>
      </c>
      <c r="Z520" s="154">
        <f t="shared" ref="Z520" si="1434">Z521*Z517</f>
        <v>-196.17167710323346</v>
      </c>
      <c r="AA520" s="154">
        <f t="shared" ref="AA520" si="1435">AA521*AA517</f>
        <v>-269.96169883043069</v>
      </c>
      <c r="AB520" s="154">
        <f t="shared" ref="AB520" si="1436">AB521*AB517</f>
        <v>-302.4397861640478</v>
      </c>
      <c r="AC520" s="154">
        <f t="shared" ref="AC520" si="1437">AC521*AC517</f>
        <v>-161.83286725339983</v>
      </c>
      <c r="AD520" s="156">
        <f t="shared" ref="AD520" si="1438">AD521*AD517</f>
        <v>-96.046039451602127</v>
      </c>
      <c r="AE520" s="15"/>
      <c r="AF520" s="115">
        <f>_xlfn.XLOOKUP($C520,'Site Level Financials - ''23 ''24'!$C$2:$C$1577,'Site Level Financials - ''23 ''24'!$AF$2:$AF$1577)</f>
        <v>-1689.7585524703316</v>
      </c>
      <c r="AG520" s="93">
        <f>SUM(G520:R520)</f>
        <v>-1609.6482716837645</v>
      </c>
      <c r="AH520" s="93">
        <f t="shared" ref="AH520" si="1439">SUM(S520:AD520)</f>
        <v>-3590.9344455624573</v>
      </c>
    </row>
    <row r="521" spans="2:34" x14ac:dyDescent="0.2">
      <c r="B521" s="9">
        <f>G505</f>
        <v>11</v>
      </c>
      <c r="C521" s="9" t="str">
        <f t="shared" si="1408"/>
        <v>11 - % of Revenue - Doctor Compensation</v>
      </c>
      <c r="D521" s="9" t="s">
        <v>56</v>
      </c>
      <c r="F521" s="16" t="str">
        <f>"% of Revenue - "&amp;F520</f>
        <v>% of Revenue - Doctor Compensation</v>
      </c>
      <c r="G521" s="148">
        <f>G520/G517</f>
        <v>-0.22724301065577993</v>
      </c>
      <c r="H521" s="149">
        <f t="shared" ref="H521:R521" si="1440">H520/H517</f>
        <v>-0.31152226452932846</v>
      </c>
      <c r="I521" s="149">
        <f t="shared" si="1440"/>
        <v>-0.45418769660938219</v>
      </c>
      <c r="J521" s="149">
        <f t="shared" si="1440"/>
        <v>-0.88754898905561319</v>
      </c>
      <c r="K521" s="149">
        <f t="shared" si="1440"/>
        <v>-0.6002819117872169</v>
      </c>
      <c r="L521" s="149">
        <f t="shared" si="1440"/>
        <v>-0.45506563641397602</v>
      </c>
      <c r="M521" s="149">
        <f t="shared" si="1440"/>
        <v>-0.45760407310166079</v>
      </c>
      <c r="N521" s="149">
        <f t="shared" si="1440"/>
        <v>-0.30174105235932619</v>
      </c>
      <c r="O521" s="149">
        <f t="shared" si="1440"/>
        <v>-0.45290602608528169</v>
      </c>
      <c r="P521" s="149">
        <f t="shared" si="1440"/>
        <v>-0.44179074576546523</v>
      </c>
      <c r="Q521" s="149">
        <f t="shared" si="1440"/>
        <v>-0.29906087508811235</v>
      </c>
      <c r="R521" s="149">
        <f t="shared" si="1440"/>
        <v>-0.21745483201339511</v>
      </c>
      <c r="S521" s="245">
        <f>_xlfn.XLOOKUP($F521,'Budget Assumption Driver'!$A$33:$A$39,'Budget Assumption Driver'!E$33:E$39)+G521</f>
        <v>-0.22724301065577993</v>
      </c>
      <c r="T521" s="246">
        <f>_xlfn.XLOOKUP($F521,'Budget Assumption Driver'!$A$33:$A$39,'Budget Assumption Driver'!F$33:F$39)+H521</f>
        <v>-0.31152226452932846</v>
      </c>
      <c r="U521" s="246">
        <f>_xlfn.XLOOKUP($F521,'Budget Assumption Driver'!$A$33:$A$39,'Budget Assumption Driver'!G$33:G$39)+I521</f>
        <v>-0.45418769660938219</v>
      </c>
      <c r="V521" s="246">
        <f>_xlfn.XLOOKUP($F521,'Budget Assumption Driver'!$A$33:$A$39,'Budget Assumption Driver'!H$33:H$39)+J521</f>
        <v>-0.88754898905561319</v>
      </c>
      <c r="W521" s="246">
        <f>_xlfn.XLOOKUP($F521,'Budget Assumption Driver'!$A$33:$A$39,'Budget Assumption Driver'!I$33:I$39)+K521</f>
        <v>-0.6002819117872169</v>
      </c>
      <c r="X521" s="246">
        <f>_xlfn.XLOOKUP($F521,'Budget Assumption Driver'!$A$33:$A$39,'Budget Assumption Driver'!J$33:J$39)+L521</f>
        <v>-0.45506563641397602</v>
      </c>
      <c r="Y521" s="246">
        <f>_xlfn.XLOOKUP($F521,'Budget Assumption Driver'!$A$33:$A$39,'Budget Assumption Driver'!K$33:K$39)+M521</f>
        <v>-0.45760407310166079</v>
      </c>
      <c r="Z521" s="246">
        <f>_xlfn.XLOOKUP($F521,'Budget Assumption Driver'!$A$33:$A$39,'Budget Assumption Driver'!L$33:L$39)+N521</f>
        <v>-0.30174105235932619</v>
      </c>
      <c r="AA521" s="246">
        <f>_xlfn.XLOOKUP($F521,'Budget Assumption Driver'!$A$33:$A$39,'Budget Assumption Driver'!M$33:M$39)+O521</f>
        <v>-0.45290602608528169</v>
      </c>
      <c r="AB521" s="246">
        <f>_xlfn.XLOOKUP($F521,'Budget Assumption Driver'!$A$33:$A$39,'Budget Assumption Driver'!N$33:N$39)+P521</f>
        <v>-0.44179074576546523</v>
      </c>
      <c r="AC521" s="246">
        <f>_xlfn.XLOOKUP($F521,'Budget Assumption Driver'!$A$33:$A$39,'Budget Assumption Driver'!O$33:O$39)+Q521</f>
        <v>-0.29906087508811235</v>
      </c>
      <c r="AD521" s="296">
        <f>_xlfn.XLOOKUP($F521,'Budget Assumption Driver'!$A$33:$A$39,'Budget Assumption Driver'!P$33:P$39)+R521</f>
        <v>-0.21745483201339511</v>
      </c>
      <c r="AE521" s="15"/>
      <c r="AF521" s="232">
        <f>_xlfn.XLOOKUP($C521,'Site Level Financials - ''23 ''24'!$C$2:$C$1577,'Site Level Financials - ''23 ''24'!$AF$2:$AF$1577)</f>
        <v>-0.50970459134141211</v>
      </c>
      <c r="AG521" s="97">
        <f t="shared" ref="AG521:AH521" si="1441">AG520/AG517</f>
        <v>-0.38379324093716854</v>
      </c>
      <c r="AH521" s="97">
        <f t="shared" si="1441"/>
        <v>-0.44512374940234889</v>
      </c>
    </row>
    <row r="522" spans="2:34" ht="3" customHeight="1" x14ac:dyDescent="0.2">
      <c r="B522" s="9">
        <f>G505</f>
        <v>11</v>
      </c>
      <c r="C522" s="9" t="str">
        <f t="shared" si="1408"/>
        <v xml:space="preserve">11 - </v>
      </c>
      <c r="D522" s="9" t="s">
        <v>56</v>
      </c>
      <c r="F522" s="16"/>
      <c r="G522" s="84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4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6"/>
      <c r="AE522" s="15"/>
      <c r="AF522" s="36"/>
      <c r="AG522" s="38"/>
      <c r="AH522" s="38"/>
    </row>
    <row r="523" spans="2:34" x14ac:dyDescent="0.2">
      <c r="B523" s="9">
        <f>G505</f>
        <v>11</v>
      </c>
      <c r="C523" s="9" t="str">
        <f t="shared" si="1408"/>
        <v>11 - Administrative Staff Compensation</v>
      </c>
      <c r="D523" s="9" t="s">
        <v>56</v>
      </c>
      <c r="F523" t="s">
        <v>5</v>
      </c>
      <c r="G523" s="178">
        <f>_xlfn.XLOOKUP($C523,'Site Level Financials - ''23 ''24'!$C$2:$C$1577,'Site Level Financials - ''23 ''24'!S$2:S$1577)</f>
        <v>-79.520533360505567</v>
      </c>
      <c r="H523" s="179">
        <f>_xlfn.XLOOKUP($C523,'Site Level Financials - ''23 ''24'!$C$2:$C$1577,'Site Level Financials - ''23 ''24'!T$2:T$1577)</f>
        <v>-87.155176411795708</v>
      </c>
      <c r="I523" s="179">
        <f>_xlfn.XLOOKUP($C523,'Site Level Financials - ''23 ''24'!$C$2:$C$1577,'Site Level Financials - ''23 ''24'!U$2:U$1577)</f>
        <v>-87.949389264668937</v>
      </c>
      <c r="J523" s="179">
        <f>_xlfn.XLOOKUP($C523,'Site Level Financials - ''23 ''24'!$C$2:$C$1577,'Site Level Financials - ''23 ''24'!V$2:V$1577)</f>
        <v>-98.533472302757616</v>
      </c>
      <c r="K523" s="179">
        <f>_xlfn.XLOOKUP($C523,'Site Level Financials - ''23 ''24'!$C$2:$C$1577,'Site Level Financials - ''23 ''24'!W$2:W$1577)</f>
        <v>-105.32902030748437</v>
      </c>
      <c r="L523" s="179">
        <f>_xlfn.XLOOKUP($C523,'Site Level Financials - ''23 ''24'!$C$2:$C$1577,'Site Level Financials - ''23 ''24'!X$2:X$1577)</f>
        <v>-98.816406047698834</v>
      </c>
      <c r="M523" s="179">
        <f>_xlfn.XLOOKUP($C523,'Site Level Financials - ''23 ''24'!$C$2:$C$1577,'Site Level Financials - ''23 ''24'!Y$2:Y$1577)</f>
        <v>-106.29562062648772</v>
      </c>
      <c r="N523" s="179">
        <f>_xlfn.XLOOKUP($C523,'Site Level Financials - ''23 ''24'!$C$2:$C$1577,'Site Level Financials - ''23 ''24'!Z$2:Z$1577)</f>
        <v>-98.434745603302318</v>
      </c>
      <c r="O523" s="179">
        <f>_xlfn.XLOOKUP($C523,'Site Level Financials - ''23 ''24'!$C$2:$C$1577,'Site Level Financials - ''23 ''24'!AA$2:AA$1577)</f>
        <v>-102.75726966589812</v>
      </c>
      <c r="P523" s="179">
        <f>_xlfn.XLOOKUP($C523,'Site Level Financials - ''23 ''24'!$C$2:$C$1577,'Site Level Financials - ''23 ''24'!AB$2:AB$1577)</f>
        <v>-111.82233260393195</v>
      </c>
      <c r="Q523" s="179">
        <f>_xlfn.XLOOKUP($C523,'Site Level Financials - ''23 ''24'!$C$2:$C$1577,'Site Level Financials - ''23 ''24'!AC$2:AC$1577)</f>
        <v>-88.143502748713018</v>
      </c>
      <c r="R523" s="179">
        <f>_xlfn.XLOOKUP($C523,'Site Level Financials - ''23 ''24'!$C$2:$C$1577,'Site Level Financials - ''23 ''24'!AD$2:AD$1577)</f>
        <v>-83.25279594430188</v>
      </c>
      <c r="S523" s="155">
        <f>S524*S517</f>
        <v>-111.31627691667497</v>
      </c>
      <c r="T523" s="154">
        <f t="shared" ref="T523" si="1442">T524*T517</f>
        <v>-155.91418993927041</v>
      </c>
      <c r="U523" s="154">
        <f t="shared" ref="U523" si="1443">U524*U517</f>
        <v>-204.83216011143566</v>
      </c>
      <c r="V523" s="154">
        <f t="shared" ref="V523" si="1444">V524*V517</f>
        <v>-444.05402237299131</v>
      </c>
      <c r="W523" s="154">
        <f t="shared" ref="W523" si="1445">W524*W517</f>
        <v>-457.93402807990572</v>
      </c>
      <c r="X523" s="154">
        <f t="shared" ref="X523" si="1446">X524*X517</f>
        <v>-229.10458983899912</v>
      </c>
      <c r="Y523" s="154">
        <f t="shared" ref="Y523" si="1447">Y524*Y517</f>
        <v>-229.25114749629222</v>
      </c>
      <c r="Z523" s="154">
        <f t="shared" ref="Z523" si="1448">Z524*Z517</f>
        <v>-135.40942246987331</v>
      </c>
      <c r="AA523" s="154">
        <f t="shared" ref="AA523" si="1449">AA524*AA517</f>
        <v>-183.86870406633494</v>
      </c>
      <c r="AB523" s="154">
        <f t="shared" ref="AB523" si="1450">AB524*AB517</f>
        <v>-209.69443853116124</v>
      </c>
      <c r="AC523" s="154">
        <f t="shared" ref="AC523" si="1451">AC524*AC517</f>
        <v>-113.05936371233153</v>
      </c>
      <c r="AD523" s="156">
        <f t="shared" ref="AD523" si="1452">AD524*AD517</f>
        <v>-85.360336547774438</v>
      </c>
      <c r="AE523" s="15"/>
      <c r="AF523" s="115">
        <f>_xlfn.XLOOKUP($C523,'Site Level Financials - ''23 ''24'!$C$2:$C$1577,'Site Level Financials - ''23 ''24'!$AF$2:$AF$1577)</f>
        <v>-751.03089238293103</v>
      </c>
      <c r="AG523" s="93">
        <f>SUM(G523:R523)</f>
        <v>-1148.0102648875459</v>
      </c>
      <c r="AH523" s="93">
        <f t="shared" ref="AH523" si="1453">SUM(S523:AD523)</f>
        <v>-2559.7986800830449</v>
      </c>
    </row>
    <row r="524" spans="2:34" x14ac:dyDescent="0.2">
      <c r="B524" s="9">
        <f>G505</f>
        <v>11</v>
      </c>
      <c r="C524" s="9" t="str">
        <f t="shared" si="1408"/>
        <v>11 - % of Revenue - Administrative Staff Compensation</v>
      </c>
      <c r="D524" s="9" t="s">
        <v>56</v>
      </c>
      <c r="F524" s="16" t="str">
        <f>"% of Revenue - "&amp;F523</f>
        <v>% of Revenue - Administrative Staff Compensation</v>
      </c>
      <c r="G524" s="148">
        <f>G523/G517</f>
        <v>-0.1758216172237097</v>
      </c>
      <c r="H524" s="149">
        <f t="shared" ref="H524:R524" si="1454">H523/H517</f>
        <v>-0.23782528386482685</v>
      </c>
      <c r="I524" s="149">
        <f t="shared" si="1454"/>
        <v>-0.29097218861448876</v>
      </c>
      <c r="J524" s="149">
        <f t="shared" si="1454"/>
        <v>-0.58888999002853037</v>
      </c>
      <c r="K524" s="149">
        <f t="shared" si="1454"/>
        <v>-0.51097284844150437</v>
      </c>
      <c r="L524" s="149">
        <f t="shared" si="1454"/>
        <v>-0.30442431205363923</v>
      </c>
      <c r="M524" s="149">
        <f t="shared" si="1454"/>
        <v>-0.30237027771777192</v>
      </c>
      <c r="N524" s="149">
        <f t="shared" si="1454"/>
        <v>-0.2082797182486579</v>
      </c>
      <c r="O524" s="149">
        <f t="shared" si="1454"/>
        <v>-0.30847058838684216</v>
      </c>
      <c r="P524" s="149">
        <f t="shared" si="1454"/>
        <v>-0.30631241860256558</v>
      </c>
      <c r="Q524" s="149">
        <f t="shared" si="1454"/>
        <v>-0.20892932827898544</v>
      </c>
      <c r="R524" s="149">
        <f t="shared" si="1454"/>
        <v>-0.1932616664943963</v>
      </c>
      <c r="S524" s="245">
        <f>_xlfn.XLOOKUP($F524,'Budget Assumption Driver'!$A$33:$A$39,'Budget Assumption Driver'!E$33:E$39)+G524</f>
        <v>-0.1758216172237097</v>
      </c>
      <c r="T524" s="246">
        <f>_xlfn.XLOOKUP($F524,'Budget Assumption Driver'!$A$33:$A$39,'Budget Assumption Driver'!F$33:F$39)+H524</f>
        <v>-0.23782528386482685</v>
      </c>
      <c r="U524" s="246">
        <f>_xlfn.XLOOKUP($F524,'Budget Assumption Driver'!$A$33:$A$39,'Budget Assumption Driver'!G$33:G$39)+I524</f>
        <v>-0.29097218861448876</v>
      </c>
      <c r="V524" s="246">
        <f>_xlfn.XLOOKUP($F524,'Budget Assumption Driver'!$A$33:$A$39,'Budget Assumption Driver'!H$33:H$39)+J524</f>
        <v>-0.58888999002853037</v>
      </c>
      <c r="W524" s="246">
        <f>_xlfn.XLOOKUP($F524,'Budget Assumption Driver'!$A$33:$A$39,'Budget Assumption Driver'!I$33:I$39)+K524</f>
        <v>-0.51097284844150437</v>
      </c>
      <c r="X524" s="246">
        <f>_xlfn.XLOOKUP($F524,'Budget Assumption Driver'!$A$33:$A$39,'Budget Assumption Driver'!J$33:J$39)+L524</f>
        <v>-0.30442431205363923</v>
      </c>
      <c r="Y524" s="246">
        <f>_xlfn.XLOOKUP($F524,'Budget Assumption Driver'!$A$33:$A$39,'Budget Assumption Driver'!K$33:K$39)+M524</f>
        <v>-0.30237027771777192</v>
      </c>
      <c r="Z524" s="246">
        <f>_xlfn.XLOOKUP($F524,'Budget Assumption Driver'!$A$33:$A$39,'Budget Assumption Driver'!L$33:L$39)+N524</f>
        <v>-0.2082797182486579</v>
      </c>
      <c r="AA524" s="246">
        <f>_xlfn.XLOOKUP($F524,'Budget Assumption Driver'!$A$33:$A$39,'Budget Assumption Driver'!M$33:M$39)+O524</f>
        <v>-0.30847058838684216</v>
      </c>
      <c r="AB524" s="246">
        <f>_xlfn.XLOOKUP($F524,'Budget Assumption Driver'!$A$33:$A$39,'Budget Assumption Driver'!N$33:N$39)+P524</f>
        <v>-0.30631241860256558</v>
      </c>
      <c r="AC524" s="246">
        <f>_xlfn.XLOOKUP($F524,'Budget Assumption Driver'!$A$33:$A$39,'Budget Assumption Driver'!O$33:O$39)+Q524</f>
        <v>-0.20892932827898544</v>
      </c>
      <c r="AD524" s="296">
        <f>_xlfn.XLOOKUP($F524,'Budget Assumption Driver'!$A$33:$A$39,'Budget Assumption Driver'!P$33:P$39)+R524</f>
        <v>-0.1932616664943963</v>
      </c>
      <c r="AE524" s="15"/>
      <c r="AF524" s="232">
        <f>_xlfn.XLOOKUP($C524,'Site Level Financials - ''23 ''24'!$C$2:$C$1577,'Site Level Financials - ''23 ''24'!$AF$2:$AF$1577)</f>
        <v>-0.22654354583806086</v>
      </c>
      <c r="AG524" s="97">
        <f t="shared" ref="AG524:AH524" si="1455">AG523/AG517</f>
        <v>-0.27372351335453093</v>
      </c>
      <c r="AH524" s="97">
        <f t="shared" si="1455"/>
        <v>-0.31730659622645307</v>
      </c>
    </row>
    <row r="525" spans="2:34" ht="3" customHeight="1" x14ac:dyDescent="0.2">
      <c r="B525" s="9">
        <f>G505</f>
        <v>11</v>
      </c>
      <c r="C525" s="9" t="str">
        <f t="shared" si="1408"/>
        <v xml:space="preserve">11 - </v>
      </c>
      <c r="D525" s="9" t="s">
        <v>56</v>
      </c>
      <c r="F525" s="16"/>
      <c r="G525" s="84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4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6"/>
      <c r="AE525" s="15"/>
      <c r="AF525" s="36"/>
      <c r="AG525" s="38"/>
      <c r="AH525" s="38"/>
    </row>
    <row r="526" spans="2:34" x14ac:dyDescent="0.2">
      <c r="B526" s="9">
        <f>G505</f>
        <v>11</v>
      </c>
      <c r="C526" s="9" t="str">
        <f t="shared" si="1408"/>
        <v>11 - Office Supplies</v>
      </c>
      <c r="D526" s="9" t="s">
        <v>56</v>
      </c>
      <c r="F526" t="s">
        <v>6</v>
      </c>
      <c r="G526" s="178">
        <f>_xlfn.XLOOKUP($C526,'Site Level Financials - ''23 ''24'!$C$2:$C$1577,'Site Level Financials - ''23 ''24'!S$2:S$1577)</f>
        <v>-28.345883470771586</v>
      </c>
      <c r="H526" s="179">
        <f>_xlfn.XLOOKUP($C526,'Site Level Financials - ''23 ''24'!$C$2:$C$1577,'Site Level Financials - ''23 ''24'!T$2:T$1577)</f>
        <v>-29.063400944802293</v>
      </c>
      <c r="I526" s="179">
        <f>_xlfn.XLOOKUP($C526,'Site Level Financials - ''23 ''24'!$C$2:$C$1577,'Site Level Financials - ''23 ''24'!U$2:U$1577)</f>
        <v>-36.371178352982263</v>
      </c>
      <c r="J526" s="179">
        <f>_xlfn.XLOOKUP($C526,'Site Level Financials - ''23 ''24'!$C$2:$C$1577,'Site Level Financials - ''23 ''24'!V$2:V$1577)</f>
        <v>-37.785316853590579</v>
      </c>
      <c r="K526" s="179">
        <f>_xlfn.XLOOKUP($C526,'Site Level Financials - ''23 ''24'!$C$2:$C$1577,'Site Level Financials - ''23 ''24'!W$2:W$1577)</f>
        <v>-43.495824780058939</v>
      </c>
      <c r="L526" s="179">
        <f>_xlfn.XLOOKUP($C526,'Site Level Financials - ''23 ''24'!$C$2:$C$1577,'Site Level Financials - ''23 ''24'!X$2:X$1577)</f>
        <v>-33.943815119037879</v>
      </c>
      <c r="M526" s="179">
        <f>_xlfn.XLOOKUP($C526,'Site Level Financials - ''23 ''24'!$C$2:$C$1577,'Site Level Financials - ''23 ''24'!Y$2:Y$1577)</f>
        <v>-38.4339904011957</v>
      </c>
      <c r="N526" s="179">
        <f>_xlfn.XLOOKUP($C526,'Site Level Financials - ''23 ''24'!$C$2:$C$1577,'Site Level Financials - ''23 ''24'!Z$2:Z$1577)</f>
        <v>-32.510802919547473</v>
      </c>
      <c r="O526" s="179">
        <f>_xlfn.XLOOKUP($C526,'Site Level Financials - ''23 ''24'!$C$2:$C$1577,'Site Level Financials - ''23 ''24'!AA$2:AA$1577)</f>
        <v>-31.901677208762642</v>
      </c>
      <c r="P526" s="179">
        <f>_xlfn.XLOOKUP($C526,'Site Level Financials - ''23 ''24'!$C$2:$C$1577,'Site Level Financials - ''23 ''24'!AB$2:AB$1577)</f>
        <v>-34.248836107588353</v>
      </c>
      <c r="Q526" s="179">
        <f>_xlfn.XLOOKUP($C526,'Site Level Financials - ''23 ''24'!$C$2:$C$1577,'Site Level Financials - ''23 ''24'!AC$2:AC$1577)</f>
        <v>-27.358705095758054</v>
      </c>
      <c r="R526" s="179">
        <f>_xlfn.XLOOKUP($C526,'Site Level Financials - ''23 ''24'!$C$2:$C$1577,'Site Level Financials - ''23 ''24'!AD$2:AD$1577)</f>
        <v>-21.285470311278438</v>
      </c>
      <c r="S526" s="155">
        <f>S527*S517</f>
        <v>-39.679791879355527</v>
      </c>
      <c r="T526" s="154">
        <f t="shared" ref="T526" si="1456">T527*T517</f>
        <v>-51.992283209649848</v>
      </c>
      <c r="U526" s="154">
        <f t="shared" ref="U526" si="1457">U527*U517</f>
        <v>-84.707660736792135</v>
      </c>
      <c r="V526" s="154">
        <f t="shared" ref="V526" si="1458">V527*V517</f>
        <v>-170.28448854334445</v>
      </c>
      <c r="W526" s="154">
        <f t="shared" ref="W526" si="1459">W527*W517</f>
        <v>-189.10475183423728</v>
      </c>
      <c r="X526" s="154">
        <f t="shared" ref="X526" si="1460">X527*X517</f>
        <v>-78.698306804076367</v>
      </c>
      <c r="Y526" s="154">
        <f t="shared" ref="Y526" si="1461">Y527*Y517</f>
        <v>-82.891810127311857</v>
      </c>
      <c r="Z526" s="154">
        <f t="shared" ref="Z526" si="1462">Z527*Z517</f>
        <v>-44.722714732348592</v>
      </c>
      <c r="AA526" s="154">
        <f t="shared" ref="AA526" si="1463">AA527*AA517</f>
        <v>-57.083261018800364</v>
      </c>
      <c r="AB526" s="154">
        <f t="shared" ref="AB526" si="1464">AB527*AB517</f>
        <v>-64.225010252325674</v>
      </c>
      <c r="AC526" s="154">
        <f t="shared" ref="AC526" si="1465">AC527*AC517</f>
        <v>-35.092294878931291</v>
      </c>
      <c r="AD526" s="156">
        <f t="shared" ref="AD526" si="1466">AD527*AD517</f>
        <v>-21.824310988473727</v>
      </c>
      <c r="AE526" s="15"/>
      <c r="AF526" s="115">
        <f>_xlfn.XLOOKUP($C526,'Site Level Financials - ''23 ''24'!$C$2:$C$1577,'Site Level Financials - ''23 ''24'!$AF$2:$AF$1577)</f>
        <v>-448.50382423909991</v>
      </c>
      <c r="AG526" s="93">
        <f>SUM(G526:R526)</f>
        <v>-394.74490156537428</v>
      </c>
      <c r="AH526" s="93">
        <f t="shared" ref="AH526" si="1467">SUM(S526:AD526)</f>
        <v>-920.30668500564695</v>
      </c>
    </row>
    <row r="527" spans="2:34" x14ac:dyDescent="0.2">
      <c r="B527" s="9">
        <f>G505</f>
        <v>11</v>
      </c>
      <c r="C527" s="9" t="str">
        <f t="shared" si="1408"/>
        <v>11 - % of Revenue - Office Supplies</v>
      </c>
      <c r="D527" s="9" t="s">
        <v>56</v>
      </c>
      <c r="F527" s="16" t="str">
        <f>"% of Revenue - "&amp;F526</f>
        <v>% of Revenue - Office Supplies</v>
      </c>
      <c r="G527" s="148">
        <f>G526/G517</f>
        <v>-6.2673360739065792E-2</v>
      </c>
      <c r="H527" s="149">
        <f t="shared" ref="H527:R527" si="1468">H526/H517</f>
        <v>-7.9306954151714626E-2</v>
      </c>
      <c r="I527" s="149">
        <f t="shared" si="1468"/>
        <v>-0.12033058394535745</v>
      </c>
      <c r="J527" s="149">
        <f t="shared" si="1468"/>
        <v>-0.22582574576043918</v>
      </c>
      <c r="K527" s="149">
        <f t="shared" si="1468"/>
        <v>-0.21100723635611401</v>
      </c>
      <c r="L527" s="149">
        <f t="shared" si="1468"/>
        <v>-0.10457092075480982</v>
      </c>
      <c r="M527" s="149">
        <f t="shared" si="1468"/>
        <v>-0.1093299637644321</v>
      </c>
      <c r="N527" s="149">
        <f t="shared" si="1468"/>
        <v>-6.8790149561719652E-2</v>
      </c>
      <c r="O527" s="149">
        <f t="shared" si="1468"/>
        <v>-9.5766744008574503E-2</v>
      </c>
      <c r="P527" s="149">
        <f t="shared" si="1468"/>
        <v>-9.3817071940327082E-2</v>
      </c>
      <c r="Q527" s="149">
        <f t="shared" si="1468"/>
        <v>-6.484920272042452E-2</v>
      </c>
      <c r="R527" s="149">
        <f t="shared" si="1468"/>
        <v>-4.9411739483522073E-2</v>
      </c>
      <c r="S527" s="245">
        <f>_xlfn.XLOOKUP($F527,'Budget Assumption Driver'!$A$33:$A$39,'Budget Assumption Driver'!E$33:E$39)+G527</f>
        <v>-6.2673360739065792E-2</v>
      </c>
      <c r="T527" s="246">
        <f>_xlfn.XLOOKUP($F527,'Budget Assumption Driver'!$A$33:$A$39,'Budget Assumption Driver'!F$33:F$39)+H527</f>
        <v>-7.9306954151714626E-2</v>
      </c>
      <c r="U527" s="246">
        <f>_xlfn.XLOOKUP($F527,'Budget Assumption Driver'!$A$33:$A$39,'Budget Assumption Driver'!G$33:G$39)+I527</f>
        <v>-0.12033058394535745</v>
      </c>
      <c r="V527" s="246">
        <f>_xlfn.XLOOKUP($F527,'Budget Assumption Driver'!$A$33:$A$39,'Budget Assumption Driver'!H$33:H$39)+J527</f>
        <v>-0.22582574576043918</v>
      </c>
      <c r="W527" s="246">
        <f>_xlfn.XLOOKUP($F527,'Budget Assumption Driver'!$A$33:$A$39,'Budget Assumption Driver'!I$33:I$39)+K527</f>
        <v>-0.21100723635611401</v>
      </c>
      <c r="X527" s="246">
        <f>_xlfn.XLOOKUP($F527,'Budget Assumption Driver'!$A$33:$A$39,'Budget Assumption Driver'!J$33:J$39)+L527</f>
        <v>-0.10457092075480982</v>
      </c>
      <c r="Y527" s="246">
        <f>_xlfn.XLOOKUP($F527,'Budget Assumption Driver'!$A$33:$A$39,'Budget Assumption Driver'!K$33:K$39)+M527</f>
        <v>-0.1093299637644321</v>
      </c>
      <c r="Z527" s="246">
        <f>_xlfn.XLOOKUP($F527,'Budget Assumption Driver'!$A$33:$A$39,'Budget Assumption Driver'!L$33:L$39)+N527</f>
        <v>-6.8790149561719652E-2</v>
      </c>
      <c r="AA527" s="246">
        <f>_xlfn.XLOOKUP($F527,'Budget Assumption Driver'!$A$33:$A$39,'Budget Assumption Driver'!M$33:M$39)+O527</f>
        <v>-9.5766744008574503E-2</v>
      </c>
      <c r="AB527" s="246">
        <f>_xlfn.XLOOKUP($F527,'Budget Assumption Driver'!$A$33:$A$39,'Budget Assumption Driver'!N$33:N$39)+P527</f>
        <v>-9.3817071940327082E-2</v>
      </c>
      <c r="AC527" s="246">
        <f>_xlfn.XLOOKUP($F527,'Budget Assumption Driver'!$A$33:$A$39,'Budget Assumption Driver'!O$33:O$39)+Q527</f>
        <v>-6.484920272042452E-2</v>
      </c>
      <c r="AD527" s="296">
        <f>_xlfn.XLOOKUP($F527,'Budget Assumption Driver'!$A$33:$A$39,'Budget Assumption Driver'!P$33:P$39)+R527</f>
        <v>-4.9411739483522073E-2</v>
      </c>
      <c r="AE527" s="15"/>
      <c r="AF527" s="232">
        <f>_xlfn.XLOOKUP($C527,'Site Level Financials - ''23 ''24'!$C$2:$C$1577,'Site Level Financials - ''23 ''24'!$AF$2:$AF$1577)</f>
        <v>-0.13528823873366058</v>
      </c>
      <c r="AG527" s="97">
        <f t="shared" ref="AG527:AH527" si="1469">AG526/AG517</f>
        <v>-9.4120204879742028E-2</v>
      </c>
      <c r="AH527" s="97">
        <f t="shared" si="1469"/>
        <v>-0.1140790422214448</v>
      </c>
    </row>
    <row r="528" spans="2:34" ht="6" customHeight="1" x14ac:dyDescent="0.2">
      <c r="B528" s="9">
        <f>G505</f>
        <v>11</v>
      </c>
      <c r="C528" s="9" t="str">
        <f t="shared" si="1408"/>
        <v xml:space="preserve">11 - </v>
      </c>
      <c r="D528" s="9" t="s">
        <v>56</v>
      </c>
      <c r="F528" s="16"/>
      <c r="G528" s="80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80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81"/>
      <c r="AE528" s="15"/>
      <c r="AF528" s="11"/>
      <c r="AG528" s="15"/>
      <c r="AH528" s="15"/>
    </row>
    <row r="529" spans="2:34" x14ac:dyDescent="0.2">
      <c r="B529" s="9">
        <f>G505</f>
        <v>11</v>
      </c>
      <c r="C529" s="9" t="str">
        <f t="shared" si="1408"/>
        <v>11 - Office Gross Profit</v>
      </c>
      <c r="D529" s="9" t="s">
        <v>56</v>
      </c>
      <c r="F529" s="8" t="s">
        <v>11</v>
      </c>
      <c r="G529" s="241">
        <f>_xlfn.XLOOKUP($C529,'Site Level Financials - ''23 ''24'!$C$2:$C$1577,'Site Level Financials - ''23 ''24'!S$2:S$1577)</f>
        <v>241.63581685892865</v>
      </c>
      <c r="H529" s="242">
        <f>_xlfn.XLOOKUP($C529,'Site Level Financials - ''23 ''24'!$C$2:$C$1577,'Site Level Financials - ''23 ''24'!T$2:T$1577)</f>
        <v>136.08596114926078</v>
      </c>
      <c r="I529" s="242">
        <f>_xlfn.XLOOKUP($C529,'Site Level Financials - ''23 ''24'!$C$2:$C$1577,'Site Level Financials - ''23 ''24'!U$2:U$1577)</f>
        <v>40.656913443082423</v>
      </c>
      <c r="J529" s="242">
        <f>_xlfn.XLOOKUP($C529,'Site Level Financials - ''23 ''24'!$C$2:$C$1577,'Site Level Financials - ''23 ''24'!V$2:V$1577)</f>
        <v>-117.50340978172338</v>
      </c>
      <c r="K529" s="242">
        <f>_xlfn.XLOOKUP($C529,'Site Level Financials - ''23 ''24'!$C$2:$C$1577,'Site Level Financials - ''23 ''24'!W$2:W$1577)</f>
        <v>-66.429244696942817</v>
      </c>
      <c r="L529" s="242">
        <f>_xlfn.XLOOKUP($C529,'Site Level Financials - ''23 ''24'!$C$2:$C$1577,'Site Level Financials - ''23 ''24'!X$2:X$1577)</f>
        <v>44.125964362272057</v>
      </c>
      <c r="M529" s="242">
        <f>_xlfn.XLOOKUP($C529,'Site Level Financials - ''23 ''24'!$C$2:$C$1577,'Site Level Financials - ''23 ''24'!Y$2:Y$1577)</f>
        <v>45.944922561070101</v>
      </c>
      <c r="N529" s="242">
        <f>_xlfn.XLOOKUP($C529,'Site Level Financials - ''23 ''24'!$C$2:$C$1577,'Site Level Financials - ''23 ''24'!Z$2:Z$1577)</f>
        <v>199.05749956165675</v>
      </c>
      <c r="O529" s="242">
        <f>_xlfn.XLOOKUP($C529,'Site Level Financials - ''23 ''24'!$C$2:$C$1577,'Site Level Financials - ''23 ''24'!AA$2:AA$1577)</f>
        <v>47.588194754419497</v>
      </c>
      <c r="P529" s="242">
        <f>_xlfn.XLOOKUP($C529,'Site Level Financials - ''23 ''24'!$C$2:$C$1577,'Site Level Financials - ''23 ''24'!AB$2:AB$1577)</f>
        <v>57.708557799000424</v>
      </c>
      <c r="Q529" s="242">
        <f>_xlfn.XLOOKUP($C529,'Site Level Financials - ''23 ''24'!$C$2:$C$1577,'Site Level Financials - ''23 ''24'!AC$2:AC$1577)</f>
        <v>180.21132453644816</v>
      </c>
      <c r="R529" s="242">
        <f>_xlfn.XLOOKUP($C529,'Site Level Financials - ''23 ''24'!$C$2:$C$1577,'Site Level Financials - ''23 ''24'!AD$2:AD$1577)</f>
        <v>232.56465937544374</v>
      </c>
      <c r="S529" s="134">
        <f t="shared" ref="S529:AD529" si="1470">S517+S520+S523+S526</f>
        <v>338.25225216377305</v>
      </c>
      <c r="T529" s="135">
        <f t="shared" si="1470"/>
        <v>243.44775913760165</v>
      </c>
      <c r="U529" s="135">
        <f t="shared" si="1470"/>
        <v>94.689041886908299</v>
      </c>
      <c r="V529" s="135">
        <f t="shared" si="1470"/>
        <v>-529.54453483373152</v>
      </c>
      <c r="W529" s="135">
        <f t="shared" si="1470"/>
        <v>-288.81130307271235</v>
      </c>
      <c r="X529" s="135">
        <f t="shared" si="1470"/>
        <v>102.30549127225675</v>
      </c>
      <c r="Y529" s="135">
        <f t="shared" si="1470"/>
        <v>99.090876525997857</v>
      </c>
      <c r="Z529" s="135">
        <f t="shared" si="1470"/>
        <v>273.82872672387663</v>
      </c>
      <c r="AA529" s="135">
        <f t="shared" si="1470"/>
        <v>85.151928683983982</v>
      </c>
      <c r="AB529" s="135">
        <f t="shared" si="1470"/>
        <v>108.21777139067611</v>
      </c>
      <c r="AC529" s="135">
        <f t="shared" si="1470"/>
        <v>231.15234873219049</v>
      </c>
      <c r="AD529" s="136">
        <f t="shared" si="1470"/>
        <v>238.45202276074588</v>
      </c>
      <c r="AE529" s="15"/>
      <c r="AF529" s="114">
        <f>_xlfn.XLOOKUP($C529,'Site Level Financials - ''23 ''24'!$C$2:$C$1577,'Site Level Financials - ''23 ''24'!$AF$2:$AF$1577)</f>
        <v>425.87905066901033</v>
      </c>
      <c r="AG529" s="95">
        <f>SUM(G529:R529)</f>
        <v>1041.6471599229164</v>
      </c>
      <c r="AH529" s="95">
        <f t="shared" ref="AH529" si="1471">SUM(S529:AD529)</f>
        <v>996.23238137156693</v>
      </c>
    </row>
    <row r="530" spans="2:34" x14ac:dyDescent="0.2">
      <c r="B530" s="9">
        <f>G505</f>
        <v>11</v>
      </c>
      <c r="C530" s="9" t="str">
        <f t="shared" si="1408"/>
        <v>11 - % of Revenue - Office Gross Profit</v>
      </c>
      <c r="D530" s="9" t="s">
        <v>56</v>
      </c>
      <c r="F530" s="16" t="str">
        <f>"% of Revenue - "&amp;F529</f>
        <v>% of Revenue - Office Gross Profit</v>
      </c>
      <c r="G530" s="148">
        <f>G529/G517</f>
        <v>0.53426201138144458</v>
      </c>
      <c r="H530" s="149">
        <f t="shared" ref="H530:AD530" si="1472">H529/H517</f>
        <v>0.37134549745413015</v>
      </c>
      <c r="I530" s="149">
        <f t="shared" si="1472"/>
        <v>0.13450953083077163</v>
      </c>
      <c r="J530" s="149">
        <f t="shared" si="1472"/>
        <v>-0.7022647248445828</v>
      </c>
      <c r="K530" s="149">
        <f t="shared" si="1472"/>
        <v>-0.32226199658483523</v>
      </c>
      <c r="L530" s="149">
        <f t="shared" si="1472"/>
        <v>0.13593913077757488</v>
      </c>
      <c r="M530" s="149">
        <f t="shared" si="1472"/>
        <v>0.13069568541613519</v>
      </c>
      <c r="N530" s="149">
        <f t="shared" si="1472"/>
        <v>0.4211890798302963</v>
      </c>
      <c r="O530" s="149">
        <f t="shared" si="1472"/>
        <v>0.14285664151930164</v>
      </c>
      <c r="P530" s="149">
        <f t="shared" si="1472"/>
        <v>0.15807976369164209</v>
      </c>
      <c r="Q530" s="149">
        <f t="shared" si="1472"/>
        <v>0.42716059391247768</v>
      </c>
      <c r="R530" s="149">
        <f t="shared" si="1472"/>
        <v>0.53987176200868647</v>
      </c>
      <c r="S530" s="148">
        <f t="shared" si="1472"/>
        <v>0.53426201138144458</v>
      </c>
      <c r="T530" s="149">
        <f t="shared" si="1472"/>
        <v>0.37134549745413009</v>
      </c>
      <c r="U530" s="149">
        <f t="shared" si="1472"/>
        <v>0.13450953083077163</v>
      </c>
      <c r="V530" s="149">
        <f t="shared" si="1472"/>
        <v>-0.70226472484458269</v>
      </c>
      <c r="W530" s="149">
        <f t="shared" si="1472"/>
        <v>-0.32226199658483529</v>
      </c>
      <c r="X530" s="149">
        <f t="shared" si="1472"/>
        <v>0.13593913077757488</v>
      </c>
      <c r="Y530" s="149">
        <f t="shared" si="1472"/>
        <v>0.13069568541613522</v>
      </c>
      <c r="Z530" s="149">
        <f t="shared" si="1472"/>
        <v>0.42118907983029613</v>
      </c>
      <c r="AA530" s="149">
        <f t="shared" si="1472"/>
        <v>0.14285664151930161</v>
      </c>
      <c r="AB530" s="149">
        <f t="shared" si="1472"/>
        <v>0.15807976369164203</v>
      </c>
      <c r="AC530" s="149">
        <f t="shared" si="1472"/>
        <v>0.42716059391247757</v>
      </c>
      <c r="AD530" s="150">
        <f t="shared" si="1472"/>
        <v>0.53987176200868658</v>
      </c>
      <c r="AE530" s="15"/>
      <c r="AF530" s="233">
        <f>_xlfn.XLOOKUP($C530,'Site Level Financials - ''23 ''24'!$C$2:$C$1577,'Site Level Financials - ''23 ''24'!$AF$2:$AF$1577)</f>
        <v>0.12846362408686657</v>
      </c>
      <c r="AG530" s="97">
        <f t="shared" ref="AG530:AH530" si="1473">AG529/AG517</f>
        <v>0.24836304082855834</v>
      </c>
      <c r="AH530" s="97">
        <f t="shared" si="1473"/>
        <v>0.12349061214975325</v>
      </c>
    </row>
    <row r="531" spans="2:34" ht="6" customHeight="1" x14ac:dyDescent="0.2">
      <c r="B531" s="9">
        <f>G505</f>
        <v>11</v>
      </c>
      <c r="C531" s="9" t="str">
        <f t="shared" si="1408"/>
        <v xml:space="preserve">11 - </v>
      </c>
      <c r="D531" s="9" t="s">
        <v>56</v>
      </c>
      <c r="F531" s="16"/>
      <c r="G531" s="80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80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81"/>
      <c r="AE531" s="15"/>
      <c r="AF531" s="11"/>
      <c r="AG531" s="15"/>
      <c r="AH531" s="15"/>
    </row>
    <row r="532" spans="2:34" x14ac:dyDescent="0.2">
      <c r="B532" s="9">
        <f>G505</f>
        <v>11</v>
      </c>
      <c r="C532" s="9" t="str">
        <f t="shared" si="1408"/>
        <v>11 - General and Administrative Expense</v>
      </c>
      <c r="D532" s="9" t="s">
        <v>56</v>
      </c>
      <c r="F532" t="s">
        <v>10</v>
      </c>
      <c r="G532" s="178">
        <f>_xlfn.XLOOKUP($C532,'Site Level Financials - ''23 ''24'!$C$2:$C$1577,'Site Level Financials - ''23 ''24'!S$2:S$1577)</f>
        <v>-23.507303390052193</v>
      </c>
      <c r="H532" s="179">
        <f>_xlfn.XLOOKUP($C532,'Site Level Financials - ''23 ''24'!$C$2:$C$1577,'Site Level Financials - ''23 ''24'!T$2:T$1577)</f>
        <v>-24.54313678400009</v>
      </c>
      <c r="I532" s="179">
        <f>_xlfn.XLOOKUP($C532,'Site Level Financials - ''23 ''24'!$C$2:$C$1577,'Site Level Financials - ''23 ''24'!U$2:U$1577)</f>
        <v>-28.409746185727212</v>
      </c>
      <c r="J532" s="179">
        <f>_xlfn.XLOOKUP($C532,'Site Level Financials - ''23 ''24'!$C$2:$C$1577,'Site Level Financials - ''23 ''24'!V$2:V$1577)</f>
        <v>-29.178638311304333</v>
      </c>
      <c r="K532" s="179">
        <f>_xlfn.XLOOKUP($C532,'Site Level Financials - ''23 ''24'!$C$2:$C$1577,'Site Level Financials - ''23 ''24'!W$2:W$1577)</f>
        <v>-34.128346749057833</v>
      </c>
      <c r="L532" s="179">
        <f>_xlfn.XLOOKUP($C532,'Site Level Financials - ''23 ''24'!$C$2:$C$1577,'Site Level Financials - ''23 ''24'!X$2:X$1577)</f>
        <v>-26.920595896039927</v>
      </c>
      <c r="M532" s="179">
        <f>_xlfn.XLOOKUP($C532,'Site Level Financials - ''23 ''24'!$C$2:$C$1577,'Site Level Financials - ''23 ''24'!Y$2:Y$1577)</f>
        <v>-29.734557522073501</v>
      </c>
      <c r="N532" s="179">
        <f>_xlfn.XLOOKUP($C532,'Site Level Financials - ''23 ''24'!$C$2:$C$1577,'Site Level Financials - ''23 ''24'!Z$2:Z$1577)</f>
        <v>-26.095947793503559</v>
      </c>
      <c r="O532" s="179">
        <f>_xlfn.XLOOKUP($C532,'Site Level Financials - ''23 ''24'!$C$2:$C$1577,'Site Level Financials - ''23 ''24'!AA$2:AA$1577)</f>
        <v>-26.734297454353893</v>
      </c>
      <c r="P532" s="179">
        <f>_xlfn.XLOOKUP($C532,'Site Level Financials - ''23 ''24'!$C$2:$C$1577,'Site Level Financials - ''23 ''24'!AB$2:AB$1577)</f>
        <v>-31.80472943105902</v>
      </c>
      <c r="Q532" s="179">
        <f>_xlfn.XLOOKUP($C532,'Site Level Financials - ''23 ''24'!$C$2:$C$1577,'Site Level Financials - ''23 ''24'!AC$2:AC$1577)</f>
        <v>-25.507944435753291</v>
      </c>
      <c r="R532" s="179">
        <f>_xlfn.XLOOKUP($C532,'Site Level Financials - ''23 ''24'!$C$2:$C$1577,'Site Level Financials - ''23 ''24'!AD$2:AD$1577)</f>
        <v>-20.424856350284312</v>
      </c>
      <c r="S532" s="155">
        <f>S533*S517</f>
        <v>-32.906538514629318</v>
      </c>
      <c r="T532" s="154">
        <f t="shared" ref="T532" si="1474">T533*T517</f>
        <v>-43.905863630702079</v>
      </c>
      <c r="U532" s="154">
        <f t="shared" ref="U532" si="1475">U533*U517</f>
        <v>-66.165663321755744</v>
      </c>
      <c r="V532" s="154">
        <f t="shared" ref="V532" si="1476">V533*V517</f>
        <v>-131.49736233479652</v>
      </c>
      <c r="W532" s="154">
        <f t="shared" ref="W532" si="1477">W533*W517</f>
        <v>-148.37820814130643</v>
      </c>
      <c r="X532" s="154">
        <f t="shared" ref="X532" si="1478">X533*X517</f>
        <v>-62.415061705508144</v>
      </c>
      <c r="Y532" s="154">
        <f t="shared" ref="Y532" si="1479">Y533*Y517</f>
        <v>-64.129466407491989</v>
      </c>
      <c r="Z532" s="154">
        <f t="shared" ref="Z532" si="1480">Z533*Z517</f>
        <v>-35.898271467709606</v>
      </c>
      <c r="AA532" s="154">
        <f t="shared" ref="AA532" si="1481">AA533*AA517</f>
        <v>-47.837010880479816</v>
      </c>
      <c r="AB532" s="154">
        <f t="shared" ref="AB532" si="1482">AB533*AB517</f>
        <v>-59.641707746372944</v>
      </c>
      <c r="AC532" s="154">
        <f t="shared" ref="AC532" si="1483">AC533*AC517</f>
        <v>-32.718372626255572</v>
      </c>
      <c r="AD532" s="156">
        <f t="shared" ref="AD532" si="1484">AD533*AD517</f>
        <v>-20.94191062564003</v>
      </c>
      <c r="AE532" s="15"/>
      <c r="AF532" s="115">
        <f>_xlfn.XLOOKUP($C532,'Site Level Financials - ''23 ''24'!$C$2:$C$1577,'Site Level Financials - ''23 ''24'!$AF$2:$AF$1577)</f>
        <v>-368.34896396270557</v>
      </c>
      <c r="AG532" s="93">
        <f>SUM(G532:R532)</f>
        <v>-326.99010030320915</v>
      </c>
      <c r="AH532" s="93">
        <f t="shared" ref="AH532" si="1485">SUM(S532:AD532)</f>
        <v>-746.43543740264829</v>
      </c>
    </row>
    <row r="533" spans="2:34" x14ac:dyDescent="0.2">
      <c r="B533" s="9">
        <f>G505</f>
        <v>11</v>
      </c>
      <c r="C533" s="9" t="str">
        <f t="shared" si="1408"/>
        <v>11 - % of Revenue - General and Administrative Expense</v>
      </c>
      <c r="D533" s="9" t="s">
        <v>56</v>
      </c>
      <c r="F533" s="16" t="str">
        <f>"% of Revenue - "&amp;F532</f>
        <v>% of Revenue - General and Administrative Expense</v>
      </c>
      <c r="G533" s="148">
        <f>G532/G517</f>
        <v>-5.1975155647787687E-2</v>
      </c>
      <c r="H533" s="149">
        <f t="shared" ref="H533:R533" si="1486">H532/H517</f>
        <v>-6.6972252399664811E-2</v>
      </c>
      <c r="I533" s="149">
        <f t="shared" si="1486"/>
        <v>-9.3990942913391787E-2</v>
      </c>
      <c r="J533" s="149">
        <f t="shared" si="1486"/>
        <v>-0.17438752154590628</v>
      </c>
      <c r="K533" s="149">
        <f t="shared" si="1486"/>
        <v>-0.16556366422147664</v>
      </c>
      <c r="L533" s="149">
        <f t="shared" si="1486"/>
        <v>-8.2934445943825388E-2</v>
      </c>
      <c r="M533" s="149">
        <f t="shared" si="1486"/>
        <v>-8.4583413340775085E-2</v>
      </c>
      <c r="N533" s="149">
        <f t="shared" si="1486"/>
        <v>-5.5216850722274467E-2</v>
      </c>
      <c r="O533" s="149">
        <f t="shared" si="1486"/>
        <v>-8.0254608677971073E-2</v>
      </c>
      <c r="P533" s="149">
        <f t="shared" si="1486"/>
        <v>-8.7121985100544475E-2</v>
      </c>
      <c r="Q533" s="149">
        <f t="shared" si="1486"/>
        <v>-6.046228627801422E-2</v>
      </c>
      <c r="R533" s="149">
        <f t="shared" si="1486"/>
        <v>-4.7413924438110953E-2</v>
      </c>
      <c r="S533" s="245">
        <f>_xlfn.XLOOKUP($F533,'Budget Assumption Driver'!$A$33:$A$39,'Budget Assumption Driver'!E$33:E$39)+G533</f>
        <v>-5.1975155647787687E-2</v>
      </c>
      <c r="T533" s="246">
        <f>_xlfn.XLOOKUP($F533,'Budget Assumption Driver'!$A$33:$A$39,'Budget Assumption Driver'!F$33:F$39)+H533</f>
        <v>-6.6972252399664811E-2</v>
      </c>
      <c r="U533" s="246">
        <f>_xlfn.XLOOKUP($F533,'Budget Assumption Driver'!$A$33:$A$39,'Budget Assumption Driver'!G$33:G$39)+I533</f>
        <v>-9.3990942913391787E-2</v>
      </c>
      <c r="V533" s="246">
        <f>_xlfn.XLOOKUP($F533,'Budget Assumption Driver'!$A$33:$A$39,'Budget Assumption Driver'!H$33:H$39)+J533</f>
        <v>-0.17438752154590628</v>
      </c>
      <c r="W533" s="246">
        <f>_xlfn.XLOOKUP($F533,'Budget Assumption Driver'!$A$33:$A$39,'Budget Assumption Driver'!I$33:I$39)+K533</f>
        <v>-0.16556366422147664</v>
      </c>
      <c r="X533" s="246">
        <f>_xlfn.XLOOKUP($F533,'Budget Assumption Driver'!$A$33:$A$39,'Budget Assumption Driver'!J$33:J$39)+L533</f>
        <v>-8.2934445943825388E-2</v>
      </c>
      <c r="Y533" s="246">
        <f>_xlfn.XLOOKUP($F533,'Budget Assumption Driver'!$A$33:$A$39,'Budget Assumption Driver'!K$33:K$39)+M533</f>
        <v>-8.4583413340775085E-2</v>
      </c>
      <c r="Z533" s="246">
        <f>_xlfn.XLOOKUP($F533,'Budget Assumption Driver'!$A$33:$A$39,'Budget Assumption Driver'!L$33:L$39)+N533</f>
        <v>-5.5216850722274467E-2</v>
      </c>
      <c r="AA533" s="246">
        <f>_xlfn.XLOOKUP($F533,'Budget Assumption Driver'!$A$33:$A$39,'Budget Assumption Driver'!M$33:M$39)+O533</f>
        <v>-8.0254608677971073E-2</v>
      </c>
      <c r="AB533" s="246">
        <f>_xlfn.XLOOKUP($F533,'Budget Assumption Driver'!$A$33:$A$39,'Budget Assumption Driver'!N$33:N$39)+P533</f>
        <v>-8.7121985100544475E-2</v>
      </c>
      <c r="AC533" s="246">
        <f>_xlfn.XLOOKUP($F533,'Budget Assumption Driver'!$A$33:$A$39,'Budget Assumption Driver'!O$33:O$39)+Q533</f>
        <v>-6.046228627801422E-2</v>
      </c>
      <c r="AD533" s="296">
        <f>_xlfn.XLOOKUP($F533,'Budget Assumption Driver'!$A$33:$A$39,'Budget Assumption Driver'!P$33:P$39)+R533</f>
        <v>-4.7413924438110953E-2</v>
      </c>
      <c r="AE533" s="15"/>
      <c r="AF533" s="232">
        <f>_xlfn.XLOOKUP($C533,'Site Level Financials - ''23 ''24'!$C$2:$C$1577,'Site Level Financials - ''23 ''24'!$AF$2:$AF$1577)</f>
        <v>-0.11111005052950595</v>
      </c>
      <c r="AG533" s="97">
        <f t="shared" ref="AG533:AH533" si="1487">AG532/AG517</f>
        <v>-7.7965225420621467E-2</v>
      </c>
      <c r="AH533" s="97">
        <f t="shared" si="1487"/>
        <v>-9.2526373182345009E-2</v>
      </c>
    </row>
    <row r="534" spans="2:34" ht="3" customHeight="1" x14ac:dyDescent="0.2">
      <c r="B534" s="9">
        <f>G505</f>
        <v>11</v>
      </c>
      <c r="C534" s="9" t="str">
        <f t="shared" si="1408"/>
        <v xml:space="preserve">11 - </v>
      </c>
      <c r="D534" s="9" t="s">
        <v>56</v>
      </c>
      <c r="F534" s="16"/>
      <c r="G534" s="84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4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6"/>
      <c r="AE534" s="15"/>
      <c r="AF534" s="36"/>
      <c r="AG534" s="38"/>
      <c r="AH534" s="38"/>
    </row>
    <row r="535" spans="2:34" x14ac:dyDescent="0.2">
      <c r="B535" s="9">
        <f>G505</f>
        <v>11</v>
      </c>
      <c r="C535" s="9" t="str">
        <f t="shared" si="1408"/>
        <v>11 - Marketing</v>
      </c>
      <c r="D535" s="9" t="s">
        <v>56</v>
      </c>
      <c r="F535" t="s">
        <v>7</v>
      </c>
      <c r="G535" s="178">
        <f>_xlfn.XLOOKUP($C535,'Site Level Financials - ''23 ''24'!$C$2:$C$1577,'Site Level Financials - ''23 ''24'!S$2:S$1577)</f>
        <v>-10.507658681341397</v>
      </c>
      <c r="H535" s="179">
        <f>_xlfn.XLOOKUP($C535,'Site Level Financials - ''23 ''24'!$C$2:$C$1577,'Site Level Financials - ''23 ''24'!T$2:T$1577)</f>
        <v>-12.922328656849325</v>
      </c>
      <c r="I535" s="179">
        <f>_xlfn.XLOOKUP($C535,'Site Level Financials - ''23 ''24'!$C$2:$C$1577,'Site Level Financials - ''23 ''24'!U$2:U$1577)</f>
        <v>-18.245011446977827</v>
      </c>
      <c r="J535" s="179">
        <f>_xlfn.XLOOKUP($C535,'Site Level Financials - ''23 ''24'!$C$2:$C$1577,'Site Level Financials - ''23 ''24'!V$2:V$1577)</f>
        <v>-21.713700887603391</v>
      </c>
      <c r="K535" s="179">
        <f>_xlfn.XLOOKUP($C535,'Site Level Financials - ''23 ''24'!$C$2:$C$1577,'Site Level Financials - ''23 ''24'!W$2:W$1577)</f>
        <v>-25.351075944461378</v>
      </c>
      <c r="L535" s="179">
        <f>_xlfn.XLOOKUP($C535,'Site Level Financials - ''23 ''24'!$C$2:$C$1577,'Site Level Financials - ''23 ''24'!X$2:X$1577)</f>
        <v>-21.09709177901459</v>
      </c>
      <c r="M535" s="179">
        <f>_xlfn.XLOOKUP($C535,'Site Level Financials - ''23 ''24'!$C$2:$C$1577,'Site Level Financials - ''23 ''24'!Y$2:Y$1577)</f>
        <v>-23.309522129195297</v>
      </c>
      <c r="N535" s="179">
        <f>_xlfn.XLOOKUP($C535,'Site Level Financials - ''23 ''24'!$C$2:$C$1577,'Site Level Financials - ''23 ''24'!Z$2:Z$1577)</f>
        <v>-19.001259381136339</v>
      </c>
      <c r="O535" s="179">
        <f>_xlfn.XLOOKUP($C535,'Site Level Financials - ''23 ''24'!$C$2:$C$1577,'Site Level Financials - ''23 ''24'!AA$2:AA$1577)</f>
        <v>-19.27964716441782</v>
      </c>
      <c r="P535" s="179">
        <f>_xlfn.XLOOKUP($C535,'Site Level Financials - ''23 ''24'!$C$2:$C$1577,'Site Level Financials - ''23 ''24'!AB$2:AB$1577)</f>
        <v>-22.623902433958037</v>
      </c>
      <c r="Q535" s="179">
        <f>_xlfn.XLOOKUP($C535,'Site Level Financials - ''23 ''24'!$C$2:$C$1577,'Site Level Financials - ''23 ''24'!AC$2:AC$1577)</f>
        <v>-17.149265011826227</v>
      </c>
      <c r="R535" s="179">
        <f>_xlfn.XLOOKUP($C535,'Site Level Financials - ''23 ''24'!$C$2:$C$1577,'Site Level Financials - ''23 ''24'!AD$2:AD$1577)</f>
        <v>-11.930466683261873</v>
      </c>
      <c r="S535" s="155">
        <f>S536*S517</f>
        <v>-14.709074425034341</v>
      </c>
      <c r="T535" s="154">
        <f t="shared" ref="T535" si="1488">T536*T517</f>
        <v>-23.117093988108785</v>
      </c>
      <c r="U535" s="154">
        <f t="shared" ref="U535" si="1489">U536*U517</f>
        <v>-42.492223507044109</v>
      </c>
      <c r="V535" s="154">
        <f t="shared" ref="V535" si="1490">V536*V517</f>
        <v>-97.855642295013581</v>
      </c>
      <c r="W535" s="154">
        <f t="shared" ref="W535" si="1491">W536*W517</f>
        <v>-110.21768064980179</v>
      </c>
      <c r="X535" s="154">
        <f t="shared" ref="X535" si="1492">X536*X517</f>
        <v>-48.913340933425054</v>
      </c>
      <c r="Y535" s="154">
        <f t="shared" ref="Y535" si="1493">Y536*Y517</f>
        <v>-50.272388121102303</v>
      </c>
      <c r="Z535" s="154">
        <f t="shared" ref="Z535" si="1494">Z536*Z517</f>
        <v>-26.138631671473693</v>
      </c>
      <c r="AA535" s="154">
        <f t="shared" ref="AA535" si="1495">AA536*AA517</f>
        <v>-34.498033574690638</v>
      </c>
      <c r="AB535" s="154">
        <f t="shared" ref="AB535" si="1496">AB536*AB517</f>
        <v>-42.42539399599135</v>
      </c>
      <c r="AC535" s="154">
        <f t="shared" ref="AC535" si="1497">AC536*AC517</f>
        <v>-21.996913327789581</v>
      </c>
      <c r="AD535" s="156">
        <f t="shared" ref="AD535" si="1498">AD536*AD517</f>
        <v>-12.232485884757194</v>
      </c>
      <c r="AE535" s="15"/>
      <c r="AF535" s="115">
        <f>_xlfn.XLOOKUP($C535,'Site Level Financials - ''23 ''24'!$C$2:$C$1577,'Site Level Financials - ''23 ''24'!$AF$2:$AF$1577)</f>
        <v>-151.73610946672272</v>
      </c>
      <c r="AG535" s="93">
        <f>SUM(G535:R535)</f>
        <v>-223.13093020004348</v>
      </c>
      <c r="AH535" s="93">
        <f t="shared" ref="AH535" si="1499">SUM(S535:AD535)</f>
        <v>-524.86890237423245</v>
      </c>
    </row>
    <row r="536" spans="2:34" x14ac:dyDescent="0.2">
      <c r="B536" s="9">
        <f>G505</f>
        <v>11</v>
      </c>
      <c r="C536" s="9" t="str">
        <f t="shared" si="1408"/>
        <v>11 - % of Revenue - Marketing</v>
      </c>
      <c r="D536" s="9" t="s">
        <v>56</v>
      </c>
      <c r="F536" s="16" t="str">
        <f>"% of Revenue - "&amp;F535</f>
        <v>% of Revenue - Marketing</v>
      </c>
      <c r="G536" s="148">
        <f>G535/G517</f>
        <v>-2.323266035217211E-2</v>
      </c>
      <c r="H536" s="149">
        <f t="shared" ref="H536:R536" si="1500">H535/H517</f>
        <v>-3.5261892724410097E-2</v>
      </c>
      <c r="I536" s="149">
        <f t="shared" si="1500"/>
        <v>-6.0361884902322888E-2</v>
      </c>
      <c r="J536" s="149">
        <f t="shared" si="1500"/>
        <v>-0.12977296750380923</v>
      </c>
      <c r="K536" s="149">
        <f t="shared" si="1500"/>
        <v>-0.12298330933471978</v>
      </c>
      <c r="L536" s="149">
        <f t="shared" si="1500"/>
        <v>-6.4993940865030755E-2</v>
      </c>
      <c r="M536" s="149">
        <f t="shared" si="1500"/>
        <v>-6.6306651564128696E-2</v>
      </c>
      <c r="N536" s="149">
        <f t="shared" si="1500"/>
        <v>-4.0205081305558575E-2</v>
      </c>
      <c r="O536" s="149">
        <f t="shared" si="1500"/>
        <v>-5.7876237117191191E-2</v>
      </c>
      <c r="P536" s="149">
        <f t="shared" si="1500"/>
        <v>-6.1973150724012722E-2</v>
      </c>
      <c r="Q536" s="149">
        <f t="shared" si="1500"/>
        <v>-4.0649444458927819E-2</v>
      </c>
      <c r="R536" s="149">
        <f t="shared" si="1500"/>
        <v>-2.7695188457161637E-2</v>
      </c>
      <c r="S536" s="245">
        <f>_xlfn.XLOOKUP($F536,'Budget Assumption Driver'!$A$33:$A$39,'Budget Assumption Driver'!E$33:E$39)+G536</f>
        <v>-2.323266035217211E-2</v>
      </c>
      <c r="T536" s="246">
        <f>_xlfn.XLOOKUP($F536,'Budget Assumption Driver'!$A$33:$A$39,'Budget Assumption Driver'!F$33:F$39)+H536</f>
        <v>-3.5261892724410097E-2</v>
      </c>
      <c r="U536" s="246">
        <f>_xlfn.XLOOKUP($F536,'Budget Assumption Driver'!$A$33:$A$39,'Budget Assumption Driver'!G$33:G$39)+I536</f>
        <v>-6.0361884902322888E-2</v>
      </c>
      <c r="V536" s="246">
        <f>_xlfn.XLOOKUP($F536,'Budget Assumption Driver'!$A$33:$A$39,'Budget Assumption Driver'!H$33:H$39)+J536</f>
        <v>-0.12977296750380923</v>
      </c>
      <c r="W536" s="246">
        <f>_xlfn.XLOOKUP($F536,'Budget Assumption Driver'!$A$33:$A$39,'Budget Assumption Driver'!I$33:I$39)+K536</f>
        <v>-0.12298330933471978</v>
      </c>
      <c r="X536" s="246">
        <f>_xlfn.XLOOKUP($F536,'Budget Assumption Driver'!$A$33:$A$39,'Budget Assumption Driver'!J$33:J$39)+L536</f>
        <v>-6.4993940865030755E-2</v>
      </c>
      <c r="Y536" s="246">
        <f>_xlfn.XLOOKUP($F536,'Budget Assumption Driver'!$A$33:$A$39,'Budget Assumption Driver'!K$33:K$39)+M536</f>
        <v>-6.6306651564128696E-2</v>
      </c>
      <c r="Z536" s="246">
        <f>_xlfn.XLOOKUP($F536,'Budget Assumption Driver'!$A$33:$A$39,'Budget Assumption Driver'!L$33:L$39)+N536</f>
        <v>-4.0205081305558575E-2</v>
      </c>
      <c r="AA536" s="246">
        <f>_xlfn.XLOOKUP($F536,'Budget Assumption Driver'!$A$33:$A$39,'Budget Assumption Driver'!M$33:M$39)+O536</f>
        <v>-5.7876237117191191E-2</v>
      </c>
      <c r="AB536" s="246">
        <f>_xlfn.XLOOKUP($F536,'Budget Assumption Driver'!$A$33:$A$39,'Budget Assumption Driver'!N$33:N$39)+P536</f>
        <v>-6.1973150724012722E-2</v>
      </c>
      <c r="AC536" s="246">
        <f>_xlfn.XLOOKUP($F536,'Budget Assumption Driver'!$A$33:$A$39,'Budget Assumption Driver'!O$33:O$39)+Q536</f>
        <v>-4.0649444458927819E-2</v>
      </c>
      <c r="AD536" s="296">
        <f>_xlfn.XLOOKUP($F536,'Budget Assumption Driver'!$A$33:$A$39,'Budget Assumption Driver'!P$33:P$39)+R536</f>
        <v>-2.7695188457161637E-2</v>
      </c>
      <c r="AE536" s="15"/>
      <c r="AF536" s="232">
        <f>_xlfn.XLOOKUP($C536,'Site Level Financials - ''23 ''24'!$C$2:$C$1577,'Site Level Financials - ''23 ''24'!$AF$2:$AF$1577)</f>
        <v>-4.5770202822411586E-2</v>
      </c>
      <c r="AG536" s="97">
        <f t="shared" ref="AG536:AH536" si="1501">AG535/AG517</f>
        <v>-5.3201773555921358E-2</v>
      </c>
      <c r="AH536" s="97">
        <f t="shared" si="1501"/>
        <v>-6.5061509005887586E-2</v>
      </c>
    </row>
    <row r="537" spans="2:34" ht="3" customHeight="1" x14ac:dyDescent="0.2">
      <c r="B537" s="9">
        <f>G505</f>
        <v>11</v>
      </c>
      <c r="C537" s="9" t="str">
        <f t="shared" si="1408"/>
        <v xml:space="preserve">11 - </v>
      </c>
      <c r="D537" s="9" t="s">
        <v>56</v>
      </c>
      <c r="F537" s="16"/>
      <c r="G537" s="84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4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6"/>
      <c r="AE537" s="15"/>
      <c r="AF537" s="36"/>
      <c r="AG537" s="38"/>
      <c r="AH537" s="38"/>
    </row>
    <row r="538" spans="2:34" x14ac:dyDescent="0.2">
      <c r="B538" s="9">
        <f>G505</f>
        <v>11</v>
      </c>
      <c r="C538" s="9" t="str">
        <f t="shared" si="1408"/>
        <v>11 - Office Rent</v>
      </c>
      <c r="D538" s="9" t="s">
        <v>56</v>
      </c>
      <c r="F538" t="s">
        <v>162</v>
      </c>
      <c r="G538" s="178">
        <f>_xlfn.XLOOKUP($C538,'Site Level Financials - ''23 ''24'!$C$2:$C$1577,'Site Level Financials - ''23 ''24'!S$2:S$1577)</f>
        <v>-27.533643951671298</v>
      </c>
      <c r="H538" s="179">
        <f>_xlfn.XLOOKUP($C538,'Site Level Financials - ''23 ''24'!$C$2:$C$1577,'Site Level Financials - ''23 ''24'!T$2:T$1577)</f>
        <v>-27.533643951671298</v>
      </c>
      <c r="I538" s="179">
        <f>_xlfn.XLOOKUP($C538,'Site Level Financials - ''23 ''24'!$C$2:$C$1577,'Site Level Financials - ''23 ''24'!U$2:U$1577)</f>
        <v>-27.533643951671298</v>
      </c>
      <c r="J538" s="179">
        <f>_xlfn.XLOOKUP($C538,'Site Level Financials - ''23 ''24'!$C$2:$C$1577,'Site Level Financials - ''23 ''24'!V$2:V$1577)</f>
        <v>-27.533643951671298</v>
      </c>
      <c r="K538" s="179">
        <f>_xlfn.XLOOKUP($C538,'Site Level Financials - ''23 ''24'!$C$2:$C$1577,'Site Level Financials - ''23 ''24'!W$2:W$1577)</f>
        <v>-27.533643951671298</v>
      </c>
      <c r="L538" s="179">
        <f>_xlfn.XLOOKUP($C538,'Site Level Financials - ''23 ''24'!$C$2:$C$1577,'Site Level Financials - ''23 ''24'!X$2:X$1577)</f>
        <v>-27.533643951671298</v>
      </c>
      <c r="M538" s="179">
        <f>_xlfn.XLOOKUP($C538,'Site Level Financials - ''23 ''24'!$C$2:$C$1577,'Site Level Financials - ''23 ''24'!Y$2:Y$1577)</f>
        <v>-28.35965327022144</v>
      </c>
      <c r="N538" s="179">
        <f>_xlfn.XLOOKUP($C538,'Site Level Financials - ''23 ''24'!$C$2:$C$1577,'Site Level Financials - ''23 ''24'!Z$2:Z$1577)</f>
        <v>-28.35965327022144</v>
      </c>
      <c r="O538" s="179">
        <f>_xlfn.XLOOKUP($C538,'Site Level Financials - ''23 ''24'!$C$2:$C$1577,'Site Level Financials - ''23 ''24'!AA$2:AA$1577)</f>
        <v>-28.35965327022144</v>
      </c>
      <c r="P538" s="179">
        <f>_xlfn.XLOOKUP($C538,'Site Level Financials - ''23 ''24'!$C$2:$C$1577,'Site Level Financials - ''23 ''24'!AB$2:AB$1577)</f>
        <v>-28.35965327022144</v>
      </c>
      <c r="Q538" s="179">
        <f>_xlfn.XLOOKUP($C538,'Site Level Financials - ''23 ''24'!$C$2:$C$1577,'Site Level Financials - ''23 ''24'!AC$2:AC$1577)</f>
        <v>-28.35965327022144</v>
      </c>
      <c r="R538" s="179">
        <f>_xlfn.XLOOKUP($C538,'Site Level Financials - ''23 ''24'!$C$2:$C$1577,'Site Level Financials - ''23 ''24'!AD$2:AD$1577)</f>
        <v>-28.35965327022144</v>
      </c>
      <c r="S538" s="155">
        <f>G538*(1+S539)</f>
        <v>-28.359653270221436</v>
      </c>
      <c r="T538" s="154">
        <f t="shared" ref="T538" si="1502">H538*(1+T539)</f>
        <v>-28.359653270221436</v>
      </c>
      <c r="U538" s="154">
        <f t="shared" ref="U538" si="1503">I538*(1+U539)</f>
        <v>-28.359653270221436</v>
      </c>
      <c r="V538" s="154">
        <f t="shared" ref="V538" si="1504">J538*(1+V539)</f>
        <v>-28.359653270221436</v>
      </c>
      <c r="W538" s="154">
        <f t="shared" ref="W538" si="1505">K538*(1+W539)</f>
        <v>-28.359653270221436</v>
      </c>
      <c r="X538" s="154">
        <f t="shared" ref="X538" si="1506">L538*(1+X539)</f>
        <v>-28.359653270221436</v>
      </c>
      <c r="Y538" s="154">
        <f t="shared" ref="Y538" si="1507">M538*(1+Y539)</f>
        <v>-29.210442868328084</v>
      </c>
      <c r="Z538" s="154">
        <f t="shared" ref="Z538" si="1508">N538*(1+Z539)</f>
        <v>-29.210442868328084</v>
      </c>
      <c r="AA538" s="154">
        <f t="shared" ref="AA538" si="1509">O538*(1+AA539)</f>
        <v>-29.210442868328084</v>
      </c>
      <c r="AB538" s="154">
        <f t="shared" ref="AB538" si="1510">P538*(1+AB539)</f>
        <v>-29.210442868328084</v>
      </c>
      <c r="AC538" s="154">
        <f t="shared" ref="AC538" si="1511">Q538*(1+AC539)</f>
        <v>-29.210442868328084</v>
      </c>
      <c r="AD538" s="156">
        <f t="shared" ref="AD538" si="1512">R538*(1+AD539)</f>
        <v>-29.210442868328084</v>
      </c>
      <c r="AE538" s="15"/>
      <c r="AF538" s="115">
        <f>_xlfn.XLOOKUP($C538,'Site Level Financials - ''23 ''24'!$C$2:$C$1577,'Site Level Financials - ''23 ''24'!$AF$2:$AF$1577)</f>
        <v>-325.59235841343644</v>
      </c>
      <c r="AG538" s="93">
        <f>SUM(G538:R538)</f>
        <v>-335.35978333135637</v>
      </c>
      <c r="AH538" s="93">
        <f t="shared" ref="AH538" si="1513">SUM(S538:AD538)</f>
        <v>-345.42057683129707</v>
      </c>
    </row>
    <row r="539" spans="2:34" x14ac:dyDescent="0.2">
      <c r="B539" s="9">
        <f>G505</f>
        <v>11</v>
      </c>
      <c r="C539" s="9" t="str">
        <f t="shared" si="1408"/>
        <v>11 - % YoY Growth</v>
      </c>
      <c r="D539" s="9" t="s">
        <v>56</v>
      </c>
      <c r="F539" s="16" t="s">
        <v>8</v>
      </c>
      <c r="G539" s="245">
        <f>_xlfn.XLOOKUP($C539,'Site Level Financials - ''23 ''24'!$C$2:$C$1577,'Site Level Financials - ''23 ''24'!S$2:S$1577)</f>
        <v>2.99989378298533E-2</v>
      </c>
      <c r="H539" s="246">
        <f>_xlfn.XLOOKUP($C539,'Site Level Financials - ''23 ''24'!$C$2:$C$1577,'Site Level Financials - ''23 ''24'!T$2:T$1577)</f>
        <v>2.99989378298533E-2</v>
      </c>
      <c r="I539" s="246">
        <f>_xlfn.XLOOKUP($C539,'Site Level Financials - ''23 ''24'!$C$2:$C$1577,'Site Level Financials - ''23 ''24'!U$2:U$1577)</f>
        <v>2.99989378298533E-2</v>
      </c>
      <c r="J539" s="246">
        <f>_xlfn.XLOOKUP($C539,'Site Level Financials - ''23 ''24'!$C$2:$C$1577,'Site Level Financials - ''23 ''24'!V$2:V$1577)</f>
        <v>2.99989378298533E-2</v>
      </c>
      <c r="K539" s="246">
        <f>_xlfn.XLOOKUP($C539,'Site Level Financials - ''23 ''24'!$C$2:$C$1577,'Site Level Financials - ''23 ''24'!W$2:W$1577)</f>
        <v>2.99989378298533E-2</v>
      </c>
      <c r="L539" s="246">
        <f>_xlfn.XLOOKUP($C539,'Site Level Financials - ''23 ''24'!$C$2:$C$1577,'Site Level Financials - ''23 ''24'!X$2:X$1577)</f>
        <v>2.99989378298533E-2</v>
      </c>
      <c r="M539" s="246">
        <f>_xlfn.XLOOKUP($C539,'Site Level Financials - ''23 ''24'!$C$2:$C$1577,'Site Level Financials - ''23 ''24'!Y$2:Y$1577)</f>
        <v>2.99989378298533E-2</v>
      </c>
      <c r="N539" s="246">
        <f>_xlfn.XLOOKUP($C539,'Site Level Financials - ''23 ''24'!$C$2:$C$1577,'Site Level Financials - ''23 ''24'!Z$2:Z$1577)</f>
        <v>2.99989378298533E-2</v>
      </c>
      <c r="O539" s="246">
        <f>_xlfn.XLOOKUP($C539,'Site Level Financials - ''23 ''24'!$C$2:$C$1577,'Site Level Financials - ''23 ''24'!AA$2:AA$1577)</f>
        <v>2.99989378298533E-2</v>
      </c>
      <c r="P539" s="246">
        <f>_xlfn.XLOOKUP($C539,'Site Level Financials - ''23 ''24'!$C$2:$C$1577,'Site Level Financials - ''23 ''24'!AB$2:AB$1577)</f>
        <v>2.99989378298533E-2</v>
      </c>
      <c r="Q539" s="246">
        <f>_xlfn.XLOOKUP($C539,'Site Level Financials - ''23 ''24'!$C$2:$C$1577,'Site Level Financials - ''23 ''24'!AC$2:AC$1577)</f>
        <v>2.99989378298533E-2</v>
      </c>
      <c r="R539" s="246">
        <f>_xlfn.XLOOKUP($C539,'Site Level Financials - ''23 ''24'!$C$2:$C$1577,'Site Level Financials - ''23 ''24'!AD$2:AD$1577)</f>
        <v>2.99989378298533E-2</v>
      </c>
      <c r="S539" s="245">
        <f>_xlfn.XLOOKUP($F539,'Budget Assumption Driver'!$A$33:$A$39,'Budget Assumption Driver'!E$33:E$39)</f>
        <v>0.03</v>
      </c>
      <c r="T539" s="246">
        <f>_xlfn.XLOOKUP($F539,'Budget Assumption Driver'!$A$33:$A$39,'Budget Assumption Driver'!F$33:F$39)</f>
        <v>0.03</v>
      </c>
      <c r="U539" s="246">
        <f>_xlfn.XLOOKUP($F539,'Budget Assumption Driver'!$A$33:$A$39,'Budget Assumption Driver'!G$33:G$39)</f>
        <v>0.03</v>
      </c>
      <c r="V539" s="246">
        <f>_xlfn.XLOOKUP($F539,'Budget Assumption Driver'!$A$33:$A$39,'Budget Assumption Driver'!H$33:H$39)</f>
        <v>0.03</v>
      </c>
      <c r="W539" s="246">
        <f>_xlfn.XLOOKUP($F539,'Budget Assumption Driver'!$A$33:$A$39,'Budget Assumption Driver'!I$33:I$39)</f>
        <v>0.03</v>
      </c>
      <c r="X539" s="246">
        <f>_xlfn.XLOOKUP($F539,'Budget Assumption Driver'!$A$33:$A$39,'Budget Assumption Driver'!J$33:J$39)</f>
        <v>0.03</v>
      </c>
      <c r="Y539" s="246">
        <f>_xlfn.XLOOKUP($F539,'Budget Assumption Driver'!$A$33:$A$39,'Budget Assumption Driver'!K$33:K$39)</f>
        <v>0.03</v>
      </c>
      <c r="Z539" s="246">
        <f>_xlfn.XLOOKUP($F539,'Budget Assumption Driver'!$A$33:$A$39,'Budget Assumption Driver'!L$33:L$39)</f>
        <v>0.03</v>
      </c>
      <c r="AA539" s="246">
        <f>_xlfn.XLOOKUP($F539,'Budget Assumption Driver'!$A$33:$A$39,'Budget Assumption Driver'!M$33:M$39)</f>
        <v>0.03</v>
      </c>
      <c r="AB539" s="246">
        <f>_xlfn.XLOOKUP($F539,'Budget Assumption Driver'!$A$33:$A$39,'Budget Assumption Driver'!N$33:N$39)</f>
        <v>0.03</v>
      </c>
      <c r="AC539" s="246">
        <f>_xlfn.XLOOKUP($F539,'Budget Assumption Driver'!$A$33:$A$39,'Budget Assumption Driver'!O$33:O$39)</f>
        <v>0.03</v>
      </c>
      <c r="AD539" s="296">
        <f>_xlfn.XLOOKUP($F539,'Budget Assumption Driver'!$A$33:$A$39,'Budget Assumption Driver'!P$33:P$39)</f>
        <v>0.03</v>
      </c>
      <c r="AE539" s="15"/>
      <c r="AF539" s="11"/>
      <c r="AG539" s="97">
        <f>AG538/AF538-1</f>
        <v>2.9998937829853078E-2</v>
      </c>
      <c r="AH539" s="97">
        <f>AH538/AG538-1</f>
        <v>3.0000000000000027E-2</v>
      </c>
    </row>
    <row r="540" spans="2:34" ht="6" customHeight="1" x14ac:dyDescent="0.2">
      <c r="B540" s="9">
        <f>G505</f>
        <v>11</v>
      </c>
      <c r="C540" s="9" t="str">
        <f t="shared" si="1408"/>
        <v xml:space="preserve">11 - </v>
      </c>
      <c r="D540" s="9" t="s">
        <v>56</v>
      </c>
      <c r="F540" s="16"/>
      <c r="G540" s="80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80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81"/>
      <c r="AE540" s="15"/>
      <c r="AF540" s="11"/>
      <c r="AG540" s="15"/>
      <c r="AH540" s="15"/>
    </row>
    <row r="541" spans="2:34" x14ac:dyDescent="0.2">
      <c r="B541" s="9">
        <f>G505</f>
        <v>11</v>
      </c>
      <c r="C541" s="9" t="str">
        <f t="shared" si="1408"/>
        <v>11 - Office EBITDA</v>
      </c>
      <c r="D541" s="9" t="s">
        <v>56</v>
      </c>
      <c r="F541" s="8" t="s">
        <v>12</v>
      </c>
      <c r="G541" s="241">
        <f>_xlfn.XLOOKUP($C541,'Site Level Financials - ''23 ''24'!$C$2:$C$1577,'Site Level Financials - ''23 ''24'!S$2:S$1577)</f>
        <v>180.08721083586374</v>
      </c>
      <c r="H541" s="242">
        <f>_xlfn.XLOOKUP($C541,'Site Level Financials - ''23 ''24'!$C$2:$C$1577,'Site Level Financials - ''23 ''24'!T$2:T$1577)</f>
        <v>71.08685175674006</v>
      </c>
      <c r="I541" s="242">
        <f>_xlfn.XLOOKUP($C541,'Site Level Financials - ''23 ''24'!$C$2:$C$1577,'Site Level Financials - ''23 ''24'!U$2:U$1577)</f>
        <v>-33.531488141293913</v>
      </c>
      <c r="J541" s="242">
        <f>_xlfn.XLOOKUP($C541,'Site Level Financials - ''23 ''24'!$C$2:$C$1577,'Site Level Financials - ''23 ''24'!V$2:V$1577)</f>
        <v>-195.92939293230239</v>
      </c>
      <c r="K541" s="242">
        <f>_xlfn.XLOOKUP($C541,'Site Level Financials - ''23 ''24'!$C$2:$C$1577,'Site Level Financials - ''23 ''24'!W$2:W$1577)</f>
        <v>-153.44231134213334</v>
      </c>
      <c r="L541" s="242">
        <f>_xlfn.XLOOKUP($C541,'Site Level Financials - ''23 ''24'!$C$2:$C$1577,'Site Level Financials - ''23 ''24'!X$2:X$1577)</f>
        <v>-31.425367264453758</v>
      </c>
      <c r="M541" s="242">
        <f>_xlfn.XLOOKUP($C541,'Site Level Financials - ''23 ''24'!$C$2:$C$1577,'Site Level Financials - ''23 ''24'!Y$2:Y$1577)</f>
        <v>-35.458810360420138</v>
      </c>
      <c r="N541" s="242">
        <f>_xlfn.XLOOKUP($C541,'Site Level Financials - ''23 ''24'!$C$2:$C$1577,'Site Level Financials - ''23 ''24'!Z$2:Z$1577)</f>
        <v>125.60063911679539</v>
      </c>
      <c r="O541" s="242">
        <f>_xlfn.XLOOKUP($C541,'Site Level Financials - ''23 ''24'!$C$2:$C$1577,'Site Level Financials - ''23 ''24'!AA$2:AA$1577)</f>
        <v>-26.785403134573656</v>
      </c>
      <c r="P541" s="242">
        <f>_xlfn.XLOOKUP($C541,'Site Level Financials - ''23 ''24'!$C$2:$C$1577,'Site Level Financials - ''23 ''24'!AB$2:AB$1577)</f>
        <v>-25.079727336238072</v>
      </c>
      <c r="Q541" s="242">
        <f>_xlfn.XLOOKUP($C541,'Site Level Financials - ''23 ''24'!$C$2:$C$1577,'Site Level Financials - ''23 ''24'!AC$2:AC$1577)</f>
        <v>109.19446181864718</v>
      </c>
      <c r="R541" s="242">
        <f>_xlfn.XLOOKUP($C541,'Site Level Financials - ''23 ''24'!$C$2:$C$1577,'Site Level Financials - ''23 ''24'!AD$2:AD$1577)</f>
        <v>171.84968307167614</v>
      </c>
      <c r="S541" s="134">
        <f t="shared" ref="S541:AD541" si="1514">S529+S532+S535+S538</f>
        <v>262.27698595388796</v>
      </c>
      <c r="T541" s="135">
        <f t="shared" si="1514"/>
        <v>148.06514824856936</v>
      </c>
      <c r="U541" s="135">
        <f t="shared" si="1514"/>
        <v>-42.32849821211299</v>
      </c>
      <c r="V541" s="135">
        <f t="shared" si="1514"/>
        <v>-787.25719273376308</v>
      </c>
      <c r="W541" s="135">
        <f t="shared" si="1514"/>
        <v>-575.766845134042</v>
      </c>
      <c r="X541" s="135">
        <f t="shared" si="1514"/>
        <v>-37.382564636897889</v>
      </c>
      <c r="Y541" s="135">
        <f t="shared" si="1514"/>
        <v>-44.521420870924516</v>
      </c>
      <c r="Z541" s="135">
        <f t="shared" si="1514"/>
        <v>182.58138071636526</v>
      </c>
      <c r="AA541" s="135">
        <f t="shared" si="1514"/>
        <v>-26.393558639514556</v>
      </c>
      <c r="AB541" s="135">
        <f t="shared" si="1514"/>
        <v>-23.059773220016272</v>
      </c>
      <c r="AC541" s="135">
        <f t="shared" si="1514"/>
        <v>147.22661990981726</v>
      </c>
      <c r="AD541" s="136">
        <f t="shared" si="1514"/>
        <v>176.0671833820206</v>
      </c>
      <c r="AE541" s="15"/>
      <c r="AF541" s="113">
        <f>_xlfn.XLOOKUP($C541,'Site Level Financials - ''23 ''24'!$C$2:$C$1577,'Site Level Financials - ''23 ''24'!$AF$2:$AF$1577)</f>
        <v>-419.7983811738543</v>
      </c>
      <c r="AG541" s="95">
        <f>SUM(G541:R541)</f>
        <v>156.16634608830725</v>
      </c>
      <c r="AH541" s="95">
        <f t="shared" ref="AH541" si="1515">SUM(S541:AD541)</f>
        <v>-620.49253523661082</v>
      </c>
    </row>
    <row r="542" spans="2:34" x14ac:dyDescent="0.2">
      <c r="B542" s="9">
        <f>G505</f>
        <v>11</v>
      </c>
      <c r="C542" s="9" t="str">
        <f t="shared" si="1408"/>
        <v>11 - % of Revenue - Office EBITDA</v>
      </c>
      <c r="D542" s="9" t="s">
        <v>56</v>
      </c>
      <c r="F542" s="16" t="str">
        <f>"% of Revenue - "&amp;F541</f>
        <v>% of Revenue - Office EBITDA</v>
      </c>
      <c r="G542" s="148">
        <f>G541/G517</f>
        <v>0.39817671376679303</v>
      </c>
      <c r="H542" s="149">
        <f t="shared" ref="H542:AD542" si="1516">H541/H517</f>
        <v>0.19397873303845961</v>
      </c>
      <c r="I542" s="149">
        <f t="shared" si="1516"/>
        <v>-0.11093573899202212</v>
      </c>
      <c r="J542" s="149">
        <f t="shared" si="1516"/>
        <v>-1.1709813483044222</v>
      </c>
      <c r="K542" s="149">
        <f t="shared" si="1516"/>
        <v>-0.74438036800354446</v>
      </c>
      <c r="L542" s="149">
        <f t="shared" si="1516"/>
        <v>-9.6812322904118328E-2</v>
      </c>
      <c r="M542" s="149">
        <f t="shared" si="1516"/>
        <v>-0.10086671749061989</v>
      </c>
      <c r="N542" s="149">
        <f t="shared" si="1516"/>
        <v>0.26576048494628179</v>
      </c>
      <c r="O542" s="149">
        <f t="shared" si="1516"/>
        <v>-8.0408024580306325E-2</v>
      </c>
      <c r="P542" s="149">
        <f t="shared" si="1516"/>
        <v>-6.870033703791506E-2</v>
      </c>
      <c r="Q542" s="149">
        <f t="shared" si="1516"/>
        <v>0.25882708138562588</v>
      </c>
      <c r="R542" s="149">
        <f t="shared" si="1516"/>
        <v>0.39892901806187475</v>
      </c>
      <c r="S542" s="148">
        <f t="shared" si="1516"/>
        <v>0.41426074522319017</v>
      </c>
      <c r="T542" s="149">
        <f t="shared" si="1516"/>
        <v>0.2258526688713812</v>
      </c>
      <c r="U542" s="149">
        <f t="shared" si="1516"/>
        <v>-6.0129306642289188E-2</v>
      </c>
      <c r="V542" s="149">
        <f t="shared" si="1516"/>
        <v>-1.0440348629236345</v>
      </c>
      <c r="W542" s="149">
        <f t="shared" si="1516"/>
        <v>-0.64245329426575015</v>
      </c>
      <c r="X542" s="149">
        <f t="shared" si="1516"/>
        <v>-4.9672341922026235E-2</v>
      </c>
      <c r="Y542" s="149">
        <f t="shared" si="1516"/>
        <v>-5.8721426436257988E-2</v>
      </c>
      <c r="Z542" s="149">
        <f t="shared" si="1516"/>
        <v>0.28083716656805174</v>
      </c>
      <c r="AA542" s="149">
        <f t="shared" si="1516"/>
        <v>-4.4279621181298967E-2</v>
      </c>
      <c r="AB542" s="149">
        <f t="shared" si="1516"/>
        <v>-3.3684703118152554E-2</v>
      </c>
      <c r="AC542" s="149">
        <f t="shared" si="1516"/>
        <v>0.27206909531889217</v>
      </c>
      <c r="AD542" s="150">
        <f t="shared" si="1516"/>
        <v>0.39862819960110568</v>
      </c>
      <c r="AE542" s="15"/>
      <c r="AF542" s="232">
        <f>_xlfn.XLOOKUP($C542,'Site Level Financials - ''23 ''24'!$C$2:$C$1577,'Site Level Financials - ''23 ''24'!$AF$2:$AF$1577)</f>
        <v>-0.12662942999116003</v>
      </c>
      <c r="AG542" s="97">
        <f t="shared" ref="AG542:AH542" si="1517">AG541/AG517</f>
        <v>3.7235207930147146E-2</v>
      </c>
      <c r="AH542" s="97">
        <f t="shared" si="1517"/>
        <v>-7.6914788601056744E-2</v>
      </c>
    </row>
    <row r="543" spans="2:34" ht="6" customHeight="1" x14ac:dyDescent="0.2">
      <c r="B543" s="9">
        <f>G505</f>
        <v>11</v>
      </c>
      <c r="C543" s="9" t="str">
        <f t="shared" si="1408"/>
        <v xml:space="preserve">11 - </v>
      </c>
      <c r="D543" s="9" t="s">
        <v>56</v>
      </c>
      <c r="G543" s="80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80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81"/>
      <c r="AE543" s="15"/>
      <c r="AF543" s="11"/>
      <c r="AG543" s="15"/>
      <c r="AH543" s="15"/>
    </row>
    <row r="544" spans="2:34" x14ac:dyDescent="0.2">
      <c r="B544" s="9">
        <f>G505</f>
        <v>11</v>
      </c>
      <c r="C544" s="9" t="str">
        <f t="shared" si="1408"/>
        <v>11 - Memo:</v>
      </c>
      <c r="D544" s="9" t="s">
        <v>56</v>
      </c>
      <c r="F544" s="6" t="s">
        <v>13</v>
      </c>
      <c r="G544" s="80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80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81"/>
      <c r="AE544" s="15"/>
      <c r="AF544" s="11"/>
      <c r="AG544" s="15"/>
      <c r="AH544" s="15"/>
    </row>
    <row r="545" spans="2:35" s="24" customFormat="1" x14ac:dyDescent="0.2">
      <c r="B545" s="9">
        <f>G505</f>
        <v>11</v>
      </c>
      <c r="C545" s="9" t="str">
        <f t="shared" si="1408"/>
        <v>11 - Collections</v>
      </c>
      <c r="D545" s="9" t="s">
        <v>56</v>
      </c>
      <c r="E545" s="49"/>
      <c r="F545" s="24" t="s">
        <v>15</v>
      </c>
      <c r="G545" s="247">
        <f>_xlfn.XLOOKUP($C545,'Site Level Financials - ''23 ''24'!$C$2:$C$1577,'Site Level Financials - ''23 ''24'!S$2:S$1577)</f>
        <v>449.99144041912712</v>
      </c>
      <c r="H545" s="248">
        <f>_xlfn.XLOOKUP($C545,'Site Level Financials - ''23 ''24'!$C$2:$C$1577,'Site Level Financials - ''23 ''24'!T$2:T$1577)</f>
        <v>365.259637008455</v>
      </c>
      <c r="I545" s="248">
        <f>_xlfn.XLOOKUP($C545,'Site Level Financials - ''23 ''24'!$C$2:$C$1577,'Site Level Financials - ''23 ''24'!U$2:U$1577)</f>
        <v>297.01775226986973</v>
      </c>
      <c r="J545" s="248">
        <f>_xlfn.XLOOKUP($C545,'Site Level Financials - ''23 ''24'!$C$2:$C$1577,'Site Level Financials - ''23 ''24'!V$2:V$1577)</f>
        <v>165.41233877662808</v>
      </c>
      <c r="K545" s="248">
        <f>_xlfn.XLOOKUP($C545,'Site Level Financials - ''23 ''24'!$C$2:$C$1577,'Site Level Financials - ''23 ''24'!W$2:W$1577)</f>
        <v>208.03049042684273</v>
      </c>
      <c r="L545" s="248">
        <f>_xlfn.XLOOKUP($C545,'Site Level Financials - ''23 ''24'!$C$2:$C$1577,'Site Level Financials - ''23 ''24'!X$2:X$1577)</f>
        <v>324.96324457613173</v>
      </c>
      <c r="M545" s="248">
        <f>_xlfn.XLOOKUP($C545,'Site Level Financials - ''23 ''24'!$C$2:$C$1577,'Site Level Financials - ''23 ''24'!Y$2:Y$1577)</f>
        <v>350.24255837448152</v>
      </c>
      <c r="N545" s="248">
        <f>_xlfn.XLOOKUP($C545,'Site Level Financials - ''23 ''24'!$C$2:$C$1577,'Site Level Financials - ''23 ''24'!Z$2:Z$1577)</f>
        <v>462.81520300153664</v>
      </c>
      <c r="O545" s="248">
        <f>_xlfn.XLOOKUP($C545,'Site Level Financials - ''23 ''24'!$C$2:$C$1577,'Site Level Financials - ''23 ''24'!AA$2:AA$1577)</f>
        <v>331.66779645464374</v>
      </c>
      <c r="P545" s="248">
        <f>_xlfn.XLOOKUP($C545,'Site Level Financials - ''23 ''24'!$C$2:$C$1577,'Site Level Financials - ''23 ''24'!AB$2:AB$1577)</f>
        <v>366.43928152477469</v>
      </c>
      <c r="Q545" s="248">
        <f>_xlfn.XLOOKUP($C545,'Site Level Financials - ''23 ''24'!$C$2:$C$1577,'Site Level Financials - ''23 ''24'!AC$2:AC$1577)</f>
        <v>423.87138289607935</v>
      </c>
      <c r="R545" s="248">
        <f>_xlfn.XLOOKUP($C545,'Site Level Financials - ''23 ''24'!$C$2:$C$1577,'Site Level Financials - ''23 ''24'!AD$2:AD$1577)</f>
        <v>421.67813466749857</v>
      </c>
      <c r="S545" s="169">
        <f t="shared" ref="S545:AD545" si="1518">S546*S515</f>
        <v>633.12053815908064</v>
      </c>
      <c r="T545" s="170">
        <f t="shared" si="1518"/>
        <v>655.58290273244302</v>
      </c>
      <c r="U545" s="170">
        <f t="shared" si="1518"/>
        <v>703.95786307542721</v>
      </c>
      <c r="V545" s="170">
        <f t="shared" si="1518"/>
        <v>754.05259028342107</v>
      </c>
      <c r="W545" s="170">
        <f t="shared" si="1518"/>
        <v>896.20031568532454</v>
      </c>
      <c r="X545" s="170">
        <f t="shared" si="1518"/>
        <v>752.58309132232228</v>
      </c>
      <c r="Y545" s="170">
        <f t="shared" si="1518"/>
        <v>758.18016647215552</v>
      </c>
      <c r="Z545" s="170">
        <f t="shared" si="1518"/>
        <v>650.13254102933206</v>
      </c>
      <c r="AA545" s="170">
        <f t="shared" si="1518"/>
        <v>596.06559259954997</v>
      </c>
      <c r="AB545" s="170">
        <f t="shared" si="1518"/>
        <v>684.57700633821082</v>
      </c>
      <c r="AC545" s="170">
        <f t="shared" si="1518"/>
        <v>541.13687457685319</v>
      </c>
      <c r="AD545" s="171">
        <f t="shared" si="1518"/>
        <v>441.68270974859615</v>
      </c>
      <c r="AE545" s="26"/>
      <c r="AF545" s="234">
        <f>_xlfn.XLOOKUP($C545,'Site Level Financials - ''23 ''24'!$C$2:$C$1577,'Site Level Financials - ''23 ''24'!$AF$2:$AF$1577)</f>
        <v>3293.7503582402724</v>
      </c>
      <c r="AG545" s="99">
        <f>SUM(G545:R545)</f>
        <v>4167.3892603960694</v>
      </c>
      <c r="AH545" s="99">
        <f t="shared" ref="AH545" si="1519">SUM(S545:AD545)</f>
        <v>8067.2721920227159</v>
      </c>
    </row>
    <row r="546" spans="2:35" x14ac:dyDescent="0.2">
      <c r="B546" s="9">
        <f>G505</f>
        <v>11</v>
      </c>
      <c r="C546" s="9" t="str">
        <f t="shared" si="1408"/>
        <v>11 - Collections as a % of Production</v>
      </c>
      <c r="D546" s="9" t="s">
        <v>56</v>
      </c>
      <c r="F546" s="16" t="s">
        <v>17</v>
      </c>
      <c r="G546" s="245">
        <f>_xlfn.XLOOKUP($C546,'Site Level Financials - ''23 ''24'!$C$2:$C$1577,'Site Level Financials - ''23 ''24'!S$2:S$1577)</f>
        <v>0.98462786666002167</v>
      </c>
      <c r="H546" s="246">
        <f>_xlfn.XLOOKUP($C546,'Site Level Financials - ''23 ''24'!$C$2:$C$1577,'Site Level Financials - ''23 ''24'!T$2:T$1577)</f>
        <v>0.98637351964706566</v>
      </c>
      <c r="I546" s="246">
        <f>_xlfn.XLOOKUP($C546,'Site Level Financials - ''23 ''24'!$C$2:$C$1577,'Site Level Financials - ''23 ''24'!U$2:U$1577)</f>
        <v>0.97246939827512091</v>
      </c>
      <c r="J546" s="246">
        <f>_xlfn.XLOOKUP($C546,'Site Level Financials - ''23 ''24'!$C$2:$C$1577,'Site Level Financials - ''23 ''24'!V$2:V$1577)</f>
        <v>0.97834757041125009</v>
      </c>
      <c r="K546" s="246">
        <f>_xlfn.XLOOKUP($C546,'Site Level Financials - ''23 ''24'!$C$2:$C$1577,'Site Level Financials - ''23 ''24'!W$2:W$1577)</f>
        <v>0.99873818748295762</v>
      </c>
      <c r="L546" s="246">
        <f>_xlfn.XLOOKUP($C546,'Site Level Financials - ''23 ''24'!$C$2:$C$1577,'Site Level Financials - ''23 ''24'!X$2:X$1577)</f>
        <v>0.99073933255664648</v>
      </c>
      <c r="M546" s="246">
        <f>_xlfn.XLOOKUP($C546,'Site Level Financials - ''23 ''24'!$C$2:$C$1577,'Site Level Financials - ''23 ''24'!Y$2:Y$1577)</f>
        <v>0.98597868704660807</v>
      </c>
      <c r="N546" s="246">
        <f>_xlfn.XLOOKUP($C546,'Site Level Financials - ''23 ''24'!$C$2:$C$1577,'Site Level Financials - ''23 ''24'!Z$2:Z$1577)</f>
        <v>0.96912781583470098</v>
      </c>
      <c r="O546" s="246">
        <f>_xlfn.XLOOKUP($C546,'Site Level Financials - ''23 ''24'!$C$2:$C$1577,'Site Level Financials - ''23 ''24'!AA$2:AA$1577)</f>
        <v>0.98532475711380219</v>
      </c>
      <c r="P546" s="246">
        <f>_xlfn.XLOOKUP($C546,'Site Level Financials - ''23 ''24'!$C$2:$C$1577,'Site Level Financials - ''23 ''24'!AB$2:AB$1577)</f>
        <v>0.99337440056819459</v>
      </c>
      <c r="Q546" s="246">
        <f>_xlfn.XLOOKUP($C546,'Site Level Financials - ''23 ''24'!$C$2:$C$1577,'Site Level Financials - ''23 ''24'!AC$2:AC$1577)</f>
        <v>0.99430147492743182</v>
      </c>
      <c r="R546" s="246">
        <f>_xlfn.XLOOKUP($C546,'Site Level Financials - ''23 ''24'!$C$2:$C$1577,'Site Level Financials - ''23 ''24'!AD$2:AD$1577)</f>
        <v>0.9687302433712629</v>
      </c>
      <c r="S546" s="148">
        <f>S516</f>
        <v>0.98334357950683682</v>
      </c>
      <c r="T546" s="149">
        <f t="shared" ref="T546:AD546" si="1520">T516</f>
        <v>0.98334357950683682</v>
      </c>
      <c r="U546" s="149">
        <f t="shared" si="1520"/>
        <v>0.98334357950683682</v>
      </c>
      <c r="V546" s="149">
        <f t="shared" si="1520"/>
        <v>0.98334357950683682</v>
      </c>
      <c r="W546" s="149">
        <f t="shared" si="1520"/>
        <v>0.98334357950683682</v>
      </c>
      <c r="X546" s="149">
        <f t="shared" si="1520"/>
        <v>0.98334357950683682</v>
      </c>
      <c r="Y546" s="149">
        <f t="shared" si="1520"/>
        <v>0.98334357950683682</v>
      </c>
      <c r="Z546" s="149">
        <f t="shared" si="1520"/>
        <v>0.98334357950683682</v>
      </c>
      <c r="AA546" s="149">
        <f t="shared" si="1520"/>
        <v>0.98334357950683682</v>
      </c>
      <c r="AB546" s="149">
        <f t="shared" si="1520"/>
        <v>0.98334357950683682</v>
      </c>
      <c r="AC546" s="149">
        <f t="shared" si="1520"/>
        <v>0.98334357950683682</v>
      </c>
      <c r="AD546" s="150">
        <f t="shared" si="1520"/>
        <v>0.98334357950683682</v>
      </c>
      <c r="AE546" s="15"/>
      <c r="AF546" s="232">
        <f>_xlfn.XLOOKUP($C546,'Site Level Financials - ''23 ''24'!$C$2:$C$1577,'Site Level Financials - ''23 ''24'!$AF$2:$AF$1577)</f>
        <v>0.98173789762982522</v>
      </c>
      <c r="AG546" s="97">
        <f t="shared" ref="AG546:AH546" si="1521">AG545/AG515</f>
        <v>0.98334357950683682</v>
      </c>
      <c r="AH546" s="97">
        <f t="shared" si="1521"/>
        <v>0.98334357950683671</v>
      </c>
    </row>
    <row r="547" spans="2:35" ht="6" customHeight="1" x14ac:dyDescent="0.2">
      <c r="B547" s="9">
        <f>G505</f>
        <v>11</v>
      </c>
      <c r="C547" s="9" t="str">
        <f t="shared" si="1408"/>
        <v xml:space="preserve">11 - </v>
      </c>
      <c r="D547" s="9" t="s">
        <v>56</v>
      </c>
      <c r="F547" s="27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81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81"/>
      <c r="AE547" s="15"/>
      <c r="AF547" s="11"/>
      <c r="AH547" s="224"/>
    </row>
    <row r="548" spans="2:35" s="24" customFormat="1" x14ac:dyDescent="0.2">
      <c r="B548" s="9">
        <f>G505</f>
        <v>11</v>
      </c>
      <c r="C548" s="9" t="str">
        <f t="shared" si="1408"/>
        <v>11 - Production per Vet Workday - YoY Change</v>
      </c>
      <c r="D548" s="9" t="s">
        <v>56</v>
      </c>
      <c r="E548" s="49"/>
      <c r="F548" s="24" t="s">
        <v>55</v>
      </c>
      <c r="G548" s="249">
        <f>_xlfn.XLOOKUP($C548,'Site Level Financials - ''23 ''24'!$C$2:$C$1577,'Site Level Financials - ''23 ''24'!S$2:S$1577)</f>
        <v>-2.2677023727253887E-2</v>
      </c>
      <c r="H548" s="250">
        <f>_xlfn.XLOOKUP($C548,'Site Level Financials - ''23 ''24'!$C$2:$C$1577,'Site Level Financials - ''23 ''24'!T$2:T$1577)</f>
        <v>-6.5018133690557423E-2</v>
      </c>
      <c r="I548" s="250">
        <f>_xlfn.XLOOKUP($C548,'Site Level Financials - ''23 ''24'!$C$2:$C$1577,'Site Level Financials - ''23 ''24'!U$2:U$1577)</f>
        <v>1.6603316721270245E-2</v>
      </c>
      <c r="J548" s="250">
        <f>_xlfn.XLOOKUP($C548,'Site Level Financials - ''23 ''24'!$C$2:$C$1577,'Site Level Financials - ''23 ''24'!V$2:V$1577)</f>
        <v>3.9803218850863686E-2</v>
      </c>
      <c r="K548" s="250">
        <f>_xlfn.XLOOKUP($C548,'Site Level Financials - ''23 ''24'!$C$2:$C$1577,'Site Level Financials - ''23 ''24'!W$2:W$1577)</f>
        <v>-4.7889156499406393E-2</v>
      </c>
      <c r="L548" s="250">
        <f>_xlfn.XLOOKUP($C548,'Site Level Financials - ''23 ''24'!$C$2:$C$1577,'Site Level Financials - ''23 ''24'!X$2:X$1577)</f>
        <v>-8.908354934958107E-2</v>
      </c>
      <c r="M548" s="250">
        <f>_xlfn.XLOOKUP($C548,'Site Level Financials - ''23 ''24'!$C$2:$C$1577,'Site Level Financials - ''23 ''24'!Y$2:Y$1577)</f>
        <v>-2.0524275133030678E-2</v>
      </c>
      <c r="N548" s="250">
        <f>_xlfn.XLOOKUP($C548,'Site Level Financials - ''23 ''24'!$C$2:$C$1577,'Site Level Financials - ''23 ''24'!Z$2:Z$1577)</f>
        <v>-1.2590317149092645E-2</v>
      </c>
      <c r="O548" s="250">
        <f>_xlfn.XLOOKUP($C548,'Site Level Financials - ''23 ''24'!$C$2:$C$1577,'Site Level Financials - ''23 ''24'!AA$2:AA$1577)</f>
        <v>0.12465619646267623</v>
      </c>
      <c r="P548" s="250">
        <f>_xlfn.XLOOKUP($C548,'Site Level Financials - ''23 ''24'!$C$2:$C$1577,'Site Level Financials - ''23 ''24'!AB$2:AB$1577)</f>
        <v>5.0440109423945723E-2</v>
      </c>
      <c r="Q548" s="250">
        <f>_xlfn.XLOOKUP($C548,'Site Level Financials - ''23 ''24'!$C$2:$C$1577,'Site Level Financials - ''23 ''24'!AC$2:AC$1577)</f>
        <v>-3.6616923961412251E-3</v>
      </c>
      <c r="R548" s="251">
        <f>_xlfn.XLOOKUP($C548,'Site Level Financials - ''23 ''24'!$C$2:$C$1577,'Site Level Financials - ''23 ''24'!AD$2:AD$1577)</f>
        <v>-3.0360527559357475E-2</v>
      </c>
      <c r="S548" s="151">
        <f>S514/G514-1</f>
        <v>0.40879884076787465</v>
      </c>
      <c r="T548" s="152">
        <f t="shared" ref="T548" si="1522">T514/H514-1</f>
        <v>0.35027838983570692</v>
      </c>
      <c r="U548" s="152">
        <f t="shared" ref="U548" si="1523">U514/I514-1</f>
        <v>0.17193876175944811</v>
      </c>
      <c r="V548" s="152">
        <f t="shared" ref="V548" si="1524">V514/J514-1</f>
        <v>0.13386572367503824</v>
      </c>
      <c r="W548" s="152">
        <f t="shared" ref="W548" si="1525">W514/K514-1</f>
        <v>9.3866891483150861E-2</v>
      </c>
      <c r="X548" s="152">
        <f t="shared" ref="X548" si="1526">X514/L514-1</f>
        <v>0.16666007817415318</v>
      </c>
      <c r="Y548" s="152">
        <f t="shared" ref="Y548" si="1527">Y514/M514-1</f>
        <v>8.5264876979117998E-2</v>
      </c>
      <c r="Z548" s="152">
        <f t="shared" ref="Z548" si="1528">Z514/N514-1</f>
        <v>3.8320248503831422E-2</v>
      </c>
      <c r="AA548" s="152">
        <f t="shared" ref="AA548" si="1529">AA514/O514-1</f>
        <v>-9.9601297247828069E-2</v>
      </c>
      <c r="AB548" s="152">
        <f t="shared" ref="AB548" si="1530">AB514/P514-1</f>
        <v>-5.6378197544631137E-2</v>
      </c>
      <c r="AC548" s="152">
        <f t="shared" ref="AC548" si="1531">AC514/Q514-1</f>
        <v>-3.1840095510696109E-2</v>
      </c>
      <c r="AD548" s="153">
        <f t="shared" ref="AD548" si="1532">AD514/R514-1</f>
        <v>3.1874519628317666E-2</v>
      </c>
      <c r="AF548" s="43"/>
      <c r="AG548" s="177">
        <f>AG514/AF514-1</f>
        <v>-6.7885349612498591E-2</v>
      </c>
      <c r="AH548" s="225">
        <f>AH514/AG514-1</f>
        <v>0.16760263841626166</v>
      </c>
    </row>
    <row r="549" spans="2:35" s="24" customFormat="1" ht="6" customHeight="1" x14ac:dyDescent="0.2">
      <c r="D549" s="9" t="s">
        <v>56</v>
      </c>
      <c r="E549" s="49"/>
      <c r="G549" s="28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29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29"/>
      <c r="AE549" s="25"/>
      <c r="AF549" s="28"/>
      <c r="AG549" s="30"/>
      <c r="AH549" s="226"/>
    </row>
    <row r="550" spans="2:35" s="24" customFormat="1" ht="6" customHeight="1" x14ac:dyDescent="0.2">
      <c r="D550" s="9" t="s">
        <v>56</v>
      </c>
      <c r="E550" s="49"/>
    </row>
    <row r="551" spans="2:35" s="24" customFormat="1" ht="6" customHeight="1" x14ac:dyDescent="0.2">
      <c r="D551" s="9" t="s">
        <v>56</v>
      </c>
      <c r="E551" s="49"/>
    </row>
    <row r="552" spans="2:35" ht="15.75" thickBot="1" x14ac:dyDescent="0.4">
      <c r="B552" s="35" t="s">
        <v>52</v>
      </c>
      <c r="C552" s="35"/>
      <c r="D552" s="9" t="s">
        <v>56</v>
      </c>
      <c r="E552" s="48" t="s">
        <v>0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74"/>
      <c r="AH552" s="3">
        <f ca="1">TODAY()</f>
        <v>45999</v>
      </c>
      <c r="AI552" s="1"/>
    </row>
    <row r="553" spans="2:35" x14ac:dyDescent="0.2">
      <c r="B553" s="9">
        <f>G554</f>
        <v>12</v>
      </c>
      <c r="C553" s="9"/>
      <c r="D553" s="9" t="s">
        <v>56</v>
      </c>
      <c r="F553" t="s">
        <v>159</v>
      </c>
      <c r="AG553" s="6"/>
      <c r="AH553" s="6" t="s">
        <v>16</v>
      </c>
    </row>
    <row r="554" spans="2:35" x14ac:dyDescent="0.2">
      <c r="B554" s="9">
        <f>G554</f>
        <v>12</v>
      </c>
      <c r="C554" s="9"/>
      <c r="D554" s="9" t="s">
        <v>56</v>
      </c>
      <c r="F554" s="40" t="s">
        <v>53</v>
      </c>
      <c r="G554" s="42">
        <v>12</v>
      </c>
    </row>
    <row r="555" spans="2:35" x14ac:dyDescent="0.2">
      <c r="B555" s="9">
        <f>G554</f>
        <v>12</v>
      </c>
      <c r="C555" s="9"/>
      <c r="D555" s="9" t="s">
        <v>56</v>
      </c>
      <c r="F555" s="39" t="s">
        <v>29</v>
      </c>
      <c r="G555" s="41"/>
      <c r="H555" s="11"/>
    </row>
    <row r="556" spans="2:35" x14ac:dyDescent="0.2">
      <c r="B556" s="9">
        <f>G554</f>
        <v>12</v>
      </c>
      <c r="C556" s="9"/>
      <c r="D556" s="9" t="s">
        <v>56</v>
      </c>
      <c r="G556" s="23"/>
    </row>
    <row r="557" spans="2:35" x14ac:dyDescent="0.2">
      <c r="B557" s="9">
        <f>G554</f>
        <v>12</v>
      </c>
      <c r="C557" s="9"/>
      <c r="D557" s="9" t="s">
        <v>56</v>
      </c>
      <c r="G557" s="208" t="s">
        <v>229</v>
      </c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10"/>
      <c r="S557" s="266" t="s">
        <v>230</v>
      </c>
      <c r="T557" s="267"/>
      <c r="U557" s="267"/>
      <c r="V557" s="267"/>
      <c r="W557" s="267"/>
      <c r="X557" s="267"/>
      <c r="Y557" s="267"/>
      <c r="Z557" s="267"/>
      <c r="AA557" s="267"/>
      <c r="AB557" s="267"/>
      <c r="AC557" s="267"/>
      <c r="AD557" s="268"/>
      <c r="AF557" s="17" t="s">
        <v>231</v>
      </c>
      <c r="AG557" s="50"/>
      <c r="AH557" s="269" t="s">
        <v>232</v>
      </c>
    </row>
    <row r="558" spans="2:35" ht="15" customHeight="1" x14ac:dyDescent="0.35">
      <c r="B558" s="9">
        <f>G554</f>
        <v>12</v>
      </c>
      <c r="C558" s="9"/>
      <c r="D558" s="9" t="s">
        <v>56</v>
      </c>
      <c r="G558" s="211">
        <v>44957</v>
      </c>
      <c r="H558" s="212">
        <f>EOMONTH(G558,1)</f>
        <v>44985</v>
      </c>
      <c r="I558" s="212">
        <f t="shared" ref="I558" si="1533">EOMONTH(H558,1)</f>
        <v>45016</v>
      </c>
      <c r="J558" s="212">
        <f t="shared" ref="J558" si="1534">EOMONTH(I558,1)</f>
        <v>45046</v>
      </c>
      <c r="K558" s="212">
        <f t="shared" ref="K558" si="1535">EOMONTH(J558,1)</f>
        <v>45077</v>
      </c>
      <c r="L558" s="212">
        <f t="shared" ref="L558" si="1536">EOMONTH(K558,1)</f>
        <v>45107</v>
      </c>
      <c r="M558" s="212">
        <f t="shared" ref="M558" si="1537">EOMONTH(L558,1)</f>
        <v>45138</v>
      </c>
      <c r="N558" s="212">
        <f t="shared" ref="N558" si="1538">EOMONTH(M558,1)</f>
        <v>45169</v>
      </c>
      <c r="O558" s="212">
        <f t="shared" ref="O558" si="1539">EOMONTH(N558,1)</f>
        <v>45199</v>
      </c>
      <c r="P558" s="212">
        <f t="shared" ref="P558" si="1540">EOMONTH(O558,1)</f>
        <v>45230</v>
      </c>
      <c r="Q558" s="212">
        <f t="shared" ref="Q558" si="1541">EOMONTH(P558,1)</f>
        <v>45260</v>
      </c>
      <c r="R558" s="213">
        <f t="shared" ref="R558" si="1542">EOMONTH(Q558,1)</f>
        <v>45291</v>
      </c>
      <c r="S558" s="4">
        <f t="shared" ref="S558" si="1543">EOMONTH(R558,1)</f>
        <v>45322</v>
      </c>
      <c r="T558" s="19">
        <f t="shared" ref="T558" si="1544">EOMONTH(S558,1)</f>
        <v>45351</v>
      </c>
      <c r="U558" s="19">
        <f t="shared" ref="U558" si="1545">EOMONTH(T558,1)</f>
        <v>45382</v>
      </c>
      <c r="V558" s="19">
        <f t="shared" ref="V558" si="1546">EOMONTH(U558,1)</f>
        <v>45412</v>
      </c>
      <c r="W558" s="19">
        <f t="shared" ref="W558" si="1547">EOMONTH(V558,1)</f>
        <v>45443</v>
      </c>
      <c r="X558" s="19">
        <f t="shared" ref="X558" si="1548">EOMONTH(W558,1)</f>
        <v>45473</v>
      </c>
      <c r="Y558" s="19">
        <f t="shared" ref="Y558" si="1549">EOMONTH(X558,1)</f>
        <v>45504</v>
      </c>
      <c r="Z558" s="19">
        <f t="shared" ref="Z558" si="1550">EOMONTH(Y558,1)</f>
        <v>45535</v>
      </c>
      <c r="AA558" s="19">
        <f t="shared" ref="AA558" si="1551">EOMONTH(Z558,1)</f>
        <v>45565</v>
      </c>
      <c r="AB558" s="19">
        <f t="shared" ref="AB558" si="1552">EOMONTH(AA558,1)</f>
        <v>45596</v>
      </c>
      <c r="AC558" s="19">
        <f t="shared" ref="AC558" si="1553">EOMONTH(AB558,1)</f>
        <v>45626</v>
      </c>
      <c r="AD558" s="5">
        <f t="shared" ref="AD558" si="1554">EOMONTH(AC558,1)</f>
        <v>45657</v>
      </c>
      <c r="AE558" s="168"/>
      <c r="AF558" s="13">
        <v>45291</v>
      </c>
      <c r="AG558" s="14">
        <v>45657</v>
      </c>
      <c r="AH558" s="14">
        <v>46022</v>
      </c>
    </row>
    <row r="559" spans="2:35" ht="0.95" customHeight="1" x14ac:dyDescent="0.2">
      <c r="B559" s="9">
        <f>G554</f>
        <v>12</v>
      </c>
      <c r="C559" s="9"/>
      <c r="D559" s="9" t="s">
        <v>56</v>
      </c>
      <c r="G559" s="11"/>
      <c r="S559" s="11"/>
      <c r="AD559" s="15"/>
      <c r="AE559" s="15"/>
      <c r="AF559" s="11"/>
      <c r="AG559" s="15"/>
      <c r="AH559" s="15"/>
    </row>
    <row r="560" spans="2:35" x14ac:dyDescent="0.2">
      <c r="B560" s="9">
        <f>G554</f>
        <v>12</v>
      </c>
      <c r="C560" s="9" t="str">
        <f>B560&amp;" - "&amp;F560</f>
        <v>12 - Employed Vets</v>
      </c>
      <c r="D560" s="9" t="s">
        <v>56</v>
      </c>
      <c r="F560" s="7" t="s">
        <v>160</v>
      </c>
      <c r="G560" s="178">
        <f>_xlfn.XLOOKUP($C560,'Site Level Financials - ''23 ''24'!$C$2:$C$1577,'Site Level Financials - ''23 ''24'!S$2:S$1577)</f>
        <v>1</v>
      </c>
      <c r="H560" s="179">
        <f>_xlfn.XLOOKUP($C560,'Site Level Financials - ''23 ''24'!$C$2:$C$1577,'Site Level Financials - ''23 ''24'!T$2:T$1577)</f>
        <v>1</v>
      </c>
      <c r="I560" s="179">
        <f>_xlfn.XLOOKUP($C560,'Site Level Financials - ''23 ''24'!$C$2:$C$1577,'Site Level Financials - ''23 ''24'!U$2:U$1577)</f>
        <v>1</v>
      </c>
      <c r="J560" s="179">
        <f>_xlfn.XLOOKUP($C560,'Site Level Financials - ''23 ''24'!$C$2:$C$1577,'Site Level Financials - ''23 ''24'!V$2:V$1577)</f>
        <v>1</v>
      </c>
      <c r="K560" s="179">
        <f>_xlfn.XLOOKUP($C560,'Site Level Financials - ''23 ''24'!$C$2:$C$1577,'Site Level Financials - ''23 ''24'!W$2:W$1577)</f>
        <v>1</v>
      </c>
      <c r="L560" s="179">
        <f>_xlfn.XLOOKUP($C560,'Site Level Financials - ''23 ''24'!$C$2:$C$1577,'Site Level Financials - ''23 ''24'!X$2:X$1577)</f>
        <v>1</v>
      </c>
      <c r="M560" s="179">
        <f>_xlfn.XLOOKUP($C560,'Site Level Financials - ''23 ''24'!$C$2:$C$1577,'Site Level Financials - ''23 ''24'!Y$2:Y$1577)</f>
        <v>1</v>
      </c>
      <c r="N560" s="179">
        <f>_xlfn.XLOOKUP($C560,'Site Level Financials - ''23 ''24'!$C$2:$C$1577,'Site Level Financials - ''23 ''24'!Z$2:Z$1577)</f>
        <v>1</v>
      </c>
      <c r="O560" s="179">
        <f>_xlfn.XLOOKUP($C560,'Site Level Financials - ''23 ''24'!$C$2:$C$1577,'Site Level Financials - ''23 ''24'!AA$2:AA$1577)</f>
        <v>1</v>
      </c>
      <c r="P560" s="179">
        <f>_xlfn.XLOOKUP($C560,'Site Level Financials - ''23 ''24'!$C$2:$C$1577,'Site Level Financials - ''23 ''24'!AB$2:AB$1577)</f>
        <v>1</v>
      </c>
      <c r="Q560" s="179">
        <f>_xlfn.XLOOKUP($C560,'Site Level Financials - ''23 ''24'!$C$2:$C$1577,'Site Level Financials - ''23 ''24'!AC$2:AC$1577)</f>
        <v>1</v>
      </c>
      <c r="R560" s="179">
        <f>_xlfn.XLOOKUP($C560,'Site Level Financials - ''23 ''24'!$C$2:$C$1577,'Site Level Financials - ''23 ''24'!AD$2:AD$1577)</f>
        <v>1</v>
      </c>
      <c r="S560" s="178">
        <f>R560+_xlfn.XLOOKUP($R560,'Budget Assumption Driver'!$A$7:$A$11,'Budget Assumption Driver'!E$7:E$11)</f>
        <v>1</v>
      </c>
      <c r="T560" s="179">
        <f>S560+_xlfn.XLOOKUP($R560,'Budget Assumption Driver'!$A$7:$A$11,'Budget Assumption Driver'!F$7:F$11)</f>
        <v>2</v>
      </c>
      <c r="U560" s="179">
        <f>T560+_xlfn.XLOOKUP($R560,'Budget Assumption Driver'!$A$7:$A$11,'Budget Assumption Driver'!G$7:G$11)</f>
        <v>2</v>
      </c>
      <c r="V560" s="179">
        <f>U560+_xlfn.XLOOKUP($R560,'Budget Assumption Driver'!$A$7:$A$11,'Budget Assumption Driver'!H$7:H$11)</f>
        <v>2</v>
      </c>
      <c r="W560" s="179">
        <f>V560+_xlfn.XLOOKUP($R560,'Budget Assumption Driver'!$A$7:$A$11,'Budget Assumption Driver'!I$7:I$11)</f>
        <v>2</v>
      </c>
      <c r="X560" s="179">
        <f>W560+_xlfn.XLOOKUP($R560,'Budget Assumption Driver'!$A$7:$A$11,'Budget Assumption Driver'!J$7:J$11)</f>
        <v>2</v>
      </c>
      <c r="Y560" s="179">
        <f>X560+_xlfn.XLOOKUP($R560,'Budget Assumption Driver'!$A$7:$A$11,'Budget Assumption Driver'!K$7:K$11)</f>
        <v>3</v>
      </c>
      <c r="Z560" s="179">
        <f>Y560+_xlfn.XLOOKUP($R560,'Budget Assumption Driver'!$A$7:$A$11,'Budget Assumption Driver'!L$7:L$11)</f>
        <v>3</v>
      </c>
      <c r="AA560" s="179">
        <f>Z560+_xlfn.XLOOKUP($R560,'Budget Assumption Driver'!$A$7:$A$11,'Budget Assumption Driver'!M$7:M$11)</f>
        <v>3</v>
      </c>
      <c r="AB560" s="179">
        <f>AA560+_xlfn.XLOOKUP($R560,'Budget Assumption Driver'!$A$7:$A$11,'Budget Assumption Driver'!N$7:N$11)</f>
        <v>3</v>
      </c>
      <c r="AC560" s="179">
        <f>AB560+_xlfn.XLOOKUP($R560,'Budget Assumption Driver'!$A$7:$A$11,'Budget Assumption Driver'!O$7:O$11)</f>
        <v>3</v>
      </c>
      <c r="AD560" s="290">
        <f>AC560+_xlfn.XLOOKUP($R560,'Budget Assumption Driver'!$A$7:$A$11,'Budget Assumption Driver'!P$7:P$11)</f>
        <v>3</v>
      </c>
      <c r="AE560" s="15"/>
      <c r="AF560" s="229">
        <f>_xlfn.XLOOKUP($C560,'Site Level Financials - ''23 ''24'!$C$2:$C$1577,'Site Level Financials - ''23 ''24'!$AF$2:$AF$1577)</f>
        <v>1</v>
      </c>
      <c r="AG560" s="91">
        <f t="shared" ref="AG560:AH560" si="1555">AG562/AG561</f>
        <v>1</v>
      </c>
      <c r="AH560" s="91">
        <f t="shared" si="1555"/>
        <v>2.4163568773234201</v>
      </c>
    </row>
    <row r="561" spans="2:34" x14ac:dyDescent="0.2">
      <c r="B561" s="9">
        <f>G554</f>
        <v>12</v>
      </c>
      <c r="C561" s="9" t="str">
        <f t="shared" ref="C561:C597" si="1556">B561&amp;" - "&amp;F561</f>
        <v>12 - Workdays in Month / Year</v>
      </c>
      <c r="D561" s="9" t="s">
        <v>56</v>
      </c>
      <c r="F561" s="7" t="s">
        <v>54</v>
      </c>
      <c r="G561" s="178">
        <f>_xlfn.XLOOKUP($C561,'Site Level Financials - ''23 ''24'!$C$2:$C$1577,'Site Level Financials - ''23 ''24'!S$2:S$1577)</f>
        <v>23</v>
      </c>
      <c r="H561" s="235">
        <f>_xlfn.XLOOKUP($C561,'Site Level Financials - ''23 ''24'!$C$2:$C$1577,'Site Level Financials - ''23 ''24'!T$2:T$1577)</f>
        <v>22</v>
      </c>
      <c r="I561" s="235">
        <f>_xlfn.XLOOKUP($C561,'Site Level Financials - ''23 ''24'!$C$2:$C$1577,'Site Level Financials - ''23 ''24'!U$2:U$1577)</f>
        <v>22</v>
      </c>
      <c r="J561" s="179">
        <f>_xlfn.XLOOKUP($C561,'Site Level Financials - ''23 ''24'!$C$2:$C$1577,'Site Level Financials - ''23 ''24'!V$2:V$1577)</f>
        <v>22</v>
      </c>
      <c r="K561" s="179">
        <f>_xlfn.XLOOKUP($C561,'Site Level Financials - ''23 ''24'!$C$2:$C$1577,'Site Level Financials - ''23 ''24'!W$2:W$1577)</f>
        <v>24</v>
      </c>
      <c r="L561" s="179">
        <f>_xlfn.XLOOKUP($C561,'Site Level Financials - ''23 ''24'!$C$2:$C$1577,'Site Level Financials - ''23 ''24'!X$2:X$1577)</f>
        <v>21</v>
      </c>
      <c r="M561" s="179">
        <f>_xlfn.XLOOKUP($C561,'Site Level Financials - ''23 ''24'!$C$2:$C$1577,'Site Level Financials - ''23 ''24'!Y$2:Y$1577)</f>
        <v>23</v>
      </c>
      <c r="N561" s="179">
        <f>_xlfn.XLOOKUP($C561,'Site Level Financials - ''23 ''24'!$C$2:$C$1577,'Site Level Financials - ''23 ''24'!Z$2:Z$1577)</f>
        <v>23</v>
      </c>
      <c r="O561" s="179">
        <f>_xlfn.XLOOKUP($C561,'Site Level Financials - ''23 ''24'!$C$2:$C$1577,'Site Level Financials - ''23 ''24'!AA$2:AA$1577)</f>
        <v>21</v>
      </c>
      <c r="P561" s="179">
        <f>_xlfn.XLOOKUP($C561,'Site Level Financials - ''23 ''24'!$C$2:$C$1577,'Site Level Financials - ''23 ''24'!AB$2:AB$1577)</f>
        <v>24</v>
      </c>
      <c r="Q561" s="179">
        <f>_xlfn.XLOOKUP($C561,'Site Level Financials - ''23 ''24'!$C$2:$C$1577,'Site Level Financials - ''23 ''24'!AC$2:AC$1577)</f>
        <v>22</v>
      </c>
      <c r="R561" s="179">
        <f>_xlfn.XLOOKUP($C561,'Site Level Financials - ''23 ''24'!$C$2:$C$1577,'Site Level Financials - ''23 ''24'!AD$2:AD$1577)</f>
        <v>22</v>
      </c>
      <c r="S561" s="155">
        <f>NETWORKDAYS(R558,S558)</f>
        <v>23</v>
      </c>
      <c r="T561" s="154">
        <f t="shared" ref="T561:AD561" si="1557">NETWORKDAYS(S558,T558)</f>
        <v>22</v>
      </c>
      <c r="U561" s="154">
        <f t="shared" si="1557"/>
        <v>22</v>
      </c>
      <c r="V561" s="154">
        <f t="shared" si="1557"/>
        <v>22</v>
      </c>
      <c r="W561" s="154">
        <f t="shared" si="1557"/>
        <v>24</v>
      </c>
      <c r="X561" s="154">
        <f t="shared" si="1557"/>
        <v>21</v>
      </c>
      <c r="Y561" s="154">
        <f t="shared" si="1557"/>
        <v>23</v>
      </c>
      <c r="Z561" s="154">
        <f t="shared" si="1557"/>
        <v>23</v>
      </c>
      <c r="AA561" s="154">
        <f t="shared" si="1557"/>
        <v>21</v>
      </c>
      <c r="AB561" s="154">
        <f t="shared" si="1557"/>
        <v>24</v>
      </c>
      <c r="AC561" s="154">
        <f t="shared" si="1557"/>
        <v>22</v>
      </c>
      <c r="AD561" s="156">
        <f t="shared" si="1557"/>
        <v>22</v>
      </c>
      <c r="AE561" s="15"/>
      <c r="AF561" s="115">
        <f>_xlfn.XLOOKUP($C561,'Site Level Financials - ''23 ''24'!$C$2:$C$1577,'Site Level Financials - ''23 ''24'!$AF$2:$AF$1577)</f>
        <v>269</v>
      </c>
      <c r="AG561" s="93">
        <f>SUM(G561:R561)</f>
        <v>269</v>
      </c>
      <c r="AH561" s="93">
        <f>SUM(S561:AD561)</f>
        <v>269</v>
      </c>
    </row>
    <row r="562" spans="2:34" x14ac:dyDescent="0.2">
      <c r="B562" s="9">
        <f>G554</f>
        <v>12</v>
      </c>
      <c r="C562" s="9" t="str">
        <f t="shared" si="1556"/>
        <v>12 - Total Vet Days</v>
      </c>
      <c r="D562" s="9" t="s">
        <v>56</v>
      </c>
      <c r="F562" s="8" t="s">
        <v>51</v>
      </c>
      <c r="G562" s="236">
        <f>_xlfn.XLOOKUP($C562,'Site Level Financials - ''23 ''24'!$C$2:$C$1577,'Site Level Financials - ''23 ''24'!S$2:S$1577)</f>
        <v>23</v>
      </c>
      <c r="H562" s="237">
        <f>_xlfn.XLOOKUP($C562,'Site Level Financials - ''23 ''24'!$C$2:$C$1577,'Site Level Financials - ''23 ''24'!T$2:T$1577)</f>
        <v>22</v>
      </c>
      <c r="I562" s="237">
        <f>_xlfn.XLOOKUP($C562,'Site Level Financials - ''23 ''24'!$C$2:$C$1577,'Site Level Financials - ''23 ''24'!U$2:U$1577)</f>
        <v>22</v>
      </c>
      <c r="J562" s="238">
        <f>_xlfn.XLOOKUP($C562,'Site Level Financials - ''23 ''24'!$C$2:$C$1577,'Site Level Financials - ''23 ''24'!V$2:V$1577)</f>
        <v>22</v>
      </c>
      <c r="K562" s="238">
        <f>_xlfn.XLOOKUP($C562,'Site Level Financials - ''23 ''24'!$C$2:$C$1577,'Site Level Financials - ''23 ''24'!W$2:W$1577)</f>
        <v>24</v>
      </c>
      <c r="L562" s="238">
        <f>_xlfn.XLOOKUP($C562,'Site Level Financials - ''23 ''24'!$C$2:$C$1577,'Site Level Financials - ''23 ''24'!X$2:X$1577)</f>
        <v>21</v>
      </c>
      <c r="M562" s="238">
        <f>_xlfn.XLOOKUP($C562,'Site Level Financials - ''23 ''24'!$C$2:$C$1577,'Site Level Financials - ''23 ''24'!Y$2:Y$1577)</f>
        <v>23</v>
      </c>
      <c r="N562" s="238">
        <f>_xlfn.XLOOKUP($C562,'Site Level Financials - ''23 ''24'!$C$2:$C$1577,'Site Level Financials - ''23 ''24'!Z$2:Z$1577)</f>
        <v>23</v>
      </c>
      <c r="O562" s="238">
        <f>_xlfn.XLOOKUP($C562,'Site Level Financials - ''23 ''24'!$C$2:$C$1577,'Site Level Financials - ''23 ''24'!AA$2:AA$1577)</f>
        <v>21</v>
      </c>
      <c r="P562" s="238">
        <f>_xlfn.XLOOKUP($C562,'Site Level Financials - ''23 ''24'!$C$2:$C$1577,'Site Level Financials - ''23 ''24'!AB$2:AB$1577)</f>
        <v>24</v>
      </c>
      <c r="Q562" s="238">
        <f>_xlfn.XLOOKUP($C562,'Site Level Financials - ''23 ''24'!$C$2:$C$1577,'Site Level Financials - ''23 ''24'!AC$2:AC$1577)</f>
        <v>22</v>
      </c>
      <c r="R562" s="238">
        <f>_xlfn.XLOOKUP($C562,'Site Level Financials - ''23 ''24'!$C$2:$C$1577,'Site Level Financials - ''23 ''24'!AD$2:AD$1577)</f>
        <v>22</v>
      </c>
      <c r="S562" s="125">
        <f t="shared" ref="S562:AD562" si="1558">S560*S561</f>
        <v>23</v>
      </c>
      <c r="T562" s="127">
        <f t="shared" si="1558"/>
        <v>44</v>
      </c>
      <c r="U562" s="127">
        <f t="shared" si="1558"/>
        <v>44</v>
      </c>
      <c r="V562" s="127">
        <f t="shared" si="1558"/>
        <v>44</v>
      </c>
      <c r="W562" s="127">
        <f t="shared" si="1558"/>
        <v>48</v>
      </c>
      <c r="X562" s="127">
        <f t="shared" si="1558"/>
        <v>42</v>
      </c>
      <c r="Y562" s="127">
        <f t="shared" si="1558"/>
        <v>69</v>
      </c>
      <c r="Z562" s="127">
        <f t="shared" si="1558"/>
        <v>69</v>
      </c>
      <c r="AA562" s="127">
        <f t="shared" si="1558"/>
        <v>63</v>
      </c>
      <c r="AB562" s="127">
        <f t="shared" si="1558"/>
        <v>72</v>
      </c>
      <c r="AC562" s="127">
        <f t="shared" si="1558"/>
        <v>66</v>
      </c>
      <c r="AD562" s="128">
        <f t="shared" si="1558"/>
        <v>66</v>
      </c>
      <c r="AF562" s="112">
        <f>_xlfn.XLOOKUP($C562,'Site Level Financials - ''23 ''24'!$C$2:$C$1577,'Site Level Financials - ''23 ''24'!$AF$2:$AF$1577)</f>
        <v>269</v>
      </c>
      <c r="AG562" s="120">
        <f>SUM(G562:R562)</f>
        <v>269</v>
      </c>
      <c r="AH562" s="120">
        <f t="shared" ref="AH562" si="1559">SUM(S562:AD562)</f>
        <v>650</v>
      </c>
    </row>
    <row r="563" spans="2:34" x14ac:dyDescent="0.2">
      <c r="B563" s="9">
        <f>G554</f>
        <v>12</v>
      </c>
      <c r="C563" s="9" t="str">
        <f t="shared" si="1556"/>
        <v>12 - Production per Vet Workday</v>
      </c>
      <c r="D563" s="9" t="s">
        <v>56</v>
      </c>
      <c r="F563" s="7" t="s">
        <v>50</v>
      </c>
      <c r="G563" s="239">
        <f>_xlfn.XLOOKUP($C563,'Site Level Financials - ''23 ''24'!$C$2:$C$1577,'Site Level Financials - ''23 ''24'!S$2:S$1577)</f>
        <v>6.0288673405964808</v>
      </c>
      <c r="H563" s="240">
        <f>_xlfn.XLOOKUP($C563,'Site Level Financials - ''23 ''24'!$C$2:$C$1577,'Site Level Financials - ''23 ''24'!T$2:T$1577)</f>
        <v>6.6079524093672326</v>
      </c>
      <c r="I563" s="240">
        <f>_xlfn.XLOOKUP($C563,'Site Level Financials - ''23 ''24'!$C$2:$C$1577,'Site Level Financials - ''23 ''24'!U$2:U$1577)</f>
        <v>7.2384544099130927</v>
      </c>
      <c r="J563" s="240">
        <f>_xlfn.XLOOKUP($C563,'Site Level Financials - ''23 ''24'!$C$2:$C$1577,'Site Level Financials - ''23 ''24'!V$2:V$1577)</f>
        <v>8.4336143646121595</v>
      </c>
      <c r="K563" s="240">
        <f>_xlfn.XLOOKUP($C563,'Site Level Financials - ''23 ''24'!$C$2:$C$1577,'Site Level Financials - ''23 ''24'!W$2:W$1577)</f>
        <v>8.9566273493624333</v>
      </c>
      <c r="L563" s="240">
        <f>_xlfn.XLOOKUP($C563,'Site Level Financials - ''23 ''24'!$C$2:$C$1577,'Site Level Financials - ''23 ''24'!X$2:X$1577)</f>
        <v>8.49300103166361</v>
      </c>
      <c r="M563" s="240">
        <f>_xlfn.XLOOKUP($C563,'Site Level Financials - ''23 ''24'!$C$2:$C$1577,'Site Level Financials - ''23 ''24'!Y$2:Y$1577)</f>
        <v>8.2173222500642336</v>
      </c>
      <c r="N563" s="240">
        <f>_xlfn.XLOOKUP($C563,'Site Level Financials - ''23 ''24'!$C$2:$C$1577,'Site Level Financials - ''23 ''24'!Z$2:Z$1577)</f>
        <v>7.2922304587357099</v>
      </c>
      <c r="O563" s="240">
        <f>_xlfn.XLOOKUP($C563,'Site Level Financials - ''23 ''24'!$C$2:$C$1577,'Site Level Financials - ''23 ''24'!AA$2:AA$1577)</f>
        <v>7.2866245842198651</v>
      </c>
      <c r="P563" s="240">
        <f>_xlfn.XLOOKUP($C563,'Site Level Financials - ''23 ''24'!$C$2:$C$1577,'Site Level Financials - ''23 ''24'!AB$2:AB$1577)</f>
        <v>7.5799597791059554</v>
      </c>
      <c r="Q563" s="240">
        <f>_xlfn.XLOOKUP($C563,'Site Level Financials - ''23 ''24'!$C$2:$C$1577,'Site Level Financials - ''23 ''24'!AC$2:AC$1577)</f>
        <v>6.3615052946262134</v>
      </c>
      <c r="R563" s="240">
        <f>_xlfn.XLOOKUP($C563,'Site Level Financials - ''23 ''24'!$C$2:$C$1577,'Site Level Financials - ''23 ''24'!AD$2:AD$1577)</f>
        <v>4.9722320354168783</v>
      </c>
      <c r="S563" s="239">
        <f>R563*(1+_xlfn.XLOOKUP($R560,'Budget Assumption Driver'!$A$15:$A$19,'Budget Assumption Driver'!E$15:E$19))</f>
        <v>7.0347573853567216</v>
      </c>
      <c r="T563" s="240">
        <f>S563*(1+_xlfn.XLOOKUP($R560,'Budget Assumption Driver'!$A$15:$A$19,'Budget Assumption Driver'!F$15:F$19))</f>
        <v>6.208497207885836</v>
      </c>
      <c r="U563" s="240">
        <f>T563*(1+_xlfn.XLOOKUP($R560,'Budget Assumption Driver'!$A$15:$A$19,'Budget Assumption Driver'!G$15:G$19))</f>
        <v>6.6666174623482659</v>
      </c>
      <c r="V563" s="240">
        <f>U563*(1+_xlfn.XLOOKUP($R560,'Budget Assumption Driver'!$A$15:$A$19,'Budget Assumption Driver'!H$15:H$19))</f>
        <v>7.1410242424890269</v>
      </c>
      <c r="W563" s="240">
        <f>V563*(1+_xlfn.XLOOKUP($R560,'Budget Assumption Driver'!$A$15:$A$19,'Budget Assumption Driver'!I$15:I$19))</f>
        <v>7.7799248677433663</v>
      </c>
      <c r="X563" s="240">
        <f>W563*(1+_xlfn.XLOOKUP($R560,'Budget Assumption Driver'!$A$15:$A$19,'Budget Assumption Driver'!J$15:J$19))</f>
        <v>7.4664938882162568</v>
      </c>
      <c r="Y563" s="240">
        <f>X563*(1+_xlfn.XLOOKUP($R560,'Budget Assumption Driver'!$A$15:$A$19,'Budget Assumption Driver'!K$15:K$19))</f>
        <v>5.3746355773802144</v>
      </c>
      <c r="Z563" s="240">
        <f>Y563*(1+_xlfn.XLOOKUP($R560,'Budget Assumption Driver'!$A$15:$A$19,'Budget Assumption Driver'!L$15:L$19))</f>
        <v>4.6087007278067285</v>
      </c>
      <c r="AA563" s="240">
        <f>Z563*(1+_xlfn.XLOOKUP($R560,'Budget Assumption Driver'!$A$15:$A$19,'Budget Assumption Driver'!M$15:M$19))</f>
        <v>4.6278491884387227</v>
      </c>
      <c r="AB563" s="240">
        <f>AA563*(1+_xlfn.XLOOKUP($R560,'Budget Assumption Driver'!$A$15:$A$19,'Budget Assumption Driver'!N$15:N$19))</f>
        <v>4.6506697999723281</v>
      </c>
      <c r="AC563" s="240">
        <f>AB563*(1+_xlfn.XLOOKUP($R560,'Budget Assumption Driver'!$A$15:$A$19,'Budget Assumption Driver'!O$15:O$19))</f>
        <v>4.0104110425913548</v>
      </c>
      <c r="AD563" s="291">
        <f>AC563*(1+_xlfn.XLOOKUP($R560,'Budget Assumption Driver'!$A$15:$A$19,'Budget Assumption Driver'!P$15:P$19))</f>
        <v>3.2733478343765596</v>
      </c>
      <c r="AE563" s="15"/>
      <c r="AF563" s="230">
        <f>_xlfn.XLOOKUP($C563,'Site Level Financials - ''23 ''24'!$C$2:$C$1577,'Site Level Financials - ''23 ''24'!$AF$2:$AF$1577)</f>
        <v>7.4853731469364853</v>
      </c>
      <c r="AG563" s="101">
        <f>AG564/AG562</f>
        <v>7.2979054924144782</v>
      </c>
      <c r="AH563" s="101">
        <f>AH564/AH562</f>
        <v>5.4238764375187927</v>
      </c>
    </row>
    <row r="564" spans="2:34" x14ac:dyDescent="0.2">
      <c r="B564" s="9">
        <f>G554</f>
        <v>12</v>
      </c>
      <c r="C564" s="9" t="str">
        <f t="shared" si="1556"/>
        <v>12 - Total Production</v>
      </c>
      <c r="D564" s="9" t="s">
        <v>56</v>
      </c>
      <c r="F564" s="8" t="s">
        <v>1</v>
      </c>
      <c r="G564" s="241">
        <f>_xlfn.XLOOKUP($C564,'Site Level Financials - ''23 ''24'!$C$2:$C$1577,'Site Level Financials - ''23 ''24'!S$2:S$1577)</f>
        <v>138.66394883371905</v>
      </c>
      <c r="H564" s="242">
        <f>_xlfn.XLOOKUP($C564,'Site Level Financials - ''23 ''24'!$C$2:$C$1577,'Site Level Financials - ''23 ''24'!T$2:T$1577)</f>
        <v>145.37495300607912</v>
      </c>
      <c r="I564" s="242">
        <f>_xlfn.XLOOKUP($C564,'Site Level Financials - ''23 ''24'!$C$2:$C$1577,'Site Level Financials - ''23 ''24'!U$2:U$1577)</f>
        <v>159.24599701808805</v>
      </c>
      <c r="J564" s="242">
        <f>_xlfn.XLOOKUP($C564,'Site Level Financials - ''23 ''24'!$C$2:$C$1577,'Site Level Financials - ''23 ''24'!V$2:V$1577)</f>
        <v>185.53951602146751</v>
      </c>
      <c r="K564" s="242">
        <f>_xlfn.XLOOKUP($C564,'Site Level Financials - ''23 ''24'!$C$2:$C$1577,'Site Level Financials - ''23 ''24'!W$2:W$1577)</f>
        <v>214.95905638469839</v>
      </c>
      <c r="L564" s="242">
        <f>_xlfn.XLOOKUP($C564,'Site Level Financials - ''23 ''24'!$C$2:$C$1577,'Site Level Financials - ''23 ''24'!X$2:X$1577)</f>
        <v>178.3530216649358</v>
      </c>
      <c r="M564" s="242">
        <f>_xlfn.XLOOKUP($C564,'Site Level Financials - ''23 ''24'!$C$2:$C$1577,'Site Level Financials - ''23 ''24'!Y$2:Y$1577)</f>
        <v>188.99841175147736</v>
      </c>
      <c r="N564" s="242">
        <f>_xlfn.XLOOKUP($C564,'Site Level Financials - ''23 ''24'!$C$2:$C$1577,'Site Level Financials - ''23 ''24'!Z$2:Z$1577)</f>
        <v>167.72130055092131</v>
      </c>
      <c r="O564" s="242">
        <f>_xlfn.XLOOKUP($C564,'Site Level Financials - ''23 ''24'!$C$2:$C$1577,'Site Level Financials - ''23 ''24'!AA$2:AA$1577)</f>
        <v>153.01911626861715</v>
      </c>
      <c r="P564" s="242">
        <f>_xlfn.XLOOKUP($C564,'Site Level Financials - ''23 ''24'!$C$2:$C$1577,'Site Level Financials - ''23 ''24'!AB$2:AB$1577)</f>
        <v>181.91903469854293</v>
      </c>
      <c r="Q564" s="242">
        <f>_xlfn.XLOOKUP($C564,'Site Level Financials - ''23 ''24'!$C$2:$C$1577,'Site Level Financials - ''23 ''24'!AC$2:AC$1577)</f>
        <v>139.9531164817767</v>
      </c>
      <c r="R564" s="242">
        <f>_xlfn.XLOOKUP($C564,'Site Level Financials - ''23 ''24'!$C$2:$C$1577,'Site Level Financials - ''23 ''24'!AD$2:AD$1577)</f>
        <v>109.38910477917132</v>
      </c>
      <c r="S564" s="134">
        <f t="shared" ref="S564:AD564" si="1560">S563*S562</f>
        <v>161.79941986320461</v>
      </c>
      <c r="T564" s="135">
        <f t="shared" si="1560"/>
        <v>273.17387714697679</v>
      </c>
      <c r="U564" s="135">
        <f t="shared" si="1560"/>
        <v>293.33116834332372</v>
      </c>
      <c r="V564" s="135">
        <f t="shared" si="1560"/>
        <v>314.20506666951718</v>
      </c>
      <c r="W564" s="135">
        <f t="shared" si="1560"/>
        <v>373.43639365168156</v>
      </c>
      <c r="X564" s="135">
        <f t="shared" si="1560"/>
        <v>313.59274330508276</v>
      </c>
      <c r="Y564" s="135">
        <f t="shared" si="1560"/>
        <v>370.84985483923481</v>
      </c>
      <c r="Z564" s="135">
        <f t="shared" si="1560"/>
        <v>318.00035021866427</v>
      </c>
      <c r="AA564" s="135">
        <f t="shared" si="1560"/>
        <v>291.55449887163951</v>
      </c>
      <c r="AB564" s="135">
        <f t="shared" si="1560"/>
        <v>334.84822559800762</v>
      </c>
      <c r="AC564" s="135">
        <f t="shared" si="1560"/>
        <v>264.68712881102942</v>
      </c>
      <c r="AD564" s="136">
        <f t="shared" si="1560"/>
        <v>216.04095706885295</v>
      </c>
      <c r="AE564" s="15"/>
      <c r="AF564" s="113">
        <f>_xlfn.XLOOKUP($C564,'Site Level Financials - ''23 ''24'!$C$2:$C$1577,'Site Level Financials - ''23 ''24'!$AF$2:$AF$1577)</f>
        <v>2013.5653765259146</v>
      </c>
      <c r="AG564" s="95">
        <f>SUM(G564:R564)</f>
        <v>1963.1365774594947</v>
      </c>
      <c r="AH564" s="95">
        <f t="shared" ref="AH564" si="1561">SUM(S564:AD564)</f>
        <v>3525.519684387215</v>
      </c>
    </row>
    <row r="565" spans="2:34" x14ac:dyDescent="0.2">
      <c r="B565" s="9">
        <f>G554</f>
        <v>12</v>
      </c>
      <c r="C565" s="9" t="str">
        <f t="shared" si="1556"/>
        <v>12 - Revenue as a % of Production</v>
      </c>
      <c r="D565" s="9" t="s">
        <v>56</v>
      </c>
      <c r="F565" s="7" t="s">
        <v>2</v>
      </c>
      <c r="G565" s="243">
        <f>_xlfn.XLOOKUP($C565,'Site Level Financials - ''23 ''24'!$C$2:$C$1577,'Site Level Financials - ''23 ''24'!S$2:S$1577)</f>
        <v>0.98762147601489325</v>
      </c>
      <c r="H565" s="244">
        <f>_xlfn.XLOOKUP($C565,'Site Level Financials - ''23 ''24'!$C$2:$C$1577,'Site Level Financials - ''23 ''24'!T$2:T$1577)</f>
        <v>0.98762147601489325</v>
      </c>
      <c r="I565" s="244">
        <f>_xlfn.XLOOKUP($C565,'Site Level Financials - ''23 ''24'!$C$2:$C$1577,'Site Level Financials - ''23 ''24'!U$2:U$1577)</f>
        <v>0.98762147601489325</v>
      </c>
      <c r="J565" s="244">
        <f>_xlfn.XLOOKUP($C565,'Site Level Financials - ''23 ''24'!$C$2:$C$1577,'Site Level Financials - ''23 ''24'!V$2:V$1577)</f>
        <v>0.98762147601489325</v>
      </c>
      <c r="K565" s="244">
        <f>_xlfn.XLOOKUP($C565,'Site Level Financials - ''23 ''24'!$C$2:$C$1577,'Site Level Financials - ''23 ''24'!W$2:W$1577)</f>
        <v>0.98762147601489325</v>
      </c>
      <c r="L565" s="244">
        <f>_xlfn.XLOOKUP($C565,'Site Level Financials - ''23 ''24'!$C$2:$C$1577,'Site Level Financials - ''23 ''24'!X$2:X$1577)</f>
        <v>0.98762147601489325</v>
      </c>
      <c r="M565" s="244">
        <f>_xlfn.XLOOKUP($C565,'Site Level Financials - ''23 ''24'!$C$2:$C$1577,'Site Level Financials - ''23 ''24'!Y$2:Y$1577)</f>
        <v>0.98762147601489325</v>
      </c>
      <c r="N565" s="244">
        <f>_xlfn.XLOOKUP($C565,'Site Level Financials - ''23 ''24'!$C$2:$C$1577,'Site Level Financials - ''23 ''24'!Z$2:Z$1577)</f>
        <v>0.98762147601489325</v>
      </c>
      <c r="O565" s="244">
        <f>_xlfn.XLOOKUP($C565,'Site Level Financials - ''23 ''24'!$C$2:$C$1577,'Site Level Financials - ''23 ''24'!AA$2:AA$1577)</f>
        <v>0.98762147601489325</v>
      </c>
      <c r="P565" s="244">
        <f>_xlfn.XLOOKUP($C565,'Site Level Financials - ''23 ''24'!$C$2:$C$1577,'Site Level Financials - ''23 ''24'!AB$2:AB$1577)</f>
        <v>0.98762147601489325</v>
      </c>
      <c r="Q565" s="244">
        <f>_xlfn.XLOOKUP($C565,'Site Level Financials - ''23 ''24'!$C$2:$C$1577,'Site Level Financials - ''23 ''24'!AC$2:AC$1577)</f>
        <v>0.98762147601489325</v>
      </c>
      <c r="R565" s="244">
        <f>_xlfn.XLOOKUP($C565,'Site Level Financials - ''23 ''24'!$C$2:$C$1577,'Site Level Financials - ''23 ''24'!AD$2:AD$1577)</f>
        <v>0.98762147601489325</v>
      </c>
      <c r="S565" s="292">
        <f>SUM(G594:R594)/SUM(G564:R564)</f>
        <v>0.98187713197385296</v>
      </c>
      <c r="T565" s="203">
        <f>S565</f>
        <v>0.98187713197385296</v>
      </c>
      <c r="U565" s="203">
        <f t="shared" ref="U565:AD565" si="1562">T565</f>
        <v>0.98187713197385296</v>
      </c>
      <c r="V565" s="203">
        <f t="shared" si="1562"/>
        <v>0.98187713197385296</v>
      </c>
      <c r="W565" s="203">
        <f t="shared" si="1562"/>
        <v>0.98187713197385296</v>
      </c>
      <c r="X565" s="203">
        <f t="shared" si="1562"/>
        <v>0.98187713197385296</v>
      </c>
      <c r="Y565" s="203">
        <f t="shared" si="1562"/>
        <v>0.98187713197385296</v>
      </c>
      <c r="Z565" s="203">
        <f t="shared" si="1562"/>
        <v>0.98187713197385296</v>
      </c>
      <c r="AA565" s="203">
        <f t="shared" si="1562"/>
        <v>0.98187713197385296</v>
      </c>
      <c r="AB565" s="203">
        <f t="shared" si="1562"/>
        <v>0.98187713197385296</v>
      </c>
      <c r="AC565" s="203">
        <f t="shared" si="1562"/>
        <v>0.98187713197385296</v>
      </c>
      <c r="AD565" s="204">
        <f t="shared" si="1562"/>
        <v>0.98187713197385296</v>
      </c>
      <c r="AE565" s="15"/>
      <c r="AF565" s="231">
        <f>_xlfn.XLOOKUP($C565,'Site Level Financials - ''23 ''24'!$C$2:$C$1577,'Site Level Financials - ''23 ''24'!$AF$2:$AF$1577)</f>
        <v>0.97750691325245354</v>
      </c>
      <c r="AG565" s="103">
        <f>AG566/AG564</f>
        <v>0.98762147601489314</v>
      </c>
      <c r="AH565" s="103">
        <f>AH566/AH564</f>
        <v>0.98187713197385329</v>
      </c>
    </row>
    <row r="566" spans="2:34" x14ac:dyDescent="0.2">
      <c r="B566" s="9">
        <f>G554</f>
        <v>12</v>
      </c>
      <c r="C566" s="9" t="str">
        <f t="shared" si="1556"/>
        <v>12 - Total Revenue</v>
      </c>
      <c r="D566" s="9" t="s">
        <v>56</v>
      </c>
      <c r="F566" s="8" t="s">
        <v>3</v>
      </c>
      <c r="G566" s="241">
        <f>_xlfn.XLOOKUP($C566,'Site Level Financials - ''23 ''24'!$C$2:$C$1577,'Site Level Financials - ''23 ''24'!S$2:S$1577)</f>
        <v>136.94749381721124</v>
      </c>
      <c r="H566" s="242">
        <f>_xlfn.XLOOKUP($C566,'Site Level Financials - ''23 ''24'!$C$2:$C$1577,'Site Level Financials - ''23 ''24'!T$2:T$1577)</f>
        <v>143.57542566345961</v>
      </c>
      <c r="I566" s="242">
        <f>_xlfn.XLOOKUP($C566,'Site Level Financials - ''23 ''24'!$C$2:$C$1577,'Site Level Financials - ''23 ''24'!U$2:U$1577)</f>
        <v>157.27476662446742</v>
      </c>
      <c r="J566" s="242">
        <f>_xlfn.XLOOKUP($C566,'Site Level Financials - ''23 ''24'!$C$2:$C$1577,'Site Level Financials - ''23 ''24'!V$2:V$1577)</f>
        <v>183.24281067221068</v>
      </c>
      <c r="K566" s="242">
        <f>_xlfn.XLOOKUP($C566,'Site Level Financials - ''23 ''24'!$C$2:$C$1577,'Site Level Financials - ''23 ''24'!W$2:W$1577)</f>
        <v>212.29818054942447</v>
      </c>
      <c r="L566" s="242">
        <f>_xlfn.XLOOKUP($C566,'Site Level Financials - ''23 ''24'!$C$2:$C$1577,'Site Level Financials - ''23 ''24'!X$2:X$1577)</f>
        <v>176.14527450844011</v>
      </c>
      <c r="M566" s="242">
        <f>_xlfn.XLOOKUP($C566,'Site Level Financials - ''23 ''24'!$C$2:$C$1577,'Site Level Financials - ''23 ''24'!Y$2:Y$1577)</f>
        <v>186.65889037846463</v>
      </c>
      <c r="N566" s="242">
        <f>_xlfn.XLOOKUP($C566,'Site Level Financials - ''23 ''24'!$C$2:$C$1577,'Site Level Financials - ''23 ''24'!Z$2:Z$1577)</f>
        <v>165.64515840923843</v>
      </c>
      <c r="O566" s="242">
        <f>_xlfn.XLOOKUP($C566,'Site Level Financials - ''23 ''24'!$C$2:$C$1577,'Site Level Financials - ''23 ''24'!AA$2:AA$1577)</f>
        <v>151.12496546770623</v>
      </c>
      <c r="P566" s="242">
        <f>_xlfn.XLOOKUP($C566,'Site Level Financials - ''23 ''24'!$C$2:$C$1577,'Site Level Financials - ''23 ''24'!AB$2:AB$1577)</f>
        <v>179.66714556417955</v>
      </c>
      <c r="Q566" s="242">
        <f>_xlfn.XLOOKUP($C566,'Site Level Financials - ''23 ''24'!$C$2:$C$1577,'Site Level Financials - ''23 ''24'!AC$2:AC$1577)</f>
        <v>138.22070347261661</v>
      </c>
      <c r="R566" s="242">
        <f>_xlfn.XLOOKUP($C566,'Site Level Financials - ''23 ''24'!$C$2:$C$1577,'Site Level Financials - ''23 ''24'!AD$2:AD$1577)</f>
        <v>108.03502912195299</v>
      </c>
      <c r="S566" s="134">
        <f t="shared" ref="S566:AD566" si="1563">S565*S564</f>
        <v>158.8671503303166</v>
      </c>
      <c r="T566" s="135">
        <f t="shared" si="1563"/>
        <v>268.22318302325124</v>
      </c>
      <c r="U566" s="135">
        <f t="shared" si="1563"/>
        <v>288.01516629148216</v>
      </c>
      <c r="V566" s="135">
        <f t="shared" si="1563"/>
        <v>308.5107697131188</v>
      </c>
      <c r="W566" s="135">
        <f t="shared" si="1563"/>
        <v>366.66865517337186</v>
      </c>
      <c r="X566" s="135">
        <f t="shared" si="1563"/>
        <v>307.90954340420734</v>
      </c>
      <c r="Y566" s="135">
        <f t="shared" si="1563"/>
        <v>364.12899186246756</v>
      </c>
      <c r="Z566" s="135">
        <f t="shared" si="1563"/>
        <v>312.23727183938286</v>
      </c>
      <c r="AA566" s="135">
        <f t="shared" si="1563"/>
        <v>286.27069516615933</v>
      </c>
      <c r="AB566" s="135">
        <f t="shared" si="1563"/>
        <v>328.77981539670543</v>
      </c>
      <c r="AC566" s="135">
        <f t="shared" si="1563"/>
        <v>259.89023890736735</v>
      </c>
      <c r="AD566" s="136">
        <f t="shared" si="1563"/>
        <v>212.12567531565162</v>
      </c>
      <c r="AE566" s="15"/>
      <c r="AF566" s="113">
        <f>_xlfn.XLOOKUP($C566,'Site Level Financials - ''23 ''24'!$C$2:$C$1577,'Site Level Financials - ''23 ''24'!$AF$2:$AF$1577)</f>
        <v>1968.2740758398611</v>
      </c>
      <c r="AG566" s="95">
        <f>SUM(G566:R566)</f>
        <v>1938.8358442493718</v>
      </c>
      <c r="AH566" s="95">
        <f t="shared" ref="AH566" si="1564">SUM(S566:AD566)</f>
        <v>3461.627156423483</v>
      </c>
    </row>
    <row r="567" spans="2:34" x14ac:dyDescent="0.2">
      <c r="B567" s="9">
        <f>G554</f>
        <v>12</v>
      </c>
      <c r="C567" s="9" t="str">
        <f t="shared" si="1556"/>
        <v>12 - % YoY Revenue Growth</v>
      </c>
      <c r="D567" s="9" t="s">
        <v>56</v>
      </c>
      <c r="F567" s="16" t="s">
        <v>174</v>
      </c>
      <c r="G567" s="245">
        <f>_xlfn.XLOOKUP($C567,'Site Level Financials - ''23 ''24'!$C$2:$C$1577,'Site Level Financials - ''23 ''24'!S$2:S$1577)</f>
        <v>-4.0705593744917445E-3</v>
      </c>
      <c r="H567" s="246">
        <f>_xlfn.XLOOKUP($C567,'Site Level Financials - ''23 ''24'!$C$2:$C$1577,'Site Level Financials - ''23 ''24'!T$2:T$1577)</f>
        <v>7.4013671141259119E-2</v>
      </c>
      <c r="I567" s="246">
        <f>_xlfn.XLOOKUP($C567,'Site Level Financials - ''23 ''24'!$C$2:$C$1577,'Site Level Financials - ''23 ''24'!U$2:U$1577)</f>
        <v>-0.10259413469439949</v>
      </c>
      <c r="J567" s="246">
        <f>_xlfn.XLOOKUP($C567,'Site Level Financials - ''23 ''24'!$C$2:$C$1577,'Site Level Financials - ''23 ''24'!V$2:V$1577)</f>
        <v>8.1144597213820058E-2</v>
      </c>
      <c r="K567" s="246">
        <f>_xlfn.XLOOKUP($C567,'Site Level Financials - ''23 ''24'!$C$2:$C$1577,'Site Level Financials - ''23 ''24'!W$2:W$1577)</f>
        <v>3.6842569293800143E-3</v>
      </c>
      <c r="L567" s="246">
        <f>_xlfn.XLOOKUP($C567,'Site Level Financials - ''23 ''24'!$C$2:$C$1577,'Site Level Financials - ''23 ''24'!X$2:X$1577)</f>
        <v>-0.16024878752866789</v>
      </c>
      <c r="M567" s="246">
        <f>_xlfn.XLOOKUP($C567,'Site Level Financials - ''23 ''24'!$C$2:$C$1577,'Site Level Financials - ''23 ''24'!Y$2:Y$1577)</f>
        <v>2.4434611878758394E-2</v>
      </c>
      <c r="N567" s="246">
        <f>_xlfn.XLOOKUP($C567,'Site Level Financials - ''23 ''24'!$C$2:$C$1577,'Site Level Financials - ''23 ''24'!Z$2:Z$1577)</f>
        <v>-6.6018082900251351E-2</v>
      </c>
      <c r="O567" s="246">
        <f>_xlfn.XLOOKUP($C567,'Site Level Financials - ''23 ''24'!$C$2:$C$1577,'Site Level Financials - ''23 ''24'!AA$2:AA$1577)</f>
        <v>-4.9606276798113247E-2</v>
      </c>
      <c r="P567" s="246">
        <f>_xlfn.XLOOKUP($C567,'Site Level Financials - ''23 ''24'!$C$2:$C$1577,'Site Level Financials - ''23 ''24'!AB$2:AB$1577)</f>
        <v>9.0664524312511929E-2</v>
      </c>
      <c r="Q567" s="246">
        <f>_xlfn.XLOOKUP($C567,'Site Level Financials - ''23 ''24'!$C$2:$C$1577,'Site Level Financials - ''23 ''24'!AC$2:AC$1577)</f>
        <v>-2.7816809407605447E-2</v>
      </c>
      <c r="R567" s="246">
        <f>_xlfn.XLOOKUP($C567,'Site Level Financials - ''23 ''24'!$C$2:$C$1577,'Site Level Financials - ''23 ''24'!AD$2:AD$1577)</f>
        <v>2.3228461030834868E-2</v>
      </c>
      <c r="S567" s="148">
        <f>S566/G566-1</f>
        <v>0.16005883643524221</v>
      </c>
      <c r="T567" s="149">
        <f t="shared" ref="T567" si="1565">T566/H566-1</f>
        <v>0.86816916463103944</v>
      </c>
      <c r="U567" s="149">
        <f t="shared" ref="U567" si="1566">U566/I566-1</f>
        <v>0.83128655965002918</v>
      </c>
      <c r="V567" s="149">
        <f t="shared" ref="V567" si="1567">V566/J566-1</f>
        <v>0.68361731945375248</v>
      </c>
      <c r="W567" s="149">
        <f t="shared" ref="W567" si="1568">W566/K566-1</f>
        <v>0.72713988515793648</v>
      </c>
      <c r="X567" s="149">
        <f t="shared" ref="X567" si="1569">X566/L566-1</f>
        <v>0.74804316643449709</v>
      </c>
      <c r="Y567" s="149">
        <f t="shared" ref="Y567" si="1570">Y566/M566-1</f>
        <v>0.95077229444667344</v>
      </c>
      <c r="Z567" s="149">
        <f t="shared" ref="Z567" si="1571">Z566/N566-1</f>
        <v>0.8849767469084604</v>
      </c>
      <c r="AA567" s="149">
        <f t="shared" ref="AA567" si="1572">AA566/O566-1</f>
        <v>0.89426475155974328</v>
      </c>
      <c r="AB567" s="149">
        <f t="shared" ref="AB567" si="1573">AB566/P566-1</f>
        <v>0.82993843623602737</v>
      </c>
      <c r="AC567" s="149">
        <f t="shared" ref="AC567" si="1574">AC566/Q566-1</f>
        <v>0.88025550715602541</v>
      </c>
      <c r="AD567" s="150">
        <f t="shared" ref="AD567" si="1575">AD566/R566-1</f>
        <v>0.96348977771087729</v>
      </c>
      <c r="AE567" s="15"/>
      <c r="AF567" s="11"/>
      <c r="AG567" s="97">
        <f>AG566/AF566-1</f>
        <v>-1.4956368095194295E-2</v>
      </c>
      <c r="AH567" s="97">
        <f>AH566/AG566-1</f>
        <v>0.78541528757617241</v>
      </c>
    </row>
    <row r="568" spans="2:34" ht="6" customHeight="1" x14ac:dyDescent="0.2">
      <c r="B568" s="9">
        <f>G554</f>
        <v>12</v>
      </c>
      <c r="C568" s="9" t="str">
        <f t="shared" si="1556"/>
        <v xml:space="preserve">12 - </v>
      </c>
      <c r="D568" s="9" t="s">
        <v>56</v>
      </c>
      <c r="G568" s="80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80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81"/>
      <c r="AE568" s="15"/>
      <c r="AF568" s="11"/>
      <c r="AG568" s="15"/>
      <c r="AH568" s="15"/>
    </row>
    <row r="569" spans="2:34" x14ac:dyDescent="0.2">
      <c r="B569" s="9">
        <f>G554</f>
        <v>12</v>
      </c>
      <c r="C569" s="9" t="str">
        <f t="shared" si="1556"/>
        <v>12 - Doctor Compensation</v>
      </c>
      <c r="D569" s="9" t="s">
        <v>56</v>
      </c>
      <c r="F569" t="s">
        <v>4</v>
      </c>
      <c r="G569" s="178">
        <f>_xlfn.XLOOKUP($C569,'Site Level Financials - ''23 ''24'!$C$2:$C$1577,'Site Level Financials - ''23 ''24'!S$2:S$1577)</f>
        <v>-46.903090300273952</v>
      </c>
      <c r="H569" s="179">
        <f>_xlfn.XLOOKUP($C569,'Site Level Financials - ''23 ''24'!$C$2:$C$1577,'Site Level Financials - ''23 ''24'!T$2:T$1577)</f>
        <v>-49.410203916576464</v>
      </c>
      <c r="I569" s="179">
        <f>_xlfn.XLOOKUP($C569,'Site Level Financials - ''23 ''24'!$C$2:$C$1577,'Site Level Financials - ''23 ''24'!U$2:U$1577)</f>
        <v>-53.61671336872579</v>
      </c>
      <c r="J569" s="179">
        <f>_xlfn.XLOOKUP($C569,'Site Level Financials - ''23 ''24'!$C$2:$C$1577,'Site Level Financials - ''23 ''24'!V$2:V$1577)</f>
        <v>-60.911162825043874</v>
      </c>
      <c r="K569" s="179">
        <f>_xlfn.XLOOKUP($C569,'Site Level Financials - ''23 ''24'!$C$2:$C$1577,'Site Level Financials - ''23 ''24'!W$2:W$1577)</f>
        <v>-79.502577888164879</v>
      </c>
      <c r="L569" s="179">
        <f>_xlfn.XLOOKUP($C569,'Site Level Financials - ''23 ''24'!$C$2:$C$1577,'Site Level Financials - ''23 ''24'!X$2:X$1577)</f>
        <v>-66.130963868064484</v>
      </c>
      <c r="M569" s="179">
        <f>_xlfn.XLOOKUP($C569,'Site Level Financials - ''23 ''24'!$C$2:$C$1577,'Site Level Financials - ''23 ''24'!Y$2:Y$1577)</f>
        <v>-63.511706365955533</v>
      </c>
      <c r="N569" s="179">
        <f>_xlfn.XLOOKUP($C569,'Site Level Financials - ''23 ''24'!$C$2:$C$1577,'Site Level Financials - ''23 ''24'!Z$2:Z$1577)</f>
        <v>-57.274890380619411</v>
      </c>
      <c r="O569" s="179">
        <f>_xlfn.XLOOKUP($C569,'Site Level Financials - ''23 ''24'!$C$2:$C$1577,'Site Level Financials - ''23 ''24'!AA$2:AA$1577)</f>
        <v>-51.106705256941048</v>
      </c>
      <c r="P569" s="179">
        <f>_xlfn.XLOOKUP($C569,'Site Level Financials - ''23 ''24'!$C$2:$C$1577,'Site Level Financials - ''23 ''24'!AB$2:AB$1577)</f>
        <v>-61.400267517180325</v>
      </c>
      <c r="Q569" s="179">
        <f>_xlfn.XLOOKUP($C569,'Site Level Financials - ''23 ''24'!$C$2:$C$1577,'Site Level Financials - ''23 ''24'!AC$2:AC$1577)</f>
        <v>-46.636653795577317</v>
      </c>
      <c r="R569" s="179">
        <f>_xlfn.XLOOKUP($C569,'Site Level Financials - ''23 ''24'!$C$2:$C$1577,'Site Level Financials - ''23 ''24'!AD$2:AD$1577)</f>
        <v>-35.987430169836664</v>
      </c>
      <c r="S569" s="155">
        <f>S570*S566</f>
        <v>-54.410344358952898</v>
      </c>
      <c r="T569" s="154">
        <f t="shared" ref="T569" si="1576">T570*T566</f>
        <v>-92.306619375079961</v>
      </c>
      <c r="U569" s="154">
        <f t="shared" ref="U569" si="1577">U570*U566</f>
        <v>-98.187566564755571</v>
      </c>
      <c r="V569" s="154">
        <f t="shared" ref="V569" si="1578">V570*V566</f>
        <v>-102.55108868031142</v>
      </c>
      <c r="W569" s="154">
        <f t="shared" ref="W569" si="1579">W570*W566</f>
        <v>-137.31207324352499</v>
      </c>
      <c r="X569" s="154">
        <f t="shared" ref="X569" si="1580">X570*X566</f>
        <v>-115.59977947929676</v>
      </c>
      <c r="Y569" s="154">
        <f t="shared" ref="Y569" si="1581">Y570*Y566</f>
        <v>-123.89687715173848</v>
      </c>
      <c r="Z569" s="154">
        <f t="shared" ref="Z569" si="1582">Z570*Z566</f>
        <v>-107.96183654919865</v>
      </c>
      <c r="AA569" s="154">
        <f t="shared" ref="AA569" si="1583">AA570*AA566</f>
        <v>-96.809630336576461</v>
      </c>
      <c r="AB569" s="154">
        <f t="shared" ref="AB569" si="1584">AB570*AB566</f>
        <v>-112.3587095248627</v>
      </c>
      <c r="AC569" s="154">
        <f t="shared" ref="AC569" si="1585">AC570*AC566</f>
        <v>-87.688825134463215</v>
      </c>
      <c r="AD569" s="156">
        <f t="shared" ref="AD569" si="1586">AD570*AD566</f>
        <v>-70.660951264558307</v>
      </c>
      <c r="AE569" s="15"/>
      <c r="AF569" s="115">
        <f>_xlfn.XLOOKUP($C569,'Site Level Financials - ''23 ''24'!$C$2:$C$1577,'Site Level Financials - ''23 ''24'!$AF$2:$AF$1577)</f>
        <v>-687.40922531915953</v>
      </c>
      <c r="AG569" s="93">
        <f>SUM(G569:R569)</f>
        <v>-672.39236565295971</v>
      </c>
      <c r="AH569" s="93">
        <f t="shared" ref="AH569" si="1587">SUM(S569:AD569)</f>
        <v>-1199.7443016633194</v>
      </c>
    </row>
    <row r="570" spans="2:34" x14ac:dyDescent="0.2">
      <c r="B570" s="9">
        <f>G554</f>
        <v>12</v>
      </c>
      <c r="C570" s="9" t="str">
        <f t="shared" si="1556"/>
        <v>12 - % of Revenue - Doctor Compensation</v>
      </c>
      <c r="D570" s="9" t="s">
        <v>56</v>
      </c>
      <c r="F570" s="16" t="str">
        <f>"% of Revenue - "&amp;F569</f>
        <v>% of Revenue - Doctor Compensation</v>
      </c>
      <c r="G570" s="148">
        <f>G569/G566</f>
        <v>-0.34248958482494901</v>
      </c>
      <c r="H570" s="149">
        <f t="shared" ref="H570:R570" si="1588">H569/H566</f>
        <v>-0.34414109300566409</v>
      </c>
      <c r="I570" s="149">
        <f t="shared" si="1588"/>
        <v>-0.34091109794331481</v>
      </c>
      <c r="J570" s="149">
        <f t="shared" si="1588"/>
        <v>-0.3324068355074693</v>
      </c>
      <c r="K570" s="149">
        <f t="shared" si="1588"/>
        <v>-0.37448544157285479</v>
      </c>
      <c r="L570" s="149">
        <f t="shared" si="1588"/>
        <v>-0.37543422071703536</v>
      </c>
      <c r="M570" s="149">
        <f t="shared" si="1588"/>
        <v>-0.34025545869891799</v>
      </c>
      <c r="N570" s="149">
        <f t="shared" si="1588"/>
        <v>-0.34576857501091351</v>
      </c>
      <c r="O570" s="149">
        <f t="shared" si="1588"/>
        <v>-0.3381751327371651</v>
      </c>
      <c r="P570" s="149">
        <f t="shared" si="1588"/>
        <v>-0.34174454836678703</v>
      </c>
      <c r="Q570" s="149">
        <f t="shared" si="1588"/>
        <v>-0.33740715120015774</v>
      </c>
      <c r="R570" s="149">
        <f t="shared" si="1588"/>
        <v>-0.33310890423524614</v>
      </c>
      <c r="S570" s="245">
        <f>_xlfn.XLOOKUP($F570,'Budget Assumption Driver'!$A$33:$A$39,'Budget Assumption Driver'!E$33:E$39)+G570</f>
        <v>-0.34248958482494901</v>
      </c>
      <c r="T570" s="246">
        <f>_xlfn.XLOOKUP($F570,'Budget Assumption Driver'!$A$33:$A$39,'Budget Assumption Driver'!F$33:F$39)+H570</f>
        <v>-0.34414109300566409</v>
      </c>
      <c r="U570" s="246">
        <f>_xlfn.XLOOKUP($F570,'Budget Assumption Driver'!$A$33:$A$39,'Budget Assumption Driver'!G$33:G$39)+I570</f>
        <v>-0.34091109794331481</v>
      </c>
      <c r="V570" s="246">
        <f>_xlfn.XLOOKUP($F570,'Budget Assumption Driver'!$A$33:$A$39,'Budget Assumption Driver'!H$33:H$39)+J570</f>
        <v>-0.3324068355074693</v>
      </c>
      <c r="W570" s="246">
        <f>_xlfn.XLOOKUP($F570,'Budget Assumption Driver'!$A$33:$A$39,'Budget Assumption Driver'!I$33:I$39)+K570</f>
        <v>-0.37448544157285479</v>
      </c>
      <c r="X570" s="246">
        <f>_xlfn.XLOOKUP($F570,'Budget Assumption Driver'!$A$33:$A$39,'Budget Assumption Driver'!J$33:J$39)+L570</f>
        <v>-0.37543422071703536</v>
      </c>
      <c r="Y570" s="246">
        <f>_xlfn.XLOOKUP($F570,'Budget Assumption Driver'!$A$33:$A$39,'Budget Assumption Driver'!K$33:K$39)+M570</f>
        <v>-0.34025545869891799</v>
      </c>
      <c r="Z570" s="246">
        <f>_xlfn.XLOOKUP($F570,'Budget Assumption Driver'!$A$33:$A$39,'Budget Assumption Driver'!L$33:L$39)+N570</f>
        <v>-0.34576857501091351</v>
      </c>
      <c r="AA570" s="246">
        <f>_xlfn.XLOOKUP($F570,'Budget Assumption Driver'!$A$33:$A$39,'Budget Assumption Driver'!M$33:M$39)+O570</f>
        <v>-0.3381751327371651</v>
      </c>
      <c r="AB570" s="246">
        <f>_xlfn.XLOOKUP($F570,'Budget Assumption Driver'!$A$33:$A$39,'Budget Assumption Driver'!N$33:N$39)+P570</f>
        <v>-0.34174454836678703</v>
      </c>
      <c r="AC570" s="246">
        <f>_xlfn.XLOOKUP($F570,'Budget Assumption Driver'!$A$33:$A$39,'Budget Assumption Driver'!O$33:O$39)+Q570</f>
        <v>-0.33740715120015774</v>
      </c>
      <c r="AD570" s="296">
        <f>_xlfn.XLOOKUP($F570,'Budget Assumption Driver'!$A$33:$A$39,'Budget Assumption Driver'!P$33:P$39)+R570</f>
        <v>-0.33310890423524614</v>
      </c>
      <c r="AE570" s="15"/>
      <c r="AF570" s="232">
        <f>_xlfn.XLOOKUP($C570,'Site Level Financials - ''23 ''24'!$C$2:$C$1577,'Site Level Financials - ''23 ''24'!$AF$2:$AF$1577)</f>
        <v>-0.34924466757803663</v>
      </c>
      <c r="AG570" s="97">
        <f t="shared" ref="AG570:AH570" si="1589">AG569/AG566</f>
        <v>-0.34680211202371242</v>
      </c>
      <c r="AH570" s="97">
        <f t="shared" si="1589"/>
        <v>-0.34658391775007991</v>
      </c>
    </row>
    <row r="571" spans="2:34" ht="3" customHeight="1" x14ac:dyDescent="0.2">
      <c r="B571" s="9">
        <f>G554</f>
        <v>12</v>
      </c>
      <c r="C571" s="9" t="str">
        <f t="shared" si="1556"/>
        <v xml:space="preserve">12 - </v>
      </c>
      <c r="D571" s="9" t="s">
        <v>56</v>
      </c>
      <c r="F571" s="16"/>
      <c r="G571" s="84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4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6"/>
      <c r="AE571" s="15"/>
      <c r="AF571" s="36"/>
      <c r="AG571" s="38"/>
      <c r="AH571" s="38"/>
    </row>
    <row r="572" spans="2:34" x14ac:dyDescent="0.2">
      <c r="B572" s="9">
        <f>G554</f>
        <v>12</v>
      </c>
      <c r="C572" s="9" t="str">
        <f t="shared" si="1556"/>
        <v>12 - Administrative Staff Compensation</v>
      </c>
      <c r="D572" s="9" t="s">
        <v>56</v>
      </c>
      <c r="F572" t="s">
        <v>5</v>
      </c>
      <c r="G572" s="178">
        <f>_xlfn.XLOOKUP($C572,'Site Level Financials - ''23 ''24'!$C$2:$C$1577,'Site Level Financials - ''23 ''24'!S$2:S$1577)</f>
        <v>-21.755060977128174</v>
      </c>
      <c r="H572" s="179">
        <f>_xlfn.XLOOKUP($C572,'Site Level Financials - ''23 ''24'!$C$2:$C$1577,'Site Level Financials - ''23 ''24'!T$2:T$1577)</f>
        <v>-22.30873883458068</v>
      </c>
      <c r="I572" s="179">
        <f>_xlfn.XLOOKUP($C572,'Site Level Financials - ''23 ''24'!$C$2:$C$1577,'Site Level Financials - ''23 ''24'!U$2:U$1577)</f>
        <v>-24.871350281465205</v>
      </c>
      <c r="J572" s="179">
        <f>_xlfn.XLOOKUP($C572,'Site Level Financials - ''23 ''24'!$C$2:$C$1577,'Site Level Financials - ''23 ''24'!V$2:V$1577)</f>
        <v>-30.483702149788186</v>
      </c>
      <c r="K572" s="179">
        <f>_xlfn.XLOOKUP($C572,'Site Level Financials - ''23 ''24'!$C$2:$C$1577,'Site Level Financials - ''23 ''24'!W$2:W$1577)</f>
        <v>-38.274136229781597</v>
      </c>
      <c r="L572" s="179">
        <f>_xlfn.XLOOKUP($C572,'Site Level Financials - ''23 ''24'!$C$2:$C$1577,'Site Level Financials - ''23 ''24'!X$2:X$1577)</f>
        <v>-32.601958746037667</v>
      </c>
      <c r="M572" s="179">
        <f>_xlfn.XLOOKUP($C572,'Site Level Financials - ''23 ''24'!$C$2:$C$1577,'Site Level Financials - ''23 ''24'!Y$2:Y$1577)</f>
        <v>-32.750804418142557</v>
      </c>
      <c r="N572" s="179">
        <f>_xlfn.XLOOKUP($C572,'Site Level Financials - ''23 ''24'!$C$2:$C$1577,'Site Level Financials - ''23 ''24'!Z$2:Z$1577)</f>
        <v>-28.78328079106085</v>
      </c>
      <c r="O572" s="179">
        <f>_xlfn.XLOOKUP($C572,'Site Level Financials - ''23 ''24'!$C$2:$C$1577,'Site Level Financials - ''23 ''24'!AA$2:AA$1577)</f>
        <v>-26.530952890731886</v>
      </c>
      <c r="P572" s="179">
        <f>_xlfn.XLOOKUP($C572,'Site Level Financials - ''23 ''24'!$C$2:$C$1577,'Site Level Financials - ''23 ''24'!AB$2:AB$1577)</f>
        <v>-30.407082214431366</v>
      </c>
      <c r="Q572" s="179">
        <f>_xlfn.XLOOKUP($C572,'Site Level Financials - ''23 ''24'!$C$2:$C$1577,'Site Level Financials - ''23 ''24'!AC$2:AC$1577)</f>
        <v>-24.434490310653018</v>
      </c>
      <c r="R572" s="179">
        <f>_xlfn.XLOOKUP($C572,'Site Level Financials - ''23 ''24'!$C$2:$C$1577,'Site Level Financials - ''23 ''24'!AD$2:AD$1577)</f>
        <v>-19.992405726660355</v>
      </c>
      <c r="S572" s="155">
        <f>S573*S566</f>
        <v>-25.237150723705057</v>
      </c>
      <c r="T572" s="154">
        <f t="shared" ref="T572" si="1590">T573*T566</f>
        <v>-41.676497992570617</v>
      </c>
      <c r="U572" s="154">
        <f t="shared" ref="U572" si="1591">U573*U566</f>
        <v>-45.5465694907952</v>
      </c>
      <c r="V572" s="154">
        <f t="shared" ref="V572" si="1592">V573*V566</f>
        <v>-51.322888900452973</v>
      </c>
      <c r="W572" s="154">
        <f t="shared" ref="W572" si="1593">W573*W566</f>
        <v>-66.104787252424202</v>
      </c>
      <c r="X572" s="154">
        <f t="shared" ref="X572" si="1594">X573*X566</f>
        <v>-56.989631198390526</v>
      </c>
      <c r="Y572" s="154">
        <f t="shared" ref="Y572" si="1595">Y573*Y566</f>
        <v>-63.889361879754212</v>
      </c>
      <c r="Z572" s="154">
        <f t="shared" ref="Z572" si="1596">Z573*Z566</f>
        <v>-54.255814990886655</v>
      </c>
      <c r="AA572" s="154">
        <f t="shared" ref="AA572" si="1597">AA573*AA566</f>
        <v>-50.256648886205483</v>
      </c>
      <c r="AB572" s="154">
        <f t="shared" ref="AB572" si="1598">AB573*AB566</f>
        <v>-55.643088477976853</v>
      </c>
      <c r="AC572" s="154">
        <f t="shared" ref="AC572" si="1599">AC573*AC566</f>
        <v>-45.943084971155876</v>
      </c>
      <c r="AD572" s="156">
        <f t="shared" ref="AD572" si="1600">AD573*AD566</f>
        <v>-39.254884276146008</v>
      </c>
      <c r="AE572" s="15"/>
      <c r="AF572" s="115">
        <f>_xlfn.XLOOKUP($C572,'Site Level Financials - ''23 ''24'!$C$2:$C$1577,'Site Level Financials - ''23 ''24'!$AF$2:$AF$1577)</f>
        <v>-347.91155538438579</v>
      </c>
      <c r="AG572" s="93">
        <f>SUM(G572:R572)</f>
        <v>-333.19396357046156</v>
      </c>
      <c r="AH572" s="93">
        <f t="shared" ref="AH572" si="1601">SUM(S572:AD572)</f>
        <v>-596.12040904046364</v>
      </c>
    </row>
    <row r="573" spans="2:34" x14ac:dyDescent="0.2">
      <c r="B573" s="9">
        <f>G554</f>
        <v>12</v>
      </c>
      <c r="C573" s="9" t="str">
        <f t="shared" si="1556"/>
        <v>12 - % of Revenue - Administrative Staff Compensation</v>
      </c>
      <c r="D573" s="9" t="s">
        <v>56</v>
      </c>
      <c r="F573" s="16" t="str">
        <f>"% of Revenue - "&amp;F572</f>
        <v>% of Revenue - Administrative Staff Compensation</v>
      </c>
      <c r="G573" s="148">
        <f>G572/G566</f>
        <v>-0.15885694853361421</v>
      </c>
      <c r="H573" s="149">
        <f t="shared" ref="H573:R573" si="1602">H572/H566</f>
        <v>-0.15537992474333526</v>
      </c>
      <c r="I573" s="149">
        <f t="shared" si="1602"/>
        <v>-0.1581394829906296</v>
      </c>
      <c r="J573" s="149">
        <f t="shared" si="1602"/>
        <v>-0.16635687936657004</v>
      </c>
      <c r="K573" s="149">
        <f t="shared" si="1602"/>
        <v>-0.1802848056951252</v>
      </c>
      <c r="L573" s="149">
        <f t="shared" si="1602"/>
        <v>-0.18508562796826844</v>
      </c>
      <c r="M573" s="149">
        <f t="shared" si="1602"/>
        <v>-0.17545804730617381</v>
      </c>
      <c r="N573" s="149">
        <f t="shared" si="1602"/>
        <v>-0.17376469718450605</v>
      </c>
      <c r="O573" s="149">
        <f t="shared" si="1602"/>
        <v>-0.17555638678641261</v>
      </c>
      <c r="P573" s="149">
        <f t="shared" si="1602"/>
        <v>-0.16924119386963568</v>
      </c>
      <c r="Q573" s="149">
        <f t="shared" si="1602"/>
        <v>-0.17677880155988224</v>
      </c>
      <c r="R573" s="149">
        <f t="shared" si="1602"/>
        <v>-0.18505484646181158</v>
      </c>
      <c r="S573" s="245">
        <f>_xlfn.XLOOKUP($F573,'Budget Assumption Driver'!$A$33:$A$39,'Budget Assumption Driver'!E$33:E$39)+G573</f>
        <v>-0.15885694853361421</v>
      </c>
      <c r="T573" s="246">
        <f>_xlfn.XLOOKUP($F573,'Budget Assumption Driver'!$A$33:$A$39,'Budget Assumption Driver'!F$33:F$39)+H573</f>
        <v>-0.15537992474333526</v>
      </c>
      <c r="U573" s="246">
        <f>_xlfn.XLOOKUP($F573,'Budget Assumption Driver'!$A$33:$A$39,'Budget Assumption Driver'!G$33:G$39)+I573</f>
        <v>-0.1581394829906296</v>
      </c>
      <c r="V573" s="246">
        <f>_xlfn.XLOOKUP($F573,'Budget Assumption Driver'!$A$33:$A$39,'Budget Assumption Driver'!H$33:H$39)+J573</f>
        <v>-0.16635687936657004</v>
      </c>
      <c r="W573" s="246">
        <f>_xlfn.XLOOKUP($F573,'Budget Assumption Driver'!$A$33:$A$39,'Budget Assumption Driver'!I$33:I$39)+K573</f>
        <v>-0.1802848056951252</v>
      </c>
      <c r="X573" s="246">
        <f>_xlfn.XLOOKUP($F573,'Budget Assumption Driver'!$A$33:$A$39,'Budget Assumption Driver'!J$33:J$39)+L573</f>
        <v>-0.18508562796826844</v>
      </c>
      <c r="Y573" s="246">
        <f>_xlfn.XLOOKUP($F573,'Budget Assumption Driver'!$A$33:$A$39,'Budget Assumption Driver'!K$33:K$39)+M573</f>
        <v>-0.17545804730617381</v>
      </c>
      <c r="Z573" s="246">
        <f>_xlfn.XLOOKUP($F573,'Budget Assumption Driver'!$A$33:$A$39,'Budget Assumption Driver'!L$33:L$39)+N573</f>
        <v>-0.17376469718450605</v>
      </c>
      <c r="AA573" s="246">
        <f>_xlfn.XLOOKUP($F573,'Budget Assumption Driver'!$A$33:$A$39,'Budget Assumption Driver'!M$33:M$39)+O573</f>
        <v>-0.17555638678641261</v>
      </c>
      <c r="AB573" s="246">
        <f>_xlfn.XLOOKUP($F573,'Budget Assumption Driver'!$A$33:$A$39,'Budget Assumption Driver'!N$33:N$39)+P573</f>
        <v>-0.16924119386963568</v>
      </c>
      <c r="AC573" s="246">
        <f>_xlfn.XLOOKUP($F573,'Budget Assumption Driver'!$A$33:$A$39,'Budget Assumption Driver'!O$33:O$39)+Q573</f>
        <v>-0.17677880155988224</v>
      </c>
      <c r="AD573" s="296">
        <f>_xlfn.XLOOKUP($F573,'Budget Assumption Driver'!$A$33:$A$39,'Budget Assumption Driver'!P$33:P$39)+R573</f>
        <v>-0.18505484646181158</v>
      </c>
      <c r="AE573" s="15"/>
      <c r="AF573" s="232">
        <f>_xlfn.XLOOKUP($C573,'Site Level Financials - ''23 ''24'!$C$2:$C$1577,'Site Level Financials - ''23 ''24'!$AF$2:$AF$1577)</f>
        <v>-0.17675971027354623</v>
      </c>
      <c r="AG573" s="97">
        <f t="shared" ref="AG573:AH573" si="1603">AG572/AG566</f>
        <v>-0.17185259110961967</v>
      </c>
      <c r="AH573" s="97">
        <f t="shared" si="1603"/>
        <v>-0.17220815012797883</v>
      </c>
    </row>
    <row r="574" spans="2:34" ht="3" customHeight="1" x14ac:dyDescent="0.2">
      <c r="B574" s="9">
        <f>G554</f>
        <v>12</v>
      </c>
      <c r="C574" s="9" t="str">
        <f t="shared" si="1556"/>
        <v xml:space="preserve">12 - </v>
      </c>
      <c r="D574" s="9" t="s">
        <v>56</v>
      </c>
      <c r="F574" s="16"/>
      <c r="G574" s="84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4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6"/>
      <c r="AE574" s="15"/>
      <c r="AF574" s="36"/>
      <c r="AG574" s="38"/>
      <c r="AH574" s="38"/>
    </row>
    <row r="575" spans="2:34" x14ac:dyDescent="0.2">
      <c r="B575" s="9">
        <f>G554</f>
        <v>12</v>
      </c>
      <c r="C575" s="9" t="str">
        <f t="shared" si="1556"/>
        <v>12 - Office Supplies</v>
      </c>
      <c r="D575" s="9" t="s">
        <v>56</v>
      </c>
      <c r="F575" t="s">
        <v>6</v>
      </c>
      <c r="G575" s="178">
        <f>_xlfn.XLOOKUP($C575,'Site Level Financials - ''23 ''24'!$C$2:$C$1577,'Site Level Financials - ''23 ''24'!S$2:S$1577)</f>
        <v>-9.7435018466068808</v>
      </c>
      <c r="H575" s="179">
        <f>_xlfn.XLOOKUP($C575,'Site Level Financials - ''23 ''24'!$C$2:$C$1577,'Site Level Financials - ''23 ''24'!T$2:T$1577)</f>
        <v>-9.7297255587614533</v>
      </c>
      <c r="I575" s="179">
        <f>_xlfn.XLOOKUP($C575,'Site Level Financials - ''23 ''24'!$C$2:$C$1577,'Site Level Financials - ''23 ''24'!U$2:U$1577)</f>
        <v>-10.555921495230441</v>
      </c>
      <c r="J575" s="179">
        <f>_xlfn.XLOOKUP($C575,'Site Level Financials - ''23 ''24'!$C$2:$C$1577,'Site Level Financials - ''23 ''24'!V$2:V$1577)</f>
        <v>-11.610612619961893</v>
      </c>
      <c r="K575" s="179">
        <f>_xlfn.XLOOKUP($C575,'Site Level Financials - ''23 ''24'!$C$2:$C$1577,'Site Level Financials - ''23 ''24'!W$2:W$1577)</f>
        <v>-15.258015159637544</v>
      </c>
      <c r="L575" s="179">
        <f>_xlfn.XLOOKUP($C575,'Site Level Financials - ''23 ''24'!$C$2:$C$1577,'Site Level Financials - ''23 ''24'!X$2:X$1577)</f>
        <v>-12.879844668894508</v>
      </c>
      <c r="M575" s="179">
        <f>_xlfn.XLOOKUP($C575,'Site Level Financials - ''23 ''24'!$C$2:$C$1577,'Site Level Financials - ''23 ''24'!Y$2:Y$1577)</f>
        <v>-12.797063066943226</v>
      </c>
      <c r="N575" s="179">
        <f>_xlfn.XLOOKUP($C575,'Site Level Financials - ''23 ''24'!$C$2:$C$1577,'Site Level Financials - ''23 ''24'!Z$2:Z$1577)</f>
        <v>-11.853421138887684</v>
      </c>
      <c r="O575" s="179">
        <f>_xlfn.XLOOKUP($C575,'Site Level Financials - ''23 ''24'!$C$2:$C$1577,'Site Level Financials - ''23 ''24'!AA$2:AA$1577)</f>
        <v>-10.849159477060043</v>
      </c>
      <c r="P575" s="179">
        <f>_xlfn.XLOOKUP($C575,'Site Level Financials - ''23 ''24'!$C$2:$C$1577,'Site Level Financials - ''23 ''24'!AB$2:AB$1577)</f>
        <v>-12.431672789756725</v>
      </c>
      <c r="Q575" s="179">
        <f>_xlfn.XLOOKUP($C575,'Site Level Financials - ''23 ''24'!$C$2:$C$1577,'Site Level Financials - ''23 ''24'!AC$2:AC$1577)</f>
        <v>-9.6181607005213845</v>
      </c>
      <c r="R575" s="179">
        <f>_xlfn.XLOOKUP($C575,'Site Level Financials - ''23 ''24'!$C$2:$C$1577,'Site Level Financials - ''23 ''24'!AD$2:AD$1577)</f>
        <v>-7.6335366059304155</v>
      </c>
      <c r="S575" s="155">
        <f>S576*S566</f>
        <v>-11.303035414979414</v>
      </c>
      <c r="T575" s="154">
        <f t="shared" ref="T575" si="1604">T576*T566</f>
        <v>-18.176773269200655</v>
      </c>
      <c r="U575" s="154">
        <f t="shared" ref="U575" si="1605">U576*U566</f>
        <v>-19.330917158936344</v>
      </c>
      <c r="V575" s="154">
        <f t="shared" ref="V575" si="1606">V576*V566</f>
        <v>-19.547828496436154</v>
      </c>
      <c r="W575" s="154">
        <f t="shared" ref="W575" si="1607">W576*W566</f>
        <v>-26.352726550554443</v>
      </c>
      <c r="X575" s="154">
        <f t="shared" ref="X575" si="1608">X576*X566</f>
        <v>-22.514524458198832</v>
      </c>
      <c r="Y575" s="154">
        <f t="shared" ref="Y575" si="1609">Y576*Y566</f>
        <v>-24.964156081279622</v>
      </c>
      <c r="Z575" s="154">
        <f t="shared" ref="Z575" si="1610">Z576*Z566</f>
        <v>-22.343423218116484</v>
      </c>
      <c r="AA575" s="154">
        <f t="shared" ref="AA575" si="1611">AA576*AA566</f>
        <v>-20.551180381445175</v>
      </c>
      <c r="AB575" s="154">
        <f t="shared" ref="AB575" si="1612">AB576*AB566</f>
        <v>-22.749195864685394</v>
      </c>
      <c r="AC575" s="154">
        <f t="shared" ref="AC575" si="1613">AC576*AC566</f>
        <v>-18.084599625866989</v>
      </c>
      <c r="AD575" s="156">
        <f t="shared" ref="AD575" si="1614">AD576*AD566</f>
        <v>-14.988371093526156</v>
      </c>
      <c r="AE575" s="15"/>
      <c r="AF575" s="115">
        <f>_xlfn.XLOOKUP($C575,'Site Level Financials - ''23 ''24'!$C$2:$C$1577,'Site Level Financials - ''23 ''24'!$AF$2:$AF$1577)</f>
        <v>-127.34784942409698</v>
      </c>
      <c r="AG575" s="93">
        <f>SUM(G575:R575)</f>
        <v>-134.96063512819219</v>
      </c>
      <c r="AH575" s="93">
        <f t="shared" ref="AH575" si="1615">SUM(S575:AD575)</f>
        <v>-240.90673161322565</v>
      </c>
    </row>
    <row r="576" spans="2:34" x14ac:dyDescent="0.2">
      <c r="B576" s="9">
        <f>G554</f>
        <v>12</v>
      </c>
      <c r="C576" s="9" t="str">
        <f t="shared" si="1556"/>
        <v>12 - % of Revenue - Office Supplies</v>
      </c>
      <c r="D576" s="9" t="s">
        <v>56</v>
      </c>
      <c r="F576" s="16" t="str">
        <f>"% of Revenue - "&amp;F575</f>
        <v>% of Revenue - Office Supplies</v>
      </c>
      <c r="G576" s="148">
        <f>G575/G566</f>
        <v>-7.1147719282923752E-2</v>
      </c>
      <c r="H576" s="149">
        <f t="shared" ref="H576:R576" si="1616">H575/H566</f>
        <v>-6.776734607472383E-2</v>
      </c>
      <c r="I576" s="149">
        <f t="shared" si="1616"/>
        <v>-6.7117705667529781E-2</v>
      </c>
      <c r="J576" s="149">
        <f t="shared" si="1616"/>
        <v>-6.3361899860460272E-2</v>
      </c>
      <c r="K576" s="149">
        <f t="shared" si="1616"/>
        <v>-7.1870682641509379E-2</v>
      </c>
      <c r="L576" s="149">
        <f t="shared" si="1616"/>
        <v>-7.3120580184950476E-2</v>
      </c>
      <c r="M576" s="149">
        <f t="shared" si="1616"/>
        <v>-6.8558551060687437E-2</v>
      </c>
      <c r="N576" s="149">
        <f t="shared" si="1616"/>
        <v>-7.1559116201893105E-2</v>
      </c>
      <c r="O576" s="149">
        <f t="shared" si="1616"/>
        <v>-7.1789326425873629E-2</v>
      </c>
      <c r="P576" s="149">
        <f t="shared" si="1616"/>
        <v>-6.9192799555642531E-2</v>
      </c>
      <c r="Q576" s="149">
        <f t="shared" si="1616"/>
        <v>-6.9585528498101387E-2</v>
      </c>
      <c r="R576" s="149">
        <f t="shared" si="1616"/>
        <v>-7.0657977028112467E-2</v>
      </c>
      <c r="S576" s="245">
        <f>_xlfn.XLOOKUP($F576,'Budget Assumption Driver'!$A$33:$A$39,'Budget Assumption Driver'!E$33:E$39)+G576</f>
        <v>-7.1147719282923752E-2</v>
      </c>
      <c r="T576" s="246">
        <f>_xlfn.XLOOKUP($F576,'Budget Assumption Driver'!$A$33:$A$39,'Budget Assumption Driver'!F$33:F$39)+H576</f>
        <v>-6.776734607472383E-2</v>
      </c>
      <c r="U576" s="246">
        <f>_xlfn.XLOOKUP($F576,'Budget Assumption Driver'!$A$33:$A$39,'Budget Assumption Driver'!G$33:G$39)+I576</f>
        <v>-6.7117705667529781E-2</v>
      </c>
      <c r="V576" s="246">
        <f>_xlfn.XLOOKUP($F576,'Budget Assumption Driver'!$A$33:$A$39,'Budget Assumption Driver'!H$33:H$39)+J576</f>
        <v>-6.3361899860460272E-2</v>
      </c>
      <c r="W576" s="246">
        <f>_xlfn.XLOOKUP($F576,'Budget Assumption Driver'!$A$33:$A$39,'Budget Assumption Driver'!I$33:I$39)+K576</f>
        <v>-7.1870682641509379E-2</v>
      </c>
      <c r="X576" s="246">
        <f>_xlfn.XLOOKUP($F576,'Budget Assumption Driver'!$A$33:$A$39,'Budget Assumption Driver'!J$33:J$39)+L576</f>
        <v>-7.3120580184950476E-2</v>
      </c>
      <c r="Y576" s="246">
        <f>_xlfn.XLOOKUP($F576,'Budget Assumption Driver'!$A$33:$A$39,'Budget Assumption Driver'!K$33:K$39)+M576</f>
        <v>-6.8558551060687437E-2</v>
      </c>
      <c r="Z576" s="246">
        <f>_xlfn.XLOOKUP($F576,'Budget Assumption Driver'!$A$33:$A$39,'Budget Assumption Driver'!L$33:L$39)+N576</f>
        <v>-7.1559116201893105E-2</v>
      </c>
      <c r="AA576" s="246">
        <f>_xlfn.XLOOKUP($F576,'Budget Assumption Driver'!$A$33:$A$39,'Budget Assumption Driver'!M$33:M$39)+O576</f>
        <v>-7.1789326425873629E-2</v>
      </c>
      <c r="AB576" s="246">
        <f>_xlfn.XLOOKUP($F576,'Budget Assumption Driver'!$A$33:$A$39,'Budget Assumption Driver'!N$33:N$39)+P576</f>
        <v>-6.9192799555642531E-2</v>
      </c>
      <c r="AC576" s="246">
        <f>_xlfn.XLOOKUP($F576,'Budget Assumption Driver'!$A$33:$A$39,'Budget Assumption Driver'!O$33:O$39)+Q576</f>
        <v>-6.9585528498101387E-2</v>
      </c>
      <c r="AD576" s="296">
        <f>_xlfn.XLOOKUP($F576,'Budget Assumption Driver'!$A$33:$A$39,'Budget Assumption Driver'!P$33:P$39)+R576</f>
        <v>-7.0657977028112467E-2</v>
      </c>
      <c r="AE576" s="15"/>
      <c r="AF576" s="232">
        <f>_xlfn.XLOOKUP($C576,'Site Level Financials - ''23 ''24'!$C$2:$C$1577,'Site Level Financials - ''23 ''24'!$AF$2:$AF$1577)</f>
        <v>-6.4700262523021718E-2</v>
      </c>
      <c r="AG576" s="97">
        <f t="shared" ref="AG576:AH576" si="1617">AG575/AG566</f>
        <v>-6.9609108748679413E-2</v>
      </c>
      <c r="AH576" s="97">
        <f t="shared" si="1617"/>
        <v>-6.9593494829792116E-2</v>
      </c>
    </row>
    <row r="577" spans="2:34" ht="6" customHeight="1" x14ac:dyDescent="0.2">
      <c r="B577" s="9">
        <f>G554</f>
        <v>12</v>
      </c>
      <c r="C577" s="9" t="str">
        <f t="shared" si="1556"/>
        <v xml:space="preserve">12 - </v>
      </c>
      <c r="D577" s="9" t="s">
        <v>56</v>
      </c>
      <c r="F577" s="16"/>
      <c r="G577" s="80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80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81"/>
      <c r="AE577" s="15"/>
      <c r="AF577" s="11"/>
      <c r="AG577" s="15"/>
      <c r="AH577" s="15"/>
    </row>
    <row r="578" spans="2:34" x14ac:dyDescent="0.2">
      <c r="B578" s="9">
        <f>G554</f>
        <v>12</v>
      </c>
      <c r="C578" s="9" t="str">
        <f t="shared" si="1556"/>
        <v>12 - Office Gross Profit</v>
      </c>
      <c r="D578" s="9" t="s">
        <v>56</v>
      </c>
      <c r="F578" s="8" t="s">
        <v>11</v>
      </c>
      <c r="G578" s="241">
        <f>_xlfn.XLOOKUP($C578,'Site Level Financials - ''23 ''24'!$C$2:$C$1577,'Site Level Financials - ''23 ''24'!S$2:S$1577)</f>
        <v>58.545840693202216</v>
      </c>
      <c r="H578" s="242">
        <f>_xlfn.XLOOKUP($C578,'Site Level Financials - ''23 ''24'!$C$2:$C$1577,'Site Level Financials - ''23 ''24'!T$2:T$1577)</f>
        <v>62.126757353541016</v>
      </c>
      <c r="I578" s="242">
        <f>_xlfn.XLOOKUP($C578,'Site Level Financials - ''23 ''24'!$C$2:$C$1577,'Site Level Financials - ''23 ''24'!U$2:U$1577)</f>
        <v>68.230781479046001</v>
      </c>
      <c r="J578" s="242">
        <f>_xlfn.XLOOKUP($C578,'Site Level Financials - ''23 ''24'!$C$2:$C$1577,'Site Level Financials - ''23 ''24'!V$2:V$1577)</f>
        <v>80.237333077416721</v>
      </c>
      <c r="K578" s="242">
        <f>_xlfn.XLOOKUP($C578,'Site Level Financials - ''23 ''24'!$C$2:$C$1577,'Site Level Financials - ''23 ''24'!W$2:W$1577)</f>
        <v>79.263451271840438</v>
      </c>
      <c r="L578" s="242">
        <f>_xlfn.XLOOKUP($C578,'Site Level Financials - ''23 ''24'!$C$2:$C$1577,'Site Level Financials - ''23 ''24'!X$2:X$1577)</f>
        <v>64.532507225443453</v>
      </c>
      <c r="M578" s="242">
        <f>_xlfn.XLOOKUP($C578,'Site Level Financials - ''23 ''24'!$C$2:$C$1577,'Site Level Financials - ''23 ''24'!Y$2:Y$1577)</f>
        <v>77.599316527423326</v>
      </c>
      <c r="N578" s="242">
        <f>_xlfn.XLOOKUP($C578,'Site Level Financials - ''23 ''24'!$C$2:$C$1577,'Site Level Financials - ''23 ''24'!Z$2:Z$1577)</f>
        <v>67.733566098670494</v>
      </c>
      <c r="O578" s="242">
        <f>_xlfn.XLOOKUP($C578,'Site Level Financials - ''23 ''24'!$C$2:$C$1577,'Site Level Financials - ''23 ''24'!AA$2:AA$1577)</f>
        <v>62.638147842973268</v>
      </c>
      <c r="P578" s="242">
        <f>_xlfn.XLOOKUP($C578,'Site Level Financials - ''23 ''24'!$C$2:$C$1577,'Site Level Financials - ''23 ''24'!AB$2:AB$1577)</f>
        <v>75.428123042811137</v>
      </c>
      <c r="Q578" s="242">
        <f>_xlfn.XLOOKUP($C578,'Site Level Financials - ''23 ''24'!$C$2:$C$1577,'Site Level Financials - ''23 ''24'!AC$2:AC$1577)</f>
        <v>57.531398665864884</v>
      </c>
      <c r="R578" s="242">
        <f>_xlfn.XLOOKUP($C578,'Site Level Financials - ''23 ''24'!$C$2:$C$1577,'Site Level Financials - ''23 ''24'!AD$2:AD$1577)</f>
        <v>44.42165661952555</v>
      </c>
      <c r="S578" s="134">
        <f t="shared" ref="S578:AD578" si="1618">S566+S569+S572+S575</f>
        <v>67.916619832679231</v>
      </c>
      <c r="T578" s="135">
        <f t="shared" si="1618"/>
        <v>116.06329238640004</v>
      </c>
      <c r="U578" s="135">
        <f t="shared" si="1618"/>
        <v>124.95011307699504</v>
      </c>
      <c r="V578" s="135">
        <f t="shared" si="1618"/>
        <v>135.08896363591828</v>
      </c>
      <c r="W578" s="135">
        <f t="shared" si="1618"/>
        <v>136.8990681268682</v>
      </c>
      <c r="X578" s="135">
        <f t="shared" si="1618"/>
        <v>112.80560826832122</v>
      </c>
      <c r="Y578" s="135">
        <f t="shared" si="1618"/>
        <v>151.37859674969528</v>
      </c>
      <c r="Z578" s="135">
        <f t="shared" si="1618"/>
        <v>127.67619708118106</v>
      </c>
      <c r="AA578" s="135">
        <f t="shared" si="1618"/>
        <v>118.65323556193222</v>
      </c>
      <c r="AB578" s="135">
        <f t="shared" si="1618"/>
        <v>138.02882152918048</v>
      </c>
      <c r="AC578" s="135">
        <f t="shared" si="1618"/>
        <v>108.17372917588125</v>
      </c>
      <c r="AD578" s="136">
        <f t="shared" si="1618"/>
        <v>87.221468681421129</v>
      </c>
      <c r="AE578" s="15"/>
      <c r="AF578" s="114">
        <f>_xlfn.XLOOKUP($C578,'Site Level Financials - ''23 ''24'!$C$2:$C$1577,'Site Level Financials - ''23 ''24'!$AF$2:$AF$1577)</f>
        <v>805.60544571221885</v>
      </c>
      <c r="AG578" s="95">
        <f>SUM(G578:R578)</f>
        <v>798.28887989775853</v>
      </c>
      <c r="AH578" s="95">
        <f t="shared" ref="AH578" si="1619">SUM(S578:AD578)</f>
        <v>1424.8557141064732</v>
      </c>
    </row>
    <row r="579" spans="2:34" x14ac:dyDescent="0.2">
      <c r="B579" s="9">
        <f>G554</f>
        <v>12</v>
      </c>
      <c r="C579" s="9" t="str">
        <f t="shared" si="1556"/>
        <v>12 - % of Revenue - Office Gross Profit</v>
      </c>
      <c r="D579" s="9" t="s">
        <v>56</v>
      </c>
      <c r="F579" s="16" t="str">
        <f>"% of Revenue - "&amp;F578</f>
        <v>% of Revenue - Office Gross Profit</v>
      </c>
      <c r="G579" s="148">
        <f>G578/G566</f>
        <v>0.42750574735851288</v>
      </c>
      <c r="H579" s="149">
        <f t="shared" ref="H579:AD579" si="1620">H578/H566</f>
        <v>0.43271163617627684</v>
      </c>
      <c r="I579" s="149">
        <f t="shared" si="1620"/>
        <v>0.43383171339852594</v>
      </c>
      <c r="J579" s="149">
        <f t="shared" si="1620"/>
        <v>0.43787438526550038</v>
      </c>
      <c r="K579" s="149">
        <f t="shared" si="1620"/>
        <v>0.37335907009051056</v>
      </c>
      <c r="L579" s="149">
        <f t="shared" si="1620"/>
        <v>0.36635957112974576</v>
      </c>
      <c r="M579" s="149">
        <f t="shared" si="1620"/>
        <v>0.41572794293422083</v>
      </c>
      <c r="N579" s="149">
        <f t="shared" si="1620"/>
        <v>0.40890761160268735</v>
      </c>
      <c r="O579" s="149">
        <f t="shared" si="1620"/>
        <v>0.41447915405054875</v>
      </c>
      <c r="P579" s="149">
        <f t="shared" si="1620"/>
        <v>0.41982145820793476</v>
      </c>
      <c r="Q579" s="149">
        <f t="shared" si="1620"/>
        <v>0.41622851874185862</v>
      </c>
      <c r="R579" s="149">
        <f t="shared" si="1620"/>
        <v>0.41117827227482978</v>
      </c>
      <c r="S579" s="148">
        <f t="shared" si="1620"/>
        <v>0.42750574735851299</v>
      </c>
      <c r="T579" s="149">
        <f t="shared" si="1620"/>
        <v>0.43271163617627695</v>
      </c>
      <c r="U579" s="149">
        <f t="shared" si="1620"/>
        <v>0.43383171339852578</v>
      </c>
      <c r="V579" s="149">
        <f t="shared" si="1620"/>
        <v>0.43787438526550049</v>
      </c>
      <c r="W579" s="149">
        <f t="shared" si="1620"/>
        <v>0.37335907009051056</v>
      </c>
      <c r="X579" s="149">
        <f t="shared" si="1620"/>
        <v>0.36635957112974571</v>
      </c>
      <c r="Y579" s="149">
        <f t="shared" si="1620"/>
        <v>0.41572794293422083</v>
      </c>
      <c r="Z579" s="149">
        <f t="shared" si="1620"/>
        <v>0.40890761160268729</v>
      </c>
      <c r="AA579" s="149">
        <f t="shared" si="1620"/>
        <v>0.41447915405054869</v>
      </c>
      <c r="AB579" s="149">
        <f t="shared" si="1620"/>
        <v>0.41982145820793476</v>
      </c>
      <c r="AC579" s="149">
        <f t="shared" si="1620"/>
        <v>0.41622851874185857</v>
      </c>
      <c r="AD579" s="150">
        <f t="shared" si="1620"/>
        <v>0.41117827227482973</v>
      </c>
      <c r="AE579" s="15"/>
      <c r="AF579" s="233">
        <f>_xlfn.XLOOKUP($C579,'Site Level Financials - ''23 ''24'!$C$2:$C$1577,'Site Level Financials - ''23 ''24'!$AF$2:$AF$1577)</f>
        <v>0.40929535962539548</v>
      </c>
      <c r="AG579" s="97">
        <f t="shared" ref="AG579:AH579" si="1621">AG578/AG566</f>
        <v>0.41173618811798857</v>
      </c>
      <c r="AH579" s="97">
        <f t="shared" si="1621"/>
        <v>0.4116144372921488</v>
      </c>
    </row>
    <row r="580" spans="2:34" ht="6" customHeight="1" x14ac:dyDescent="0.2">
      <c r="B580" s="9">
        <f>G554</f>
        <v>12</v>
      </c>
      <c r="C580" s="9" t="str">
        <f t="shared" si="1556"/>
        <v xml:space="preserve">12 - </v>
      </c>
      <c r="D580" s="9" t="s">
        <v>56</v>
      </c>
      <c r="F580" s="16"/>
      <c r="G580" s="80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80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81"/>
      <c r="AE580" s="15"/>
      <c r="AF580" s="11"/>
      <c r="AG580" s="15"/>
      <c r="AH580" s="15"/>
    </row>
    <row r="581" spans="2:34" x14ac:dyDescent="0.2">
      <c r="B581" s="9">
        <f>G554</f>
        <v>12</v>
      </c>
      <c r="C581" s="9" t="str">
        <f t="shared" si="1556"/>
        <v>12 - General and Administrative Expense</v>
      </c>
      <c r="D581" s="9" t="s">
        <v>56</v>
      </c>
      <c r="F581" t="s">
        <v>10</v>
      </c>
      <c r="G581" s="178">
        <f>_xlfn.XLOOKUP($C581,'Site Level Financials - ''23 ''24'!$C$2:$C$1577,'Site Level Financials - ''23 ''24'!S$2:S$1577)</f>
        <v>-9.7133156348012086</v>
      </c>
      <c r="H581" s="179">
        <f>_xlfn.XLOOKUP($C581,'Site Level Financials - ''23 ''24'!$C$2:$C$1577,'Site Level Financials - ''23 ''24'!T$2:T$1577)</f>
        <v>-10.049152609012761</v>
      </c>
      <c r="I581" s="179">
        <f>_xlfn.XLOOKUP($C581,'Site Level Financials - ''23 ''24'!$C$2:$C$1577,'Site Level Financials - ''23 ''24'!U$2:U$1577)</f>
        <v>-11.363142473576371</v>
      </c>
      <c r="J581" s="179">
        <f>_xlfn.XLOOKUP($C581,'Site Level Financials - ''23 ''24'!$C$2:$C$1577,'Site Level Financials - ''23 ''24'!V$2:V$1577)</f>
        <v>-12.527139948274572</v>
      </c>
      <c r="K581" s="179">
        <f>_xlfn.XLOOKUP($C581,'Site Level Financials - ''23 ''24'!$C$2:$C$1577,'Site Level Financials - ''23 ''24'!W$2:W$1577)</f>
        <v>-15.488753594146887</v>
      </c>
      <c r="L581" s="179">
        <f>_xlfn.XLOOKUP($C581,'Site Level Financials - ''23 ''24'!$C$2:$C$1577,'Site Level Financials - ''23 ''24'!X$2:X$1577)</f>
        <v>-13.288916953556454</v>
      </c>
      <c r="M581" s="179">
        <f>_xlfn.XLOOKUP($C581,'Site Level Financials - ''23 ''24'!$C$2:$C$1577,'Site Level Financials - ''23 ''24'!Y$2:Y$1577)</f>
        <v>-12.818246581410909</v>
      </c>
      <c r="N581" s="179">
        <f>_xlfn.XLOOKUP($C581,'Site Level Financials - ''23 ''24'!$C$2:$C$1577,'Site Level Financials - ''23 ''24'!Z$2:Z$1577)</f>
        <v>-11.050612820601659</v>
      </c>
      <c r="O581" s="179">
        <f>_xlfn.XLOOKUP($C581,'Site Level Financials - ''23 ''24'!$C$2:$C$1577,'Site Level Financials - ''23 ''24'!AA$2:AA$1577)</f>
        <v>-10.198586999712646</v>
      </c>
      <c r="P581" s="179">
        <f>_xlfn.XLOOKUP($C581,'Site Level Financials - ''23 ''24'!$C$2:$C$1577,'Site Level Financials - ''23 ''24'!AB$2:AB$1577)</f>
        <v>-12.22687249476289</v>
      </c>
      <c r="Q581" s="179">
        <f>_xlfn.XLOOKUP($C581,'Site Level Financials - ''23 ''24'!$C$2:$C$1577,'Site Level Financials - ''23 ''24'!AC$2:AC$1577)</f>
        <v>-8.8846763435239122</v>
      </c>
      <c r="R581" s="179">
        <f>_xlfn.XLOOKUP($C581,'Site Level Financials - ''23 ''24'!$C$2:$C$1577,'Site Level Financials - ''23 ''24'!AD$2:AD$1577)</f>
        <v>-6.9432857840252789</v>
      </c>
      <c r="S581" s="155">
        <f>S582*S566</f>
        <v>-11.268017633235736</v>
      </c>
      <c r="T581" s="154">
        <f t="shared" ref="T581" si="1622">T582*T566</f>
        <v>-18.773517034829201</v>
      </c>
      <c r="U581" s="154">
        <f t="shared" ref="U581" si="1623">U582*U566</f>
        <v>-20.809170087248795</v>
      </c>
      <c r="V581" s="154">
        <f t="shared" ref="V581" si="1624">V582*V566</f>
        <v>-21.090909780136055</v>
      </c>
      <c r="W581" s="154">
        <f t="shared" ref="W581" si="1625">W582*W566</f>
        <v>-26.751244103834431</v>
      </c>
      <c r="X581" s="154">
        <f t="shared" ref="X581" si="1626">X582*X566</f>
        <v>-23.229600469979893</v>
      </c>
      <c r="Y581" s="154">
        <f t="shared" ref="Y581" si="1627">Y582*Y566</f>
        <v>-25.005480294402187</v>
      </c>
      <c r="Z581" s="154">
        <f t="shared" ref="Z581" si="1628">Z582*Z566</f>
        <v>-20.83014820592264</v>
      </c>
      <c r="AA581" s="154">
        <f t="shared" ref="AA581" si="1629">AA582*AA566</f>
        <v>-19.3188238692711</v>
      </c>
      <c r="AB581" s="154">
        <f t="shared" ref="AB581" si="1630">AB582*AB566</f>
        <v>-22.374423933123698</v>
      </c>
      <c r="AC581" s="154">
        <f t="shared" ref="AC581" si="1631">AC582*AC566</f>
        <v>-16.705461624209697</v>
      </c>
      <c r="AD581" s="156">
        <f t="shared" ref="AD581" si="1632">AD582*AD566</f>
        <v>-13.633070660658888</v>
      </c>
      <c r="AE581" s="15"/>
      <c r="AF581" s="115">
        <f>_xlfn.XLOOKUP($C581,'Site Level Financials - ''23 ''24'!$C$2:$C$1577,'Site Level Financials - ''23 ''24'!$AF$2:$AF$1577)</f>
        <v>-149.59033720847509</v>
      </c>
      <c r="AG581" s="93">
        <f>SUM(G581:R581)</f>
        <v>-134.55270223740553</v>
      </c>
      <c r="AH581" s="93">
        <f t="shared" ref="AH581" si="1633">SUM(S581:AD581)</f>
        <v>-239.78986769685233</v>
      </c>
    </row>
    <row r="582" spans="2:34" x14ac:dyDescent="0.2">
      <c r="B582" s="9">
        <f>G554</f>
        <v>12</v>
      </c>
      <c r="C582" s="9" t="str">
        <f t="shared" si="1556"/>
        <v>12 - % of Revenue - General and Administrative Expense</v>
      </c>
      <c r="D582" s="9" t="s">
        <v>56</v>
      </c>
      <c r="F582" s="16" t="str">
        <f>"% of Revenue - "&amp;F581</f>
        <v>% of Revenue - General and Administrative Expense</v>
      </c>
      <c r="G582" s="148">
        <f>G581/G566</f>
        <v>-7.0927297492321559E-2</v>
      </c>
      <c r="H582" s="149">
        <f t="shared" ref="H582:R582" si="1634">H581/H566</f>
        <v>-6.9992149161848538E-2</v>
      </c>
      <c r="I582" s="149">
        <f t="shared" si="1634"/>
        <v>-7.2250258051303917E-2</v>
      </c>
      <c r="J582" s="149">
        <f t="shared" si="1634"/>
        <v>-6.8363609477063922E-2</v>
      </c>
      <c r="K582" s="149">
        <f t="shared" si="1634"/>
        <v>-7.2957542801649206E-2</v>
      </c>
      <c r="L582" s="149">
        <f t="shared" si="1634"/>
        <v>-7.5442937601597176E-2</v>
      </c>
      <c r="M582" s="149">
        <f t="shared" si="1634"/>
        <v>-6.8672038901661583E-2</v>
      </c>
      <c r="N582" s="149">
        <f t="shared" si="1634"/>
        <v>-6.6712561518401367E-2</v>
      </c>
      <c r="O582" s="149">
        <f t="shared" si="1634"/>
        <v>-6.7484462068525486E-2</v>
      </c>
      <c r="P582" s="149">
        <f t="shared" si="1634"/>
        <v>-6.8052912269345789E-2</v>
      </c>
      <c r="Q582" s="149">
        <f t="shared" si="1634"/>
        <v>-6.4278911337505143E-2</v>
      </c>
      <c r="R582" s="149">
        <f t="shared" si="1634"/>
        <v>-6.4268837991310224E-2</v>
      </c>
      <c r="S582" s="245">
        <f>_xlfn.XLOOKUP($F582,'Budget Assumption Driver'!$A$33:$A$39,'Budget Assumption Driver'!E$33:E$39)+G582</f>
        <v>-7.0927297492321559E-2</v>
      </c>
      <c r="T582" s="246">
        <f>_xlfn.XLOOKUP($F582,'Budget Assumption Driver'!$A$33:$A$39,'Budget Assumption Driver'!F$33:F$39)+H582</f>
        <v>-6.9992149161848538E-2</v>
      </c>
      <c r="U582" s="246">
        <f>_xlfn.XLOOKUP($F582,'Budget Assumption Driver'!$A$33:$A$39,'Budget Assumption Driver'!G$33:G$39)+I582</f>
        <v>-7.2250258051303917E-2</v>
      </c>
      <c r="V582" s="246">
        <f>_xlfn.XLOOKUP($F582,'Budget Assumption Driver'!$A$33:$A$39,'Budget Assumption Driver'!H$33:H$39)+J582</f>
        <v>-6.8363609477063922E-2</v>
      </c>
      <c r="W582" s="246">
        <f>_xlfn.XLOOKUP($F582,'Budget Assumption Driver'!$A$33:$A$39,'Budget Assumption Driver'!I$33:I$39)+K582</f>
        <v>-7.2957542801649206E-2</v>
      </c>
      <c r="X582" s="246">
        <f>_xlfn.XLOOKUP($F582,'Budget Assumption Driver'!$A$33:$A$39,'Budget Assumption Driver'!J$33:J$39)+L582</f>
        <v>-7.5442937601597176E-2</v>
      </c>
      <c r="Y582" s="246">
        <f>_xlfn.XLOOKUP($F582,'Budget Assumption Driver'!$A$33:$A$39,'Budget Assumption Driver'!K$33:K$39)+M582</f>
        <v>-6.8672038901661583E-2</v>
      </c>
      <c r="Z582" s="246">
        <f>_xlfn.XLOOKUP($F582,'Budget Assumption Driver'!$A$33:$A$39,'Budget Assumption Driver'!L$33:L$39)+N582</f>
        <v>-6.6712561518401367E-2</v>
      </c>
      <c r="AA582" s="246">
        <f>_xlfn.XLOOKUP($F582,'Budget Assumption Driver'!$A$33:$A$39,'Budget Assumption Driver'!M$33:M$39)+O582</f>
        <v>-6.7484462068525486E-2</v>
      </c>
      <c r="AB582" s="246">
        <f>_xlfn.XLOOKUP($F582,'Budget Assumption Driver'!$A$33:$A$39,'Budget Assumption Driver'!N$33:N$39)+P582</f>
        <v>-6.8052912269345789E-2</v>
      </c>
      <c r="AC582" s="246">
        <f>_xlfn.XLOOKUP($F582,'Budget Assumption Driver'!$A$33:$A$39,'Budget Assumption Driver'!O$33:O$39)+Q582</f>
        <v>-6.4278911337505143E-2</v>
      </c>
      <c r="AD582" s="296">
        <f>_xlfn.XLOOKUP($F582,'Budget Assumption Driver'!$A$33:$A$39,'Budget Assumption Driver'!P$33:P$39)+R582</f>
        <v>-6.4268837991310224E-2</v>
      </c>
      <c r="AE582" s="15"/>
      <c r="AF582" s="232">
        <f>_xlfn.XLOOKUP($C582,'Site Level Financials - ''23 ''24'!$C$2:$C$1577,'Site Level Financials - ''23 ''24'!$AF$2:$AF$1577)</f>
        <v>-7.6000765871310383E-2</v>
      </c>
      <c r="AG582" s="97">
        <f t="shared" ref="AG582:AH582" si="1635">AG581/AG566</f>
        <v>-6.9398707805249052E-2</v>
      </c>
      <c r="AH582" s="97">
        <f t="shared" si="1635"/>
        <v>-6.9270853520978476E-2</v>
      </c>
    </row>
    <row r="583" spans="2:34" ht="3" customHeight="1" x14ac:dyDescent="0.2">
      <c r="B583" s="9">
        <f>G554</f>
        <v>12</v>
      </c>
      <c r="C583" s="9" t="str">
        <f t="shared" si="1556"/>
        <v xml:space="preserve">12 - </v>
      </c>
      <c r="D583" s="9" t="s">
        <v>56</v>
      </c>
      <c r="F583" s="16"/>
      <c r="G583" s="84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4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6"/>
      <c r="AE583" s="15"/>
      <c r="AF583" s="36"/>
      <c r="AG583" s="38"/>
      <c r="AH583" s="38"/>
    </row>
    <row r="584" spans="2:34" x14ac:dyDescent="0.2">
      <c r="B584" s="9">
        <f>G554</f>
        <v>12</v>
      </c>
      <c r="C584" s="9" t="str">
        <f t="shared" si="1556"/>
        <v>12 - Marketing</v>
      </c>
      <c r="D584" s="9" t="s">
        <v>56</v>
      </c>
      <c r="F584" t="s">
        <v>7</v>
      </c>
      <c r="G584" s="178">
        <f>_xlfn.XLOOKUP($C584,'Site Level Financials - ''23 ''24'!$C$2:$C$1577,'Site Level Financials - ''23 ''24'!S$2:S$1577)</f>
        <v>-7.4619601800595854</v>
      </c>
      <c r="H584" s="179">
        <f>_xlfn.XLOOKUP($C584,'Site Level Financials - ''23 ''24'!$C$2:$C$1577,'Site Level Financials - ''23 ''24'!T$2:T$1577)</f>
        <v>-7.5889059064533271</v>
      </c>
      <c r="I584" s="179">
        <f>_xlfn.XLOOKUP($C584,'Site Level Financials - ''23 ''24'!$C$2:$C$1577,'Site Level Financials - ''23 ''24'!U$2:U$1577)</f>
        <v>-8.4779708795746238</v>
      </c>
      <c r="J584" s="179">
        <f>_xlfn.XLOOKUP($C584,'Site Level Financials - ''23 ''24'!$C$2:$C$1577,'Site Level Financials - ''23 ''24'!V$2:V$1577)</f>
        <v>-9.1723067914857275</v>
      </c>
      <c r="K584" s="179">
        <f>_xlfn.XLOOKUP($C584,'Site Level Financials - ''23 ''24'!$C$2:$C$1577,'Site Level Financials - ''23 ''24'!W$2:W$1577)</f>
        <v>-11.409618196714447</v>
      </c>
      <c r="L584" s="179">
        <f>_xlfn.XLOOKUP($C584,'Site Level Financials - ''23 ''24'!$C$2:$C$1577,'Site Level Financials - ''23 ''24'!X$2:X$1577)</f>
        <v>-9.8870888086548572</v>
      </c>
      <c r="M584" s="179">
        <f>_xlfn.XLOOKUP($C584,'Site Level Financials - ''23 ''24'!$C$2:$C$1577,'Site Level Financials - ''23 ''24'!Y$2:Y$1577)</f>
        <v>-8.9834799148385507</v>
      </c>
      <c r="N584" s="179">
        <f>_xlfn.XLOOKUP($C584,'Site Level Financials - ''23 ''24'!$C$2:$C$1577,'Site Level Financials - ''23 ''24'!Z$2:Z$1577)</f>
        <v>-8.4914965947312204</v>
      </c>
      <c r="O584" s="179">
        <f>_xlfn.XLOOKUP($C584,'Site Level Financials - ''23 ''24'!$C$2:$C$1577,'Site Level Financials - ''23 ''24'!AA$2:AA$1577)</f>
        <v>-7.2066020788479106</v>
      </c>
      <c r="P584" s="179">
        <f>_xlfn.XLOOKUP($C584,'Site Level Financials - ''23 ''24'!$C$2:$C$1577,'Site Level Financials - ''23 ''24'!AB$2:AB$1577)</f>
        <v>-8.5587336656875834</v>
      </c>
      <c r="Q584" s="179">
        <f>_xlfn.XLOOKUP($C584,'Site Level Financials - ''23 ''24'!$C$2:$C$1577,'Site Level Financials - ''23 ''24'!AC$2:AC$1577)</f>
        <v>-6.8671123432620451</v>
      </c>
      <c r="R584" s="179">
        <f>_xlfn.XLOOKUP($C584,'Site Level Financials - ''23 ''24'!$C$2:$C$1577,'Site Level Financials - ''23 ''24'!AD$2:AD$1577)</f>
        <v>-5.16922061157881</v>
      </c>
      <c r="S584" s="155">
        <f>S585*S566</f>
        <v>-8.6563128440060328</v>
      </c>
      <c r="T584" s="154">
        <f t="shared" ref="T584" si="1636">T585*T566</f>
        <v>-14.177360007722474</v>
      </c>
      <c r="U584" s="154">
        <f t="shared" ref="U584" si="1637">U585*U566</f>
        <v>-15.525594124869345</v>
      </c>
      <c r="V584" s="154">
        <f t="shared" ref="V584" si="1638">V585*V566</f>
        <v>-15.44265457348865</v>
      </c>
      <c r="W584" s="154">
        <f t="shared" ref="W584" si="1639">W585*W566</f>
        <v>-19.706006661969294</v>
      </c>
      <c r="X584" s="154">
        <f t="shared" ref="X584" si="1640">X585*X566</f>
        <v>-17.283058027900115</v>
      </c>
      <c r="Y584" s="154">
        <f t="shared" ref="Y584" si="1641">Y585*Y566</f>
        <v>-17.524723725585208</v>
      </c>
      <c r="Z584" s="154">
        <f t="shared" ref="Z584" si="1642">Z585*Z566</f>
        <v>-16.006273627520724</v>
      </c>
      <c r="AA584" s="154">
        <f t="shared" ref="AA584" si="1643">AA585*AA566</f>
        <v>-13.651212296478768</v>
      </c>
      <c r="AB584" s="154">
        <f t="shared" ref="AB584" si="1644">AB585*AB566</f>
        <v>-15.66195570034898</v>
      </c>
      <c r="AC584" s="154">
        <f t="shared" ref="AC584" si="1645">AC585*AC566</f>
        <v>-12.911925801677578</v>
      </c>
      <c r="AD584" s="156">
        <f t="shared" ref="AD584" si="1646">AD585*AD566</f>
        <v>-10.149711829567362</v>
      </c>
      <c r="AE584" s="15"/>
      <c r="AF584" s="115">
        <f>_xlfn.XLOOKUP($C584,'Site Level Financials - ''23 ''24'!$C$2:$C$1577,'Site Level Financials - ''23 ''24'!$AF$2:$AF$1577)</f>
        <v>-111.8005298861774</v>
      </c>
      <c r="AG584" s="93">
        <f>SUM(G584:R584)</f>
        <v>-99.274495971888683</v>
      </c>
      <c r="AH584" s="93">
        <f t="shared" ref="AH584" si="1647">SUM(S584:AD584)</f>
        <v>-176.69678922113454</v>
      </c>
    </row>
    <row r="585" spans="2:34" x14ac:dyDescent="0.2">
      <c r="B585" s="9">
        <f>G554</f>
        <v>12</v>
      </c>
      <c r="C585" s="9" t="str">
        <f t="shared" si="1556"/>
        <v>12 - % of Revenue - Marketing</v>
      </c>
      <c r="D585" s="9" t="s">
        <v>56</v>
      </c>
      <c r="F585" s="16" t="str">
        <f>"% of Revenue - "&amp;F584</f>
        <v>% of Revenue - Marketing</v>
      </c>
      <c r="G585" s="148">
        <f>G584/G566</f>
        <v>-5.4487745427596747E-2</v>
      </c>
      <c r="H585" s="149">
        <f t="shared" ref="H585:R585" si="1648">H584/H566</f>
        <v>-5.2856579539187307E-2</v>
      </c>
      <c r="I585" s="149">
        <f t="shared" si="1648"/>
        <v>-5.3905474231717578E-2</v>
      </c>
      <c r="J585" s="149">
        <f t="shared" si="1648"/>
        <v>-5.0055479709342481E-2</v>
      </c>
      <c r="K585" s="149">
        <f t="shared" si="1648"/>
        <v>-5.3743363071631273E-2</v>
      </c>
      <c r="L585" s="149">
        <f t="shared" si="1648"/>
        <v>-5.6130309690374983E-2</v>
      </c>
      <c r="M585" s="149">
        <f t="shared" si="1648"/>
        <v>-4.8127790198601764E-2</v>
      </c>
      <c r="N585" s="149">
        <f t="shared" si="1648"/>
        <v>-5.1263174102272033E-2</v>
      </c>
      <c r="O585" s="149">
        <f t="shared" si="1648"/>
        <v>-4.7686377009547663E-2</v>
      </c>
      <c r="P585" s="149">
        <f t="shared" si="1648"/>
        <v>-4.7636609569390011E-2</v>
      </c>
      <c r="Q585" s="149">
        <f t="shared" si="1648"/>
        <v>-4.9682226835305557E-2</v>
      </c>
      <c r="R585" s="149">
        <f t="shared" si="1648"/>
        <v>-4.7847634730987555E-2</v>
      </c>
      <c r="S585" s="245">
        <f>_xlfn.XLOOKUP($F585,'Budget Assumption Driver'!$A$33:$A$39,'Budget Assumption Driver'!E$33:E$39)+G585</f>
        <v>-5.4487745427596747E-2</v>
      </c>
      <c r="T585" s="246">
        <f>_xlfn.XLOOKUP($F585,'Budget Assumption Driver'!$A$33:$A$39,'Budget Assumption Driver'!F$33:F$39)+H585</f>
        <v>-5.2856579539187307E-2</v>
      </c>
      <c r="U585" s="246">
        <f>_xlfn.XLOOKUP($F585,'Budget Assumption Driver'!$A$33:$A$39,'Budget Assumption Driver'!G$33:G$39)+I585</f>
        <v>-5.3905474231717578E-2</v>
      </c>
      <c r="V585" s="246">
        <f>_xlfn.XLOOKUP($F585,'Budget Assumption Driver'!$A$33:$A$39,'Budget Assumption Driver'!H$33:H$39)+J585</f>
        <v>-5.0055479709342481E-2</v>
      </c>
      <c r="W585" s="246">
        <f>_xlfn.XLOOKUP($F585,'Budget Assumption Driver'!$A$33:$A$39,'Budget Assumption Driver'!I$33:I$39)+K585</f>
        <v>-5.3743363071631273E-2</v>
      </c>
      <c r="X585" s="246">
        <f>_xlfn.XLOOKUP($F585,'Budget Assumption Driver'!$A$33:$A$39,'Budget Assumption Driver'!J$33:J$39)+L585</f>
        <v>-5.6130309690374983E-2</v>
      </c>
      <c r="Y585" s="246">
        <f>_xlfn.XLOOKUP($F585,'Budget Assumption Driver'!$A$33:$A$39,'Budget Assumption Driver'!K$33:K$39)+M585</f>
        <v>-4.8127790198601764E-2</v>
      </c>
      <c r="Z585" s="246">
        <f>_xlfn.XLOOKUP($F585,'Budget Assumption Driver'!$A$33:$A$39,'Budget Assumption Driver'!L$33:L$39)+N585</f>
        <v>-5.1263174102272033E-2</v>
      </c>
      <c r="AA585" s="246">
        <f>_xlfn.XLOOKUP($F585,'Budget Assumption Driver'!$A$33:$A$39,'Budget Assumption Driver'!M$33:M$39)+O585</f>
        <v>-4.7686377009547663E-2</v>
      </c>
      <c r="AB585" s="246">
        <f>_xlfn.XLOOKUP($F585,'Budget Assumption Driver'!$A$33:$A$39,'Budget Assumption Driver'!N$33:N$39)+P585</f>
        <v>-4.7636609569390011E-2</v>
      </c>
      <c r="AC585" s="246">
        <f>_xlfn.XLOOKUP($F585,'Budget Assumption Driver'!$A$33:$A$39,'Budget Assumption Driver'!O$33:O$39)+Q585</f>
        <v>-4.9682226835305557E-2</v>
      </c>
      <c r="AD585" s="296">
        <f>_xlfn.XLOOKUP($F585,'Budget Assumption Driver'!$A$33:$A$39,'Budget Assumption Driver'!P$33:P$39)+R585</f>
        <v>-4.7847634730987555E-2</v>
      </c>
      <c r="AE585" s="15"/>
      <c r="AF585" s="232">
        <f>_xlfn.XLOOKUP($C585,'Site Level Financials - ''23 ''24'!$C$2:$C$1577,'Site Level Financials - ''23 ''24'!$AF$2:$AF$1577)</f>
        <v>-5.6801301840279636E-2</v>
      </c>
      <c r="AG585" s="97">
        <f t="shared" ref="AG585:AH585" si="1649">AG584/AG566</f>
        <v>-5.1203146602812687E-2</v>
      </c>
      <c r="AH585" s="97">
        <f t="shared" si="1649"/>
        <v>-5.1044431198562647E-2</v>
      </c>
    </row>
    <row r="586" spans="2:34" ht="3" customHeight="1" x14ac:dyDescent="0.2">
      <c r="B586" s="9">
        <f>G554</f>
        <v>12</v>
      </c>
      <c r="C586" s="9" t="str">
        <f t="shared" si="1556"/>
        <v xml:space="preserve">12 - </v>
      </c>
      <c r="D586" s="9" t="s">
        <v>56</v>
      </c>
      <c r="F586" s="16"/>
      <c r="G586" s="84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4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6"/>
      <c r="AE586" s="15"/>
      <c r="AF586" s="36"/>
      <c r="AG586" s="38"/>
      <c r="AH586" s="38"/>
    </row>
    <row r="587" spans="2:34" x14ac:dyDescent="0.2">
      <c r="B587" s="9">
        <f>G554</f>
        <v>12</v>
      </c>
      <c r="C587" s="9" t="str">
        <f t="shared" si="1556"/>
        <v>12 - Office Rent</v>
      </c>
      <c r="D587" s="9" t="s">
        <v>56</v>
      </c>
      <c r="F587" t="s">
        <v>162</v>
      </c>
      <c r="G587" s="178">
        <f>_xlfn.XLOOKUP($C587,'Site Level Financials - ''23 ''24'!$C$2:$C$1577,'Site Level Financials - ''23 ''24'!S$2:S$1577)</f>
        <v>-16.124221210728056</v>
      </c>
      <c r="H587" s="179">
        <f>_xlfn.XLOOKUP($C587,'Site Level Financials - ''23 ''24'!$C$2:$C$1577,'Site Level Financials - ''23 ''24'!T$2:T$1577)</f>
        <v>-16.124221210728056</v>
      </c>
      <c r="I587" s="179">
        <f>_xlfn.XLOOKUP($C587,'Site Level Financials - ''23 ''24'!$C$2:$C$1577,'Site Level Financials - ''23 ''24'!U$2:U$1577)</f>
        <v>-16.124221210728056</v>
      </c>
      <c r="J587" s="179">
        <f>_xlfn.XLOOKUP($C587,'Site Level Financials - ''23 ''24'!$C$2:$C$1577,'Site Level Financials - ''23 ''24'!V$2:V$1577)</f>
        <v>-16.124221210728056</v>
      </c>
      <c r="K587" s="179">
        <f>_xlfn.XLOOKUP($C587,'Site Level Financials - ''23 ''24'!$C$2:$C$1577,'Site Level Financials - ''23 ''24'!W$2:W$1577)</f>
        <v>-16.124221210728056</v>
      </c>
      <c r="L587" s="179">
        <f>_xlfn.XLOOKUP($C587,'Site Level Financials - ''23 ''24'!$C$2:$C$1577,'Site Level Financials - ''23 ''24'!X$2:X$1577)</f>
        <v>-16.124221210728056</v>
      </c>
      <c r="M587" s="179">
        <f>_xlfn.XLOOKUP($C587,'Site Level Financials - ''23 ''24'!$C$2:$C$1577,'Site Level Financials - ''23 ''24'!Y$2:Y$1577)</f>
        <v>-16.124221210728056</v>
      </c>
      <c r="N587" s="179">
        <f>_xlfn.XLOOKUP($C587,'Site Level Financials - ''23 ''24'!$C$2:$C$1577,'Site Level Financials - ''23 ''24'!Z$2:Z$1577)</f>
        <v>-16.6079478470499</v>
      </c>
      <c r="O587" s="179">
        <f>_xlfn.XLOOKUP($C587,'Site Level Financials - ''23 ''24'!$C$2:$C$1577,'Site Level Financials - ''23 ''24'!AA$2:AA$1577)</f>
        <v>-16.6079478470499</v>
      </c>
      <c r="P587" s="179">
        <f>_xlfn.XLOOKUP($C587,'Site Level Financials - ''23 ''24'!$C$2:$C$1577,'Site Level Financials - ''23 ''24'!AB$2:AB$1577)</f>
        <v>-16.6079478470499</v>
      </c>
      <c r="Q587" s="179">
        <f>_xlfn.XLOOKUP($C587,'Site Level Financials - ''23 ''24'!$C$2:$C$1577,'Site Level Financials - ''23 ''24'!AC$2:AC$1577)</f>
        <v>-16.6079478470499</v>
      </c>
      <c r="R587" s="179">
        <f>_xlfn.XLOOKUP($C587,'Site Level Financials - ''23 ''24'!$C$2:$C$1577,'Site Level Financials - ''23 ''24'!AD$2:AD$1577)</f>
        <v>-16.6079478470499</v>
      </c>
      <c r="S587" s="155">
        <f>G587*(1+S588)</f>
        <v>-16.607947847049896</v>
      </c>
      <c r="T587" s="154">
        <f t="shared" ref="T587" si="1650">H587*(1+T588)</f>
        <v>-16.607947847049896</v>
      </c>
      <c r="U587" s="154">
        <f t="shared" ref="U587" si="1651">I587*(1+U588)</f>
        <v>-16.607947847049896</v>
      </c>
      <c r="V587" s="154">
        <f t="shared" ref="V587" si="1652">J587*(1+V588)</f>
        <v>-16.607947847049896</v>
      </c>
      <c r="W587" s="154">
        <f t="shared" ref="W587" si="1653">K587*(1+W588)</f>
        <v>-16.607947847049896</v>
      </c>
      <c r="X587" s="154">
        <f t="shared" ref="X587" si="1654">L587*(1+X588)</f>
        <v>-16.607947847049896</v>
      </c>
      <c r="Y587" s="154">
        <f t="shared" ref="Y587" si="1655">M587*(1+Y588)</f>
        <v>-16.607947847049896</v>
      </c>
      <c r="Z587" s="154">
        <f t="shared" ref="Z587" si="1656">N587*(1+Z588)</f>
        <v>-17.106186282461397</v>
      </c>
      <c r="AA587" s="154">
        <f t="shared" ref="AA587" si="1657">O587*(1+AA588)</f>
        <v>-17.106186282461397</v>
      </c>
      <c r="AB587" s="154">
        <f t="shared" ref="AB587" si="1658">P587*(1+AB588)</f>
        <v>-17.106186282461397</v>
      </c>
      <c r="AC587" s="154">
        <f t="shared" ref="AC587" si="1659">Q587*(1+AC588)</f>
        <v>-17.106186282461397</v>
      </c>
      <c r="AD587" s="156">
        <f t="shared" ref="AD587" si="1660">R587*(1+AD588)</f>
        <v>-17.106186282461397</v>
      </c>
      <c r="AE587" s="15"/>
      <c r="AF587" s="115">
        <f>_xlfn.XLOOKUP($C587,'Site Level Financials - ''23 ''24'!$C$2:$C$1577,'Site Level Financials - ''23 ''24'!$AF$2:$AF$1577)</f>
        <v>-190.20007963046879</v>
      </c>
      <c r="AG587" s="93">
        <f>SUM(G587:R587)</f>
        <v>-195.90928771034589</v>
      </c>
      <c r="AH587" s="93">
        <f t="shared" ref="AH587" si="1661">SUM(S587:AD587)</f>
        <v>-201.78656634165631</v>
      </c>
    </row>
    <row r="588" spans="2:34" x14ac:dyDescent="0.2">
      <c r="B588" s="9">
        <f>G554</f>
        <v>12</v>
      </c>
      <c r="C588" s="9" t="str">
        <f t="shared" si="1556"/>
        <v>12 - % YoY Growth</v>
      </c>
      <c r="D588" s="9" t="s">
        <v>56</v>
      </c>
      <c r="F588" s="16" t="s">
        <v>8</v>
      </c>
      <c r="G588" s="245">
        <f>_xlfn.XLOOKUP($C588,'Site Level Financials - ''23 ''24'!$C$2:$C$1577,'Site Level Financials - ''23 ''24'!S$2:S$1577)</f>
        <v>3.0016854309257823E-2</v>
      </c>
      <c r="H588" s="246">
        <f>_xlfn.XLOOKUP($C588,'Site Level Financials - ''23 ''24'!$C$2:$C$1577,'Site Level Financials - ''23 ''24'!T$2:T$1577)</f>
        <v>3.0016854309257823E-2</v>
      </c>
      <c r="I588" s="246">
        <f>_xlfn.XLOOKUP($C588,'Site Level Financials - ''23 ''24'!$C$2:$C$1577,'Site Level Financials - ''23 ''24'!U$2:U$1577)</f>
        <v>3.0016854309257823E-2</v>
      </c>
      <c r="J588" s="246">
        <f>_xlfn.XLOOKUP($C588,'Site Level Financials - ''23 ''24'!$C$2:$C$1577,'Site Level Financials - ''23 ''24'!V$2:V$1577)</f>
        <v>3.0016854309257823E-2</v>
      </c>
      <c r="K588" s="246">
        <f>_xlfn.XLOOKUP($C588,'Site Level Financials - ''23 ''24'!$C$2:$C$1577,'Site Level Financials - ''23 ''24'!W$2:W$1577)</f>
        <v>3.0016854309257823E-2</v>
      </c>
      <c r="L588" s="246">
        <f>_xlfn.XLOOKUP($C588,'Site Level Financials - ''23 ''24'!$C$2:$C$1577,'Site Level Financials - ''23 ''24'!X$2:X$1577)</f>
        <v>3.0016854309257823E-2</v>
      </c>
      <c r="M588" s="246">
        <f>_xlfn.XLOOKUP($C588,'Site Level Financials - ''23 ''24'!$C$2:$C$1577,'Site Level Financials - ''23 ''24'!Y$2:Y$1577)</f>
        <v>3.0016854309257823E-2</v>
      </c>
      <c r="N588" s="246">
        <f>_xlfn.XLOOKUP($C588,'Site Level Financials - ''23 ''24'!$C$2:$C$1577,'Site Level Financials - ''23 ''24'!Z$2:Z$1577)</f>
        <v>3.0016854309258045E-2</v>
      </c>
      <c r="O588" s="246">
        <f>_xlfn.XLOOKUP($C588,'Site Level Financials - ''23 ''24'!$C$2:$C$1577,'Site Level Financials - ''23 ''24'!AA$2:AA$1577)</f>
        <v>3.0016854309258045E-2</v>
      </c>
      <c r="P588" s="246">
        <f>_xlfn.XLOOKUP($C588,'Site Level Financials - ''23 ''24'!$C$2:$C$1577,'Site Level Financials - ''23 ''24'!AB$2:AB$1577)</f>
        <v>3.0016854309258045E-2</v>
      </c>
      <c r="Q588" s="246">
        <f>_xlfn.XLOOKUP($C588,'Site Level Financials - ''23 ''24'!$C$2:$C$1577,'Site Level Financials - ''23 ''24'!AC$2:AC$1577)</f>
        <v>3.0016854309258045E-2</v>
      </c>
      <c r="R588" s="246">
        <f>_xlfn.XLOOKUP($C588,'Site Level Financials - ''23 ''24'!$C$2:$C$1577,'Site Level Financials - ''23 ''24'!AD$2:AD$1577)</f>
        <v>3.0016854309258045E-2</v>
      </c>
      <c r="S588" s="245">
        <f>_xlfn.XLOOKUP($F588,'Budget Assumption Driver'!$A$33:$A$39,'Budget Assumption Driver'!E$33:E$39)</f>
        <v>0.03</v>
      </c>
      <c r="T588" s="246">
        <f>_xlfn.XLOOKUP($F588,'Budget Assumption Driver'!$A$33:$A$39,'Budget Assumption Driver'!F$33:F$39)</f>
        <v>0.03</v>
      </c>
      <c r="U588" s="246">
        <f>_xlfn.XLOOKUP($F588,'Budget Assumption Driver'!$A$33:$A$39,'Budget Assumption Driver'!G$33:G$39)</f>
        <v>0.03</v>
      </c>
      <c r="V588" s="246">
        <f>_xlfn.XLOOKUP($F588,'Budget Assumption Driver'!$A$33:$A$39,'Budget Assumption Driver'!H$33:H$39)</f>
        <v>0.03</v>
      </c>
      <c r="W588" s="246">
        <f>_xlfn.XLOOKUP($F588,'Budget Assumption Driver'!$A$33:$A$39,'Budget Assumption Driver'!I$33:I$39)</f>
        <v>0.03</v>
      </c>
      <c r="X588" s="246">
        <f>_xlfn.XLOOKUP($F588,'Budget Assumption Driver'!$A$33:$A$39,'Budget Assumption Driver'!J$33:J$39)</f>
        <v>0.03</v>
      </c>
      <c r="Y588" s="246">
        <f>_xlfn.XLOOKUP($F588,'Budget Assumption Driver'!$A$33:$A$39,'Budget Assumption Driver'!K$33:K$39)</f>
        <v>0.03</v>
      </c>
      <c r="Z588" s="246">
        <f>_xlfn.XLOOKUP($F588,'Budget Assumption Driver'!$A$33:$A$39,'Budget Assumption Driver'!L$33:L$39)</f>
        <v>0.03</v>
      </c>
      <c r="AA588" s="246">
        <f>_xlfn.XLOOKUP($F588,'Budget Assumption Driver'!$A$33:$A$39,'Budget Assumption Driver'!M$33:M$39)</f>
        <v>0.03</v>
      </c>
      <c r="AB588" s="246">
        <f>_xlfn.XLOOKUP($F588,'Budget Assumption Driver'!$A$33:$A$39,'Budget Assumption Driver'!N$33:N$39)</f>
        <v>0.03</v>
      </c>
      <c r="AC588" s="246">
        <f>_xlfn.XLOOKUP($F588,'Budget Assumption Driver'!$A$33:$A$39,'Budget Assumption Driver'!O$33:O$39)</f>
        <v>0.03</v>
      </c>
      <c r="AD588" s="296">
        <f>_xlfn.XLOOKUP($F588,'Budget Assumption Driver'!$A$33:$A$39,'Budget Assumption Driver'!P$33:P$39)</f>
        <v>0.03</v>
      </c>
      <c r="AE588" s="15"/>
      <c r="AF588" s="11"/>
      <c r="AG588" s="97">
        <f>AG587/AF587-1</f>
        <v>3.0016854309258267E-2</v>
      </c>
      <c r="AH588" s="97">
        <f>AH587/AG587-1</f>
        <v>3.0000000000000249E-2</v>
      </c>
    </row>
    <row r="589" spans="2:34" ht="6" customHeight="1" x14ac:dyDescent="0.2">
      <c r="B589" s="9">
        <f>G554</f>
        <v>12</v>
      </c>
      <c r="C589" s="9" t="str">
        <f t="shared" si="1556"/>
        <v xml:space="preserve">12 - </v>
      </c>
      <c r="D589" s="9" t="s">
        <v>56</v>
      </c>
      <c r="F589" s="16"/>
      <c r="G589" s="80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80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81"/>
      <c r="AE589" s="15"/>
      <c r="AF589" s="11"/>
      <c r="AG589" s="15"/>
      <c r="AH589" s="15"/>
    </row>
    <row r="590" spans="2:34" x14ac:dyDescent="0.2">
      <c r="B590" s="9">
        <f>G554</f>
        <v>12</v>
      </c>
      <c r="C590" s="9" t="str">
        <f t="shared" si="1556"/>
        <v>12 - Office EBITDA</v>
      </c>
      <c r="D590" s="9" t="s">
        <v>56</v>
      </c>
      <c r="F590" s="8" t="s">
        <v>12</v>
      </c>
      <c r="G590" s="241">
        <f>_xlfn.XLOOKUP($C590,'Site Level Financials - ''23 ''24'!$C$2:$C$1577,'Site Level Financials - ''23 ''24'!S$2:S$1577)</f>
        <v>25.246343667613363</v>
      </c>
      <c r="H590" s="242">
        <f>_xlfn.XLOOKUP($C590,'Site Level Financials - ''23 ''24'!$C$2:$C$1577,'Site Level Financials - ''23 ''24'!T$2:T$1577)</f>
        <v>28.364477627346876</v>
      </c>
      <c r="I590" s="242">
        <f>_xlfn.XLOOKUP($C590,'Site Level Financials - ''23 ''24'!$C$2:$C$1577,'Site Level Financials - ''23 ''24'!U$2:U$1577)</f>
        <v>32.265446915166947</v>
      </c>
      <c r="J590" s="242">
        <f>_xlfn.XLOOKUP($C590,'Site Level Financials - ''23 ''24'!$C$2:$C$1577,'Site Level Financials - ''23 ''24'!V$2:V$1577)</f>
        <v>42.413665126928379</v>
      </c>
      <c r="K590" s="242">
        <f>_xlfn.XLOOKUP($C590,'Site Level Financials - ''23 ''24'!$C$2:$C$1577,'Site Level Financials - ''23 ''24'!W$2:W$1577)</f>
        <v>36.240858270251053</v>
      </c>
      <c r="L590" s="242">
        <f>_xlfn.XLOOKUP($C590,'Site Level Financials - ''23 ''24'!$C$2:$C$1577,'Site Level Financials - ''23 ''24'!X$2:X$1577)</f>
        <v>25.232280252504086</v>
      </c>
      <c r="M590" s="242">
        <f>_xlfn.XLOOKUP($C590,'Site Level Financials - ''23 ''24'!$C$2:$C$1577,'Site Level Financials - ''23 ''24'!Y$2:Y$1577)</f>
        <v>39.673368820445816</v>
      </c>
      <c r="N590" s="242">
        <f>_xlfn.XLOOKUP($C590,'Site Level Financials - ''23 ''24'!$C$2:$C$1577,'Site Level Financials - ''23 ''24'!Z$2:Z$1577)</f>
        <v>31.58350883628772</v>
      </c>
      <c r="O590" s="242">
        <f>_xlfn.XLOOKUP($C590,'Site Level Financials - ''23 ''24'!$C$2:$C$1577,'Site Level Financials - ''23 ''24'!AA$2:AA$1577)</f>
        <v>28.625010917362815</v>
      </c>
      <c r="P590" s="242">
        <f>_xlfn.XLOOKUP($C590,'Site Level Financials - ''23 ''24'!$C$2:$C$1577,'Site Level Financials - ''23 ''24'!AB$2:AB$1577)</f>
        <v>38.034569035310767</v>
      </c>
      <c r="Q590" s="242">
        <f>_xlfn.XLOOKUP($C590,'Site Level Financials - ''23 ''24'!$C$2:$C$1577,'Site Level Financials - ''23 ''24'!AC$2:AC$1577)</f>
        <v>25.171662132029027</v>
      </c>
      <c r="R590" s="242">
        <f>_xlfn.XLOOKUP($C590,'Site Level Financials - ''23 ''24'!$C$2:$C$1577,'Site Level Financials - ''23 ''24'!AD$2:AD$1577)</f>
        <v>15.701202376871564</v>
      </c>
      <c r="S590" s="134">
        <f t="shared" ref="S590:AD590" si="1662">S578+S581+S584+S587</f>
        <v>31.384341508387568</v>
      </c>
      <c r="T590" s="135">
        <f t="shared" si="1662"/>
        <v>66.504467496798469</v>
      </c>
      <c r="U590" s="135">
        <f t="shared" si="1662"/>
        <v>72.007401017826993</v>
      </c>
      <c r="V590" s="135">
        <f t="shared" si="1662"/>
        <v>81.947451435243664</v>
      </c>
      <c r="W590" s="135">
        <f t="shared" si="1662"/>
        <v>73.833869514014566</v>
      </c>
      <c r="X590" s="135">
        <f t="shared" si="1662"/>
        <v>55.685001923391312</v>
      </c>
      <c r="Y590" s="135">
        <f t="shared" si="1662"/>
        <v>92.240444882657982</v>
      </c>
      <c r="Z590" s="135">
        <f t="shared" si="1662"/>
        <v>73.733588965276297</v>
      </c>
      <c r="AA590" s="135">
        <f t="shared" si="1662"/>
        <v>68.577013113720952</v>
      </c>
      <c r="AB590" s="135">
        <f t="shared" si="1662"/>
        <v>82.886255613246405</v>
      </c>
      <c r="AC590" s="135">
        <f t="shared" si="1662"/>
        <v>61.450155467532568</v>
      </c>
      <c r="AD590" s="136">
        <f t="shared" si="1662"/>
        <v>46.332499908733482</v>
      </c>
      <c r="AE590" s="15"/>
      <c r="AF590" s="113">
        <f>_xlfn.XLOOKUP($C590,'Site Level Financials - ''23 ''24'!$C$2:$C$1577,'Site Level Financials - ''23 ''24'!$AF$2:$AF$1577)</f>
        <v>354.01449898709745</v>
      </c>
      <c r="AG590" s="95">
        <f>SUM(G590:R590)</f>
        <v>368.55239397811846</v>
      </c>
      <c r="AH590" s="95">
        <f t="shared" ref="AH590" si="1663">SUM(S590:AD590)</f>
        <v>806.58249084683018</v>
      </c>
    </row>
    <row r="591" spans="2:34" x14ac:dyDescent="0.2">
      <c r="B591" s="9">
        <f>G554</f>
        <v>12</v>
      </c>
      <c r="C591" s="9" t="str">
        <f t="shared" si="1556"/>
        <v>12 - % of Revenue - Office EBITDA</v>
      </c>
      <c r="D591" s="9" t="s">
        <v>56</v>
      </c>
      <c r="F591" s="16" t="str">
        <f>"% of Revenue - "&amp;F590</f>
        <v>% of Revenue - Office EBITDA</v>
      </c>
      <c r="G591" s="148">
        <f>G590/G566</f>
        <v>0.18435053438298454</v>
      </c>
      <c r="H591" s="149">
        <f t="shared" ref="H591:AD591" si="1664">H590/H566</f>
        <v>0.19755802565985861</v>
      </c>
      <c r="I591" s="149">
        <f t="shared" si="1664"/>
        <v>0.20515336062910028</v>
      </c>
      <c r="J591" s="149">
        <f t="shared" si="1664"/>
        <v>0.2314615507770125</v>
      </c>
      <c r="K591" s="149">
        <f t="shared" si="1664"/>
        <v>0.17070734274057489</v>
      </c>
      <c r="L591" s="149">
        <f t="shared" si="1664"/>
        <v>0.14324698929856938</v>
      </c>
      <c r="M591" s="149">
        <f t="shared" si="1664"/>
        <v>0.21254475873077966</v>
      </c>
      <c r="N591" s="149">
        <f t="shared" si="1664"/>
        <v>0.19066967691418038</v>
      </c>
      <c r="O591" s="149">
        <f t="shared" si="1664"/>
        <v>0.18941285332157556</v>
      </c>
      <c r="P591" s="149">
        <f t="shared" si="1664"/>
        <v>0.21169462516854146</v>
      </c>
      <c r="Q591" s="149">
        <f t="shared" si="1664"/>
        <v>0.1821120968105612</v>
      </c>
      <c r="R591" s="149">
        <f t="shared" si="1664"/>
        <v>0.1453343652006388</v>
      </c>
      <c r="S591" s="148">
        <f t="shared" si="1664"/>
        <v>0.19755085581338394</v>
      </c>
      <c r="T591" s="149">
        <f t="shared" si="1664"/>
        <v>0.24794451675354792</v>
      </c>
      <c r="U591" s="149">
        <f t="shared" si="1664"/>
        <v>0.25001253213503627</v>
      </c>
      <c r="V591" s="149">
        <f t="shared" si="1664"/>
        <v>0.26562266047128863</v>
      </c>
      <c r="W591" s="149">
        <f t="shared" si="1664"/>
        <v>0.20136400663728324</v>
      </c>
      <c r="X591" s="149">
        <f t="shared" si="1664"/>
        <v>0.18084857425250697</v>
      </c>
      <c r="Y591" s="149">
        <f t="shared" si="1664"/>
        <v>0.25331804647265616</v>
      </c>
      <c r="Z591" s="149">
        <f t="shared" si="1664"/>
        <v>0.23614601975899083</v>
      </c>
      <c r="AA591" s="149">
        <f t="shared" si="1664"/>
        <v>0.23955303239794412</v>
      </c>
      <c r="AB591" s="149">
        <f t="shared" si="1664"/>
        <v>0.25210262836006497</v>
      </c>
      <c r="AC591" s="149">
        <f t="shared" si="1664"/>
        <v>0.23644656962062835</v>
      </c>
      <c r="AD591" s="150">
        <f t="shared" si="1664"/>
        <v>0.21842004670009343</v>
      </c>
      <c r="AE591" s="15"/>
      <c r="AF591" s="232">
        <f>_xlfn.XLOOKUP($C591,'Site Level Financials - ''23 ''24'!$C$2:$C$1577,'Site Level Financials - ''23 ''24'!$AF$2:$AF$1577)</f>
        <v>0.17986036768585681</v>
      </c>
      <c r="AG591" s="97">
        <f t="shared" ref="AG591:AH591" si="1665">AG590/AG566</f>
        <v>0.19008952979245389</v>
      </c>
      <c r="AH591" s="97">
        <f t="shared" si="1665"/>
        <v>0.2330067492537766</v>
      </c>
    </row>
    <row r="592" spans="2:34" ht="6" customHeight="1" x14ac:dyDescent="0.2">
      <c r="B592" s="9">
        <f>G554</f>
        <v>12</v>
      </c>
      <c r="C592" s="9" t="str">
        <f t="shared" si="1556"/>
        <v xml:space="preserve">12 - </v>
      </c>
      <c r="D592" s="9" t="s">
        <v>56</v>
      </c>
      <c r="G592" s="80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80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81"/>
      <c r="AE592" s="15"/>
      <c r="AF592" s="11"/>
      <c r="AG592" s="15"/>
      <c r="AH592" s="15"/>
    </row>
    <row r="593" spans="2:35" x14ac:dyDescent="0.2">
      <c r="B593" s="9">
        <f>G554</f>
        <v>12</v>
      </c>
      <c r="C593" s="9" t="str">
        <f t="shared" si="1556"/>
        <v>12 - Memo:</v>
      </c>
      <c r="D593" s="9" t="s">
        <v>56</v>
      </c>
      <c r="F593" s="6" t="s">
        <v>13</v>
      </c>
      <c r="G593" s="80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80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81"/>
      <c r="AE593" s="15"/>
      <c r="AF593" s="11"/>
      <c r="AG593" s="15"/>
      <c r="AH593" s="15"/>
    </row>
    <row r="594" spans="2:35" s="24" customFormat="1" x14ac:dyDescent="0.2">
      <c r="B594" s="9">
        <f>G554</f>
        <v>12</v>
      </c>
      <c r="C594" s="9" t="str">
        <f t="shared" si="1556"/>
        <v>12 - Collections</v>
      </c>
      <c r="D594" s="9" t="s">
        <v>56</v>
      </c>
      <c r="E594" s="49"/>
      <c r="F594" s="24" t="s">
        <v>15</v>
      </c>
      <c r="G594" s="247">
        <f>_xlfn.XLOOKUP($C594,'Site Level Financials - ''23 ''24'!$C$2:$C$1577,'Site Level Financials - ''23 ''24'!S$2:S$1577)</f>
        <v>137.42195166448124</v>
      </c>
      <c r="H594" s="248">
        <f>_xlfn.XLOOKUP($C594,'Site Level Financials - ''23 ''24'!$C$2:$C$1577,'Site Level Financials - ''23 ''24'!T$2:T$1577)</f>
        <v>143.78578756245571</v>
      </c>
      <c r="I594" s="248">
        <f>_xlfn.XLOOKUP($C594,'Site Level Financials - ''23 ''24'!$C$2:$C$1577,'Site Level Financials - ''23 ''24'!U$2:U$1577)</f>
        <v>155.60021899737424</v>
      </c>
      <c r="J594" s="248">
        <f>_xlfn.XLOOKUP($C594,'Site Level Financials - ''23 ''24'!$C$2:$C$1577,'Site Level Financials - ''23 ''24'!V$2:V$1577)</f>
        <v>179.90846343293532</v>
      </c>
      <c r="K594" s="248">
        <f>_xlfn.XLOOKUP($C594,'Site Level Financials - ''23 ''24'!$C$2:$C$1577,'Site Level Financials - ''23 ''24'!W$2:W$1577)</f>
        <v>206.90876257309614</v>
      </c>
      <c r="L594" s="248">
        <f>_xlfn.XLOOKUP($C594,'Site Level Financials - ''23 ''24'!$C$2:$C$1577,'Site Level Financials - ''23 ''24'!X$2:X$1577)</f>
        <v>173.99543170947615</v>
      </c>
      <c r="M594" s="248">
        <f>_xlfn.XLOOKUP($C594,'Site Level Financials - ''23 ''24'!$C$2:$C$1577,'Site Level Financials - ''23 ''24'!Y$2:Y$1577)</f>
        <v>184.3880245992363</v>
      </c>
      <c r="N594" s="248">
        <f>_xlfn.XLOOKUP($C594,'Site Level Financials - ''23 ''24'!$C$2:$C$1577,'Site Level Financials - ''23 ''24'!Z$2:Z$1577)</f>
        <v>165.53374271734648</v>
      </c>
      <c r="O594" s="248">
        <f>_xlfn.XLOOKUP($C594,'Site Level Financials - ''23 ''24'!$C$2:$C$1577,'Site Level Financials - ''23 ''24'!AA$2:AA$1577)</f>
        <v>152.61381399458844</v>
      </c>
      <c r="P594" s="248">
        <f>_xlfn.XLOOKUP($C594,'Site Level Financials - ''23 ''24'!$C$2:$C$1577,'Site Level Financials - ''23 ''24'!AB$2:AB$1577)</f>
        <v>181.65096275065329</v>
      </c>
      <c r="Q594" s="248">
        <f>_xlfn.XLOOKUP($C594,'Site Level Financials - ''23 ''24'!$C$2:$C$1577,'Site Level Financials - ''23 ''24'!AC$2:AC$1577)</f>
        <v>139.84606198984198</v>
      </c>
      <c r="R594" s="248">
        <f>_xlfn.XLOOKUP($C594,'Site Level Financials - ''23 ''24'!$C$2:$C$1577,'Site Level Financials - ''23 ''24'!AD$2:AD$1577)</f>
        <v>105.90569035740914</v>
      </c>
      <c r="S594" s="169">
        <f t="shared" ref="S594:AD594" si="1666">S595*S564</f>
        <v>158.8671503303166</v>
      </c>
      <c r="T594" s="170">
        <f t="shared" si="1666"/>
        <v>268.22318302325124</v>
      </c>
      <c r="U594" s="170">
        <f t="shared" si="1666"/>
        <v>288.01516629148216</v>
      </c>
      <c r="V594" s="170">
        <f t="shared" si="1666"/>
        <v>308.5107697131188</v>
      </c>
      <c r="W594" s="170">
        <f t="shared" si="1666"/>
        <v>366.66865517337186</v>
      </c>
      <c r="X594" s="170">
        <f t="shared" si="1666"/>
        <v>307.90954340420734</v>
      </c>
      <c r="Y594" s="170">
        <f t="shared" si="1666"/>
        <v>364.12899186246756</v>
      </c>
      <c r="Z594" s="170">
        <f t="shared" si="1666"/>
        <v>312.23727183938286</v>
      </c>
      <c r="AA594" s="170">
        <f t="shared" si="1666"/>
        <v>286.27069516615933</v>
      </c>
      <c r="AB594" s="170">
        <f t="shared" si="1666"/>
        <v>328.77981539670543</v>
      </c>
      <c r="AC594" s="170">
        <f t="shared" si="1666"/>
        <v>259.89023890736735</v>
      </c>
      <c r="AD594" s="171">
        <f t="shared" si="1666"/>
        <v>212.12567531565162</v>
      </c>
      <c r="AE594" s="26"/>
      <c r="AF594" s="234">
        <f>_xlfn.XLOOKUP($C594,'Site Level Financials - ''23 ''24'!$C$2:$C$1577,'Site Level Financials - ''23 ''24'!$AF$2:$AF$1577)</f>
        <v>1977.4680420781704</v>
      </c>
      <c r="AG594" s="99">
        <f>SUM(G594:R594)</f>
        <v>1927.5589123488942</v>
      </c>
      <c r="AH594" s="99">
        <f t="shared" ref="AH594" si="1667">SUM(S594:AD594)</f>
        <v>3461.627156423483</v>
      </c>
    </row>
    <row r="595" spans="2:35" x14ac:dyDescent="0.2">
      <c r="B595" s="9">
        <f>G554</f>
        <v>12</v>
      </c>
      <c r="C595" s="9" t="str">
        <f t="shared" si="1556"/>
        <v>12 - Collections as a % of Production</v>
      </c>
      <c r="D595" s="9" t="s">
        <v>56</v>
      </c>
      <c r="F595" s="16" t="s">
        <v>17</v>
      </c>
      <c r="G595" s="245">
        <f>_xlfn.XLOOKUP($C595,'Site Level Financials - ''23 ''24'!$C$2:$C$1577,'Site Level Financials - ''23 ''24'!S$2:S$1577)</f>
        <v>0.99104311409213386</v>
      </c>
      <c r="H595" s="246">
        <f>_xlfn.XLOOKUP($C595,'Site Level Financials - ''23 ''24'!$C$2:$C$1577,'Site Level Financials - ''23 ''24'!T$2:T$1577)</f>
        <v>0.98906850588246131</v>
      </c>
      <c r="I595" s="246">
        <f>_xlfn.XLOOKUP($C595,'Site Level Financials - ''23 ''24'!$C$2:$C$1577,'Site Level Financials - ''23 ''24'!U$2:U$1577)</f>
        <v>0.9771059989639822</v>
      </c>
      <c r="J595" s="246">
        <f>_xlfn.XLOOKUP($C595,'Site Level Financials - ''23 ''24'!$C$2:$C$1577,'Site Level Financials - ''23 ''24'!V$2:V$1577)</f>
        <v>0.96965038656304003</v>
      </c>
      <c r="K595" s="246">
        <f>_xlfn.XLOOKUP($C595,'Site Level Financials - ''23 ''24'!$C$2:$C$1577,'Site Level Financials - ''23 ''24'!W$2:W$1577)</f>
        <v>0.96254964109446428</v>
      </c>
      <c r="L595" s="246">
        <f>_xlfn.XLOOKUP($C595,'Site Level Financials - ''23 ''24'!$C$2:$C$1577,'Site Level Financials - ''23 ''24'!X$2:X$1577)</f>
        <v>0.97556761351850796</v>
      </c>
      <c r="M595" s="246">
        <f>_xlfn.XLOOKUP($C595,'Site Level Financials - ''23 ''24'!$C$2:$C$1577,'Site Level Financials - ''23 ''24'!Y$2:Y$1577)</f>
        <v>0.97560621219238886</v>
      </c>
      <c r="N595" s="246">
        <f>_xlfn.XLOOKUP($C595,'Site Level Financials - ''23 ''24'!$C$2:$C$1577,'Site Level Financials - ''23 ''24'!Z$2:Z$1577)</f>
        <v>0.98695718536411736</v>
      </c>
      <c r="O595" s="246">
        <f>_xlfn.XLOOKUP($C595,'Site Level Financials - ''23 ''24'!$C$2:$C$1577,'Site Level Financials - ''23 ''24'!AA$2:AA$1577)</f>
        <v>0.99735129646600995</v>
      </c>
      <c r="P595" s="246">
        <f>_xlfn.XLOOKUP($C595,'Site Level Financials - ''23 ''24'!$C$2:$C$1577,'Site Level Financials - ''23 ''24'!AB$2:AB$1577)</f>
        <v>0.99852642166701322</v>
      </c>
      <c r="Q595" s="246">
        <f>_xlfn.XLOOKUP($C595,'Site Level Financials - ''23 ''24'!$C$2:$C$1577,'Site Level Financials - ''23 ''24'!AC$2:AC$1577)</f>
        <v>0.99923506889574221</v>
      </c>
      <c r="R595" s="246">
        <f>_xlfn.XLOOKUP($C595,'Site Level Financials - ''23 ''24'!$C$2:$C$1577,'Site Level Financials - ''23 ''24'!AD$2:AD$1577)</f>
        <v>0.9681557461431437</v>
      </c>
      <c r="S595" s="148">
        <f>S565</f>
        <v>0.98187713197385296</v>
      </c>
      <c r="T595" s="149">
        <f t="shared" ref="T595:AD595" si="1668">T565</f>
        <v>0.98187713197385296</v>
      </c>
      <c r="U595" s="149">
        <f t="shared" si="1668"/>
        <v>0.98187713197385296</v>
      </c>
      <c r="V595" s="149">
        <f t="shared" si="1668"/>
        <v>0.98187713197385296</v>
      </c>
      <c r="W595" s="149">
        <f t="shared" si="1668"/>
        <v>0.98187713197385296</v>
      </c>
      <c r="X595" s="149">
        <f t="shared" si="1668"/>
        <v>0.98187713197385296</v>
      </c>
      <c r="Y595" s="149">
        <f t="shared" si="1668"/>
        <v>0.98187713197385296</v>
      </c>
      <c r="Z595" s="149">
        <f t="shared" si="1668"/>
        <v>0.98187713197385296</v>
      </c>
      <c r="AA595" s="149">
        <f t="shared" si="1668"/>
        <v>0.98187713197385296</v>
      </c>
      <c r="AB595" s="149">
        <f t="shared" si="1668"/>
        <v>0.98187713197385296</v>
      </c>
      <c r="AC595" s="149">
        <f t="shared" si="1668"/>
        <v>0.98187713197385296</v>
      </c>
      <c r="AD595" s="150">
        <f t="shared" si="1668"/>
        <v>0.98187713197385296</v>
      </c>
      <c r="AE595" s="15"/>
      <c r="AF595" s="232">
        <f>_xlfn.XLOOKUP($C595,'Site Level Financials - ''23 ''24'!$C$2:$C$1577,'Site Level Financials - ''23 ''24'!$AF$2:$AF$1577)</f>
        <v>0.98207292652696265</v>
      </c>
      <c r="AG595" s="97">
        <f t="shared" ref="AG595:AH595" si="1669">AG594/AG564</f>
        <v>0.98187713197385296</v>
      </c>
      <c r="AH595" s="97">
        <f t="shared" si="1669"/>
        <v>0.98187713197385329</v>
      </c>
    </row>
    <row r="596" spans="2:35" ht="6" customHeight="1" x14ac:dyDescent="0.2">
      <c r="B596" s="9">
        <f>G554</f>
        <v>12</v>
      </c>
      <c r="C596" s="9" t="str">
        <f t="shared" si="1556"/>
        <v xml:space="preserve">12 - </v>
      </c>
      <c r="D596" s="9" t="s">
        <v>56</v>
      </c>
      <c r="F596" s="27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81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81"/>
      <c r="AE596" s="15"/>
      <c r="AF596" s="11"/>
      <c r="AH596" s="224"/>
    </row>
    <row r="597" spans="2:35" s="24" customFormat="1" x14ac:dyDescent="0.2">
      <c r="B597" s="9">
        <f>G554</f>
        <v>12</v>
      </c>
      <c r="C597" s="9" t="str">
        <f t="shared" si="1556"/>
        <v>12 - Production per Vet Workday - YoY Change</v>
      </c>
      <c r="D597" s="9" t="s">
        <v>56</v>
      </c>
      <c r="E597" s="49"/>
      <c r="F597" s="24" t="s">
        <v>55</v>
      </c>
      <c r="G597" s="249">
        <f>_xlfn.XLOOKUP($C597,'Site Level Financials - ''23 ''24'!$C$2:$C$1577,'Site Level Financials - ''23 ''24'!S$2:S$1577)</f>
        <v>-5.712802388495597E-2</v>
      </c>
      <c r="H597" s="250">
        <f>_xlfn.XLOOKUP($C597,'Site Level Financials - ''23 ''24'!$C$2:$C$1577,'Site Level Financials - ''23 ''24'!T$2:T$1577)</f>
        <v>1.4695503437462065E-2</v>
      </c>
      <c r="I597" s="250">
        <f>_xlfn.XLOOKUP($C597,'Site Level Financials - ''23 ''24'!$C$2:$C$1577,'Site Level Financials - ''23 ''24'!U$2:U$1577)</f>
        <v>-3.1037929961340915E-2</v>
      </c>
      <c r="J597" s="250">
        <f>_xlfn.XLOOKUP($C597,'Site Level Financials - ''23 ''24'!$C$2:$C$1577,'Site Level Financials - ''23 ''24'!V$2:V$1577)</f>
        <v>2.1432585856053343E-2</v>
      </c>
      <c r="K597" s="250">
        <f>_xlfn.XLOOKUP($C597,'Site Level Financials - ''23 ''24'!$C$2:$C$1577,'Site Level Financials - ''23 ''24'!W$2:W$1577)</f>
        <v>-4.7986693069529407E-2</v>
      </c>
      <c r="L597" s="250">
        <f>_xlfn.XLOOKUP($C597,'Site Level Financials - ''23 ''24'!$C$2:$C$1577,'Site Level Financials - ''23 ''24'!X$2:X$1577)</f>
        <v>-8.9691719551593829E-2</v>
      </c>
      <c r="M597" s="250">
        <f>_xlfn.XLOOKUP($C597,'Site Level Financials - ''23 ''24'!$C$2:$C$1577,'Site Level Financials - ''23 ''24'!Y$2:Y$1577)</f>
        <v>-3.0141446269407846E-2</v>
      </c>
      <c r="N597" s="250">
        <f>_xlfn.XLOOKUP($C597,'Site Level Financials - ''23 ''24'!$C$2:$C$1577,'Site Level Financials - ''23 ''24'!Z$2:Z$1577)</f>
        <v>-3.5391274730757982E-2</v>
      </c>
      <c r="O597" s="250">
        <f>_xlfn.XLOOKUP($C597,'Site Level Financials - ''23 ''24'!$C$2:$C$1577,'Site Level Financials - ''23 ''24'!AA$2:AA$1577)</f>
        <v>-1.4546224213795922E-2</v>
      </c>
      <c r="P597" s="250">
        <f>_xlfn.XLOOKUP($C597,'Site Level Financials - ''23 ''24'!$C$2:$C$1577,'Site Level Financials - ''23 ''24'!AB$2:AB$1577)</f>
        <v>-1.0463225460427328E-2</v>
      </c>
      <c r="Q597" s="250">
        <f>_xlfn.XLOOKUP($C597,'Site Level Financials - ''23 ''24'!$C$2:$C$1577,'Site Level Financials - ''23 ''24'!AC$2:AC$1577)</f>
        <v>5.964315419930033E-3</v>
      </c>
      <c r="R597" s="251">
        <f>_xlfn.XLOOKUP($C597,'Site Level Financials - ''23 ''24'!$C$2:$C$1577,'Site Level Financials - ''23 ''24'!AD$2:AD$1577)</f>
        <v>1.2749235193045605E-2</v>
      </c>
      <c r="S597" s="151">
        <f>S563/G563-1</f>
        <v>0.1668456092883146</v>
      </c>
      <c r="T597" s="152">
        <f t="shared" ref="T597" si="1670">T563/H563-1</f>
        <v>-6.045067771903756E-2</v>
      </c>
      <c r="U597" s="152">
        <f t="shared" ref="U597" si="1671">U563/I563-1</f>
        <v>-7.8999868643462534E-2</v>
      </c>
      <c r="V597" s="152">
        <f t="shared" ref="V597" si="1672">V563/J563-1</f>
        <v>-0.15326644855222471</v>
      </c>
      <c r="W597" s="152">
        <f t="shared" ref="W597" si="1673">W563/K563-1</f>
        <v>-0.1313778541543128</v>
      </c>
      <c r="X597" s="152">
        <f t="shared" ref="X597" si="1674">X563/L563-1</f>
        <v>-0.12086506755625348</v>
      </c>
      <c r="Y597" s="152">
        <f t="shared" ref="Y597" si="1675">Y563/M563-1</f>
        <v>-0.34593832226328936</v>
      </c>
      <c r="Z597" s="152">
        <f t="shared" ref="Z597" si="1676">Z563/N563-1</f>
        <v>-0.36799848086455544</v>
      </c>
      <c r="AA597" s="152">
        <f t="shared" ref="AA597" si="1677">AA563/O563-1</f>
        <v>-0.36488436656103662</v>
      </c>
      <c r="AB597" s="152">
        <f t="shared" ref="AB597" si="1678">AB563/P563-1</f>
        <v>-0.38645191590701722</v>
      </c>
      <c r="AC597" s="152">
        <f t="shared" ref="AC597" si="1679">AC563/Q563-1</f>
        <v>-0.3695814344477415</v>
      </c>
      <c r="AD597" s="153">
        <f t="shared" ref="AD597" si="1680">AD563/R563-1</f>
        <v>-0.34167436051641986</v>
      </c>
      <c r="AF597" s="43"/>
      <c r="AG597" s="177">
        <f>AG563/AF563-1</f>
        <v>-2.5044530291550182E-2</v>
      </c>
      <c r="AH597" s="225">
        <f>AH563/AG563-1</f>
        <v>-0.25678998677683229</v>
      </c>
    </row>
    <row r="598" spans="2:35" s="24" customFormat="1" ht="6" customHeight="1" x14ac:dyDescent="0.2">
      <c r="D598" s="9" t="s">
        <v>56</v>
      </c>
      <c r="E598" s="49"/>
      <c r="G598" s="28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29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29"/>
      <c r="AE598" s="25"/>
      <c r="AF598" s="28"/>
      <c r="AG598" s="30"/>
      <c r="AH598" s="226"/>
    </row>
    <row r="599" spans="2:35" s="24" customFormat="1" ht="6" customHeight="1" x14ac:dyDescent="0.2">
      <c r="D599" s="9" t="s">
        <v>56</v>
      </c>
      <c r="E599" s="49"/>
    </row>
    <row r="600" spans="2:35" x14ac:dyDescent="0.2">
      <c r="D600" s="9" t="s">
        <v>56</v>
      </c>
      <c r="F600" s="16"/>
    </row>
    <row r="601" spans="2:35" ht="15.75" thickBot="1" x14ac:dyDescent="0.4">
      <c r="B601" s="35" t="s">
        <v>52</v>
      </c>
      <c r="C601" s="35"/>
      <c r="D601" s="9" t="s">
        <v>56</v>
      </c>
      <c r="E601" s="48" t="s">
        <v>0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74"/>
      <c r="AH601" s="3">
        <f ca="1">TODAY()</f>
        <v>45999</v>
      </c>
      <c r="AI601" s="1"/>
    </row>
    <row r="602" spans="2:35" x14ac:dyDescent="0.2">
      <c r="B602" s="9">
        <f>G603</f>
        <v>13</v>
      </c>
      <c r="C602" s="9"/>
      <c r="D602" s="9" t="s">
        <v>56</v>
      </c>
      <c r="F602" t="s">
        <v>159</v>
      </c>
      <c r="AG602" s="6"/>
      <c r="AH602" s="6" t="s">
        <v>16</v>
      </c>
    </row>
    <row r="603" spans="2:35" x14ac:dyDescent="0.2">
      <c r="B603" s="9">
        <f>G603</f>
        <v>13</v>
      </c>
      <c r="C603" s="9"/>
      <c r="D603" s="9" t="s">
        <v>56</v>
      </c>
      <c r="F603" s="40" t="s">
        <v>53</v>
      </c>
      <c r="G603" s="42">
        <v>13</v>
      </c>
    </row>
    <row r="604" spans="2:35" x14ac:dyDescent="0.2">
      <c r="B604" s="9">
        <f>G603</f>
        <v>13</v>
      </c>
      <c r="C604" s="9"/>
      <c r="D604" s="9" t="s">
        <v>56</v>
      </c>
      <c r="F604" s="39" t="s">
        <v>30</v>
      </c>
      <c r="G604" s="41"/>
      <c r="H604" s="11"/>
    </row>
    <row r="605" spans="2:35" x14ac:dyDescent="0.2">
      <c r="B605" s="9">
        <f>G603</f>
        <v>13</v>
      </c>
      <c r="C605" s="9"/>
      <c r="D605" s="9" t="s">
        <v>56</v>
      </c>
      <c r="G605" s="23"/>
    </row>
    <row r="606" spans="2:35" x14ac:dyDescent="0.2">
      <c r="B606" s="9">
        <f>G603</f>
        <v>13</v>
      </c>
      <c r="C606" s="9"/>
      <c r="D606" s="9" t="s">
        <v>56</v>
      </c>
      <c r="G606" s="208" t="s">
        <v>229</v>
      </c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10"/>
      <c r="S606" s="266" t="s">
        <v>230</v>
      </c>
      <c r="T606" s="267"/>
      <c r="U606" s="267"/>
      <c r="V606" s="267"/>
      <c r="W606" s="267"/>
      <c r="X606" s="267"/>
      <c r="Y606" s="267"/>
      <c r="Z606" s="267"/>
      <c r="AA606" s="267"/>
      <c r="AB606" s="267"/>
      <c r="AC606" s="267"/>
      <c r="AD606" s="268"/>
      <c r="AF606" s="17" t="s">
        <v>231</v>
      </c>
      <c r="AG606" s="50"/>
      <c r="AH606" s="269" t="s">
        <v>232</v>
      </c>
    </row>
    <row r="607" spans="2:35" ht="15" customHeight="1" x14ac:dyDescent="0.35">
      <c r="B607" s="9">
        <f>G603</f>
        <v>13</v>
      </c>
      <c r="C607" s="9"/>
      <c r="D607" s="9" t="s">
        <v>56</v>
      </c>
      <c r="G607" s="211">
        <v>44957</v>
      </c>
      <c r="H607" s="212">
        <f>EOMONTH(G607,1)</f>
        <v>44985</v>
      </c>
      <c r="I607" s="212">
        <f t="shared" ref="I607" si="1681">EOMONTH(H607,1)</f>
        <v>45016</v>
      </c>
      <c r="J607" s="212">
        <f t="shared" ref="J607" si="1682">EOMONTH(I607,1)</f>
        <v>45046</v>
      </c>
      <c r="K607" s="212">
        <f t="shared" ref="K607" si="1683">EOMONTH(J607,1)</f>
        <v>45077</v>
      </c>
      <c r="L607" s="212">
        <f t="shared" ref="L607" si="1684">EOMONTH(K607,1)</f>
        <v>45107</v>
      </c>
      <c r="M607" s="212">
        <f t="shared" ref="M607" si="1685">EOMONTH(L607,1)</f>
        <v>45138</v>
      </c>
      <c r="N607" s="212">
        <f t="shared" ref="N607" si="1686">EOMONTH(M607,1)</f>
        <v>45169</v>
      </c>
      <c r="O607" s="212">
        <f t="shared" ref="O607" si="1687">EOMONTH(N607,1)</f>
        <v>45199</v>
      </c>
      <c r="P607" s="212">
        <f t="shared" ref="P607" si="1688">EOMONTH(O607,1)</f>
        <v>45230</v>
      </c>
      <c r="Q607" s="212">
        <f t="shared" ref="Q607" si="1689">EOMONTH(P607,1)</f>
        <v>45260</v>
      </c>
      <c r="R607" s="213">
        <f t="shared" ref="R607" si="1690">EOMONTH(Q607,1)</f>
        <v>45291</v>
      </c>
      <c r="S607" s="4">
        <f t="shared" ref="S607" si="1691">EOMONTH(R607,1)</f>
        <v>45322</v>
      </c>
      <c r="T607" s="19">
        <f t="shared" ref="T607" si="1692">EOMONTH(S607,1)</f>
        <v>45351</v>
      </c>
      <c r="U607" s="19">
        <f t="shared" ref="U607" si="1693">EOMONTH(T607,1)</f>
        <v>45382</v>
      </c>
      <c r="V607" s="19">
        <f t="shared" ref="V607" si="1694">EOMONTH(U607,1)</f>
        <v>45412</v>
      </c>
      <c r="W607" s="19">
        <f t="shared" ref="W607" si="1695">EOMONTH(V607,1)</f>
        <v>45443</v>
      </c>
      <c r="X607" s="19">
        <f t="shared" ref="X607" si="1696">EOMONTH(W607,1)</f>
        <v>45473</v>
      </c>
      <c r="Y607" s="19">
        <f t="shared" ref="Y607" si="1697">EOMONTH(X607,1)</f>
        <v>45504</v>
      </c>
      <c r="Z607" s="19">
        <f t="shared" ref="Z607" si="1698">EOMONTH(Y607,1)</f>
        <v>45535</v>
      </c>
      <c r="AA607" s="19">
        <f t="shared" ref="AA607" si="1699">EOMONTH(Z607,1)</f>
        <v>45565</v>
      </c>
      <c r="AB607" s="19">
        <f t="shared" ref="AB607" si="1700">EOMONTH(AA607,1)</f>
        <v>45596</v>
      </c>
      <c r="AC607" s="19">
        <f t="shared" ref="AC607" si="1701">EOMONTH(AB607,1)</f>
        <v>45626</v>
      </c>
      <c r="AD607" s="5">
        <f t="shared" ref="AD607" si="1702">EOMONTH(AC607,1)</f>
        <v>45657</v>
      </c>
      <c r="AE607" s="168"/>
      <c r="AF607" s="13">
        <v>45291</v>
      </c>
      <c r="AG607" s="14">
        <v>45657</v>
      </c>
      <c r="AH607" s="14">
        <v>46022</v>
      </c>
    </row>
    <row r="608" spans="2:35" ht="0.95" customHeight="1" x14ac:dyDescent="0.2">
      <c r="B608" s="9">
        <f>G603</f>
        <v>13</v>
      </c>
      <c r="C608" s="9"/>
      <c r="D608" s="9" t="s">
        <v>56</v>
      </c>
      <c r="G608" s="11"/>
      <c r="S608" s="11"/>
      <c r="AD608" s="15"/>
      <c r="AE608" s="15"/>
      <c r="AF608" s="11"/>
      <c r="AG608" s="15"/>
      <c r="AH608" s="15"/>
    </row>
    <row r="609" spans="2:34" x14ac:dyDescent="0.2">
      <c r="B609" s="9">
        <f>G603</f>
        <v>13</v>
      </c>
      <c r="C609" s="9" t="str">
        <f>B609&amp;" - "&amp;F609</f>
        <v>13 - Employed Vets</v>
      </c>
      <c r="D609" s="9" t="s">
        <v>56</v>
      </c>
      <c r="F609" s="7" t="s">
        <v>160</v>
      </c>
      <c r="G609" s="178">
        <f>_xlfn.XLOOKUP($C609,'Site Level Financials - ''23 ''24'!$C$2:$C$1577,'Site Level Financials - ''23 ''24'!S$2:S$1577)</f>
        <v>3</v>
      </c>
      <c r="H609" s="179">
        <f>_xlfn.XLOOKUP($C609,'Site Level Financials - ''23 ''24'!$C$2:$C$1577,'Site Level Financials - ''23 ''24'!T$2:T$1577)</f>
        <v>3</v>
      </c>
      <c r="I609" s="179">
        <f>_xlfn.XLOOKUP($C609,'Site Level Financials - ''23 ''24'!$C$2:$C$1577,'Site Level Financials - ''23 ''24'!U$2:U$1577)</f>
        <v>3</v>
      </c>
      <c r="J609" s="179">
        <f>_xlfn.XLOOKUP($C609,'Site Level Financials - ''23 ''24'!$C$2:$C$1577,'Site Level Financials - ''23 ''24'!V$2:V$1577)</f>
        <v>3</v>
      </c>
      <c r="K609" s="179">
        <f>_xlfn.XLOOKUP($C609,'Site Level Financials - ''23 ''24'!$C$2:$C$1577,'Site Level Financials - ''23 ''24'!W$2:W$1577)</f>
        <v>2</v>
      </c>
      <c r="L609" s="179">
        <f>_xlfn.XLOOKUP($C609,'Site Level Financials - ''23 ''24'!$C$2:$C$1577,'Site Level Financials - ''23 ''24'!X$2:X$1577)</f>
        <v>3</v>
      </c>
      <c r="M609" s="179">
        <f>_xlfn.XLOOKUP($C609,'Site Level Financials - ''23 ''24'!$C$2:$C$1577,'Site Level Financials - ''23 ''24'!Y$2:Y$1577)</f>
        <v>3</v>
      </c>
      <c r="N609" s="179">
        <f>_xlfn.XLOOKUP($C609,'Site Level Financials - ''23 ''24'!$C$2:$C$1577,'Site Level Financials - ''23 ''24'!Z$2:Z$1577)</f>
        <v>4</v>
      </c>
      <c r="O609" s="179">
        <f>_xlfn.XLOOKUP($C609,'Site Level Financials - ''23 ''24'!$C$2:$C$1577,'Site Level Financials - ''23 ''24'!AA$2:AA$1577)</f>
        <v>4</v>
      </c>
      <c r="P609" s="179">
        <f>_xlfn.XLOOKUP($C609,'Site Level Financials - ''23 ''24'!$C$2:$C$1577,'Site Level Financials - ''23 ''24'!AB$2:AB$1577)</f>
        <v>4</v>
      </c>
      <c r="Q609" s="179">
        <f>_xlfn.XLOOKUP($C609,'Site Level Financials - ''23 ''24'!$C$2:$C$1577,'Site Level Financials - ''23 ''24'!AC$2:AC$1577)</f>
        <v>5</v>
      </c>
      <c r="R609" s="179">
        <f>_xlfn.XLOOKUP($C609,'Site Level Financials - ''23 ''24'!$C$2:$C$1577,'Site Level Financials - ''23 ''24'!AD$2:AD$1577)</f>
        <v>5</v>
      </c>
      <c r="S609" s="178">
        <f>R609+_xlfn.XLOOKUP($R609,'Budget Assumption Driver'!$A$7:$A$11,'Budget Assumption Driver'!E$7:E$11)</f>
        <v>5</v>
      </c>
      <c r="T609" s="179">
        <f>S609+_xlfn.XLOOKUP($R609,'Budget Assumption Driver'!$A$7:$A$11,'Budget Assumption Driver'!F$7:F$11)</f>
        <v>5</v>
      </c>
      <c r="U609" s="179">
        <f>T609+_xlfn.XLOOKUP($R609,'Budget Assumption Driver'!$A$7:$A$11,'Budget Assumption Driver'!G$7:G$11)</f>
        <v>5</v>
      </c>
      <c r="V609" s="179">
        <f>U609+_xlfn.XLOOKUP($R609,'Budget Assumption Driver'!$A$7:$A$11,'Budget Assumption Driver'!H$7:H$11)</f>
        <v>5</v>
      </c>
      <c r="W609" s="179">
        <f>V609+_xlfn.XLOOKUP($R609,'Budget Assumption Driver'!$A$7:$A$11,'Budget Assumption Driver'!I$7:I$11)</f>
        <v>5</v>
      </c>
      <c r="X609" s="179">
        <f>W609+_xlfn.XLOOKUP($R609,'Budget Assumption Driver'!$A$7:$A$11,'Budget Assumption Driver'!J$7:J$11)</f>
        <v>5</v>
      </c>
      <c r="Y609" s="179">
        <f>X609+_xlfn.XLOOKUP($R609,'Budget Assumption Driver'!$A$7:$A$11,'Budget Assumption Driver'!K$7:K$11)</f>
        <v>5</v>
      </c>
      <c r="Z609" s="179">
        <f>Y609+_xlfn.XLOOKUP($R609,'Budget Assumption Driver'!$A$7:$A$11,'Budget Assumption Driver'!L$7:L$11)</f>
        <v>5</v>
      </c>
      <c r="AA609" s="179">
        <f>Z609+_xlfn.XLOOKUP($R609,'Budget Assumption Driver'!$A$7:$A$11,'Budget Assumption Driver'!M$7:M$11)</f>
        <v>5</v>
      </c>
      <c r="AB609" s="179">
        <f>AA609+_xlfn.XLOOKUP($R609,'Budget Assumption Driver'!$A$7:$A$11,'Budget Assumption Driver'!N$7:N$11)</f>
        <v>5</v>
      </c>
      <c r="AC609" s="179">
        <f>AB609+_xlfn.XLOOKUP($R609,'Budget Assumption Driver'!$A$7:$A$11,'Budget Assumption Driver'!O$7:O$11)</f>
        <v>5</v>
      </c>
      <c r="AD609" s="290">
        <f>AC609+_xlfn.XLOOKUP($R609,'Budget Assumption Driver'!$A$7:$A$11,'Budget Assumption Driver'!P$7:P$11)</f>
        <v>5</v>
      </c>
      <c r="AE609" s="15"/>
      <c r="AF609" s="229">
        <f>_xlfn.XLOOKUP($C609,'Site Level Financials - ''23 ''24'!$C$2:$C$1577,'Site Level Financials - ''23 ''24'!$AF$2:$AF$1577)</f>
        <v>1.6666666666666667</v>
      </c>
      <c r="AG609" s="91">
        <f t="shared" ref="AG609:AH609" si="1703">AG611/AG610</f>
        <v>3.490706319702602</v>
      </c>
      <c r="AH609" s="91">
        <f t="shared" si="1703"/>
        <v>5</v>
      </c>
    </row>
    <row r="610" spans="2:34" x14ac:dyDescent="0.2">
      <c r="B610" s="9">
        <f>G603</f>
        <v>13</v>
      </c>
      <c r="C610" s="9" t="str">
        <f t="shared" ref="C610:C646" si="1704">B610&amp;" - "&amp;F610</f>
        <v>13 - Workdays in Month / Year</v>
      </c>
      <c r="D610" s="9" t="s">
        <v>56</v>
      </c>
      <c r="F610" s="7" t="s">
        <v>54</v>
      </c>
      <c r="G610" s="178">
        <f>_xlfn.XLOOKUP($C610,'Site Level Financials - ''23 ''24'!$C$2:$C$1577,'Site Level Financials - ''23 ''24'!S$2:S$1577)</f>
        <v>23</v>
      </c>
      <c r="H610" s="235">
        <f>_xlfn.XLOOKUP($C610,'Site Level Financials - ''23 ''24'!$C$2:$C$1577,'Site Level Financials - ''23 ''24'!T$2:T$1577)</f>
        <v>22</v>
      </c>
      <c r="I610" s="235">
        <f>_xlfn.XLOOKUP($C610,'Site Level Financials - ''23 ''24'!$C$2:$C$1577,'Site Level Financials - ''23 ''24'!U$2:U$1577)</f>
        <v>22</v>
      </c>
      <c r="J610" s="179">
        <f>_xlfn.XLOOKUP($C610,'Site Level Financials - ''23 ''24'!$C$2:$C$1577,'Site Level Financials - ''23 ''24'!V$2:V$1577)</f>
        <v>22</v>
      </c>
      <c r="K610" s="179">
        <f>_xlfn.XLOOKUP($C610,'Site Level Financials - ''23 ''24'!$C$2:$C$1577,'Site Level Financials - ''23 ''24'!W$2:W$1577)</f>
        <v>24</v>
      </c>
      <c r="L610" s="179">
        <f>_xlfn.XLOOKUP($C610,'Site Level Financials - ''23 ''24'!$C$2:$C$1577,'Site Level Financials - ''23 ''24'!X$2:X$1577)</f>
        <v>21</v>
      </c>
      <c r="M610" s="179">
        <f>_xlfn.XLOOKUP($C610,'Site Level Financials - ''23 ''24'!$C$2:$C$1577,'Site Level Financials - ''23 ''24'!Y$2:Y$1577)</f>
        <v>23</v>
      </c>
      <c r="N610" s="179">
        <f>_xlfn.XLOOKUP($C610,'Site Level Financials - ''23 ''24'!$C$2:$C$1577,'Site Level Financials - ''23 ''24'!Z$2:Z$1577)</f>
        <v>23</v>
      </c>
      <c r="O610" s="179">
        <f>_xlfn.XLOOKUP($C610,'Site Level Financials - ''23 ''24'!$C$2:$C$1577,'Site Level Financials - ''23 ''24'!AA$2:AA$1577)</f>
        <v>21</v>
      </c>
      <c r="P610" s="179">
        <f>_xlfn.XLOOKUP($C610,'Site Level Financials - ''23 ''24'!$C$2:$C$1577,'Site Level Financials - ''23 ''24'!AB$2:AB$1577)</f>
        <v>24</v>
      </c>
      <c r="Q610" s="179">
        <f>_xlfn.XLOOKUP($C610,'Site Level Financials - ''23 ''24'!$C$2:$C$1577,'Site Level Financials - ''23 ''24'!AC$2:AC$1577)</f>
        <v>22</v>
      </c>
      <c r="R610" s="179">
        <f>_xlfn.XLOOKUP($C610,'Site Level Financials - ''23 ''24'!$C$2:$C$1577,'Site Level Financials - ''23 ''24'!AD$2:AD$1577)</f>
        <v>22</v>
      </c>
      <c r="S610" s="155">
        <f>NETWORKDAYS(R607,S607)</f>
        <v>23</v>
      </c>
      <c r="T610" s="154">
        <f t="shared" ref="T610:AD610" si="1705">NETWORKDAYS(S607,T607)</f>
        <v>22</v>
      </c>
      <c r="U610" s="154">
        <f t="shared" si="1705"/>
        <v>22</v>
      </c>
      <c r="V610" s="154">
        <f t="shared" si="1705"/>
        <v>22</v>
      </c>
      <c r="W610" s="154">
        <f t="shared" si="1705"/>
        <v>24</v>
      </c>
      <c r="X610" s="154">
        <f t="shared" si="1705"/>
        <v>21</v>
      </c>
      <c r="Y610" s="154">
        <f t="shared" si="1705"/>
        <v>23</v>
      </c>
      <c r="Z610" s="154">
        <f t="shared" si="1705"/>
        <v>23</v>
      </c>
      <c r="AA610" s="154">
        <f t="shared" si="1705"/>
        <v>21</v>
      </c>
      <c r="AB610" s="154">
        <f t="shared" si="1705"/>
        <v>24</v>
      </c>
      <c r="AC610" s="154">
        <f t="shared" si="1705"/>
        <v>22</v>
      </c>
      <c r="AD610" s="156">
        <f t="shared" si="1705"/>
        <v>22</v>
      </c>
      <c r="AE610" s="15"/>
      <c r="AF610" s="115">
        <f>_xlfn.XLOOKUP($C610,'Site Level Financials - ''23 ''24'!$C$2:$C$1577,'Site Level Financials - ''23 ''24'!$AF$2:$AF$1577)</f>
        <v>269</v>
      </c>
      <c r="AG610" s="93">
        <f>SUM(G610:R610)</f>
        <v>269</v>
      </c>
      <c r="AH610" s="93">
        <f>SUM(S610:AD610)</f>
        <v>269</v>
      </c>
    </row>
    <row r="611" spans="2:34" x14ac:dyDescent="0.2">
      <c r="B611" s="9">
        <f>G603</f>
        <v>13</v>
      </c>
      <c r="C611" s="9" t="str">
        <f t="shared" si="1704"/>
        <v>13 - Total Vet Days</v>
      </c>
      <c r="D611" s="9" t="s">
        <v>56</v>
      </c>
      <c r="F611" s="8" t="s">
        <v>51</v>
      </c>
      <c r="G611" s="236">
        <f>_xlfn.XLOOKUP($C611,'Site Level Financials - ''23 ''24'!$C$2:$C$1577,'Site Level Financials - ''23 ''24'!S$2:S$1577)</f>
        <v>69</v>
      </c>
      <c r="H611" s="237">
        <f>_xlfn.XLOOKUP($C611,'Site Level Financials - ''23 ''24'!$C$2:$C$1577,'Site Level Financials - ''23 ''24'!T$2:T$1577)</f>
        <v>66</v>
      </c>
      <c r="I611" s="237">
        <f>_xlfn.XLOOKUP($C611,'Site Level Financials - ''23 ''24'!$C$2:$C$1577,'Site Level Financials - ''23 ''24'!U$2:U$1577)</f>
        <v>66</v>
      </c>
      <c r="J611" s="238">
        <f>_xlfn.XLOOKUP($C611,'Site Level Financials - ''23 ''24'!$C$2:$C$1577,'Site Level Financials - ''23 ''24'!V$2:V$1577)</f>
        <v>66</v>
      </c>
      <c r="K611" s="238">
        <f>_xlfn.XLOOKUP($C611,'Site Level Financials - ''23 ''24'!$C$2:$C$1577,'Site Level Financials - ''23 ''24'!W$2:W$1577)</f>
        <v>48</v>
      </c>
      <c r="L611" s="238">
        <f>_xlfn.XLOOKUP($C611,'Site Level Financials - ''23 ''24'!$C$2:$C$1577,'Site Level Financials - ''23 ''24'!X$2:X$1577)</f>
        <v>63</v>
      </c>
      <c r="M611" s="238">
        <f>_xlfn.XLOOKUP($C611,'Site Level Financials - ''23 ''24'!$C$2:$C$1577,'Site Level Financials - ''23 ''24'!Y$2:Y$1577)</f>
        <v>69</v>
      </c>
      <c r="N611" s="238">
        <f>_xlfn.XLOOKUP($C611,'Site Level Financials - ''23 ''24'!$C$2:$C$1577,'Site Level Financials - ''23 ''24'!Z$2:Z$1577)</f>
        <v>92</v>
      </c>
      <c r="O611" s="238">
        <f>_xlfn.XLOOKUP($C611,'Site Level Financials - ''23 ''24'!$C$2:$C$1577,'Site Level Financials - ''23 ''24'!AA$2:AA$1577)</f>
        <v>84</v>
      </c>
      <c r="P611" s="238">
        <f>_xlfn.XLOOKUP($C611,'Site Level Financials - ''23 ''24'!$C$2:$C$1577,'Site Level Financials - ''23 ''24'!AB$2:AB$1577)</f>
        <v>96</v>
      </c>
      <c r="Q611" s="238">
        <f>_xlfn.XLOOKUP($C611,'Site Level Financials - ''23 ''24'!$C$2:$C$1577,'Site Level Financials - ''23 ''24'!AC$2:AC$1577)</f>
        <v>110</v>
      </c>
      <c r="R611" s="238">
        <f>_xlfn.XLOOKUP($C611,'Site Level Financials - ''23 ''24'!$C$2:$C$1577,'Site Level Financials - ''23 ''24'!AD$2:AD$1577)</f>
        <v>110</v>
      </c>
      <c r="S611" s="125">
        <f t="shared" ref="S611:AD611" si="1706">S609*S610</f>
        <v>115</v>
      </c>
      <c r="T611" s="127">
        <f t="shared" si="1706"/>
        <v>110</v>
      </c>
      <c r="U611" s="127">
        <f t="shared" si="1706"/>
        <v>110</v>
      </c>
      <c r="V611" s="127">
        <f t="shared" si="1706"/>
        <v>110</v>
      </c>
      <c r="W611" s="127">
        <f t="shared" si="1706"/>
        <v>120</v>
      </c>
      <c r="X611" s="127">
        <f t="shared" si="1706"/>
        <v>105</v>
      </c>
      <c r="Y611" s="127">
        <f t="shared" si="1706"/>
        <v>115</v>
      </c>
      <c r="Z611" s="127">
        <f t="shared" si="1706"/>
        <v>115</v>
      </c>
      <c r="AA611" s="127">
        <f t="shared" si="1706"/>
        <v>105</v>
      </c>
      <c r="AB611" s="127">
        <f t="shared" si="1706"/>
        <v>120</v>
      </c>
      <c r="AC611" s="127">
        <f t="shared" si="1706"/>
        <v>110</v>
      </c>
      <c r="AD611" s="128">
        <f t="shared" si="1706"/>
        <v>110</v>
      </c>
      <c r="AF611" s="112">
        <f>_xlfn.XLOOKUP($C611,'Site Level Financials - ''23 ''24'!$C$2:$C$1577,'Site Level Financials - ''23 ''24'!$AF$2:$AF$1577)</f>
        <v>449</v>
      </c>
      <c r="AG611" s="120">
        <f>SUM(G611:R611)</f>
        <v>939</v>
      </c>
      <c r="AH611" s="120">
        <f t="shared" ref="AH611" si="1707">SUM(S611:AD611)</f>
        <v>1345</v>
      </c>
    </row>
    <row r="612" spans="2:34" x14ac:dyDescent="0.2">
      <c r="B612" s="9">
        <f>G603</f>
        <v>13</v>
      </c>
      <c r="C612" s="9" t="str">
        <f t="shared" si="1704"/>
        <v>13 - Production per Vet Workday</v>
      </c>
      <c r="D612" s="9" t="s">
        <v>56</v>
      </c>
      <c r="F612" s="7" t="s">
        <v>50</v>
      </c>
      <c r="G612" s="239">
        <f>_xlfn.XLOOKUP($C612,'Site Level Financials - ''23 ''24'!$C$2:$C$1577,'Site Level Financials - ''23 ''24'!S$2:S$1577)</f>
        <v>6.472289769793715</v>
      </c>
      <c r="H612" s="240">
        <f>_xlfn.XLOOKUP($C612,'Site Level Financials - ''23 ''24'!$C$2:$C$1577,'Site Level Financials - ''23 ''24'!T$2:T$1577)</f>
        <v>6.8923658936021841</v>
      </c>
      <c r="I612" s="240">
        <f>_xlfn.XLOOKUP($C612,'Site Level Financials - ''23 ''24'!$C$2:$C$1577,'Site Level Financials - ''23 ''24'!U$2:U$1577)</f>
        <v>7.516153208627137</v>
      </c>
      <c r="J612" s="240">
        <f>_xlfn.XLOOKUP($C612,'Site Level Financials - ''23 ''24'!$C$2:$C$1577,'Site Level Financials - ''23 ''24'!V$2:V$1577)</f>
        <v>7.6754884367587985</v>
      </c>
      <c r="K612" s="240">
        <f>_xlfn.XLOOKUP($C612,'Site Level Financials - ''23 ''24'!$C$2:$C$1577,'Site Level Financials - ''23 ''24'!W$2:W$1577)</f>
        <v>8.5406990427063203</v>
      </c>
      <c r="L612" s="240">
        <f>_xlfn.XLOOKUP($C612,'Site Level Financials - ''23 ''24'!$C$2:$C$1577,'Site Level Financials - ''23 ''24'!X$2:X$1577)</f>
        <v>7.6593884878399239</v>
      </c>
      <c r="M612" s="240">
        <f>_xlfn.XLOOKUP($C612,'Site Level Financials - ''23 ''24'!$C$2:$C$1577,'Site Level Financials - ''23 ''24'!Y$2:Y$1577)</f>
        <v>7.6775038967521176</v>
      </c>
      <c r="N612" s="240">
        <f>_xlfn.XLOOKUP($C612,'Site Level Financials - ''23 ''24'!$C$2:$C$1577,'Site Level Financials - ''23 ''24'!Z$2:Z$1577)</f>
        <v>6.0672100563421951</v>
      </c>
      <c r="O612" s="240">
        <f>_xlfn.XLOOKUP($C612,'Site Level Financials - ''23 ''24'!$C$2:$C$1577,'Site Level Financials - ''23 ''24'!AA$2:AA$1577)</f>
        <v>6.3880265168471402</v>
      </c>
      <c r="P612" s="240">
        <f>_xlfn.XLOOKUP($C612,'Site Level Financials - ''23 ''24'!$C$2:$C$1577,'Site Level Financials - ''23 ''24'!AB$2:AB$1577)</f>
        <v>6.4501073045946873</v>
      </c>
      <c r="Q612" s="240">
        <f>_xlfn.XLOOKUP($C612,'Site Level Financials - ''23 ''24'!$C$2:$C$1577,'Site Level Financials - ''23 ''24'!AC$2:AC$1577)</f>
        <v>5.4247393554556185</v>
      </c>
      <c r="R612" s="240">
        <f>_xlfn.XLOOKUP($C612,'Site Level Financials - ''23 ''24'!$C$2:$C$1577,'Site Level Financials - ''23 ''24'!AD$2:AD$1577)</f>
        <v>4.3457114558297949</v>
      </c>
      <c r="S612" s="239">
        <f>R612*(1+_xlfn.XLOOKUP($R609,'Budget Assumption Driver'!$A$15:$A$19,'Budget Assumption Driver'!E$15:E$19))</f>
        <v>6.1483505879799205</v>
      </c>
      <c r="T612" s="240">
        <f>S612*(1+_xlfn.XLOOKUP($R609,'Budget Assumption Driver'!$A$15:$A$19,'Budget Assumption Driver'!F$15:F$19))</f>
        <v>6.6558725248082027</v>
      </c>
      <c r="U612" s="240">
        <f>T612*(1+_xlfn.XLOOKUP($R609,'Budget Assumption Driver'!$A$15:$A$19,'Budget Assumption Driver'!G$15:G$19))</f>
        <v>7.1470042613034126</v>
      </c>
      <c r="V612" s="240">
        <f>U612*(1+_xlfn.XLOOKUP($R609,'Budget Assumption Driver'!$A$15:$A$19,'Budget Assumption Driver'!H$15:H$19))</f>
        <v>7.6555961069292655</v>
      </c>
      <c r="W612" s="240">
        <f>V612*(1+_xlfn.XLOOKUP($R609,'Budget Assumption Driver'!$A$15:$A$19,'Budget Assumption Driver'!I$15:I$19))</f>
        <v>8.3405349859081959</v>
      </c>
      <c r="X612" s="240">
        <f>W612*(1+_xlfn.XLOOKUP($R609,'Budget Assumption Driver'!$A$15:$A$19,'Budget Assumption Driver'!J$15:J$19))</f>
        <v>8.0045186239440742</v>
      </c>
      <c r="Y612" s="240">
        <f>X612*(1+_xlfn.XLOOKUP($R609,'Budget Assumption Driver'!$A$15:$A$19,'Budget Assumption Driver'!K$15:K$19))</f>
        <v>7.3628277576939203</v>
      </c>
      <c r="Z612" s="240">
        <f>Y612*(1+_xlfn.XLOOKUP($R609,'Budget Assumption Driver'!$A$15:$A$19,'Budget Assumption Driver'!L$15:L$19))</f>
        <v>6.3135572927792296</v>
      </c>
      <c r="AA612" s="240">
        <f>Z612*(1+_xlfn.XLOOKUP($R609,'Budget Assumption Driver'!$A$15:$A$19,'Budget Assumption Driver'!M$15:M$19))</f>
        <v>6.3397891768630021</v>
      </c>
      <c r="AB612" s="240">
        <f>AA612*(1+_xlfn.XLOOKUP($R609,'Budget Assumption Driver'!$A$15:$A$19,'Budget Assumption Driver'!N$15:N$19))</f>
        <v>6.3710516186840502</v>
      </c>
      <c r="AC612" s="240">
        <f>AB612*(1+_xlfn.XLOOKUP($R609,'Budget Assumption Driver'!$A$15:$A$19,'Budget Assumption Driver'!O$15:O$19))</f>
        <v>5.4939475093764063</v>
      </c>
      <c r="AD612" s="291">
        <f>AC612*(1+_xlfn.XLOOKUP($R609,'Budget Assumption Driver'!$A$15:$A$19,'Budget Assumption Driver'!P$15:P$19))</f>
        <v>4.4842289209276478</v>
      </c>
      <c r="AE612" s="15"/>
      <c r="AF612" s="230">
        <f>_xlfn.XLOOKUP($C612,'Site Level Financials - ''23 ''24'!$C$2:$C$1577,'Site Level Financials - ''23 ''24'!$AF$2:$AF$1577)</f>
        <v>6.799881603232369</v>
      </c>
      <c r="AG612" s="101">
        <f>AG613/AG611</f>
        <v>6.5123671271883099</v>
      </c>
      <c r="AH612" s="101">
        <f>AH613/AH611</f>
        <v>6.6984525915433899</v>
      </c>
    </row>
    <row r="613" spans="2:34" x14ac:dyDescent="0.2">
      <c r="B613" s="9">
        <f>G603</f>
        <v>13</v>
      </c>
      <c r="C613" s="9" t="str">
        <f t="shared" si="1704"/>
        <v>13 - Total Production</v>
      </c>
      <c r="D613" s="9" t="s">
        <v>56</v>
      </c>
      <c r="F613" s="8" t="s">
        <v>1</v>
      </c>
      <c r="G613" s="241">
        <f>_xlfn.XLOOKUP($C613,'Site Level Financials - ''23 ''24'!$C$2:$C$1577,'Site Level Financials - ''23 ''24'!S$2:S$1577)</f>
        <v>446.58799411576632</v>
      </c>
      <c r="H613" s="242">
        <f>_xlfn.XLOOKUP($C613,'Site Level Financials - ''23 ''24'!$C$2:$C$1577,'Site Level Financials - ''23 ''24'!T$2:T$1577)</f>
        <v>454.89614897774413</v>
      </c>
      <c r="I613" s="242">
        <f>_xlfn.XLOOKUP($C613,'Site Level Financials - ''23 ''24'!$C$2:$C$1577,'Site Level Financials - ''23 ''24'!U$2:U$1577)</f>
        <v>496.06611176939106</v>
      </c>
      <c r="J613" s="242">
        <f>_xlfn.XLOOKUP($C613,'Site Level Financials - ''23 ''24'!$C$2:$C$1577,'Site Level Financials - ''23 ''24'!V$2:V$1577)</f>
        <v>506.5822368260807</v>
      </c>
      <c r="K613" s="242">
        <f>_xlfn.XLOOKUP($C613,'Site Level Financials - ''23 ''24'!$C$2:$C$1577,'Site Level Financials - ''23 ''24'!W$2:W$1577)</f>
        <v>409.95355404990335</v>
      </c>
      <c r="L613" s="242">
        <f>_xlfn.XLOOKUP($C613,'Site Level Financials - ''23 ''24'!$C$2:$C$1577,'Site Level Financials - ''23 ''24'!X$2:X$1577)</f>
        <v>482.54147473391521</v>
      </c>
      <c r="M613" s="242">
        <f>_xlfn.XLOOKUP($C613,'Site Level Financials - ''23 ''24'!$C$2:$C$1577,'Site Level Financials - ''23 ''24'!Y$2:Y$1577)</f>
        <v>529.7477688758961</v>
      </c>
      <c r="N613" s="242">
        <f>_xlfn.XLOOKUP($C613,'Site Level Financials - ''23 ''24'!$C$2:$C$1577,'Site Level Financials - ''23 ''24'!Z$2:Z$1577)</f>
        <v>558.183325183482</v>
      </c>
      <c r="O613" s="242">
        <f>_xlfn.XLOOKUP($C613,'Site Level Financials - ''23 ''24'!$C$2:$C$1577,'Site Level Financials - ''23 ''24'!AA$2:AA$1577)</f>
        <v>536.59422741515982</v>
      </c>
      <c r="P613" s="242">
        <f>_xlfn.XLOOKUP($C613,'Site Level Financials - ''23 ''24'!$C$2:$C$1577,'Site Level Financials - ''23 ''24'!AB$2:AB$1577)</f>
        <v>619.21030124108995</v>
      </c>
      <c r="Q613" s="242">
        <f>_xlfn.XLOOKUP($C613,'Site Level Financials - ''23 ''24'!$C$2:$C$1577,'Site Level Financials - ''23 ''24'!AC$2:AC$1577)</f>
        <v>596.72132910011806</v>
      </c>
      <c r="R613" s="242">
        <f>_xlfn.XLOOKUP($C613,'Site Level Financials - ''23 ''24'!$C$2:$C$1577,'Site Level Financials - ''23 ''24'!AD$2:AD$1577)</f>
        <v>478.02826014127743</v>
      </c>
      <c r="S613" s="134">
        <f t="shared" ref="S613:AD613" si="1708">S612*S611</f>
        <v>707.06031761769088</v>
      </c>
      <c r="T613" s="135">
        <f t="shared" si="1708"/>
        <v>732.14597772890227</v>
      </c>
      <c r="U613" s="135">
        <f t="shared" si="1708"/>
        <v>786.17046874337541</v>
      </c>
      <c r="V613" s="135">
        <f t="shared" si="1708"/>
        <v>842.11557176221925</v>
      </c>
      <c r="W613" s="135">
        <f t="shared" si="1708"/>
        <v>1000.8641983089835</v>
      </c>
      <c r="X613" s="135">
        <f t="shared" si="1708"/>
        <v>840.47445551412784</v>
      </c>
      <c r="Y613" s="135">
        <f t="shared" si="1708"/>
        <v>846.72519213480086</v>
      </c>
      <c r="Z613" s="135">
        <f t="shared" si="1708"/>
        <v>726.05908866961136</v>
      </c>
      <c r="AA613" s="135">
        <f t="shared" si="1708"/>
        <v>665.67786357061527</v>
      </c>
      <c r="AB613" s="135">
        <f t="shared" si="1708"/>
        <v>764.52619424208604</v>
      </c>
      <c r="AC613" s="135">
        <f t="shared" si="1708"/>
        <v>604.33422603140468</v>
      </c>
      <c r="AD613" s="136">
        <f t="shared" si="1708"/>
        <v>493.26518130204124</v>
      </c>
      <c r="AE613" s="15"/>
      <c r="AF613" s="113">
        <f>_xlfn.XLOOKUP($C613,'Site Level Financials - ''23 ''24'!$C$2:$C$1577,'Site Level Financials - ''23 ''24'!$AF$2:$AF$1577)</f>
        <v>2795.6493792699048</v>
      </c>
      <c r="AG613" s="95">
        <f>SUM(G613:R613)</f>
        <v>6115.1127324298232</v>
      </c>
      <c r="AH613" s="95">
        <f t="shared" ref="AH613" si="1709">SUM(S613:AD613)</f>
        <v>9009.418735625859</v>
      </c>
    </row>
    <row r="614" spans="2:34" x14ac:dyDescent="0.2">
      <c r="B614" s="9">
        <f>G603</f>
        <v>13</v>
      </c>
      <c r="C614" s="9" t="str">
        <f t="shared" si="1704"/>
        <v>13 - Revenue as a % of Production</v>
      </c>
      <c r="D614" s="9" t="s">
        <v>56</v>
      </c>
      <c r="F614" s="7" t="s">
        <v>2</v>
      </c>
      <c r="G614" s="243">
        <f>_xlfn.XLOOKUP($C614,'Site Level Financials - ''23 ''24'!$C$2:$C$1577,'Site Level Financials - ''23 ''24'!S$2:S$1577)</f>
        <v>0.9818541151438942</v>
      </c>
      <c r="H614" s="244">
        <f>_xlfn.XLOOKUP($C614,'Site Level Financials - ''23 ''24'!$C$2:$C$1577,'Site Level Financials - ''23 ''24'!T$2:T$1577)</f>
        <v>0.9818541151438942</v>
      </c>
      <c r="I614" s="244">
        <f>_xlfn.XLOOKUP($C614,'Site Level Financials - ''23 ''24'!$C$2:$C$1577,'Site Level Financials - ''23 ''24'!U$2:U$1577)</f>
        <v>0.9818541151438942</v>
      </c>
      <c r="J614" s="244">
        <f>_xlfn.XLOOKUP($C614,'Site Level Financials - ''23 ''24'!$C$2:$C$1577,'Site Level Financials - ''23 ''24'!V$2:V$1577)</f>
        <v>0.9818541151438942</v>
      </c>
      <c r="K614" s="244">
        <f>_xlfn.XLOOKUP($C614,'Site Level Financials - ''23 ''24'!$C$2:$C$1577,'Site Level Financials - ''23 ''24'!W$2:W$1577)</f>
        <v>0.9818541151438942</v>
      </c>
      <c r="L614" s="244">
        <f>_xlfn.XLOOKUP($C614,'Site Level Financials - ''23 ''24'!$C$2:$C$1577,'Site Level Financials - ''23 ''24'!X$2:X$1577)</f>
        <v>0.9818541151438942</v>
      </c>
      <c r="M614" s="244">
        <f>_xlfn.XLOOKUP($C614,'Site Level Financials - ''23 ''24'!$C$2:$C$1577,'Site Level Financials - ''23 ''24'!Y$2:Y$1577)</f>
        <v>0.9818541151438942</v>
      </c>
      <c r="N614" s="244">
        <f>_xlfn.XLOOKUP($C614,'Site Level Financials - ''23 ''24'!$C$2:$C$1577,'Site Level Financials - ''23 ''24'!Z$2:Z$1577)</f>
        <v>0.9818541151438942</v>
      </c>
      <c r="O614" s="244">
        <f>_xlfn.XLOOKUP($C614,'Site Level Financials - ''23 ''24'!$C$2:$C$1577,'Site Level Financials - ''23 ''24'!AA$2:AA$1577)</f>
        <v>0.9818541151438942</v>
      </c>
      <c r="P614" s="244">
        <f>_xlfn.XLOOKUP($C614,'Site Level Financials - ''23 ''24'!$C$2:$C$1577,'Site Level Financials - ''23 ''24'!AB$2:AB$1577)</f>
        <v>0.9818541151438942</v>
      </c>
      <c r="Q614" s="244">
        <f>_xlfn.XLOOKUP($C614,'Site Level Financials - ''23 ''24'!$C$2:$C$1577,'Site Level Financials - ''23 ''24'!AC$2:AC$1577)</f>
        <v>0.9818541151438942</v>
      </c>
      <c r="R614" s="244">
        <f>_xlfn.XLOOKUP($C614,'Site Level Financials - ''23 ''24'!$C$2:$C$1577,'Site Level Financials - ''23 ''24'!AD$2:AD$1577)</f>
        <v>0.9818541151438942</v>
      </c>
      <c r="S614" s="292">
        <f>SUM(G643:R643)/SUM(G613:R613)</f>
        <v>0.98532966504127695</v>
      </c>
      <c r="T614" s="203">
        <f>S614</f>
        <v>0.98532966504127695</v>
      </c>
      <c r="U614" s="203">
        <f t="shared" ref="U614:AD614" si="1710">T614</f>
        <v>0.98532966504127695</v>
      </c>
      <c r="V614" s="203">
        <f t="shared" si="1710"/>
        <v>0.98532966504127695</v>
      </c>
      <c r="W614" s="203">
        <f t="shared" si="1710"/>
        <v>0.98532966504127695</v>
      </c>
      <c r="X614" s="203">
        <f t="shared" si="1710"/>
        <v>0.98532966504127695</v>
      </c>
      <c r="Y614" s="203">
        <f t="shared" si="1710"/>
        <v>0.98532966504127695</v>
      </c>
      <c r="Z614" s="203">
        <f t="shared" si="1710"/>
        <v>0.98532966504127695</v>
      </c>
      <c r="AA614" s="203">
        <f t="shared" si="1710"/>
        <v>0.98532966504127695</v>
      </c>
      <c r="AB614" s="203">
        <f t="shared" si="1710"/>
        <v>0.98532966504127695</v>
      </c>
      <c r="AC614" s="203">
        <f t="shared" si="1710"/>
        <v>0.98532966504127695</v>
      </c>
      <c r="AD614" s="204">
        <f t="shared" si="1710"/>
        <v>0.98532966504127695</v>
      </c>
      <c r="AE614" s="15"/>
      <c r="AF614" s="231">
        <f>_xlfn.XLOOKUP($C614,'Site Level Financials - ''23 ''24'!$C$2:$C$1577,'Site Level Financials - ''23 ''24'!$AF$2:$AF$1577)</f>
        <v>0.98965539518469803</v>
      </c>
      <c r="AG614" s="103">
        <f>AG615/AG613</f>
        <v>0.98185411514389431</v>
      </c>
      <c r="AH614" s="103">
        <f>AH615/AH613</f>
        <v>0.98532966504127673</v>
      </c>
    </row>
    <row r="615" spans="2:34" x14ac:dyDescent="0.2">
      <c r="B615" s="9">
        <f>G603</f>
        <v>13</v>
      </c>
      <c r="C615" s="9" t="str">
        <f t="shared" si="1704"/>
        <v>13 - Total Revenue</v>
      </c>
      <c r="D615" s="9" t="s">
        <v>56</v>
      </c>
      <c r="F615" s="8" t="s">
        <v>3</v>
      </c>
      <c r="G615" s="241">
        <f>_xlfn.XLOOKUP($C615,'Site Level Financials - ''23 ''24'!$C$2:$C$1577,'Site Level Financials - ''23 ''24'!S$2:S$1577)</f>
        <v>438.48425979642235</v>
      </c>
      <c r="H615" s="242">
        <f>_xlfn.XLOOKUP($C615,'Site Level Financials - ''23 ''24'!$C$2:$C$1577,'Site Level Financials - ''23 ''24'!T$2:T$1577)</f>
        <v>446.64165583690806</v>
      </c>
      <c r="I615" s="242">
        <f>_xlfn.XLOOKUP($C615,'Site Level Financials - ''23 ''24'!$C$2:$C$1577,'Site Level Financials - ''23 ''24'!U$2:U$1577)</f>
        <v>487.0645532242076</v>
      </c>
      <c r="J615" s="242">
        <f>_xlfn.XLOOKUP($C615,'Site Level Financials - ''23 ''24'!$C$2:$C$1577,'Site Level Financials - ''23 ''24'!V$2:V$1577)</f>
        <v>497.38985388648615</v>
      </c>
      <c r="K615" s="242">
        <f>_xlfn.XLOOKUP($C615,'Site Level Financials - ''23 ''24'!$C$2:$C$1577,'Site Level Financials - ''23 ''24'!W$2:W$1577)</f>
        <v>402.51458406176243</v>
      </c>
      <c r="L615" s="242">
        <f>_xlfn.XLOOKUP($C615,'Site Level Financials - ''23 ''24'!$C$2:$C$1577,'Site Level Financials - ''23 ''24'!X$2:X$1577)</f>
        <v>473.78533269509808</v>
      </c>
      <c r="M615" s="242">
        <f>_xlfn.XLOOKUP($C615,'Site Level Financials - ''23 ''24'!$C$2:$C$1577,'Site Level Financials - ''23 ''24'!Y$2:Y$1577)</f>
        <v>520.13502685909509</v>
      </c>
      <c r="N615" s="242">
        <f>_xlfn.XLOOKUP($C615,'Site Level Financials - ''23 ''24'!$C$2:$C$1577,'Site Level Financials - ''23 ''24'!Z$2:Z$1577)</f>
        <v>548.05459483610423</v>
      </c>
      <c r="O615" s="242">
        <f>_xlfn.XLOOKUP($C615,'Site Level Financials - ''23 ''24'!$C$2:$C$1577,'Site Level Financials - ''23 ''24'!AA$2:AA$1577)</f>
        <v>526.85725035003327</v>
      </c>
      <c r="P615" s="242">
        <f>_xlfn.XLOOKUP($C615,'Site Level Financials - ''23 ''24'!$C$2:$C$1577,'Site Level Financials - ''23 ''24'!AB$2:AB$1577)</f>
        <v>607.97418241305456</v>
      </c>
      <c r="Q615" s="242">
        <f>_xlfn.XLOOKUP($C615,'Site Level Financials - ''23 ''24'!$C$2:$C$1577,'Site Level Financials - ''23 ''24'!AC$2:AC$1577)</f>
        <v>585.89329257108488</v>
      </c>
      <c r="R615" s="242">
        <f>_xlfn.XLOOKUP($C615,'Site Level Financials - ''23 ''24'!$C$2:$C$1577,'Site Level Financials - ''23 ''24'!AD$2:AD$1577)</f>
        <v>469.35401437478924</v>
      </c>
      <c r="S615" s="134">
        <f t="shared" ref="S615:AD615" si="1711">S614*S613</f>
        <v>696.68750592221829</v>
      </c>
      <c r="T615" s="135">
        <f t="shared" si="1711"/>
        <v>721.40515099693744</v>
      </c>
      <c r="U615" s="135">
        <f t="shared" si="1711"/>
        <v>774.63708463225373</v>
      </c>
      <c r="V615" s="135">
        <f t="shared" si="1711"/>
        <v>829.76145425051095</v>
      </c>
      <c r="W615" s="135">
        <f t="shared" si="1711"/>
        <v>986.18118527159697</v>
      </c>
      <c r="X615" s="135">
        <f t="shared" si="1711"/>
        <v>828.14441372748524</v>
      </c>
      <c r="Y615" s="135">
        <f t="shared" si="1711"/>
        <v>834.30344994819416</v>
      </c>
      <c r="Z615" s="135">
        <f t="shared" si="1711"/>
        <v>715.4075586390029</v>
      </c>
      <c r="AA615" s="135">
        <f t="shared" si="1711"/>
        <v>655.9121463374272</v>
      </c>
      <c r="AB615" s="135">
        <f t="shared" si="1711"/>
        <v>753.31033888783691</v>
      </c>
      <c r="AC615" s="135">
        <f t="shared" si="1711"/>
        <v>595.46844050850336</v>
      </c>
      <c r="AD615" s="136">
        <f t="shared" si="1711"/>
        <v>486.02881586886502</v>
      </c>
      <c r="AE615" s="15"/>
      <c r="AF615" s="113">
        <f>_xlfn.XLOOKUP($C615,'Site Level Financials - ''23 ''24'!$C$2:$C$1577,'Site Level Financials - ''23 ''24'!$AF$2:$AF$1577)</f>
        <v>2766.7294912392135</v>
      </c>
      <c r="AG615" s="95">
        <f>SUM(G615:R615)</f>
        <v>6004.1486009050459</v>
      </c>
      <c r="AH615" s="95">
        <f t="shared" ref="AH615" si="1712">SUM(S615:AD615)</f>
        <v>8877.2475449908306</v>
      </c>
    </row>
    <row r="616" spans="2:34" x14ac:dyDescent="0.2">
      <c r="B616" s="9">
        <f>G603</f>
        <v>13</v>
      </c>
      <c r="C616" s="9" t="str">
        <f t="shared" si="1704"/>
        <v>13 - % YoY Revenue Growth</v>
      </c>
      <c r="D616" s="9" t="s">
        <v>56</v>
      </c>
      <c r="F616" s="16" t="s">
        <v>174</v>
      </c>
      <c r="G616" s="245">
        <f>_xlfn.XLOOKUP($C616,'Site Level Financials - ''23 ''24'!$C$2:$C$1577,'Site Level Financials - ''23 ''24'!S$2:S$1577)</f>
        <v>1.9680766738623938</v>
      </c>
      <c r="H616" s="246">
        <f>_xlfn.XLOOKUP($C616,'Site Level Financials - ''23 ''24'!$C$2:$C$1577,'Site Level Financials - ''23 ''24'!T$2:T$1577)</f>
        <v>2.1321761402098143</v>
      </c>
      <c r="I616" s="246">
        <f>_xlfn.XLOOKUP($C616,'Site Level Financials - ''23 ''24'!$C$2:$C$1577,'Site Level Financials - ''23 ''24'!U$2:U$1577)</f>
        <v>1.659659046288831</v>
      </c>
      <c r="J616" s="246">
        <f>_xlfn.XLOOKUP($C616,'Site Level Financials - ''23 ''24'!$C$2:$C$1577,'Site Level Financials - ''23 ''24'!V$2:V$1577)</f>
        <v>2.0743715638339926</v>
      </c>
      <c r="K616" s="246">
        <f>_xlfn.XLOOKUP($C616,'Site Level Financials - ''23 ''24'!$C$2:$C$1577,'Site Level Financials - ''23 ''24'!W$2:W$1577)</f>
        <v>1.1208828701233911</v>
      </c>
      <c r="L616" s="246">
        <f>_xlfn.XLOOKUP($C616,'Site Level Financials - ''23 ''24'!$C$2:$C$1577,'Site Level Financials - ''23 ''24'!X$2:X$1577)</f>
        <v>1.64824484664293</v>
      </c>
      <c r="M616" s="246">
        <f>_xlfn.XLOOKUP($C616,'Site Level Financials - ''23 ''24'!$C$2:$C$1577,'Site Level Financials - ''23 ''24'!Y$2:Y$1577)</f>
        <v>2.2204997456479343</v>
      </c>
      <c r="N616" s="246">
        <f>_xlfn.XLOOKUP($C616,'Site Level Financials - ''23 ''24'!$C$2:$C$1577,'Site Level Financials - ''23 ''24'!Z$2:Z$1577)</f>
        <v>0.8191660470183546</v>
      </c>
      <c r="O616" s="246">
        <f>_xlfn.XLOOKUP($C616,'Site Level Financials - ''23 ''24'!$C$2:$C$1577,'Site Level Financials - ''23 ''24'!AA$2:AA$1577)</f>
        <v>0.92300792532488218</v>
      </c>
      <c r="P616" s="246">
        <f>_xlfn.XLOOKUP($C616,'Site Level Financials - ''23 ''24'!$C$2:$C$1577,'Site Level Financials - ''23 ''24'!AB$2:AB$1577)</f>
        <v>1.1460787820442513</v>
      </c>
      <c r="Q616" s="246">
        <f>_xlfn.XLOOKUP($C616,'Site Level Financials - ''23 ''24'!$C$2:$C$1577,'Site Level Financials - ''23 ''24'!AC$2:AC$1577)</f>
        <v>0.63598476872258303</v>
      </c>
      <c r="R616" s="246">
        <f>_xlfn.XLOOKUP($C616,'Site Level Financials - ''23 ''24'!$C$2:$C$1577,'Site Level Financials - ''23 ''24'!AD$2:AD$1577)</f>
        <v>0.22031908107247355</v>
      </c>
      <c r="S616" s="148">
        <f>S615/G615-1</f>
        <v>0.58885408166230069</v>
      </c>
      <c r="T616" s="149">
        <f t="shared" ref="T616" si="1713">T615/H615-1</f>
        <v>0.61517659978486128</v>
      </c>
      <c r="U616" s="149">
        <f t="shared" ref="U616" si="1714">U615/I615-1</f>
        <v>0.59041974930101215</v>
      </c>
      <c r="V616" s="149">
        <f t="shared" ref="V616" si="1715">V615/J615-1</f>
        <v>0.66823156477148071</v>
      </c>
      <c r="W616" s="149">
        <f t="shared" ref="W616" si="1716">W615/K615-1</f>
        <v>1.4500508163457648</v>
      </c>
      <c r="X616" s="149">
        <f t="shared" ref="X616" si="1717">X615/L615-1</f>
        <v>0.74793172472570602</v>
      </c>
      <c r="Y616" s="149">
        <f t="shared" ref="Y616" si="1718">Y615/M615-1</f>
        <v>0.60401320208378784</v>
      </c>
      <c r="Z616" s="149">
        <f t="shared" ref="Z616" si="1719">Z615/N615-1</f>
        <v>0.30535819858046365</v>
      </c>
      <c r="AA616" s="149">
        <f t="shared" ref="AA616" si="1720">AA615/O615-1</f>
        <v>0.24495230140925739</v>
      </c>
      <c r="AB616" s="149">
        <f t="shared" ref="AB616" si="1721">AB615/P615-1</f>
        <v>0.23904988185179499</v>
      </c>
      <c r="AC616" s="149">
        <f t="shared" ref="AC616" si="1722">AC615/Q615-1</f>
        <v>1.6342818835490824E-2</v>
      </c>
      <c r="AD616" s="150">
        <f t="shared" ref="AD616" si="1723">AD615/R615-1</f>
        <v>3.552713087217918E-2</v>
      </c>
      <c r="AE616" s="15"/>
      <c r="AF616" s="11"/>
      <c r="AG616" s="97">
        <f>AG615/AF615-1</f>
        <v>1.1701249146029804</v>
      </c>
      <c r="AH616" s="97">
        <f>AH615/AG615-1</f>
        <v>0.47851895998255323</v>
      </c>
    </row>
    <row r="617" spans="2:34" ht="6" customHeight="1" x14ac:dyDescent="0.2">
      <c r="B617" s="9">
        <f>G603</f>
        <v>13</v>
      </c>
      <c r="C617" s="9" t="str">
        <f t="shared" si="1704"/>
        <v xml:space="preserve">13 - </v>
      </c>
      <c r="D617" s="9" t="s">
        <v>56</v>
      </c>
      <c r="G617" s="80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80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81"/>
      <c r="AE617" s="15"/>
      <c r="AF617" s="11"/>
      <c r="AG617" s="15"/>
      <c r="AH617" s="15"/>
    </row>
    <row r="618" spans="2:34" x14ac:dyDescent="0.2">
      <c r="B618" s="9">
        <f>G603</f>
        <v>13</v>
      </c>
      <c r="C618" s="9" t="str">
        <f t="shared" si="1704"/>
        <v>13 - Doctor Compensation</v>
      </c>
      <c r="D618" s="9" t="s">
        <v>56</v>
      </c>
      <c r="F618" t="s">
        <v>4</v>
      </c>
      <c r="G618" s="178">
        <f>_xlfn.XLOOKUP($C618,'Site Level Financials - ''23 ''24'!$C$2:$C$1577,'Site Level Financials - ''23 ''24'!S$2:S$1577)</f>
        <v>-144.27753816214846</v>
      </c>
      <c r="H618" s="179">
        <f>_xlfn.XLOOKUP($C618,'Site Level Financials - ''23 ''24'!$C$2:$C$1577,'Site Level Financials - ''23 ''24'!T$2:T$1577)</f>
        <v>-145.9704295316406</v>
      </c>
      <c r="I618" s="179">
        <f>_xlfn.XLOOKUP($C618,'Site Level Financials - ''23 ''24'!$C$2:$C$1577,'Site Level Financials - ''23 ''24'!U$2:U$1577)</f>
        <v>-158.31416287520901</v>
      </c>
      <c r="J618" s="179">
        <f>_xlfn.XLOOKUP($C618,'Site Level Financials - ''23 ''24'!$C$2:$C$1577,'Site Level Financials - ''23 ''24'!V$2:V$1577)</f>
        <v>-160.03415115348798</v>
      </c>
      <c r="K618" s="179">
        <f>_xlfn.XLOOKUP($C618,'Site Level Financials - ''23 ''24'!$C$2:$C$1577,'Site Level Financials - ''23 ''24'!W$2:W$1577)</f>
        <v>-190.33432229268683</v>
      </c>
      <c r="L618" s="179">
        <f>_xlfn.XLOOKUP($C618,'Site Level Financials - ''23 ''24'!$C$2:$C$1577,'Site Level Financials - ''23 ''24'!X$2:X$1577)</f>
        <v>-151.4046026770383</v>
      </c>
      <c r="M618" s="179">
        <f>_xlfn.XLOOKUP($C618,'Site Level Financials - ''23 ''24'!$C$2:$C$1577,'Site Level Financials - ''23 ''24'!Y$2:Y$1577)</f>
        <v>-169.13187870809315</v>
      </c>
      <c r="N618" s="179">
        <f>_xlfn.XLOOKUP($C618,'Site Level Financials - ''23 ''24'!$C$2:$C$1577,'Site Level Financials - ''23 ''24'!Z$2:Z$1577)</f>
        <v>-132.20511897591601</v>
      </c>
      <c r="O618" s="179">
        <f>_xlfn.XLOOKUP($C618,'Site Level Financials - ''23 ''24'!$C$2:$C$1577,'Site Level Financials - ''23 ''24'!AA$2:AA$1577)</f>
        <v>-124.32368640911821</v>
      </c>
      <c r="P618" s="179">
        <f>_xlfn.XLOOKUP($C618,'Site Level Financials - ''23 ''24'!$C$2:$C$1577,'Site Level Financials - ''23 ''24'!AB$2:AB$1577)</f>
        <v>-144.99689871834832</v>
      </c>
      <c r="Q618" s="179">
        <f>_xlfn.XLOOKUP($C618,'Site Level Financials - ''23 ''24'!$C$2:$C$1577,'Site Level Financials - ''23 ''24'!AC$2:AC$1577)</f>
        <v>-113.75092745763108</v>
      </c>
      <c r="R618" s="179">
        <f>_xlfn.XLOOKUP($C618,'Site Level Financials - ''23 ''24'!$C$2:$C$1577,'Site Level Financials - ''23 ''24'!AD$2:AD$1577)</f>
        <v>-91.21961259685763</v>
      </c>
      <c r="S618" s="155">
        <f>S619*S615</f>
        <v>-229.23595540111793</v>
      </c>
      <c r="T618" s="154">
        <f t="shared" ref="T618" si="1724">T619*T615</f>
        <v>-235.76802204005099</v>
      </c>
      <c r="U618" s="154">
        <f t="shared" ref="U618" si="1725">U619*U615</f>
        <v>-251.78597123078953</v>
      </c>
      <c r="V618" s="154">
        <f t="shared" ref="V618" si="1726">V619*V615</f>
        <v>-266.97402239565895</v>
      </c>
      <c r="W618" s="154">
        <f t="shared" ref="W618" si="1727">W619*W615</f>
        <v>-466.32876171181522</v>
      </c>
      <c r="X618" s="154">
        <f t="shared" ref="X618" si="1728">X619*X615</f>
        <v>-264.64490828868583</v>
      </c>
      <c r="Y618" s="154">
        <f t="shared" ref="Y618" si="1729">Y619*Y615</f>
        <v>-271.28976634101537</v>
      </c>
      <c r="Z618" s="154">
        <f t="shared" ref="Z618" si="1730">Z619*Z615</f>
        <v>-172.5750359495176</v>
      </c>
      <c r="AA618" s="154">
        <f t="shared" ref="AA618" si="1731">AA619*AA615</f>
        <v>-154.77705951471452</v>
      </c>
      <c r="AB618" s="154">
        <f t="shared" ref="AB618" si="1732">AB619*AB615</f>
        <v>-179.65839022584618</v>
      </c>
      <c r="AC618" s="154">
        <f t="shared" ref="AC618" si="1733">AC619*AC615</f>
        <v>-115.60993825744021</v>
      </c>
      <c r="AD618" s="156">
        <f t="shared" ref="AD618" si="1734">AD619*AD615</f>
        <v>-94.46038371169567</v>
      </c>
      <c r="AE618" s="15"/>
      <c r="AF618" s="115">
        <f>_xlfn.XLOOKUP($C618,'Site Level Financials - ''23 ''24'!$C$2:$C$1577,'Site Level Financials - ''23 ''24'!$AF$2:$AF$1577)</f>
        <v>-654.10531344526532</v>
      </c>
      <c r="AG618" s="93">
        <f>SUM(G618:R618)</f>
        <v>-1725.9633295581757</v>
      </c>
      <c r="AH618" s="93">
        <f t="shared" ref="AH618" si="1735">SUM(S618:AD618)</f>
        <v>-2703.1082150683478</v>
      </c>
    </row>
    <row r="619" spans="2:34" x14ac:dyDescent="0.2">
      <c r="B619" s="9">
        <f>G603</f>
        <v>13</v>
      </c>
      <c r="C619" s="9" t="str">
        <f t="shared" si="1704"/>
        <v>13 - % of Revenue - Doctor Compensation</v>
      </c>
      <c r="D619" s="9" t="s">
        <v>56</v>
      </c>
      <c r="F619" s="16" t="str">
        <f>"% of Revenue - "&amp;F618</f>
        <v>% of Revenue - Doctor Compensation</v>
      </c>
      <c r="G619" s="148">
        <f>G618/G615</f>
        <v>-0.3290369835148314</v>
      </c>
      <c r="H619" s="149">
        <f t="shared" ref="H619:R619" si="1736">H618/H615</f>
        <v>-0.326817769063936</v>
      </c>
      <c r="I619" s="149">
        <f t="shared" si="1736"/>
        <v>-0.3250373319660016</v>
      </c>
      <c r="J619" s="149">
        <f t="shared" si="1736"/>
        <v>-0.32174792047529549</v>
      </c>
      <c r="K619" s="149">
        <f t="shared" si="1736"/>
        <v>-0.47286317025343272</v>
      </c>
      <c r="L619" s="149">
        <f t="shared" si="1736"/>
        <v>-0.31956371847938547</v>
      </c>
      <c r="M619" s="149">
        <f t="shared" si="1736"/>
        <v>-0.3251691771835068</v>
      </c>
      <c r="N619" s="149">
        <f t="shared" si="1736"/>
        <v>-0.24122618480272381</v>
      </c>
      <c r="O619" s="149">
        <f t="shared" si="1736"/>
        <v>-0.23597224167745642</v>
      </c>
      <c r="P619" s="149">
        <f t="shared" si="1736"/>
        <v>-0.23849186842581774</v>
      </c>
      <c r="Q619" s="149">
        <f t="shared" si="1736"/>
        <v>-0.19414956426358129</v>
      </c>
      <c r="R619" s="149">
        <f t="shared" si="1736"/>
        <v>-0.19435140598161968</v>
      </c>
      <c r="S619" s="245">
        <f>_xlfn.XLOOKUP($F619,'Budget Assumption Driver'!$A$33:$A$39,'Budget Assumption Driver'!E$33:E$39)+G619</f>
        <v>-0.3290369835148314</v>
      </c>
      <c r="T619" s="246">
        <f>_xlfn.XLOOKUP($F619,'Budget Assumption Driver'!$A$33:$A$39,'Budget Assumption Driver'!F$33:F$39)+H619</f>
        <v>-0.326817769063936</v>
      </c>
      <c r="U619" s="246">
        <f>_xlfn.XLOOKUP($F619,'Budget Assumption Driver'!$A$33:$A$39,'Budget Assumption Driver'!G$33:G$39)+I619</f>
        <v>-0.3250373319660016</v>
      </c>
      <c r="V619" s="246">
        <f>_xlfn.XLOOKUP($F619,'Budget Assumption Driver'!$A$33:$A$39,'Budget Assumption Driver'!H$33:H$39)+J619</f>
        <v>-0.32174792047529549</v>
      </c>
      <c r="W619" s="246">
        <f>_xlfn.XLOOKUP($F619,'Budget Assumption Driver'!$A$33:$A$39,'Budget Assumption Driver'!I$33:I$39)+K619</f>
        <v>-0.47286317025343272</v>
      </c>
      <c r="X619" s="246">
        <f>_xlfn.XLOOKUP($F619,'Budget Assumption Driver'!$A$33:$A$39,'Budget Assumption Driver'!J$33:J$39)+L619</f>
        <v>-0.31956371847938547</v>
      </c>
      <c r="Y619" s="246">
        <f>_xlfn.XLOOKUP($F619,'Budget Assumption Driver'!$A$33:$A$39,'Budget Assumption Driver'!K$33:K$39)+M619</f>
        <v>-0.3251691771835068</v>
      </c>
      <c r="Z619" s="246">
        <f>_xlfn.XLOOKUP($F619,'Budget Assumption Driver'!$A$33:$A$39,'Budget Assumption Driver'!L$33:L$39)+N619</f>
        <v>-0.24122618480272381</v>
      </c>
      <c r="AA619" s="246">
        <f>_xlfn.XLOOKUP($F619,'Budget Assumption Driver'!$A$33:$A$39,'Budget Assumption Driver'!M$33:M$39)+O619</f>
        <v>-0.23597224167745642</v>
      </c>
      <c r="AB619" s="246">
        <f>_xlfn.XLOOKUP($F619,'Budget Assumption Driver'!$A$33:$A$39,'Budget Assumption Driver'!N$33:N$39)+P619</f>
        <v>-0.23849186842581774</v>
      </c>
      <c r="AC619" s="246">
        <f>_xlfn.XLOOKUP($F619,'Budget Assumption Driver'!$A$33:$A$39,'Budget Assumption Driver'!O$33:O$39)+Q619</f>
        <v>-0.19414956426358129</v>
      </c>
      <c r="AD619" s="296">
        <f>_xlfn.XLOOKUP($F619,'Budget Assumption Driver'!$A$33:$A$39,'Budget Assumption Driver'!P$33:P$39)+R619</f>
        <v>-0.19435140598161968</v>
      </c>
      <c r="AE619" s="15"/>
      <c r="AF619" s="232">
        <f>_xlfn.XLOOKUP($C619,'Site Level Financials - ''23 ''24'!$C$2:$C$1577,'Site Level Financials - ''23 ''24'!$AF$2:$AF$1577)</f>
        <v>-0.2364182387604119</v>
      </c>
      <c r="AG619" s="97">
        <f t="shared" ref="AG619:AH619" si="1737">AG618/AG615</f>
        <v>-0.28746179421642054</v>
      </c>
      <c r="AH619" s="97">
        <f t="shared" si="1737"/>
        <v>-0.30449846096649996</v>
      </c>
    </row>
    <row r="620" spans="2:34" ht="3" customHeight="1" x14ac:dyDescent="0.2">
      <c r="B620" s="9">
        <f>G603</f>
        <v>13</v>
      </c>
      <c r="C620" s="9" t="str">
        <f t="shared" si="1704"/>
        <v xml:space="preserve">13 - </v>
      </c>
      <c r="D620" s="9" t="s">
        <v>56</v>
      </c>
      <c r="F620" s="16"/>
      <c r="G620" s="84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4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6"/>
      <c r="AE620" s="15"/>
      <c r="AF620" s="36"/>
      <c r="AG620" s="38"/>
      <c r="AH620" s="38"/>
    </row>
    <row r="621" spans="2:34" x14ac:dyDescent="0.2">
      <c r="B621" s="9">
        <f>G603</f>
        <v>13</v>
      </c>
      <c r="C621" s="9" t="str">
        <f t="shared" si="1704"/>
        <v>13 - Administrative Staff Compensation</v>
      </c>
      <c r="D621" s="9" t="s">
        <v>56</v>
      </c>
      <c r="F621" t="s">
        <v>5</v>
      </c>
      <c r="G621" s="178">
        <f>_xlfn.XLOOKUP($C621,'Site Level Financials - ''23 ''24'!$C$2:$C$1577,'Site Level Financials - ''23 ''24'!S$2:S$1577)</f>
        <v>-65.429876155956109</v>
      </c>
      <c r="H621" s="179">
        <f>_xlfn.XLOOKUP($C621,'Site Level Financials - ''23 ''24'!$C$2:$C$1577,'Site Level Financials - ''23 ''24'!T$2:T$1577)</f>
        <v>-69.749811984602744</v>
      </c>
      <c r="I621" s="179">
        <f>_xlfn.XLOOKUP($C621,'Site Level Financials - ''23 ''24'!$C$2:$C$1577,'Site Level Financials - ''23 ''24'!U$2:U$1577)</f>
        <v>-77.330604379756267</v>
      </c>
      <c r="J621" s="179">
        <f>_xlfn.XLOOKUP($C621,'Site Level Financials - ''23 ''24'!$C$2:$C$1577,'Site Level Financials - ''23 ''24'!V$2:V$1577)</f>
        <v>-80.184270472647782</v>
      </c>
      <c r="K621" s="179">
        <f>_xlfn.XLOOKUP($C621,'Site Level Financials - ''23 ''24'!$C$2:$C$1577,'Site Level Financials - ''23 ''24'!W$2:W$1577)</f>
        <v>-92.539093467327504</v>
      </c>
      <c r="L621" s="179">
        <f>_xlfn.XLOOKUP($C621,'Site Level Financials - ''23 ''24'!$C$2:$C$1577,'Site Level Financials - ''23 ''24'!X$2:X$1577)</f>
        <v>-74.200088911406539</v>
      </c>
      <c r="M621" s="179">
        <f>_xlfn.XLOOKUP($C621,'Site Level Financials - ''23 ''24'!$C$2:$C$1577,'Site Level Financials - ''23 ''24'!Y$2:Y$1577)</f>
        <v>-85.339202196177737</v>
      </c>
      <c r="N621" s="179">
        <f>_xlfn.XLOOKUP($C621,'Site Level Financials - ''23 ''24'!$C$2:$C$1577,'Site Level Financials - ''23 ''24'!Z$2:Z$1577)</f>
        <v>-69.971561756656115</v>
      </c>
      <c r="O621" s="179">
        <f>_xlfn.XLOOKUP($C621,'Site Level Financials - ''23 ''24'!$C$2:$C$1577,'Site Level Financials - ''23 ''24'!AA$2:AA$1577)</f>
        <v>-66.716681557196779</v>
      </c>
      <c r="P621" s="179">
        <f>_xlfn.XLOOKUP($C621,'Site Level Financials - ''23 ''24'!$C$2:$C$1577,'Site Level Financials - ''23 ''24'!AB$2:AB$1577)</f>
        <v>-75.246347560793879</v>
      </c>
      <c r="Q621" s="179">
        <f>_xlfn.XLOOKUP($C621,'Site Level Financials - ''23 ''24'!$C$2:$C$1577,'Site Level Financials - ''23 ''24'!AC$2:AC$1577)</f>
        <v>-59.576789845765497</v>
      </c>
      <c r="R621" s="179">
        <f>_xlfn.XLOOKUP($C621,'Site Level Financials - ''23 ''24'!$C$2:$C$1577,'Site Level Financials - ''23 ''24'!AD$2:AD$1577)</f>
        <v>-46.508289965886064</v>
      </c>
      <c r="S621" s="155">
        <f>S622*S615</f>
        <v>-103.9585257930497</v>
      </c>
      <c r="T621" s="154">
        <f t="shared" ref="T621" si="1738">T622*T615</f>
        <v>-112.65826415692403</v>
      </c>
      <c r="U621" s="154">
        <f t="shared" ref="U621" si="1739">U622*U615</f>
        <v>-122.9881204309477</v>
      </c>
      <c r="V621" s="154">
        <f t="shared" ref="V621" si="1740">V622*V615</f>
        <v>-133.76593100064485</v>
      </c>
      <c r="W621" s="154">
        <f t="shared" ref="W621" si="1741">W622*W615</f>
        <v>-226.72548149352278</v>
      </c>
      <c r="X621" s="154">
        <f t="shared" ref="X621" si="1742">X622*X615</f>
        <v>-129.69668938571556</v>
      </c>
      <c r="Y621" s="154">
        <f t="shared" ref="Y621" si="1743">Y622*Y615</f>
        <v>-136.88520697796687</v>
      </c>
      <c r="Z621" s="154">
        <f t="shared" ref="Z621" si="1744">Z622*Z615</f>
        <v>-91.337951806530299</v>
      </c>
      <c r="AA621" s="154">
        <f t="shared" ref="AA621" si="1745">AA622*AA615</f>
        <v>-83.059086247020687</v>
      </c>
      <c r="AB621" s="154">
        <f t="shared" ref="AB621" si="1746">AB622*AB615</f>
        <v>-93.233978054980753</v>
      </c>
      <c r="AC621" s="154">
        <f t="shared" ref="AC621" si="1747">AC622*AC615</f>
        <v>-60.550442529014951</v>
      </c>
      <c r="AD621" s="156">
        <f t="shared" ref="AD621" si="1748">AD622*AD615</f>
        <v>-48.160596070145353</v>
      </c>
      <c r="AE621" s="15"/>
      <c r="AF621" s="115">
        <f>_xlfn.XLOOKUP($C621,'Site Level Financials - ''23 ''24'!$C$2:$C$1577,'Site Level Financials - ''23 ''24'!$AF$2:$AF$1577)</f>
        <v>-318.40413758782654</v>
      </c>
      <c r="AG621" s="93">
        <f>SUM(G621:R621)</f>
        <v>-862.79261825417314</v>
      </c>
      <c r="AH621" s="93">
        <f t="shared" ref="AH621" si="1749">SUM(S621:AD621)</f>
        <v>-1343.0202739464635</v>
      </c>
    </row>
    <row r="622" spans="2:34" x14ac:dyDescent="0.2">
      <c r="B622" s="9">
        <f>G603</f>
        <v>13</v>
      </c>
      <c r="C622" s="9" t="str">
        <f t="shared" si="1704"/>
        <v>13 - % of Revenue - Administrative Staff Compensation</v>
      </c>
      <c r="D622" s="9" t="s">
        <v>56</v>
      </c>
      <c r="F622" s="16" t="str">
        <f>"% of Revenue - "&amp;F621</f>
        <v>% of Revenue - Administrative Staff Compensation</v>
      </c>
      <c r="G622" s="148">
        <f>G621/G615</f>
        <v>-0.14921830075801037</v>
      </c>
      <c r="H622" s="149">
        <f t="shared" ref="H622:R622" si="1750">H621/H615</f>
        <v>-0.15616503985484059</v>
      </c>
      <c r="I622" s="149">
        <f t="shared" si="1750"/>
        <v>-0.15876869681411432</v>
      </c>
      <c r="J622" s="149">
        <f t="shared" si="1750"/>
        <v>-0.1612101048023134</v>
      </c>
      <c r="K622" s="149">
        <f t="shared" si="1750"/>
        <v>-0.22990246100779338</v>
      </c>
      <c r="L622" s="149">
        <f t="shared" si="1750"/>
        <v>-0.15661119876658908</v>
      </c>
      <c r="M622" s="149">
        <f t="shared" si="1750"/>
        <v>-0.16407124648287949</v>
      </c>
      <c r="N622" s="149">
        <f t="shared" si="1750"/>
        <v>-0.12767261221043338</v>
      </c>
      <c r="O622" s="149">
        <f t="shared" si="1750"/>
        <v>-0.12663141963572025</v>
      </c>
      <c r="P622" s="149">
        <f t="shared" si="1750"/>
        <v>-0.12376569554670973</v>
      </c>
      <c r="Q622" s="149">
        <f t="shared" si="1750"/>
        <v>-0.10168539322975301</v>
      </c>
      <c r="R622" s="149">
        <f t="shared" si="1750"/>
        <v>-9.9090001451970527E-2</v>
      </c>
      <c r="S622" s="245">
        <f>_xlfn.XLOOKUP($F622,'Budget Assumption Driver'!$A$33:$A$39,'Budget Assumption Driver'!E$33:E$39)+G622</f>
        <v>-0.14921830075801037</v>
      </c>
      <c r="T622" s="246">
        <f>_xlfn.XLOOKUP($F622,'Budget Assumption Driver'!$A$33:$A$39,'Budget Assumption Driver'!F$33:F$39)+H622</f>
        <v>-0.15616503985484059</v>
      </c>
      <c r="U622" s="246">
        <f>_xlfn.XLOOKUP($F622,'Budget Assumption Driver'!$A$33:$A$39,'Budget Assumption Driver'!G$33:G$39)+I622</f>
        <v>-0.15876869681411432</v>
      </c>
      <c r="V622" s="246">
        <f>_xlfn.XLOOKUP($F622,'Budget Assumption Driver'!$A$33:$A$39,'Budget Assumption Driver'!H$33:H$39)+J622</f>
        <v>-0.1612101048023134</v>
      </c>
      <c r="W622" s="246">
        <f>_xlfn.XLOOKUP($F622,'Budget Assumption Driver'!$A$33:$A$39,'Budget Assumption Driver'!I$33:I$39)+K622</f>
        <v>-0.22990246100779338</v>
      </c>
      <c r="X622" s="246">
        <f>_xlfn.XLOOKUP($F622,'Budget Assumption Driver'!$A$33:$A$39,'Budget Assumption Driver'!J$33:J$39)+L622</f>
        <v>-0.15661119876658908</v>
      </c>
      <c r="Y622" s="246">
        <f>_xlfn.XLOOKUP($F622,'Budget Assumption Driver'!$A$33:$A$39,'Budget Assumption Driver'!K$33:K$39)+M622</f>
        <v>-0.16407124648287949</v>
      </c>
      <c r="Z622" s="246">
        <f>_xlfn.XLOOKUP($F622,'Budget Assumption Driver'!$A$33:$A$39,'Budget Assumption Driver'!L$33:L$39)+N622</f>
        <v>-0.12767261221043338</v>
      </c>
      <c r="AA622" s="246">
        <f>_xlfn.XLOOKUP($F622,'Budget Assumption Driver'!$A$33:$A$39,'Budget Assumption Driver'!M$33:M$39)+O622</f>
        <v>-0.12663141963572025</v>
      </c>
      <c r="AB622" s="246">
        <f>_xlfn.XLOOKUP($F622,'Budget Assumption Driver'!$A$33:$A$39,'Budget Assumption Driver'!N$33:N$39)+P622</f>
        <v>-0.12376569554670973</v>
      </c>
      <c r="AC622" s="246">
        <f>_xlfn.XLOOKUP($F622,'Budget Assumption Driver'!$A$33:$A$39,'Budget Assumption Driver'!O$33:O$39)+Q622</f>
        <v>-0.10168539322975301</v>
      </c>
      <c r="AD622" s="296">
        <f>_xlfn.XLOOKUP($F622,'Budget Assumption Driver'!$A$33:$A$39,'Budget Assumption Driver'!P$33:P$39)+R622</f>
        <v>-9.9090001451970527E-2</v>
      </c>
      <c r="AE622" s="15"/>
      <c r="AF622" s="232">
        <f>_xlfn.XLOOKUP($C622,'Site Level Financials - ''23 ''24'!$C$2:$C$1577,'Site Level Financials - ''23 ''24'!$AF$2:$AF$1577)</f>
        <v>-0.11508321959051149</v>
      </c>
      <c r="AG622" s="97">
        <f t="shared" ref="AG622:AH622" si="1751">AG621/AG615</f>
        <v>-0.14369941112452123</v>
      </c>
      <c r="AH622" s="97">
        <f t="shared" si="1751"/>
        <v>-0.15128791521695148</v>
      </c>
    </row>
    <row r="623" spans="2:34" ht="3" customHeight="1" x14ac:dyDescent="0.2">
      <c r="B623" s="9">
        <f>G603</f>
        <v>13</v>
      </c>
      <c r="C623" s="9" t="str">
        <f t="shared" si="1704"/>
        <v xml:space="preserve">13 - </v>
      </c>
      <c r="D623" s="9" t="s">
        <v>56</v>
      </c>
      <c r="F623" s="16"/>
      <c r="G623" s="84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4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6"/>
      <c r="AE623" s="15"/>
      <c r="AF623" s="36"/>
      <c r="AG623" s="38"/>
      <c r="AH623" s="38"/>
    </row>
    <row r="624" spans="2:34" x14ac:dyDescent="0.2">
      <c r="B624" s="9">
        <f>G603</f>
        <v>13</v>
      </c>
      <c r="C624" s="9" t="str">
        <f t="shared" si="1704"/>
        <v>13 - Office Supplies</v>
      </c>
      <c r="D624" s="9" t="s">
        <v>56</v>
      </c>
      <c r="F624" t="s">
        <v>6</v>
      </c>
      <c r="G624" s="178">
        <f>_xlfn.XLOOKUP($C624,'Site Level Financials - ''23 ''24'!$C$2:$C$1577,'Site Level Financials - ''23 ''24'!S$2:S$1577)</f>
        <v>-7.7222230897439283</v>
      </c>
      <c r="H624" s="179">
        <f>_xlfn.XLOOKUP($C624,'Site Level Financials - ''23 ''24'!$C$2:$C$1577,'Site Level Financials - ''23 ''24'!T$2:T$1577)</f>
        <v>-7.4947489355832726</v>
      </c>
      <c r="I624" s="179">
        <f>_xlfn.XLOOKUP($C624,'Site Level Financials - ''23 ''24'!$C$2:$C$1577,'Site Level Financials - ''23 ''24'!U$2:U$1577)</f>
        <v>-8.8671256027521945</v>
      </c>
      <c r="J624" s="179">
        <f>_xlfn.XLOOKUP($C624,'Site Level Financials - ''23 ''24'!$C$2:$C$1577,'Site Level Financials - ''23 ''24'!V$2:V$1577)</f>
        <v>-9.2757486660991884</v>
      </c>
      <c r="K624" s="179">
        <f>_xlfn.XLOOKUP($C624,'Site Level Financials - ''23 ''24'!$C$2:$C$1577,'Site Level Financials - ''23 ''24'!W$2:W$1577)</f>
        <v>-11.89554006447328</v>
      </c>
      <c r="L624" s="179">
        <f>_xlfn.XLOOKUP($C624,'Site Level Financials - ''23 ''24'!$C$2:$C$1577,'Site Level Financials - ''23 ''24'!X$2:X$1577)</f>
        <v>-8.8585948999451904</v>
      </c>
      <c r="M624" s="179">
        <f>_xlfn.XLOOKUP($C624,'Site Level Financials - ''23 ''24'!$C$2:$C$1577,'Site Level Financials - ''23 ''24'!Y$2:Y$1577)</f>
        <v>-10.540715290260801</v>
      </c>
      <c r="N624" s="179">
        <f>_xlfn.XLOOKUP($C624,'Site Level Financials - ''23 ''24'!$C$2:$C$1577,'Site Level Financials - ''23 ''24'!Z$2:Z$1577)</f>
        <v>-8.4825442379198215</v>
      </c>
      <c r="O624" s="179">
        <f>_xlfn.XLOOKUP($C624,'Site Level Financials - ''23 ''24'!$C$2:$C$1577,'Site Level Financials - ''23 ''24'!AA$2:AA$1577)</f>
        <v>-7.7118666071952715</v>
      </c>
      <c r="P624" s="179">
        <f>_xlfn.XLOOKUP($C624,'Site Level Financials - ''23 ''24'!$C$2:$C$1577,'Site Level Financials - ''23 ''24'!AB$2:AB$1577)</f>
        <v>-8.8895896685138371</v>
      </c>
      <c r="Q624" s="179">
        <f>_xlfn.XLOOKUP($C624,'Site Level Financials - ''23 ''24'!$C$2:$C$1577,'Site Level Financials - ''23 ''24'!AC$2:AC$1577)</f>
        <v>-6.8732280861263941</v>
      </c>
      <c r="R624" s="179">
        <f>_xlfn.XLOOKUP($C624,'Site Level Financials - ''23 ''24'!$C$2:$C$1577,'Site Level Financials - ''23 ''24'!AD$2:AD$1577)</f>
        <v>-5.5954988672115524</v>
      </c>
      <c r="S624" s="155">
        <f>S625*S615</f>
        <v>-12.269485675646504</v>
      </c>
      <c r="T624" s="154">
        <f t="shared" ref="T624" si="1752">T625*T615</f>
        <v>-12.105343102016599</v>
      </c>
      <c r="U624" s="154">
        <f t="shared" ref="U624" si="1753">U625*U615</f>
        <v>-14.102451678149732</v>
      </c>
      <c r="V624" s="154">
        <f t="shared" ref="V624" si="1754">V625*V615</f>
        <v>-15.474096711673624</v>
      </c>
      <c r="W624" s="154">
        <f t="shared" ref="W624" si="1755">W625*W615</f>
        <v>-29.144677645836509</v>
      </c>
      <c r="X624" s="154">
        <f t="shared" ref="X624" si="1756">X625*X615</f>
        <v>-15.484219062107542</v>
      </c>
      <c r="Y624" s="154">
        <f t="shared" ref="Y624" si="1757">Y625*Y615</f>
        <v>-16.907446484984771</v>
      </c>
      <c r="Z624" s="154">
        <f t="shared" ref="Z624" si="1758">Z625*Z615</f>
        <v>-11.072758665790111</v>
      </c>
      <c r="AA624" s="154">
        <f t="shared" ref="AA624" si="1759">AA625*AA615</f>
        <v>-9.6009060807889544</v>
      </c>
      <c r="AB624" s="154">
        <f t="shared" ref="AB624" si="1760">AB625*AB615</f>
        <v>-11.014645028483008</v>
      </c>
      <c r="AC624" s="154">
        <f t="shared" ref="AC624" si="1761">AC625*AC615</f>
        <v>-6.9855560075529652</v>
      </c>
      <c r="AD624" s="156">
        <f t="shared" ref="AD624" si="1762">AD625*AD615</f>
        <v>-5.7942908877621075</v>
      </c>
      <c r="AE624" s="15"/>
      <c r="AF624" s="115">
        <f>_xlfn.XLOOKUP($C624,'Site Level Financials - ''23 ''24'!$C$2:$C$1577,'Site Level Financials - ''23 ''24'!$AF$2:$AF$1577)</f>
        <v>-98.13474048135744</v>
      </c>
      <c r="AG624" s="93">
        <f>SUM(G624:R624)</f>
        <v>-102.20742401582473</v>
      </c>
      <c r="AH624" s="93">
        <f t="shared" ref="AH624" si="1763">SUM(S624:AD624)</f>
        <v>-159.95587703079244</v>
      </c>
    </row>
    <row r="625" spans="2:34" x14ac:dyDescent="0.2">
      <c r="B625" s="9">
        <f>G603</f>
        <v>13</v>
      </c>
      <c r="C625" s="9" t="str">
        <f t="shared" si="1704"/>
        <v>13 - % of Revenue - Office Supplies</v>
      </c>
      <c r="D625" s="9" t="s">
        <v>56</v>
      </c>
      <c r="F625" s="16" t="str">
        <f>"% of Revenue - "&amp;F624</f>
        <v>% of Revenue - Office Supplies</v>
      </c>
      <c r="G625" s="148">
        <f>G624/G615</f>
        <v>-1.7611175127082487E-2</v>
      </c>
      <c r="H625" s="149">
        <f t="shared" ref="H625:R625" si="1764">H624/H615</f>
        <v>-1.6780228260482699E-2</v>
      </c>
      <c r="I625" s="149">
        <f t="shared" si="1764"/>
        <v>-1.8205236952791436E-2</v>
      </c>
      <c r="J625" s="149">
        <f t="shared" si="1764"/>
        <v>-1.86488497777361E-2</v>
      </c>
      <c r="K625" s="149">
        <f t="shared" si="1764"/>
        <v>-2.9553065989400301E-2</v>
      </c>
      <c r="L625" s="149">
        <f t="shared" si="1764"/>
        <v>-1.8697486580164124E-2</v>
      </c>
      <c r="M625" s="149">
        <f t="shared" si="1764"/>
        <v>-2.0265344085577775E-2</v>
      </c>
      <c r="N625" s="149">
        <f t="shared" si="1764"/>
        <v>-1.5477553363924496E-2</v>
      </c>
      <c r="O625" s="149">
        <f t="shared" si="1764"/>
        <v>-1.4637487862360561E-2</v>
      </c>
      <c r="P625" s="149">
        <f t="shared" si="1764"/>
        <v>-1.4621656520398584E-2</v>
      </c>
      <c r="Q625" s="149">
        <f t="shared" si="1764"/>
        <v>-1.1731194354460857E-2</v>
      </c>
      <c r="R625" s="149">
        <f t="shared" si="1764"/>
        <v>-1.1921702373559389E-2</v>
      </c>
      <c r="S625" s="245">
        <f>_xlfn.XLOOKUP($F625,'Budget Assumption Driver'!$A$33:$A$39,'Budget Assumption Driver'!E$33:E$39)+G625</f>
        <v>-1.7611175127082487E-2</v>
      </c>
      <c r="T625" s="246">
        <f>_xlfn.XLOOKUP($F625,'Budget Assumption Driver'!$A$33:$A$39,'Budget Assumption Driver'!F$33:F$39)+H625</f>
        <v>-1.6780228260482699E-2</v>
      </c>
      <c r="U625" s="246">
        <f>_xlfn.XLOOKUP($F625,'Budget Assumption Driver'!$A$33:$A$39,'Budget Assumption Driver'!G$33:G$39)+I625</f>
        <v>-1.8205236952791436E-2</v>
      </c>
      <c r="V625" s="246">
        <f>_xlfn.XLOOKUP($F625,'Budget Assumption Driver'!$A$33:$A$39,'Budget Assumption Driver'!H$33:H$39)+J625</f>
        <v>-1.86488497777361E-2</v>
      </c>
      <c r="W625" s="246">
        <f>_xlfn.XLOOKUP($F625,'Budget Assumption Driver'!$A$33:$A$39,'Budget Assumption Driver'!I$33:I$39)+K625</f>
        <v>-2.9553065989400301E-2</v>
      </c>
      <c r="X625" s="246">
        <f>_xlfn.XLOOKUP($F625,'Budget Assumption Driver'!$A$33:$A$39,'Budget Assumption Driver'!J$33:J$39)+L625</f>
        <v>-1.8697486580164124E-2</v>
      </c>
      <c r="Y625" s="246">
        <f>_xlfn.XLOOKUP($F625,'Budget Assumption Driver'!$A$33:$A$39,'Budget Assumption Driver'!K$33:K$39)+M625</f>
        <v>-2.0265344085577775E-2</v>
      </c>
      <c r="Z625" s="246">
        <f>_xlfn.XLOOKUP($F625,'Budget Assumption Driver'!$A$33:$A$39,'Budget Assumption Driver'!L$33:L$39)+N625</f>
        <v>-1.5477553363924496E-2</v>
      </c>
      <c r="AA625" s="246">
        <f>_xlfn.XLOOKUP($F625,'Budget Assumption Driver'!$A$33:$A$39,'Budget Assumption Driver'!M$33:M$39)+O625</f>
        <v>-1.4637487862360561E-2</v>
      </c>
      <c r="AB625" s="246">
        <f>_xlfn.XLOOKUP($F625,'Budget Assumption Driver'!$A$33:$A$39,'Budget Assumption Driver'!N$33:N$39)+P625</f>
        <v>-1.4621656520398584E-2</v>
      </c>
      <c r="AC625" s="246">
        <f>_xlfn.XLOOKUP($F625,'Budget Assumption Driver'!$A$33:$A$39,'Budget Assumption Driver'!O$33:O$39)+Q625</f>
        <v>-1.1731194354460857E-2</v>
      </c>
      <c r="AD625" s="296">
        <f>_xlfn.XLOOKUP($F625,'Budget Assumption Driver'!$A$33:$A$39,'Budget Assumption Driver'!P$33:P$39)+R625</f>
        <v>-1.1921702373559389E-2</v>
      </c>
      <c r="AE625" s="15"/>
      <c r="AF625" s="232">
        <f>_xlfn.XLOOKUP($C625,'Site Level Financials - ''23 ''24'!$C$2:$C$1577,'Site Level Financials - ''23 ''24'!$AF$2:$AF$1577)</f>
        <v>-3.5469582693970943E-2</v>
      </c>
      <c r="AG625" s="97">
        <f t="shared" ref="AG625:AH625" si="1765">AG624/AG615</f>
        <v>-1.7022800535019787E-2</v>
      </c>
      <c r="AH625" s="97">
        <f t="shared" si="1765"/>
        <v>-1.8018634291780095E-2</v>
      </c>
    </row>
    <row r="626" spans="2:34" ht="6" customHeight="1" x14ac:dyDescent="0.2">
      <c r="B626" s="9">
        <f>G603</f>
        <v>13</v>
      </c>
      <c r="C626" s="9" t="str">
        <f t="shared" si="1704"/>
        <v xml:space="preserve">13 - </v>
      </c>
      <c r="D626" s="9" t="s">
        <v>56</v>
      </c>
      <c r="F626" s="16"/>
      <c r="G626" s="80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80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81"/>
      <c r="AE626" s="15"/>
      <c r="AF626" s="11"/>
      <c r="AG626" s="15"/>
      <c r="AH626" s="15"/>
    </row>
    <row r="627" spans="2:34" x14ac:dyDescent="0.2">
      <c r="B627" s="9">
        <f>G603</f>
        <v>13</v>
      </c>
      <c r="C627" s="9" t="str">
        <f t="shared" si="1704"/>
        <v>13 - Office Gross Profit</v>
      </c>
      <c r="D627" s="9" t="s">
        <v>56</v>
      </c>
      <c r="F627" s="8" t="s">
        <v>11</v>
      </c>
      <c r="G627" s="241">
        <f>_xlfn.XLOOKUP($C627,'Site Level Financials - ''23 ''24'!$C$2:$C$1577,'Site Level Financials - ''23 ''24'!S$2:S$1577)</f>
        <v>221.05462238857388</v>
      </c>
      <c r="H627" s="242">
        <f>_xlfn.XLOOKUP($C627,'Site Level Financials - ''23 ''24'!$C$2:$C$1577,'Site Level Financials - ''23 ''24'!T$2:T$1577)</f>
        <v>223.42666538508146</v>
      </c>
      <c r="I627" s="242">
        <f>_xlfn.XLOOKUP($C627,'Site Level Financials - ''23 ''24'!$C$2:$C$1577,'Site Level Financials - ''23 ''24'!U$2:U$1577)</f>
        <v>242.55266036649016</v>
      </c>
      <c r="J627" s="242">
        <f>_xlfn.XLOOKUP($C627,'Site Level Financials - ''23 ''24'!$C$2:$C$1577,'Site Level Financials - ''23 ''24'!V$2:V$1577)</f>
        <v>247.89568359425121</v>
      </c>
      <c r="K627" s="242">
        <f>_xlfn.XLOOKUP($C627,'Site Level Financials - ''23 ''24'!$C$2:$C$1577,'Site Level Financials - ''23 ''24'!W$2:W$1577)</f>
        <v>107.74562823727481</v>
      </c>
      <c r="L627" s="242">
        <f>_xlfn.XLOOKUP($C627,'Site Level Financials - ''23 ''24'!$C$2:$C$1577,'Site Level Financials - ''23 ''24'!X$2:X$1577)</f>
        <v>239.32204620670808</v>
      </c>
      <c r="M627" s="242">
        <f>_xlfn.XLOOKUP($C627,'Site Level Financials - ''23 ''24'!$C$2:$C$1577,'Site Level Financials - ''23 ''24'!Y$2:Y$1577)</f>
        <v>255.12323066456341</v>
      </c>
      <c r="N627" s="242">
        <f>_xlfn.XLOOKUP($C627,'Site Level Financials - ''23 ''24'!$C$2:$C$1577,'Site Level Financials - ''23 ''24'!Z$2:Z$1577)</f>
        <v>337.39536986561234</v>
      </c>
      <c r="O627" s="242">
        <f>_xlfn.XLOOKUP($C627,'Site Level Financials - ''23 ''24'!$C$2:$C$1577,'Site Level Financials - ''23 ''24'!AA$2:AA$1577)</f>
        <v>328.10501577652303</v>
      </c>
      <c r="P627" s="242">
        <f>_xlfn.XLOOKUP($C627,'Site Level Financials - ''23 ''24'!$C$2:$C$1577,'Site Level Financials - ''23 ''24'!AB$2:AB$1577)</f>
        <v>378.84134646539849</v>
      </c>
      <c r="Q627" s="242">
        <f>_xlfn.XLOOKUP($C627,'Site Level Financials - ''23 ''24'!$C$2:$C$1577,'Site Level Financials - ''23 ''24'!AC$2:AC$1577)</f>
        <v>405.6923471815619</v>
      </c>
      <c r="R627" s="242">
        <f>_xlfn.XLOOKUP($C627,'Site Level Financials - ''23 ''24'!$C$2:$C$1577,'Site Level Financials - ''23 ''24'!AD$2:AD$1577)</f>
        <v>326.03061294483399</v>
      </c>
      <c r="S627" s="134">
        <f t="shared" ref="S627:AD627" si="1766">S615+S618+S621+S624</f>
        <v>351.22353905240413</v>
      </c>
      <c r="T627" s="135">
        <f t="shared" si="1766"/>
        <v>360.87352169794582</v>
      </c>
      <c r="U627" s="135">
        <f t="shared" si="1766"/>
        <v>385.76054129236678</v>
      </c>
      <c r="V627" s="135">
        <f t="shared" si="1766"/>
        <v>413.54740414253354</v>
      </c>
      <c r="W627" s="135">
        <f t="shared" si="1766"/>
        <v>263.98226442042244</v>
      </c>
      <c r="X627" s="135">
        <f t="shared" si="1766"/>
        <v>418.31859699097629</v>
      </c>
      <c r="Y627" s="135">
        <f t="shared" si="1766"/>
        <v>409.2210301442272</v>
      </c>
      <c r="Z627" s="135">
        <f t="shared" si="1766"/>
        <v>440.42181221716493</v>
      </c>
      <c r="AA627" s="135">
        <f t="shared" si="1766"/>
        <v>408.47509449490303</v>
      </c>
      <c r="AB627" s="135">
        <f t="shared" si="1766"/>
        <v>469.4033255785269</v>
      </c>
      <c r="AC627" s="135">
        <f t="shared" si="1766"/>
        <v>412.32250371449521</v>
      </c>
      <c r="AD627" s="136">
        <f t="shared" si="1766"/>
        <v>337.61354519926192</v>
      </c>
      <c r="AE627" s="15"/>
      <c r="AF627" s="114">
        <f>_xlfn.XLOOKUP($C627,'Site Level Financials - ''23 ''24'!$C$2:$C$1577,'Site Level Financials - ''23 ''24'!$AF$2:$AF$1577)</f>
        <v>1696.0852997247641</v>
      </c>
      <c r="AG627" s="95">
        <f>SUM(G627:R627)</f>
        <v>3313.1852290768725</v>
      </c>
      <c r="AH627" s="95">
        <f t="shared" ref="AH627" si="1767">SUM(S627:AD627)</f>
        <v>4671.1631789452285</v>
      </c>
    </row>
    <row r="628" spans="2:34" x14ac:dyDescent="0.2">
      <c r="B628" s="9">
        <f>G603</f>
        <v>13</v>
      </c>
      <c r="C628" s="9" t="str">
        <f t="shared" si="1704"/>
        <v>13 - % of Revenue - Office Gross Profit</v>
      </c>
      <c r="D628" s="9" t="s">
        <v>56</v>
      </c>
      <c r="F628" s="16" t="str">
        <f>"% of Revenue - "&amp;F627</f>
        <v>% of Revenue - Office Gross Profit</v>
      </c>
      <c r="G628" s="148">
        <f>G627/G615</f>
        <v>0.50413354060007576</v>
      </c>
      <c r="H628" s="149">
        <f t="shared" ref="H628:AD628" si="1768">H627/H615</f>
        <v>0.5002369628207407</v>
      </c>
      <c r="I628" s="149">
        <f t="shared" si="1768"/>
        <v>0.49798873426709273</v>
      </c>
      <c r="J628" s="149">
        <f t="shared" si="1768"/>
        <v>0.49839312494465504</v>
      </c>
      <c r="K628" s="149">
        <f t="shared" si="1768"/>
        <v>0.26768130274937357</v>
      </c>
      <c r="L628" s="149">
        <f t="shared" si="1768"/>
        <v>0.50512759617386138</v>
      </c>
      <c r="M628" s="149">
        <f t="shared" si="1768"/>
        <v>0.49049423224803596</v>
      </c>
      <c r="N628" s="149">
        <f t="shared" si="1768"/>
        <v>0.61562364962291838</v>
      </c>
      <c r="O628" s="149">
        <f t="shared" si="1768"/>
        <v>0.62275885082446281</v>
      </c>
      <c r="P628" s="149">
        <f t="shared" si="1768"/>
        <v>0.6231207795070739</v>
      </c>
      <c r="Q628" s="149">
        <f t="shared" si="1768"/>
        <v>0.69243384815220477</v>
      </c>
      <c r="R628" s="149">
        <f t="shared" si="1768"/>
        <v>0.69463689019285035</v>
      </c>
      <c r="S628" s="148">
        <f t="shared" si="1768"/>
        <v>0.50413354060007576</v>
      </c>
      <c r="T628" s="149">
        <f t="shared" si="1768"/>
        <v>0.5002369628207407</v>
      </c>
      <c r="U628" s="149">
        <f t="shared" si="1768"/>
        <v>0.49798873426709267</v>
      </c>
      <c r="V628" s="149">
        <f t="shared" si="1768"/>
        <v>0.49839312494465499</v>
      </c>
      <c r="W628" s="149">
        <f t="shared" si="1768"/>
        <v>0.26768130274937357</v>
      </c>
      <c r="X628" s="149">
        <f t="shared" si="1768"/>
        <v>0.50512759617386127</v>
      </c>
      <c r="Y628" s="149">
        <f t="shared" si="1768"/>
        <v>0.49049423224803596</v>
      </c>
      <c r="Z628" s="149">
        <f t="shared" si="1768"/>
        <v>0.61562364962291838</v>
      </c>
      <c r="AA628" s="149">
        <f t="shared" si="1768"/>
        <v>0.62275885082446281</v>
      </c>
      <c r="AB628" s="149">
        <f t="shared" si="1768"/>
        <v>0.6231207795070739</v>
      </c>
      <c r="AC628" s="149">
        <f t="shared" si="1768"/>
        <v>0.69243384815220477</v>
      </c>
      <c r="AD628" s="150">
        <f t="shared" si="1768"/>
        <v>0.69463689019285046</v>
      </c>
      <c r="AE628" s="15"/>
      <c r="AF628" s="233">
        <f>_xlfn.XLOOKUP($C628,'Site Level Financials - ''23 ''24'!$C$2:$C$1577,'Site Level Financials - ''23 ''24'!$AF$2:$AF$1577)</f>
        <v>0.61302895895510567</v>
      </c>
      <c r="AG628" s="97">
        <f t="shared" ref="AG628:AH628" si="1769">AG627/AG615</f>
        <v>0.55181599412403848</v>
      </c>
      <c r="AH628" s="97">
        <f t="shared" si="1769"/>
        <v>0.52619498952476862</v>
      </c>
    </row>
    <row r="629" spans="2:34" ht="6" customHeight="1" x14ac:dyDescent="0.2">
      <c r="B629" s="9">
        <f>G603</f>
        <v>13</v>
      </c>
      <c r="C629" s="9" t="str">
        <f t="shared" si="1704"/>
        <v xml:space="preserve">13 - </v>
      </c>
      <c r="D629" s="9" t="s">
        <v>56</v>
      </c>
      <c r="F629" s="16"/>
      <c r="G629" s="80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80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81"/>
      <c r="AE629" s="15"/>
      <c r="AF629" s="11"/>
      <c r="AG629" s="15"/>
      <c r="AH629" s="15"/>
    </row>
    <row r="630" spans="2:34" x14ac:dyDescent="0.2">
      <c r="B630" s="9">
        <f>G603</f>
        <v>13</v>
      </c>
      <c r="C630" s="9" t="str">
        <f t="shared" si="1704"/>
        <v>13 - General and Administrative Expense</v>
      </c>
      <c r="D630" s="9" t="s">
        <v>56</v>
      </c>
      <c r="F630" t="s">
        <v>10</v>
      </c>
      <c r="G630" s="178">
        <f>_xlfn.XLOOKUP($C630,'Site Level Financials - ''23 ''24'!$C$2:$C$1577,'Site Level Financials - ''23 ''24'!S$2:S$1577)</f>
        <v>-11.718629808180419</v>
      </c>
      <c r="H630" s="179">
        <f>_xlfn.XLOOKUP($C630,'Site Level Financials - ''23 ''24'!$C$2:$C$1577,'Site Level Financials - ''23 ''24'!T$2:T$1577)</f>
        <v>-11.984055693154362</v>
      </c>
      <c r="I630" s="179">
        <f>_xlfn.XLOOKUP($C630,'Site Level Financials - ''23 ''24'!$C$2:$C$1577,'Site Level Financials - ''23 ''24'!U$2:U$1577)</f>
        <v>-12.491090577757401</v>
      </c>
      <c r="J630" s="179">
        <f>_xlfn.XLOOKUP($C630,'Site Level Financials - ''23 ''24'!$C$2:$C$1577,'Site Level Financials - ''23 ''24'!V$2:V$1577)</f>
        <v>-12.216418012203722</v>
      </c>
      <c r="K630" s="179">
        <f>_xlfn.XLOOKUP($C630,'Site Level Financials - ''23 ''24'!$C$2:$C$1577,'Site Level Financials - ''23 ''24'!W$2:W$1577)</f>
        <v>-15.203775030975791</v>
      </c>
      <c r="L630" s="179">
        <f>_xlfn.XLOOKUP($C630,'Site Level Financials - ''23 ''24'!$C$2:$C$1577,'Site Level Financials - ''23 ''24'!X$2:X$1577)</f>
        <v>-11.348393371971378</v>
      </c>
      <c r="M630" s="179">
        <f>_xlfn.XLOOKUP($C630,'Site Level Financials - ''23 ''24'!$C$2:$C$1577,'Site Level Financials - ''23 ''24'!Y$2:Y$1577)</f>
        <v>-12.945056908971385</v>
      </c>
      <c r="N630" s="179">
        <f>_xlfn.XLOOKUP($C630,'Site Level Financials - ''23 ''24'!$C$2:$C$1577,'Site Level Financials - ''23 ''24'!Z$2:Z$1577)</f>
        <v>-10.241166061885687</v>
      </c>
      <c r="O630" s="179">
        <f>_xlfn.XLOOKUP($C630,'Site Level Financials - ''23 ''24'!$C$2:$C$1577,'Site Level Financials - ''23 ''24'!AA$2:AA$1577)</f>
        <v>-9.5780338167595982</v>
      </c>
      <c r="P630" s="179">
        <f>_xlfn.XLOOKUP($C630,'Site Level Financials - ''23 ''24'!$C$2:$C$1577,'Site Level Financials - ''23 ''24'!AB$2:AB$1577)</f>
        <v>-11.49938318204816</v>
      </c>
      <c r="Q630" s="179">
        <f>_xlfn.XLOOKUP($C630,'Site Level Financials - ''23 ''24'!$C$2:$C$1577,'Site Level Financials - ''23 ''24'!AC$2:AC$1577)</f>
        <v>-8.4513130622451325</v>
      </c>
      <c r="R630" s="179">
        <f>_xlfn.XLOOKUP($C630,'Site Level Financials - ''23 ''24'!$C$2:$C$1577,'Site Level Financials - ''23 ''24'!AD$2:AD$1577)</f>
        <v>-6.6072792095688797</v>
      </c>
      <c r="S630" s="155">
        <f>S631*S615</f>
        <v>-18.619192802216961</v>
      </c>
      <c r="T630" s="154">
        <f t="shared" ref="T630" si="1770">T631*T615</f>
        <v>-19.356366326101472</v>
      </c>
      <c r="U630" s="154">
        <f t="shared" ref="U630" si="1771">U631*U615</f>
        <v>-19.866077145173158</v>
      </c>
      <c r="V630" s="154">
        <f t="shared" ref="V630" si="1772">V631*V615</f>
        <v>-20.379814136401116</v>
      </c>
      <c r="W630" s="154">
        <f t="shared" ref="W630" si="1773">W631*W615</f>
        <v>-37.250021426179586</v>
      </c>
      <c r="X630" s="154">
        <f t="shared" ref="X630" si="1774">X631*X615</f>
        <v>-19.836216799535702</v>
      </c>
      <c r="Y630" s="154">
        <f t="shared" ref="Y630" si="1775">Y631*Y615</f>
        <v>-20.764042183716054</v>
      </c>
      <c r="Z630" s="154">
        <f t="shared" ref="Z630" si="1776">Z631*Z615</f>
        <v>-13.368390081906481</v>
      </c>
      <c r="AA630" s="154">
        <f t="shared" ref="AA630" si="1777">AA631*AA615</f>
        <v>-11.924195243150555</v>
      </c>
      <c r="AB630" s="154">
        <f t="shared" ref="AB630" si="1778">AB631*AB615</f>
        <v>-14.248309373085291</v>
      </c>
      <c r="AC630" s="154">
        <f t="shared" ref="AC630" si="1779">AC631*AC615</f>
        <v>-8.5894313405434222</v>
      </c>
      <c r="AD630" s="156">
        <f t="shared" ref="AD630" si="1780">AD631*AD615</f>
        <v>-6.842016882756262</v>
      </c>
      <c r="AE630" s="15"/>
      <c r="AF630" s="115">
        <f>_xlfn.XLOOKUP($C630,'Site Level Financials - ''23 ''24'!$C$2:$C$1577,'Site Level Financials - ''23 ''24'!$AF$2:$AF$1577)</f>
        <v>-129.87635707919185</v>
      </c>
      <c r="AG630" s="93">
        <f>SUM(G630:R630)</f>
        <v>-134.28459473572192</v>
      </c>
      <c r="AH630" s="93">
        <f t="shared" ref="AH630" si="1781">SUM(S630:AD630)</f>
        <v>-211.04407374076607</v>
      </c>
    </row>
    <row r="631" spans="2:34" x14ac:dyDescent="0.2">
      <c r="B631" s="9">
        <f>G603</f>
        <v>13</v>
      </c>
      <c r="C631" s="9" t="str">
        <f t="shared" si="1704"/>
        <v>13 - % of Revenue - General and Administrative Expense</v>
      </c>
      <c r="D631" s="9" t="s">
        <v>56</v>
      </c>
      <c r="F631" s="16" t="str">
        <f>"% of Revenue - "&amp;F630</f>
        <v>% of Revenue - General and Administrative Expense</v>
      </c>
      <c r="G631" s="148">
        <f>G630/G615</f>
        <v>-2.67253146409887E-2</v>
      </c>
      <c r="H631" s="149">
        <f t="shared" ref="H631:R631" si="1782">H630/H615</f>
        <v>-2.6831477844803532E-2</v>
      </c>
      <c r="I631" s="149">
        <f t="shared" si="1782"/>
        <v>-2.5645657223607173E-2</v>
      </c>
      <c r="J631" s="149">
        <f t="shared" si="1782"/>
        <v>-2.4561051892690478E-2</v>
      </c>
      <c r="K631" s="149">
        <f t="shared" si="1782"/>
        <v>-3.7771985495668153E-2</v>
      </c>
      <c r="L631" s="149">
        <f t="shared" si="1782"/>
        <v>-2.3952605935301449E-2</v>
      </c>
      <c r="M631" s="149">
        <f t="shared" si="1782"/>
        <v>-2.4887877648121184E-2</v>
      </c>
      <c r="N631" s="149">
        <f t="shared" si="1782"/>
        <v>-1.8686397593196548E-2</v>
      </c>
      <c r="O631" s="149">
        <f t="shared" si="1782"/>
        <v>-1.8179561561307445E-2</v>
      </c>
      <c r="P631" s="149">
        <f t="shared" si="1782"/>
        <v>-1.891426233990235E-2</v>
      </c>
      <c r="Q631" s="149">
        <f t="shared" si="1782"/>
        <v>-1.442466259539873E-2</v>
      </c>
      <c r="R631" s="149">
        <f t="shared" si="1782"/>
        <v>-1.4077389363272444E-2</v>
      </c>
      <c r="S631" s="245">
        <f>_xlfn.XLOOKUP($F631,'Budget Assumption Driver'!$A$33:$A$39,'Budget Assumption Driver'!E$33:E$39)+G631</f>
        <v>-2.67253146409887E-2</v>
      </c>
      <c r="T631" s="246">
        <f>_xlfn.XLOOKUP($F631,'Budget Assumption Driver'!$A$33:$A$39,'Budget Assumption Driver'!F$33:F$39)+H631</f>
        <v>-2.6831477844803532E-2</v>
      </c>
      <c r="U631" s="246">
        <f>_xlfn.XLOOKUP($F631,'Budget Assumption Driver'!$A$33:$A$39,'Budget Assumption Driver'!G$33:G$39)+I631</f>
        <v>-2.5645657223607173E-2</v>
      </c>
      <c r="V631" s="246">
        <f>_xlfn.XLOOKUP($F631,'Budget Assumption Driver'!$A$33:$A$39,'Budget Assumption Driver'!H$33:H$39)+J631</f>
        <v>-2.4561051892690478E-2</v>
      </c>
      <c r="W631" s="246">
        <f>_xlfn.XLOOKUP($F631,'Budget Assumption Driver'!$A$33:$A$39,'Budget Assumption Driver'!I$33:I$39)+K631</f>
        <v>-3.7771985495668153E-2</v>
      </c>
      <c r="X631" s="246">
        <f>_xlfn.XLOOKUP($F631,'Budget Assumption Driver'!$A$33:$A$39,'Budget Assumption Driver'!J$33:J$39)+L631</f>
        <v>-2.3952605935301449E-2</v>
      </c>
      <c r="Y631" s="246">
        <f>_xlfn.XLOOKUP($F631,'Budget Assumption Driver'!$A$33:$A$39,'Budget Assumption Driver'!K$33:K$39)+M631</f>
        <v>-2.4887877648121184E-2</v>
      </c>
      <c r="Z631" s="246">
        <f>_xlfn.XLOOKUP($F631,'Budget Assumption Driver'!$A$33:$A$39,'Budget Assumption Driver'!L$33:L$39)+N631</f>
        <v>-1.8686397593196548E-2</v>
      </c>
      <c r="AA631" s="246">
        <f>_xlfn.XLOOKUP($F631,'Budget Assumption Driver'!$A$33:$A$39,'Budget Assumption Driver'!M$33:M$39)+O631</f>
        <v>-1.8179561561307445E-2</v>
      </c>
      <c r="AB631" s="246">
        <f>_xlfn.XLOOKUP($F631,'Budget Assumption Driver'!$A$33:$A$39,'Budget Assumption Driver'!N$33:N$39)+P631</f>
        <v>-1.891426233990235E-2</v>
      </c>
      <c r="AC631" s="246">
        <f>_xlfn.XLOOKUP($F631,'Budget Assumption Driver'!$A$33:$A$39,'Budget Assumption Driver'!O$33:O$39)+Q631</f>
        <v>-1.442466259539873E-2</v>
      </c>
      <c r="AD631" s="296">
        <f>_xlfn.XLOOKUP($F631,'Budget Assumption Driver'!$A$33:$A$39,'Budget Assumption Driver'!P$33:P$39)+R631</f>
        <v>-1.4077389363272444E-2</v>
      </c>
      <c r="AE631" s="15"/>
      <c r="AF631" s="232">
        <f>_xlfn.XLOOKUP($C631,'Site Level Financials - ''23 ''24'!$C$2:$C$1577,'Site Level Financials - ''23 ''24'!$AF$2:$AF$1577)</f>
        <v>-4.6942195646680458E-2</v>
      </c>
      <c r="AG631" s="97">
        <f t="shared" ref="AG631:AH631" si="1783">AG630/AG615</f>
        <v>-2.2365301670828116E-2</v>
      </c>
      <c r="AH631" s="97">
        <f t="shared" si="1783"/>
        <v>-2.3773593410702173E-2</v>
      </c>
    </row>
    <row r="632" spans="2:34" ht="3" customHeight="1" x14ac:dyDescent="0.2">
      <c r="B632" s="9">
        <f>G603</f>
        <v>13</v>
      </c>
      <c r="C632" s="9" t="str">
        <f t="shared" si="1704"/>
        <v xml:space="preserve">13 - </v>
      </c>
      <c r="D632" s="9" t="s">
        <v>56</v>
      </c>
      <c r="F632" s="16"/>
      <c r="G632" s="84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4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6"/>
      <c r="AE632" s="15"/>
      <c r="AF632" s="36"/>
      <c r="AG632" s="38"/>
      <c r="AH632" s="38"/>
    </row>
    <row r="633" spans="2:34" x14ac:dyDescent="0.2">
      <c r="B633" s="9">
        <f>G603</f>
        <v>13</v>
      </c>
      <c r="C633" s="9" t="str">
        <f t="shared" si="1704"/>
        <v>13 - Marketing</v>
      </c>
      <c r="D633" s="9" t="s">
        <v>56</v>
      </c>
      <c r="F633" t="s">
        <v>7</v>
      </c>
      <c r="G633" s="178">
        <f>_xlfn.XLOOKUP($C633,'Site Level Financials - ''23 ''24'!$C$2:$C$1577,'Site Level Financials - ''23 ''24'!S$2:S$1577)</f>
        <v>-1.461614199321408</v>
      </c>
      <c r="H633" s="179">
        <f>_xlfn.XLOOKUP($C633,'Site Level Financials - ''23 ''24'!$C$2:$C$1577,'Site Level Financials - ''23 ''24'!T$2:T$1577)</f>
        <v>-1.6188666942966059</v>
      </c>
      <c r="I633" s="179">
        <f>_xlfn.XLOOKUP($C633,'Site Level Financials - ''23 ''24'!$C$2:$C$1577,'Site Level Financials - ''23 ''24'!U$2:U$1577)</f>
        <v>-1.6235485107473586</v>
      </c>
      <c r="J633" s="179">
        <f>_xlfn.XLOOKUP($C633,'Site Level Financials - ''23 ''24'!$C$2:$C$1577,'Site Level Financials - ''23 ''24'!V$2:V$1577)</f>
        <v>-2.0139174440333649</v>
      </c>
      <c r="K633" s="179">
        <f>_xlfn.XLOOKUP($C633,'Site Level Financials - ''23 ''24'!$C$2:$C$1577,'Site Level Financials - ''23 ''24'!W$2:W$1577)</f>
        <v>-2.0125729203088123</v>
      </c>
      <c r="L633" s="179">
        <f>_xlfn.XLOOKUP($C633,'Site Level Financials - ''23 ''24'!$C$2:$C$1577,'Site Level Financials - ''23 ''24'!X$2:X$1577)</f>
        <v>-1.5792844423169936</v>
      </c>
      <c r="M633" s="179">
        <f>_xlfn.XLOOKUP($C633,'Site Level Financials - ''23 ''24'!$C$2:$C$1577,'Site Level Financials - ''23 ''24'!Y$2:Y$1577)</f>
        <v>-1.7337834228636506</v>
      </c>
      <c r="N633" s="179">
        <f>_xlfn.XLOOKUP($C633,'Site Level Financials - ''23 ''24'!$C$2:$C$1577,'Site Level Financials - ''23 ''24'!Z$2:Z$1577)</f>
        <v>-1.842344662380591</v>
      </c>
      <c r="O633" s="179">
        <f>_xlfn.XLOOKUP($C633,'Site Level Financials - ''23 ''24'!$C$2:$C$1577,'Site Level Financials - ''23 ''24'!AA$2:AA$1577)</f>
        <v>-1.3171431258750832</v>
      </c>
      <c r="P633" s="179">
        <f>_xlfn.XLOOKUP($C633,'Site Level Financials - ''23 ''24'!$C$2:$C$1577,'Site Level Financials - ''23 ''24'!AB$2:AB$1577)</f>
        <v>-1.5199354560326364</v>
      </c>
      <c r="Q633" s="179">
        <f>_xlfn.XLOOKUP($C633,'Site Level Financials - ''23 ''24'!$C$2:$C$1577,'Site Level Financials - ''23 ''24'!AC$2:AC$1577)</f>
        <v>-1.7009208139043865</v>
      </c>
      <c r="R633" s="179">
        <f>_xlfn.XLOOKUP($C633,'Site Level Financials - ''23 ''24'!$C$2:$C$1577,'Site Level Financials - ''23 ''24'!AD$2:AD$1577)</f>
        <v>-1.6937603592797059</v>
      </c>
      <c r="S633" s="155">
        <f>S634*S615</f>
        <v>-2.3222916864073944</v>
      </c>
      <c r="T633" s="154">
        <f t="shared" ref="T633" si="1784">T634*T615</f>
        <v>-2.6147556027989505</v>
      </c>
      <c r="U633" s="154">
        <f t="shared" ref="U633" si="1785">U634*U615</f>
        <v>-2.5821236154408456</v>
      </c>
      <c r="V633" s="154">
        <f t="shared" ref="V633" si="1786">V634*V615</f>
        <v>-3.3596806489803615</v>
      </c>
      <c r="W633" s="154">
        <f t="shared" ref="W633" si="1787">W634*W615</f>
        <v>-4.9309059263579851</v>
      </c>
      <c r="X633" s="154">
        <f t="shared" ref="X633" si="1788">X634*X615</f>
        <v>-2.7604813790916176</v>
      </c>
      <c r="Y633" s="154">
        <f t="shared" ref="Y633" si="1789">Y634*Y615</f>
        <v>-2.7810114998273145</v>
      </c>
      <c r="Z633" s="154">
        <f t="shared" ref="Z633" si="1790">Z634*Z615</f>
        <v>-2.404919709649461</v>
      </c>
      <c r="AA633" s="154">
        <f t="shared" ref="AA633" si="1791">AA634*AA615</f>
        <v>-1.6397803658435681</v>
      </c>
      <c r="AB633" s="154">
        <f t="shared" ref="AB633" si="1792">AB634*AB615</f>
        <v>-1.8832758472195923</v>
      </c>
      <c r="AC633" s="154">
        <f t="shared" ref="AC633" si="1793">AC634*AC615</f>
        <v>-1.7287186546195414</v>
      </c>
      <c r="AD633" s="156">
        <f t="shared" ref="AD633" si="1794">AD634*AD615</f>
        <v>-1.7539348052299453</v>
      </c>
      <c r="AE633" s="15"/>
      <c r="AF633" s="115">
        <f>_xlfn.XLOOKUP($C633,'Site Level Financials - ''23 ''24'!$C$2:$C$1577,'Site Level Financials - ''23 ''24'!$AF$2:$AF$1577)</f>
        <v>-41.278749591826134</v>
      </c>
      <c r="AG633" s="93">
        <f>SUM(G633:R633)</f>
        <v>-20.117692051360596</v>
      </c>
      <c r="AH633" s="93">
        <f t="shared" ref="AH633" si="1795">SUM(S633:AD633)</f>
        <v>-30.761879741466579</v>
      </c>
    </row>
    <row r="634" spans="2:34" x14ac:dyDescent="0.2">
      <c r="B634" s="9">
        <f>G603</f>
        <v>13</v>
      </c>
      <c r="C634" s="9" t="str">
        <f t="shared" si="1704"/>
        <v>13 - % of Revenue - Marketing</v>
      </c>
      <c r="D634" s="9" t="s">
        <v>56</v>
      </c>
      <c r="F634" s="16" t="str">
        <f>"% of Revenue - "&amp;F633</f>
        <v>% of Revenue - Marketing</v>
      </c>
      <c r="G634" s="148">
        <f>G633/G615</f>
        <v>-3.3333333333333335E-3</v>
      </c>
      <c r="H634" s="149">
        <f t="shared" ref="H634:R634" si="1796">H633/H615</f>
        <v>-3.6245313735083808E-3</v>
      </c>
      <c r="I634" s="149">
        <f t="shared" si="1796"/>
        <v>-3.3333333333333331E-3</v>
      </c>
      <c r="J634" s="149">
        <f t="shared" si="1796"/>
        <v>-4.0489717035783754E-3</v>
      </c>
      <c r="K634" s="149">
        <f t="shared" si="1796"/>
        <v>-5.0000000000000001E-3</v>
      </c>
      <c r="L634" s="149">
        <f t="shared" si="1796"/>
        <v>-3.3333333333333335E-3</v>
      </c>
      <c r="M634" s="149">
        <f t="shared" si="1796"/>
        <v>-3.333333333333334E-3</v>
      </c>
      <c r="N634" s="149">
        <f t="shared" si="1796"/>
        <v>-3.361607912313087E-3</v>
      </c>
      <c r="O634" s="149">
        <f t="shared" si="1796"/>
        <v>-2.5000000000000001E-3</v>
      </c>
      <c r="P634" s="149">
        <f t="shared" si="1796"/>
        <v>-2.5000000000000001E-3</v>
      </c>
      <c r="Q634" s="149">
        <f t="shared" si="1796"/>
        <v>-2.9031238887207746E-3</v>
      </c>
      <c r="R634" s="149">
        <f t="shared" si="1796"/>
        <v>-3.6087053852855767E-3</v>
      </c>
      <c r="S634" s="245">
        <f>_xlfn.XLOOKUP($F634,'Budget Assumption Driver'!$A$33:$A$39,'Budget Assumption Driver'!E$33:E$39)+G634</f>
        <v>-3.3333333333333335E-3</v>
      </c>
      <c r="T634" s="246">
        <f>_xlfn.XLOOKUP($F634,'Budget Assumption Driver'!$A$33:$A$39,'Budget Assumption Driver'!F$33:F$39)+H634</f>
        <v>-3.6245313735083808E-3</v>
      </c>
      <c r="U634" s="246">
        <f>_xlfn.XLOOKUP($F634,'Budget Assumption Driver'!$A$33:$A$39,'Budget Assumption Driver'!G$33:G$39)+I634</f>
        <v>-3.3333333333333331E-3</v>
      </c>
      <c r="V634" s="246">
        <f>_xlfn.XLOOKUP($F634,'Budget Assumption Driver'!$A$33:$A$39,'Budget Assumption Driver'!H$33:H$39)+J634</f>
        <v>-4.0489717035783754E-3</v>
      </c>
      <c r="W634" s="246">
        <f>_xlfn.XLOOKUP($F634,'Budget Assumption Driver'!$A$33:$A$39,'Budget Assumption Driver'!I$33:I$39)+K634</f>
        <v>-5.0000000000000001E-3</v>
      </c>
      <c r="X634" s="246">
        <f>_xlfn.XLOOKUP($F634,'Budget Assumption Driver'!$A$33:$A$39,'Budget Assumption Driver'!J$33:J$39)+L634</f>
        <v>-3.3333333333333335E-3</v>
      </c>
      <c r="Y634" s="246">
        <f>_xlfn.XLOOKUP($F634,'Budget Assumption Driver'!$A$33:$A$39,'Budget Assumption Driver'!K$33:K$39)+M634</f>
        <v>-3.333333333333334E-3</v>
      </c>
      <c r="Z634" s="246">
        <f>_xlfn.XLOOKUP($F634,'Budget Assumption Driver'!$A$33:$A$39,'Budget Assumption Driver'!L$33:L$39)+N634</f>
        <v>-3.361607912313087E-3</v>
      </c>
      <c r="AA634" s="246">
        <f>_xlfn.XLOOKUP($F634,'Budget Assumption Driver'!$A$33:$A$39,'Budget Assumption Driver'!M$33:M$39)+O634</f>
        <v>-2.5000000000000001E-3</v>
      </c>
      <c r="AB634" s="246">
        <f>_xlfn.XLOOKUP($F634,'Budget Assumption Driver'!$A$33:$A$39,'Budget Assumption Driver'!N$33:N$39)+P634</f>
        <v>-2.5000000000000001E-3</v>
      </c>
      <c r="AC634" s="246">
        <f>_xlfn.XLOOKUP($F634,'Budget Assumption Driver'!$A$33:$A$39,'Budget Assumption Driver'!O$33:O$39)+Q634</f>
        <v>-2.9031238887207746E-3</v>
      </c>
      <c r="AD634" s="296">
        <f>_xlfn.XLOOKUP($F634,'Budget Assumption Driver'!$A$33:$A$39,'Budget Assumption Driver'!P$33:P$39)+R634</f>
        <v>-3.6087053852855767E-3</v>
      </c>
      <c r="AE634" s="15"/>
      <c r="AF634" s="232">
        <f>_xlfn.XLOOKUP($C634,'Site Level Financials - ''23 ''24'!$C$2:$C$1577,'Site Level Financials - ''23 ''24'!$AF$2:$AF$1577)</f>
        <v>-1.4919691181423542E-2</v>
      </c>
      <c r="AG634" s="97">
        <f t="shared" ref="AG634:AH634" si="1797">AG633/AG615</f>
        <v>-3.3506319361129937E-3</v>
      </c>
      <c r="AH634" s="97">
        <f t="shared" si="1797"/>
        <v>-3.4652497393546948E-3</v>
      </c>
    </row>
    <row r="635" spans="2:34" ht="3" customHeight="1" x14ac:dyDescent="0.2">
      <c r="B635" s="9">
        <f>G603</f>
        <v>13</v>
      </c>
      <c r="C635" s="9" t="str">
        <f t="shared" si="1704"/>
        <v xml:space="preserve">13 - </v>
      </c>
      <c r="D635" s="9" t="s">
        <v>56</v>
      </c>
      <c r="F635" s="16"/>
      <c r="G635" s="84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4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6"/>
      <c r="AE635" s="15"/>
      <c r="AF635" s="36"/>
      <c r="AG635" s="38"/>
      <c r="AH635" s="38"/>
    </row>
    <row r="636" spans="2:34" x14ac:dyDescent="0.2">
      <c r="B636" s="9">
        <f>G603</f>
        <v>13</v>
      </c>
      <c r="C636" s="9" t="str">
        <f t="shared" si="1704"/>
        <v>13 - Office Rent</v>
      </c>
      <c r="D636" s="9" t="s">
        <v>56</v>
      </c>
      <c r="F636" t="s">
        <v>162</v>
      </c>
      <c r="G636" s="178">
        <f>_xlfn.XLOOKUP($C636,'Site Level Financials - ''23 ''24'!$C$2:$C$1577,'Site Level Financials - ''23 ''24'!S$2:S$1577)</f>
        <v>-17.410526704721242</v>
      </c>
      <c r="H636" s="179">
        <f>_xlfn.XLOOKUP($C636,'Site Level Financials - ''23 ''24'!$C$2:$C$1577,'Site Level Financials - ''23 ''24'!T$2:T$1577)</f>
        <v>-17.410526704721242</v>
      </c>
      <c r="I636" s="179">
        <f>_xlfn.XLOOKUP($C636,'Site Level Financials - ''23 ''24'!$C$2:$C$1577,'Site Level Financials - ''23 ''24'!U$2:U$1577)</f>
        <v>-17.410526704721242</v>
      </c>
      <c r="J636" s="179">
        <f>_xlfn.XLOOKUP($C636,'Site Level Financials - ''23 ''24'!$C$2:$C$1577,'Site Level Financials - ''23 ''24'!V$2:V$1577)</f>
        <v>-17.410526704721242</v>
      </c>
      <c r="K636" s="179">
        <f>_xlfn.XLOOKUP($C636,'Site Level Financials - ''23 ''24'!$C$2:$C$1577,'Site Level Financials - ''23 ''24'!W$2:W$1577)</f>
        <v>-17.410526704721242</v>
      </c>
      <c r="L636" s="179">
        <f>_xlfn.XLOOKUP($C636,'Site Level Financials - ''23 ''24'!$C$2:$C$1577,'Site Level Financials - ''23 ''24'!X$2:X$1577)</f>
        <v>-17.410526704721242</v>
      </c>
      <c r="M636" s="179">
        <f>_xlfn.XLOOKUP($C636,'Site Level Financials - ''23 ''24'!$C$2:$C$1577,'Site Level Financials - ''23 ''24'!Y$2:Y$1577)</f>
        <v>-17.410526704721242</v>
      </c>
      <c r="N636" s="179">
        <f>_xlfn.XLOOKUP($C636,'Site Level Financials - ''23 ''24'!$C$2:$C$1577,'Site Level Financials - ''23 ''24'!Z$2:Z$1577)</f>
        <v>-17.410526704721242</v>
      </c>
      <c r="O636" s="179">
        <f>_xlfn.XLOOKUP($C636,'Site Level Financials - ''23 ''24'!$C$2:$C$1577,'Site Level Financials - ''23 ''24'!AA$2:AA$1577)</f>
        <v>-17.410526704721242</v>
      </c>
      <c r="P636" s="179">
        <f>_xlfn.XLOOKUP($C636,'Site Level Financials - ''23 ''24'!$C$2:$C$1577,'Site Level Financials - ''23 ''24'!AB$2:AB$1577)</f>
        <v>-17.93284250586288</v>
      </c>
      <c r="Q636" s="179">
        <f>_xlfn.XLOOKUP($C636,'Site Level Financials - ''23 ''24'!$C$2:$C$1577,'Site Level Financials - ''23 ''24'!AC$2:AC$1577)</f>
        <v>-17.93284250586288</v>
      </c>
      <c r="R636" s="179">
        <f>_xlfn.XLOOKUP($C636,'Site Level Financials - ''23 ''24'!$C$2:$C$1577,'Site Level Financials - ''23 ''24'!AD$2:AD$1577)</f>
        <v>-17.93284250586288</v>
      </c>
      <c r="S636" s="155">
        <f>G636*(1+S637)</f>
        <v>-17.93284250586288</v>
      </c>
      <c r="T636" s="154">
        <f t="shared" ref="T636" si="1798">H636*(1+T637)</f>
        <v>-17.93284250586288</v>
      </c>
      <c r="U636" s="154">
        <f t="shared" ref="U636" si="1799">I636*(1+U637)</f>
        <v>-17.93284250586288</v>
      </c>
      <c r="V636" s="154">
        <f t="shared" ref="V636" si="1800">J636*(1+V637)</f>
        <v>-17.93284250586288</v>
      </c>
      <c r="W636" s="154">
        <f t="shared" ref="W636" si="1801">K636*(1+W637)</f>
        <v>-17.93284250586288</v>
      </c>
      <c r="X636" s="154">
        <f t="shared" ref="X636" si="1802">L636*(1+X637)</f>
        <v>-17.93284250586288</v>
      </c>
      <c r="Y636" s="154">
        <f t="shared" ref="Y636" si="1803">M636*(1+Y637)</f>
        <v>-17.93284250586288</v>
      </c>
      <c r="Z636" s="154">
        <f t="shared" ref="Z636" si="1804">N636*(1+Z637)</f>
        <v>-17.93284250586288</v>
      </c>
      <c r="AA636" s="154">
        <f t="shared" ref="AA636" si="1805">O636*(1+AA637)</f>
        <v>-17.93284250586288</v>
      </c>
      <c r="AB636" s="154">
        <f t="shared" ref="AB636" si="1806">P636*(1+AB637)</f>
        <v>-18.470827781038768</v>
      </c>
      <c r="AC636" s="154">
        <f t="shared" ref="AC636" si="1807">Q636*(1+AC637)</f>
        <v>-18.470827781038768</v>
      </c>
      <c r="AD636" s="156">
        <f t="shared" ref="AD636" si="1808">R636*(1+AD637)</f>
        <v>-18.470827781038768</v>
      </c>
      <c r="AE636" s="15"/>
      <c r="AF636" s="115">
        <f>_xlfn.XLOOKUP($C636,'Site Level Financials - ''23 ''24'!$C$2:$C$1577,'Site Level Financials - ''23 ''24'!$AF$2:$AF$1577)</f>
        <v>-204.35730841156072</v>
      </c>
      <c r="AG636" s="93">
        <f>SUM(G636:R636)</f>
        <v>-210.49326786007978</v>
      </c>
      <c r="AH636" s="93">
        <f t="shared" ref="AH636" si="1809">SUM(S636:AD636)</f>
        <v>-216.80806589588221</v>
      </c>
    </row>
    <row r="637" spans="2:34" x14ac:dyDescent="0.2">
      <c r="B637" s="9">
        <f>G603</f>
        <v>13</v>
      </c>
      <c r="C637" s="9" t="str">
        <f t="shared" si="1704"/>
        <v>13 - % YoY Growth</v>
      </c>
      <c r="D637" s="9" t="s">
        <v>56</v>
      </c>
      <c r="F637" s="16" t="s">
        <v>8</v>
      </c>
      <c r="G637" s="245">
        <f>_xlfn.XLOOKUP($C637,'Site Level Financials - ''23 ''24'!$C$2:$C$1577,'Site Level Financials - ''23 ''24'!S$2:S$1577)</f>
        <v>3.002564232330629E-2</v>
      </c>
      <c r="H637" s="246">
        <f>_xlfn.XLOOKUP($C637,'Site Level Financials - ''23 ''24'!$C$2:$C$1577,'Site Level Financials - ''23 ''24'!T$2:T$1577)</f>
        <v>3.002564232330629E-2</v>
      </c>
      <c r="I637" s="246">
        <f>_xlfn.XLOOKUP($C637,'Site Level Financials - ''23 ''24'!$C$2:$C$1577,'Site Level Financials - ''23 ''24'!U$2:U$1577)</f>
        <v>3.002564232330629E-2</v>
      </c>
      <c r="J637" s="246">
        <f>_xlfn.XLOOKUP($C637,'Site Level Financials - ''23 ''24'!$C$2:$C$1577,'Site Level Financials - ''23 ''24'!V$2:V$1577)</f>
        <v>3.002564232330629E-2</v>
      </c>
      <c r="K637" s="246">
        <f>_xlfn.XLOOKUP($C637,'Site Level Financials - ''23 ''24'!$C$2:$C$1577,'Site Level Financials - ''23 ''24'!W$2:W$1577)</f>
        <v>3.002564232330629E-2</v>
      </c>
      <c r="L637" s="246">
        <f>_xlfn.XLOOKUP($C637,'Site Level Financials - ''23 ''24'!$C$2:$C$1577,'Site Level Financials - ''23 ''24'!X$2:X$1577)</f>
        <v>3.002564232330629E-2</v>
      </c>
      <c r="M637" s="246">
        <f>_xlfn.XLOOKUP($C637,'Site Level Financials - ''23 ''24'!$C$2:$C$1577,'Site Level Financials - ''23 ''24'!Y$2:Y$1577)</f>
        <v>3.002564232330629E-2</v>
      </c>
      <c r="N637" s="246">
        <f>_xlfn.XLOOKUP($C637,'Site Level Financials - ''23 ''24'!$C$2:$C$1577,'Site Level Financials - ''23 ''24'!Z$2:Z$1577)</f>
        <v>3.002564232330629E-2</v>
      </c>
      <c r="O637" s="246">
        <f>_xlfn.XLOOKUP($C637,'Site Level Financials - ''23 ''24'!$C$2:$C$1577,'Site Level Financials - ''23 ''24'!AA$2:AA$1577)</f>
        <v>3.002564232330629E-2</v>
      </c>
      <c r="P637" s="246">
        <f>_xlfn.XLOOKUP($C637,'Site Level Financials - ''23 ''24'!$C$2:$C$1577,'Site Level Financials - ''23 ''24'!AB$2:AB$1577)</f>
        <v>3.002564232330629E-2</v>
      </c>
      <c r="Q637" s="246">
        <f>_xlfn.XLOOKUP($C637,'Site Level Financials - ''23 ''24'!$C$2:$C$1577,'Site Level Financials - ''23 ''24'!AC$2:AC$1577)</f>
        <v>3.002564232330629E-2</v>
      </c>
      <c r="R637" s="246">
        <f>_xlfn.XLOOKUP($C637,'Site Level Financials - ''23 ''24'!$C$2:$C$1577,'Site Level Financials - ''23 ''24'!AD$2:AD$1577)</f>
        <v>3.002564232330629E-2</v>
      </c>
      <c r="S637" s="245">
        <f>_xlfn.XLOOKUP($F637,'Budget Assumption Driver'!$A$33:$A$39,'Budget Assumption Driver'!E$33:E$39)</f>
        <v>0.03</v>
      </c>
      <c r="T637" s="246">
        <f>_xlfn.XLOOKUP($F637,'Budget Assumption Driver'!$A$33:$A$39,'Budget Assumption Driver'!F$33:F$39)</f>
        <v>0.03</v>
      </c>
      <c r="U637" s="246">
        <f>_xlfn.XLOOKUP($F637,'Budget Assumption Driver'!$A$33:$A$39,'Budget Assumption Driver'!G$33:G$39)</f>
        <v>0.03</v>
      </c>
      <c r="V637" s="246">
        <f>_xlfn.XLOOKUP($F637,'Budget Assumption Driver'!$A$33:$A$39,'Budget Assumption Driver'!H$33:H$39)</f>
        <v>0.03</v>
      </c>
      <c r="W637" s="246">
        <f>_xlfn.XLOOKUP($F637,'Budget Assumption Driver'!$A$33:$A$39,'Budget Assumption Driver'!I$33:I$39)</f>
        <v>0.03</v>
      </c>
      <c r="X637" s="246">
        <f>_xlfn.XLOOKUP($F637,'Budget Assumption Driver'!$A$33:$A$39,'Budget Assumption Driver'!J$33:J$39)</f>
        <v>0.03</v>
      </c>
      <c r="Y637" s="246">
        <f>_xlfn.XLOOKUP($F637,'Budget Assumption Driver'!$A$33:$A$39,'Budget Assumption Driver'!K$33:K$39)</f>
        <v>0.03</v>
      </c>
      <c r="Z637" s="246">
        <f>_xlfn.XLOOKUP($F637,'Budget Assumption Driver'!$A$33:$A$39,'Budget Assumption Driver'!L$33:L$39)</f>
        <v>0.03</v>
      </c>
      <c r="AA637" s="246">
        <f>_xlfn.XLOOKUP($F637,'Budget Assumption Driver'!$A$33:$A$39,'Budget Assumption Driver'!M$33:M$39)</f>
        <v>0.03</v>
      </c>
      <c r="AB637" s="246">
        <f>_xlfn.XLOOKUP($F637,'Budget Assumption Driver'!$A$33:$A$39,'Budget Assumption Driver'!N$33:N$39)</f>
        <v>0.03</v>
      </c>
      <c r="AC637" s="246">
        <f>_xlfn.XLOOKUP($F637,'Budget Assumption Driver'!$A$33:$A$39,'Budget Assumption Driver'!O$33:O$39)</f>
        <v>0.03</v>
      </c>
      <c r="AD637" s="296">
        <f>_xlfn.XLOOKUP($F637,'Budget Assumption Driver'!$A$33:$A$39,'Budget Assumption Driver'!P$33:P$39)</f>
        <v>0.03</v>
      </c>
      <c r="AE637" s="15"/>
      <c r="AF637" s="11"/>
      <c r="AG637" s="97">
        <f>AG636/AF636-1</f>
        <v>3.0025642323306068E-2</v>
      </c>
      <c r="AH637" s="97">
        <f>AH636/AG636-1</f>
        <v>3.0000000000000249E-2</v>
      </c>
    </row>
    <row r="638" spans="2:34" ht="6" customHeight="1" x14ac:dyDescent="0.2">
      <c r="B638" s="9">
        <f>G603</f>
        <v>13</v>
      </c>
      <c r="C638" s="9" t="str">
        <f t="shared" si="1704"/>
        <v xml:space="preserve">13 - </v>
      </c>
      <c r="D638" s="9" t="s">
        <v>56</v>
      </c>
      <c r="F638" s="16"/>
      <c r="G638" s="80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80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81"/>
      <c r="AE638" s="15"/>
      <c r="AF638" s="11"/>
      <c r="AG638" s="15"/>
      <c r="AH638" s="15"/>
    </row>
    <row r="639" spans="2:34" x14ac:dyDescent="0.2">
      <c r="B639" s="9">
        <f>G603</f>
        <v>13</v>
      </c>
      <c r="C639" s="9" t="str">
        <f t="shared" si="1704"/>
        <v>13 - Office EBITDA</v>
      </c>
      <c r="D639" s="9" t="s">
        <v>56</v>
      </c>
      <c r="F639" s="8" t="s">
        <v>12</v>
      </c>
      <c r="G639" s="241">
        <f>_xlfn.XLOOKUP($C639,'Site Level Financials - ''23 ''24'!$C$2:$C$1577,'Site Level Financials - ''23 ''24'!S$2:S$1577)</f>
        <v>190.4638516763508</v>
      </c>
      <c r="H639" s="242">
        <f>_xlfn.XLOOKUP($C639,'Site Level Financials - ''23 ''24'!$C$2:$C$1577,'Site Level Financials - ''23 ''24'!T$2:T$1577)</f>
        <v>192.41321629290925</v>
      </c>
      <c r="I639" s="242">
        <f>_xlfn.XLOOKUP($C639,'Site Level Financials - ''23 ''24'!$C$2:$C$1577,'Site Level Financials - ''23 ''24'!U$2:U$1577)</f>
        <v>211.02749457326416</v>
      </c>
      <c r="J639" s="242">
        <f>_xlfn.XLOOKUP($C639,'Site Level Financials - ''23 ''24'!$C$2:$C$1577,'Site Level Financials - ''23 ''24'!V$2:V$1577)</f>
        <v>216.2548214332929</v>
      </c>
      <c r="K639" s="242">
        <f>_xlfn.XLOOKUP($C639,'Site Level Financials - ''23 ''24'!$C$2:$C$1577,'Site Level Financials - ''23 ''24'!W$2:W$1577)</f>
        <v>73.118753581268976</v>
      </c>
      <c r="L639" s="242">
        <f>_xlfn.XLOOKUP($C639,'Site Level Financials - ''23 ''24'!$C$2:$C$1577,'Site Level Financials - ''23 ''24'!X$2:X$1577)</f>
        <v>208.98384168769846</v>
      </c>
      <c r="M639" s="242">
        <f>_xlfn.XLOOKUP($C639,'Site Level Financials - ''23 ''24'!$C$2:$C$1577,'Site Level Financials - ''23 ''24'!Y$2:Y$1577)</f>
        <v>223.03386362800714</v>
      </c>
      <c r="N639" s="242">
        <f>_xlfn.XLOOKUP($C639,'Site Level Financials - ''23 ''24'!$C$2:$C$1577,'Site Level Financials - ''23 ''24'!Z$2:Z$1577)</f>
        <v>307.90133243662484</v>
      </c>
      <c r="O639" s="242">
        <f>_xlfn.XLOOKUP($C639,'Site Level Financials - ''23 ''24'!$C$2:$C$1577,'Site Level Financials - ''23 ''24'!AA$2:AA$1577)</f>
        <v>299.79931212916711</v>
      </c>
      <c r="P639" s="242">
        <f>_xlfn.XLOOKUP($C639,'Site Level Financials - ''23 ''24'!$C$2:$C$1577,'Site Level Financials - ''23 ''24'!AB$2:AB$1577)</f>
        <v>347.88918532145482</v>
      </c>
      <c r="Q639" s="242">
        <f>_xlfn.XLOOKUP($C639,'Site Level Financials - ''23 ''24'!$C$2:$C$1577,'Site Level Financials - ''23 ''24'!AC$2:AC$1577)</f>
        <v>377.60727079954955</v>
      </c>
      <c r="R639" s="242">
        <f>_xlfn.XLOOKUP($C639,'Site Level Financials - ''23 ''24'!$C$2:$C$1577,'Site Level Financials - ''23 ''24'!AD$2:AD$1577)</f>
        <v>299.79673087012253</v>
      </c>
      <c r="S639" s="134">
        <f t="shared" ref="S639:AD639" si="1810">S627+S630+S633+S636</f>
        <v>312.34921205791693</v>
      </c>
      <c r="T639" s="135">
        <f t="shared" si="1810"/>
        <v>320.96955726318254</v>
      </c>
      <c r="U639" s="135">
        <f t="shared" si="1810"/>
        <v>345.37949802588992</v>
      </c>
      <c r="V639" s="135">
        <f t="shared" si="1810"/>
        <v>371.87506685128915</v>
      </c>
      <c r="W639" s="135">
        <f t="shared" si="1810"/>
        <v>203.86849456202199</v>
      </c>
      <c r="X639" s="135">
        <f t="shared" si="1810"/>
        <v>377.78905630648609</v>
      </c>
      <c r="Y639" s="135">
        <f t="shared" si="1810"/>
        <v>367.74313395482096</v>
      </c>
      <c r="Z639" s="135">
        <f t="shared" si="1810"/>
        <v>406.71565991974614</v>
      </c>
      <c r="AA639" s="135">
        <f t="shared" si="1810"/>
        <v>376.978276380046</v>
      </c>
      <c r="AB639" s="135">
        <f t="shared" si="1810"/>
        <v>434.80091257718323</v>
      </c>
      <c r="AC639" s="135">
        <f t="shared" si="1810"/>
        <v>383.53352593829345</v>
      </c>
      <c r="AD639" s="136">
        <f t="shared" si="1810"/>
        <v>310.54676573023693</v>
      </c>
      <c r="AE639" s="15"/>
      <c r="AF639" s="113">
        <f>_xlfn.XLOOKUP($C639,'Site Level Financials - ''23 ''24'!$C$2:$C$1577,'Site Level Financials - ''23 ''24'!$AF$2:$AF$1577)</f>
        <v>1320.5728846421855</v>
      </c>
      <c r="AG639" s="95">
        <f>SUM(G639:R639)</f>
        <v>2948.2896744297109</v>
      </c>
      <c r="AH639" s="95">
        <f t="shared" ref="AH639" si="1811">SUM(S639:AD639)</f>
        <v>4212.5491595671137</v>
      </c>
    </row>
    <row r="640" spans="2:34" x14ac:dyDescent="0.2">
      <c r="B640" s="9">
        <f>G603</f>
        <v>13</v>
      </c>
      <c r="C640" s="9" t="str">
        <f t="shared" si="1704"/>
        <v>13 - % of Revenue - Office EBITDA</v>
      </c>
      <c r="D640" s="9" t="s">
        <v>56</v>
      </c>
      <c r="F640" s="16" t="str">
        <f>"% of Revenue - "&amp;F639</f>
        <v>% of Revenue - Office EBITDA</v>
      </c>
      <c r="G640" s="148">
        <f>G639/G615</f>
        <v>0.43436873142214627</v>
      </c>
      <c r="H640" s="149">
        <f t="shared" ref="H640:AD640" si="1812">H639/H615</f>
        <v>0.4307999797564096</v>
      </c>
      <c r="I640" s="149">
        <f t="shared" si="1812"/>
        <v>0.43326391373860274</v>
      </c>
      <c r="J640" s="149">
        <f t="shared" si="1812"/>
        <v>0.43477931796060798</v>
      </c>
      <c r="K640" s="149">
        <f t="shared" si="1812"/>
        <v>0.18165491755212906</v>
      </c>
      <c r="L640" s="149">
        <f t="shared" si="1812"/>
        <v>0.44109394543496527</v>
      </c>
      <c r="M640" s="149">
        <f t="shared" si="1812"/>
        <v>0.42879993100027691</v>
      </c>
      <c r="N640" s="149">
        <f t="shared" si="1812"/>
        <v>0.56180777487816291</v>
      </c>
      <c r="O640" s="149">
        <f t="shared" si="1812"/>
        <v>0.56903328544873688</v>
      </c>
      <c r="P640" s="149">
        <f t="shared" si="1812"/>
        <v>0.57221045791891978</v>
      </c>
      <c r="Q640" s="149">
        <f t="shared" si="1812"/>
        <v>0.64449836785550063</v>
      </c>
      <c r="R640" s="149">
        <f t="shared" si="1812"/>
        <v>0.63874329757139015</v>
      </c>
      <c r="S640" s="148">
        <f t="shared" si="1812"/>
        <v>0.44833474032874243</v>
      </c>
      <c r="T640" s="149">
        <f t="shared" si="1812"/>
        <v>0.44492274115262748</v>
      </c>
      <c r="U640" s="149">
        <f t="shared" si="1812"/>
        <v>0.44585975146007006</v>
      </c>
      <c r="V640" s="149">
        <f t="shared" si="1812"/>
        <v>0.44817105560439469</v>
      </c>
      <c r="W640" s="149">
        <f t="shared" si="1812"/>
        <v>0.20672519168561918</v>
      </c>
      <c r="X640" s="149">
        <f t="shared" si="1812"/>
        <v>0.45618741133089846</v>
      </c>
      <c r="Y640" s="149">
        <f t="shared" si="1812"/>
        <v>0.44077863273567414</v>
      </c>
      <c r="Z640" s="149">
        <f t="shared" si="1812"/>
        <v>0.56850903377857132</v>
      </c>
      <c r="AA640" s="149">
        <f t="shared" si="1812"/>
        <v>0.57473897759794412</v>
      </c>
      <c r="AB640" s="149">
        <f t="shared" si="1812"/>
        <v>0.57718697080290882</v>
      </c>
      <c r="AC640" s="149">
        <f t="shared" si="1812"/>
        <v>0.64408707472519111</v>
      </c>
      <c r="AD640" s="150">
        <f t="shared" si="1812"/>
        <v>0.63894723026880207</v>
      </c>
      <c r="AE640" s="15"/>
      <c r="AF640" s="232">
        <f>_xlfn.XLOOKUP($C640,'Site Level Financials - ''23 ''24'!$C$2:$C$1577,'Site Level Financials - ''23 ''24'!$AF$2:$AF$1577)</f>
        <v>0.47730466199306787</v>
      </c>
      <c r="AG640" s="97">
        <f t="shared" ref="AG640:AH640" si="1813">AG639/AG615</f>
        <v>0.49104208946215877</v>
      </c>
      <c r="AH640" s="97">
        <f t="shared" si="1813"/>
        <v>0.47453325349073217</v>
      </c>
    </row>
    <row r="641" spans="2:35" ht="6" customHeight="1" x14ac:dyDescent="0.2">
      <c r="B641" s="9">
        <f>G603</f>
        <v>13</v>
      </c>
      <c r="C641" s="9" t="str">
        <f t="shared" si="1704"/>
        <v xml:space="preserve">13 - </v>
      </c>
      <c r="D641" s="9" t="s">
        <v>56</v>
      </c>
      <c r="G641" s="80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80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81"/>
      <c r="AE641" s="15"/>
      <c r="AF641" s="11"/>
      <c r="AG641" s="15"/>
      <c r="AH641" s="15"/>
    </row>
    <row r="642" spans="2:35" x14ac:dyDescent="0.2">
      <c r="B642" s="9">
        <f>G603</f>
        <v>13</v>
      </c>
      <c r="C642" s="9" t="str">
        <f t="shared" si="1704"/>
        <v>13 - Memo:</v>
      </c>
      <c r="D642" s="9" t="s">
        <v>56</v>
      </c>
      <c r="F642" s="6" t="s">
        <v>13</v>
      </c>
      <c r="G642" s="80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80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81"/>
      <c r="AE642" s="15"/>
      <c r="AF642" s="11"/>
      <c r="AG642" s="15"/>
      <c r="AH642" s="15"/>
    </row>
    <row r="643" spans="2:35" s="24" customFormat="1" x14ac:dyDescent="0.2">
      <c r="B643" s="9">
        <f>G603</f>
        <v>13</v>
      </c>
      <c r="C643" s="9" t="str">
        <f t="shared" si="1704"/>
        <v>13 - Collections</v>
      </c>
      <c r="D643" s="9" t="s">
        <v>56</v>
      </c>
      <c r="E643" s="49"/>
      <c r="F643" s="24" t="s">
        <v>15</v>
      </c>
      <c r="G643" s="247">
        <f>_xlfn.XLOOKUP($C643,'Site Level Financials - ''23 ''24'!$C$2:$C$1577,'Site Level Financials - ''23 ''24'!S$2:S$1577)</f>
        <v>442.37393014428784</v>
      </c>
      <c r="H643" s="248">
        <f>_xlfn.XLOOKUP($C643,'Site Level Financials - ''23 ''24'!$C$2:$C$1577,'Site Level Financials - ''23 ''24'!T$2:T$1577)</f>
        <v>438.33868027487063</v>
      </c>
      <c r="I643" s="248">
        <f>_xlfn.XLOOKUP($C643,'Site Level Financials - ''23 ''24'!$C$2:$C$1577,'Site Level Financials - ''23 ''24'!U$2:U$1577)</f>
        <v>492.16366758787564</v>
      </c>
      <c r="J643" s="248">
        <f>_xlfn.XLOOKUP($C643,'Site Level Financials - ''23 ''24'!$C$2:$C$1577,'Site Level Financials - ''23 ''24'!V$2:V$1577)</f>
        <v>496.86627430137105</v>
      </c>
      <c r="K643" s="248">
        <f>_xlfn.XLOOKUP($C643,'Site Level Financials - ''23 ''24'!$C$2:$C$1577,'Site Level Financials - ''23 ''24'!W$2:W$1577)</f>
        <v>398.84789814967149</v>
      </c>
      <c r="L643" s="248">
        <f>_xlfn.XLOOKUP($C643,'Site Level Financials - ''23 ''24'!$C$2:$C$1577,'Site Level Financials - ''23 ''24'!X$2:X$1577)</f>
        <v>467.7030348291799</v>
      </c>
      <c r="M643" s="248">
        <f>_xlfn.XLOOKUP($C643,'Site Level Financials - ''23 ''24'!$C$2:$C$1577,'Site Level Financials - ''23 ''24'!Y$2:Y$1577)</f>
        <v>528.07702143793972</v>
      </c>
      <c r="N643" s="248">
        <f>_xlfn.XLOOKUP($C643,'Site Level Financials - ''23 ''24'!$C$2:$C$1577,'Site Level Financials - ''23 ''24'!Z$2:Z$1577)</f>
        <v>557.37928600834709</v>
      </c>
      <c r="O643" s="248">
        <f>_xlfn.XLOOKUP($C643,'Site Level Financials - ''23 ''24'!$C$2:$C$1577,'Site Level Financials - ''23 ''24'!AA$2:AA$1577)</f>
        <v>532.81102231761372</v>
      </c>
      <c r="P643" s="248">
        <f>_xlfn.XLOOKUP($C643,'Site Level Financials - ''23 ''24'!$C$2:$C$1577,'Site Level Financials - ''23 ''24'!AB$2:AB$1577)</f>
        <v>618.65958326423925</v>
      </c>
      <c r="Q643" s="248">
        <f>_xlfn.XLOOKUP($C643,'Site Level Financials - ''23 ''24'!$C$2:$C$1577,'Site Level Financials - ''23 ''24'!AC$2:AC$1577)</f>
        <v>589.68414871734501</v>
      </c>
      <c r="R643" s="248">
        <f>_xlfn.XLOOKUP($C643,'Site Level Financials - ''23 ''24'!$C$2:$C$1577,'Site Level Financials - ''23 ''24'!AD$2:AD$1577)</f>
        <v>462.49743330198237</v>
      </c>
      <c r="S643" s="169">
        <f t="shared" ref="S643:AD643" si="1814">S644*S613</f>
        <v>696.68750592221829</v>
      </c>
      <c r="T643" s="170">
        <f t="shared" si="1814"/>
        <v>721.40515099693744</v>
      </c>
      <c r="U643" s="170">
        <f t="shared" si="1814"/>
        <v>774.63708463225373</v>
      </c>
      <c r="V643" s="170">
        <f t="shared" si="1814"/>
        <v>829.76145425051095</v>
      </c>
      <c r="W643" s="170">
        <f t="shared" si="1814"/>
        <v>986.18118527159697</v>
      </c>
      <c r="X643" s="170">
        <f t="shared" si="1814"/>
        <v>828.14441372748524</v>
      </c>
      <c r="Y643" s="170">
        <f t="shared" si="1814"/>
        <v>834.30344994819416</v>
      </c>
      <c r="Z643" s="170">
        <f t="shared" si="1814"/>
        <v>715.4075586390029</v>
      </c>
      <c r="AA643" s="170">
        <f t="shared" si="1814"/>
        <v>655.9121463374272</v>
      </c>
      <c r="AB643" s="170">
        <f t="shared" si="1814"/>
        <v>753.31033888783691</v>
      </c>
      <c r="AC643" s="170">
        <f t="shared" si="1814"/>
        <v>595.46844050850336</v>
      </c>
      <c r="AD643" s="171">
        <f t="shared" si="1814"/>
        <v>486.02881586886502</v>
      </c>
      <c r="AE643" s="26"/>
      <c r="AF643" s="234">
        <f>_xlfn.XLOOKUP($C643,'Site Level Financials - ''23 ''24'!$C$2:$C$1577,'Site Level Financials - ''23 ''24'!$AF$2:$AF$1577)</f>
        <v>2748.3398193256953</v>
      </c>
      <c r="AG643" s="99">
        <f>SUM(G643:R643)</f>
        <v>6025.4019803347255</v>
      </c>
      <c r="AH643" s="99">
        <f t="shared" ref="AH643" si="1815">SUM(S643:AD643)</f>
        <v>8877.2475449908306</v>
      </c>
    </row>
    <row r="644" spans="2:35" x14ac:dyDescent="0.2">
      <c r="B644" s="9">
        <f>G603</f>
        <v>13</v>
      </c>
      <c r="C644" s="9" t="str">
        <f t="shared" si="1704"/>
        <v>13 - Collections as a % of Production</v>
      </c>
      <c r="D644" s="9" t="s">
        <v>56</v>
      </c>
      <c r="F644" s="16" t="s">
        <v>17</v>
      </c>
      <c r="G644" s="245">
        <f>_xlfn.XLOOKUP($C644,'Site Level Financials - ''23 ''24'!$C$2:$C$1577,'Site Level Financials - ''23 ''24'!S$2:S$1577)</f>
        <v>0.99056386641154059</v>
      </c>
      <c r="H644" s="246">
        <f>_xlfn.XLOOKUP($C644,'Site Level Financials - ''23 ''24'!$C$2:$C$1577,'Site Level Financials - ''23 ''24'!T$2:T$1577)</f>
        <v>0.96360165118987728</v>
      </c>
      <c r="I644" s="246">
        <f>_xlfn.XLOOKUP($C644,'Site Level Financials - ''23 ''24'!$C$2:$C$1577,'Site Level Financials - ''23 ''24'!U$2:U$1577)</f>
        <v>0.99213321755119288</v>
      </c>
      <c r="J644" s="246">
        <f>_xlfn.XLOOKUP($C644,'Site Level Financials - ''23 ''24'!$C$2:$C$1577,'Site Level Financials - ''23 ''24'!V$2:V$1577)</f>
        <v>0.98082056215475766</v>
      </c>
      <c r="K644" s="246">
        <f>_xlfn.XLOOKUP($C644,'Site Level Financials - ''23 ''24'!$C$2:$C$1577,'Site Level Financials - ''23 ''24'!W$2:W$1577)</f>
        <v>0.97290996555458586</v>
      </c>
      <c r="L644" s="246">
        <f>_xlfn.XLOOKUP($C644,'Site Level Financials - ''23 ''24'!$C$2:$C$1577,'Site Level Financials - ''23 ''24'!X$2:X$1577)</f>
        <v>0.96924939993413506</v>
      </c>
      <c r="M644" s="246">
        <f>_xlfn.XLOOKUP($C644,'Site Level Financials - ''23 ''24'!$C$2:$C$1577,'Site Level Financials - ''23 ''24'!Y$2:Y$1577)</f>
        <v>0.99684614539953298</v>
      </c>
      <c r="N644" s="246">
        <f>_xlfn.XLOOKUP($C644,'Site Level Financials - ''23 ''24'!$C$2:$C$1577,'Site Level Financials - ''23 ''24'!Z$2:Z$1577)</f>
        <v>0.99855954282605874</v>
      </c>
      <c r="O644" s="246">
        <f>_xlfn.XLOOKUP($C644,'Site Level Financials - ''23 ''24'!$C$2:$C$1577,'Site Level Financials - ''23 ''24'!AA$2:AA$1577)</f>
        <v>0.99294959784459436</v>
      </c>
      <c r="P644" s="246">
        <f>_xlfn.XLOOKUP($C644,'Site Level Financials - ''23 ''24'!$C$2:$C$1577,'Site Level Financials - ''23 ''24'!AB$2:AB$1577)</f>
        <v>0.99911061237878807</v>
      </c>
      <c r="Q644" s="246">
        <f>_xlfn.XLOOKUP($C644,'Site Level Financials - ''23 ''24'!$C$2:$C$1577,'Site Level Financials - ''23 ''24'!AC$2:AC$1577)</f>
        <v>0.98820692333323257</v>
      </c>
      <c r="R644" s="246">
        <f>_xlfn.XLOOKUP($C644,'Site Level Financials - ''23 ''24'!$C$2:$C$1577,'Site Level Financials - ''23 ''24'!AD$2:AD$1577)</f>
        <v>0.9675106512851247</v>
      </c>
      <c r="S644" s="148">
        <f>S614</f>
        <v>0.98532966504127695</v>
      </c>
      <c r="T644" s="149">
        <f t="shared" ref="T644:AD644" si="1816">T614</f>
        <v>0.98532966504127695</v>
      </c>
      <c r="U644" s="149">
        <f t="shared" si="1816"/>
        <v>0.98532966504127695</v>
      </c>
      <c r="V644" s="149">
        <f t="shared" si="1816"/>
        <v>0.98532966504127695</v>
      </c>
      <c r="W644" s="149">
        <f t="shared" si="1816"/>
        <v>0.98532966504127695</v>
      </c>
      <c r="X644" s="149">
        <f t="shared" si="1816"/>
        <v>0.98532966504127695</v>
      </c>
      <c r="Y644" s="149">
        <f t="shared" si="1816"/>
        <v>0.98532966504127695</v>
      </c>
      <c r="Z644" s="149">
        <f t="shared" si="1816"/>
        <v>0.98532966504127695</v>
      </c>
      <c r="AA644" s="149">
        <f t="shared" si="1816"/>
        <v>0.98532966504127695</v>
      </c>
      <c r="AB644" s="149">
        <f t="shared" si="1816"/>
        <v>0.98532966504127695</v>
      </c>
      <c r="AC644" s="149">
        <f t="shared" si="1816"/>
        <v>0.98532966504127695</v>
      </c>
      <c r="AD644" s="150">
        <f t="shared" si="1816"/>
        <v>0.98532966504127695</v>
      </c>
      <c r="AE644" s="15"/>
      <c r="AF644" s="232">
        <f>_xlfn.XLOOKUP($C644,'Site Level Financials - ''23 ''24'!$C$2:$C$1577,'Site Level Financials - ''23 ''24'!$AF$2:$AF$1577)</f>
        <v>0.98307743442542694</v>
      </c>
      <c r="AG644" s="97">
        <f t="shared" ref="AG644:AH644" si="1817">AG643/AG613</f>
        <v>0.98532966504127695</v>
      </c>
      <c r="AH644" s="97">
        <f t="shared" si="1817"/>
        <v>0.98532966504127673</v>
      </c>
    </row>
    <row r="645" spans="2:35" ht="6" customHeight="1" x14ac:dyDescent="0.2">
      <c r="B645" s="9">
        <f>G603</f>
        <v>13</v>
      </c>
      <c r="C645" s="9" t="str">
        <f t="shared" si="1704"/>
        <v xml:space="preserve">13 - </v>
      </c>
      <c r="D645" s="9" t="s">
        <v>56</v>
      </c>
      <c r="F645" s="27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81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81"/>
      <c r="AE645" s="15"/>
      <c r="AF645" s="11"/>
      <c r="AH645" s="224"/>
    </row>
    <row r="646" spans="2:35" s="24" customFormat="1" x14ac:dyDescent="0.2">
      <c r="B646" s="9">
        <f>G603</f>
        <v>13</v>
      </c>
      <c r="C646" s="9" t="str">
        <f t="shared" si="1704"/>
        <v>13 - Production per Vet Workday - YoY Change</v>
      </c>
      <c r="D646" s="9" t="s">
        <v>56</v>
      </c>
      <c r="E646" s="49"/>
      <c r="F646" s="24" t="s">
        <v>55</v>
      </c>
      <c r="G646" s="249">
        <f>_xlfn.XLOOKUP($C646,'Site Level Financials - ''23 ''24'!$C$2:$C$1577,'Site Level Financials - ''23 ''24'!S$2:S$1577)</f>
        <v>-4.6137582410329614E-2</v>
      </c>
      <c r="H646" s="250">
        <f>_xlfn.XLOOKUP($C646,'Site Level Financials - ''23 ''24'!$C$2:$C$1577,'Site Level Financials - ''23 ''24'!T$2:T$1577)</f>
        <v>4.5199539098537134E-3</v>
      </c>
      <c r="I646" s="250">
        <f>_xlfn.XLOOKUP($C646,'Site Level Financials - ''23 ''24'!$C$2:$C$1577,'Site Level Financials - ''23 ''24'!U$2:U$1577)</f>
        <v>-2.5166816753245724E-2</v>
      </c>
      <c r="J646" s="250">
        <f>_xlfn.XLOOKUP($C646,'Site Level Financials - ''23 ''24'!$C$2:$C$1577,'Site Level Financials - ''23 ''24'!V$2:V$1577)</f>
        <v>-1.4018547054823749E-2</v>
      </c>
      <c r="K646" s="250">
        <f>_xlfn.XLOOKUP($C646,'Site Level Financials - ''23 ''24'!$C$2:$C$1577,'Site Level Financials - ''23 ''24'!W$2:W$1577)</f>
        <v>2.433099700039465E-2</v>
      </c>
      <c r="L646" s="250">
        <f>_xlfn.XLOOKUP($C646,'Site Level Financials - ''23 ''24'!$C$2:$C$1577,'Site Level Financials - ''23 ''24'!X$2:X$1577)</f>
        <v>-2.5498629291260122E-2</v>
      </c>
      <c r="M646" s="250">
        <f>_xlfn.XLOOKUP($C646,'Site Level Financials - ''23 ''24'!$C$2:$C$1577,'Site Level Financials - ''23 ''24'!Y$2:Y$1577)</f>
        <v>3.4984608141251039E-2</v>
      </c>
      <c r="N646" s="250">
        <f>_xlfn.XLOOKUP($C646,'Site Level Financials - ''23 ''24'!$C$2:$C$1577,'Site Level Financials - ''23 ''24'!Z$2:Z$1577)</f>
        <v>-4.3328615648229318E-2</v>
      </c>
      <c r="O646" s="250">
        <f>_xlfn.XLOOKUP($C646,'Site Level Financials - ''23 ''24'!$C$2:$C$1577,'Site Level Financials - ''23 ''24'!AA$2:AA$1577)</f>
        <v>1.5293244359119385E-2</v>
      </c>
      <c r="P646" s="250">
        <f>_xlfn.XLOOKUP($C646,'Site Level Financials - ''23 ''24'!$C$2:$C$1577,'Site Level Financials - ''23 ''24'!AB$2:AB$1577)</f>
        <v>-8.5652518614144357E-3</v>
      </c>
      <c r="Q646" s="250">
        <f>_xlfn.XLOOKUP($C646,'Site Level Financials - ''23 ''24'!$C$2:$C$1577,'Site Level Financials - ''23 ''24'!AC$2:AC$1577)</f>
        <v>3.4362324583516735E-2</v>
      </c>
      <c r="R646" s="251">
        <f>_xlfn.XLOOKUP($C646,'Site Level Financials - ''23 ''24'!$C$2:$C$1577,'Site Level Financials - ''23 ''24'!AD$2:AD$1577)</f>
        <v>-1.5987940527629529E-2</v>
      </c>
      <c r="S646" s="151">
        <f>S612/G612-1</f>
        <v>-5.0050166685308817E-2</v>
      </c>
      <c r="T646" s="152">
        <f t="shared" ref="T646" si="1818">T612/H612-1</f>
        <v>-3.4312364207696122E-2</v>
      </c>
      <c r="U646" s="152">
        <f t="shared" ref="U646" si="1819">U612/I612-1</f>
        <v>-4.9114079646488618E-2</v>
      </c>
      <c r="V646" s="152">
        <f t="shared" ref="V646" si="1820">V612/J612-1</f>
        <v>-2.5916695717065341E-3</v>
      </c>
      <c r="W646" s="152">
        <f t="shared" ref="W646" si="1821">W612/K612-1</f>
        <v>-2.3436495747858332E-2</v>
      </c>
      <c r="X646" s="152">
        <f t="shared" ref="X646" si="1822">X612/L612-1</f>
        <v>4.5059750742775462E-2</v>
      </c>
      <c r="Y646" s="152">
        <f t="shared" ref="Y646" si="1823">Y612/M612-1</f>
        <v>-4.0986776860030938E-2</v>
      </c>
      <c r="Z646" s="152">
        <f t="shared" ref="Z646" si="1824">Z612/N612-1</f>
        <v>4.0603050520646056E-2</v>
      </c>
      <c r="AA646" s="152">
        <f t="shared" ref="AA646" si="1825">AA612/O612-1</f>
        <v>-7.5512116076728031E-3</v>
      </c>
      <c r="AB646" s="152">
        <f t="shared" ref="AB646" si="1826">AB612/P612-1</f>
        <v>-1.2256491586476792E-2</v>
      </c>
      <c r="AC646" s="152">
        <f t="shared" ref="AC646" si="1827">AC612/Q612-1</f>
        <v>1.275787634869241E-2</v>
      </c>
      <c r="AD646" s="153">
        <f t="shared" ref="AD646" si="1828">AD612/R612-1</f>
        <v>3.1874519628317888E-2</v>
      </c>
      <c r="AF646" s="43"/>
      <c r="AG646" s="177">
        <f>AG612/AF612-1</f>
        <v>-4.2282276783670358E-2</v>
      </c>
      <c r="AH646" s="225">
        <f>AH612/AG612-1</f>
        <v>2.8574166769283815E-2</v>
      </c>
    </row>
    <row r="647" spans="2:35" s="24" customFormat="1" ht="6" customHeight="1" x14ac:dyDescent="0.2">
      <c r="D647" s="9" t="s">
        <v>56</v>
      </c>
      <c r="E647" s="49"/>
      <c r="G647" s="28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29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29"/>
      <c r="AE647" s="25"/>
      <c r="AF647" s="28"/>
      <c r="AG647" s="30"/>
      <c r="AH647" s="226"/>
    </row>
    <row r="648" spans="2:35" s="24" customFormat="1" ht="6" customHeight="1" x14ac:dyDescent="0.2">
      <c r="D648" s="9" t="s">
        <v>56</v>
      </c>
      <c r="E648" s="49"/>
    </row>
    <row r="649" spans="2:35" x14ac:dyDescent="0.2">
      <c r="D649" s="9" t="s">
        <v>56</v>
      </c>
      <c r="F649" s="16"/>
    </row>
    <row r="650" spans="2:35" ht="15.75" thickBot="1" x14ac:dyDescent="0.4">
      <c r="B650" s="35" t="s">
        <v>52</v>
      </c>
      <c r="C650" s="35"/>
      <c r="D650" s="9" t="s">
        <v>56</v>
      </c>
      <c r="E650" s="48" t="s">
        <v>0</v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74"/>
      <c r="AH650" s="3">
        <f ca="1">TODAY()</f>
        <v>45999</v>
      </c>
      <c r="AI650" s="1"/>
    </row>
    <row r="651" spans="2:35" x14ac:dyDescent="0.2">
      <c r="B651" s="9">
        <f>G652</f>
        <v>14</v>
      </c>
      <c r="C651" s="9"/>
      <c r="D651" s="9" t="s">
        <v>56</v>
      </c>
      <c r="F651" t="s">
        <v>159</v>
      </c>
      <c r="AG651" s="6"/>
      <c r="AH651" s="6" t="s">
        <v>16</v>
      </c>
    </row>
    <row r="652" spans="2:35" x14ac:dyDescent="0.2">
      <c r="B652" s="9">
        <f>G652</f>
        <v>14</v>
      </c>
      <c r="C652" s="9"/>
      <c r="D652" s="9" t="s">
        <v>56</v>
      </c>
      <c r="F652" s="40" t="s">
        <v>53</v>
      </c>
      <c r="G652" s="42">
        <v>14</v>
      </c>
    </row>
    <row r="653" spans="2:35" x14ac:dyDescent="0.2">
      <c r="B653" s="9">
        <f>G652</f>
        <v>14</v>
      </c>
      <c r="C653" s="9"/>
      <c r="D653" s="9" t="s">
        <v>56</v>
      </c>
      <c r="F653" s="39" t="s">
        <v>31</v>
      </c>
      <c r="G653" s="41"/>
      <c r="H653" s="11"/>
    </row>
    <row r="654" spans="2:35" x14ac:dyDescent="0.2">
      <c r="B654" s="9">
        <f>G652</f>
        <v>14</v>
      </c>
      <c r="C654" s="9"/>
      <c r="D654" s="9" t="s">
        <v>56</v>
      </c>
      <c r="G654" s="23"/>
    </row>
    <row r="655" spans="2:35" x14ac:dyDescent="0.2">
      <c r="B655" s="9">
        <f>G652</f>
        <v>14</v>
      </c>
      <c r="C655" s="9"/>
      <c r="D655" s="9" t="s">
        <v>56</v>
      </c>
      <c r="G655" s="208" t="s">
        <v>229</v>
      </c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10"/>
      <c r="S655" s="266" t="s">
        <v>230</v>
      </c>
      <c r="T655" s="267"/>
      <c r="U655" s="267"/>
      <c r="V655" s="267"/>
      <c r="W655" s="267"/>
      <c r="X655" s="267"/>
      <c r="Y655" s="267"/>
      <c r="Z655" s="267"/>
      <c r="AA655" s="267"/>
      <c r="AB655" s="267"/>
      <c r="AC655" s="267"/>
      <c r="AD655" s="268"/>
      <c r="AF655" s="17" t="s">
        <v>231</v>
      </c>
      <c r="AG655" s="50"/>
      <c r="AH655" s="269" t="s">
        <v>232</v>
      </c>
    </row>
    <row r="656" spans="2:35" ht="15" customHeight="1" x14ac:dyDescent="0.35">
      <c r="B656" s="9">
        <f>G652</f>
        <v>14</v>
      </c>
      <c r="C656" s="9"/>
      <c r="D656" s="9" t="s">
        <v>56</v>
      </c>
      <c r="G656" s="211">
        <v>44957</v>
      </c>
      <c r="H656" s="212">
        <f>EOMONTH(G656,1)</f>
        <v>44985</v>
      </c>
      <c r="I656" s="212">
        <f t="shared" ref="I656" si="1829">EOMONTH(H656,1)</f>
        <v>45016</v>
      </c>
      <c r="J656" s="212">
        <f t="shared" ref="J656" si="1830">EOMONTH(I656,1)</f>
        <v>45046</v>
      </c>
      <c r="K656" s="212">
        <f t="shared" ref="K656" si="1831">EOMONTH(J656,1)</f>
        <v>45077</v>
      </c>
      <c r="L656" s="212">
        <f t="shared" ref="L656" si="1832">EOMONTH(K656,1)</f>
        <v>45107</v>
      </c>
      <c r="M656" s="212">
        <f t="shared" ref="M656" si="1833">EOMONTH(L656,1)</f>
        <v>45138</v>
      </c>
      <c r="N656" s="212">
        <f t="shared" ref="N656" si="1834">EOMONTH(M656,1)</f>
        <v>45169</v>
      </c>
      <c r="O656" s="212">
        <f t="shared" ref="O656" si="1835">EOMONTH(N656,1)</f>
        <v>45199</v>
      </c>
      <c r="P656" s="212">
        <f t="shared" ref="P656" si="1836">EOMONTH(O656,1)</f>
        <v>45230</v>
      </c>
      <c r="Q656" s="212">
        <f t="shared" ref="Q656" si="1837">EOMONTH(P656,1)</f>
        <v>45260</v>
      </c>
      <c r="R656" s="213">
        <f t="shared" ref="R656" si="1838">EOMONTH(Q656,1)</f>
        <v>45291</v>
      </c>
      <c r="S656" s="4">
        <f t="shared" ref="S656" si="1839">EOMONTH(R656,1)</f>
        <v>45322</v>
      </c>
      <c r="T656" s="19">
        <f t="shared" ref="T656" si="1840">EOMONTH(S656,1)</f>
        <v>45351</v>
      </c>
      <c r="U656" s="19">
        <f t="shared" ref="U656" si="1841">EOMONTH(T656,1)</f>
        <v>45382</v>
      </c>
      <c r="V656" s="19">
        <f t="shared" ref="V656" si="1842">EOMONTH(U656,1)</f>
        <v>45412</v>
      </c>
      <c r="W656" s="19">
        <f t="shared" ref="W656" si="1843">EOMONTH(V656,1)</f>
        <v>45443</v>
      </c>
      <c r="X656" s="19">
        <f t="shared" ref="X656" si="1844">EOMONTH(W656,1)</f>
        <v>45473</v>
      </c>
      <c r="Y656" s="19">
        <f t="shared" ref="Y656" si="1845">EOMONTH(X656,1)</f>
        <v>45504</v>
      </c>
      <c r="Z656" s="19">
        <f t="shared" ref="Z656" si="1846">EOMONTH(Y656,1)</f>
        <v>45535</v>
      </c>
      <c r="AA656" s="19">
        <f t="shared" ref="AA656" si="1847">EOMONTH(Z656,1)</f>
        <v>45565</v>
      </c>
      <c r="AB656" s="19">
        <f t="shared" ref="AB656" si="1848">EOMONTH(AA656,1)</f>
        <v>45596</v>
      </c>
      <c r="AC656" s="19">
        <f t="shared" ref="AC656" si="1849">EOMONTH(AB656,1)</f>
        <v>45626</v>
      </c>
      <c r="AD656" s="5">
        <f t="shared" ref="AD656" si="1850">EOMONTH(AC656,1)</f>
        <v>45657</v>
      </c>
      <c r="AE656" s="168"/>
      <c r="AF656" s="13">
        <v>45291</v>
      </c>
      <c r="AG656" s="14">
        <v>45657</v>
      </c>
      <c r="AH656" s="14">
        <v>46022</v>
      </c>
    </row>
    <row r="657" spans="2:34" ht="0.95" customHeight="1" x14ac:dyDescent="0.2">
      <c r="B657" s="9">
        <f>G652</f>
        <v>14</v>
      </c>
      <c r="C657" s="9"/>
      <c r="D657" s="9" t="s">
        <v>56</v>
      </c>
      <c r="G657" s="11"/>
      <c r="S657" s="11"/>
      <c r="AD657" s="15"/>
      <c r="AE657" s="15"/>
      <c r="AF657" s="11"/>
      <c r="AG657" s="15"/>
      <c r="AH657" s="15"/>
    </row>
    <row r="658" spans="2:34" x14ac:dyDescent="0.2">
      <c r="B658" s="9">
        <f>G652</f>
        <v>14</v>
      </c>
      <c r="C658" s="9" t="str">
        <f>B658&amp;" - "&amp;F658</f>
        <v>14 - Employed Vets</v>
      </c>
      <c r="D658" s="9" t="s">
        <v>56</v>
      </c>
      <c r="F658" s="7" t="s">
        <v>160</v>
      </c>
      <c r="G658" s="178">
        <f>_xlfn.XLOOKUP($C658,'Site Level Financials - ''23 ''24'!$C$2:$C$1577,'Site Level Financials - ''23 ''24'!S$2:S$1577)</f>
        <v>4</v>
      </c>
      <c r="H658" s="179">
        <f>_xlfn.XLOOKUP($C658,'Site Level Financials - ''23 ''24'!$C$2:$C$1577,'Site Level Financials - ''23 ''24'!T$2:T$1577)</f>
        <v>4</v>
      </c>
      <c r="I658" s="179">
        <f>_xlfn.XLOOKUP($C658,'Site Level Financials - ''23 ''24'!$C$2:$C$1577,'Site Level Financials - ''23 ''24'!U$2:U$1577)</f>
        <v>4</v>
      </c>
      <c r="J658" s="179">
        <f>_xlfn.XLOOKUP($C658,'Site Level Financials - ''23 ''24'!$C$2:$C$1577,'Site Level Financials - ''23 ''24'!V$2:V$1577)</f>
        <v>3</v>
      </c>
      <c r="K658" s="179">
        <f>_xlfn.XLOOKUP($C658,'Site Level Financials - ''23 ''24'!$C$2:$C$1577,'Site Level Financials - ''23 ''24'!W$2:W$1577)</f>
        <v>3</v>
      </c>
      <c r="L658" s="179">
        <f>_xlfn.XLOOKUP($C658,'Site Level Financials - ''23 ''24'!$C$2:$C$1577,'Site Level Financials - ''23 ''24'!X$2:X$1577)</f>
        <v>4</v>
      </c>
      <c r="M658" s="179">
        <f>_xlfn.XLOOKUP($C658,'Site Level Financials - ''23 ''24'!$C$2:$C$1577,'Site Level Financials - ''23 ''24'!Y$2:Y$1577)</f>
        <v>4</v>
      </c>
      <c r="N658" s="179">
        <f>_xlfn.XLOOKUP($C658,'Site Level Financials - ''23 ''24'!$C$2:$C$1577,'Site Level Financials - ''23 ''24'!Z$2:Z$1577)</f>
        <v>5</v>
      </c>
      <c r="O658" s="179">
        <f>_xlfn.XLOOKUP($C658,'Site Level Financials - ''23 ''24'!$C$2:$C$1577,'Site Level Financials - ''23 ''24'!AA$2:AA$1577)</f>
        <v>5</v>
      </c>
      <c r="P658" s="179">
        <f>_xlfn.XLOOKUP($C658,'Site Level Financials - ''23 ''24'!$C$2:$C$1577,'Site Level Financials - ''23 ''24'!AB$2:AB$1577)</f>
        <v>5</v>
      </c>
      <c r="Q658" s="179">
        <f>_xlfn.XLOOKUP($C658,'Site Level Financials - ''23 ''24'!$C$2:$C$1577,'Site Level Financials - ''23 ''24'!AC$2:AC$1577)</f>
        <v>5</v>
      </c>
      <c r="R658" s="179">
        <f>_xlfn.XLOOKUP($C658,'Site Level Financials - ''23 ''24'!$C$2:$C$1577,'Site Level Financials - ''23 ''24'!AD$2:AD$1577)</f>
        <v>5</v>
      </c>
      <c r="S658" s="178">
        <f>R658+_xlfn.XLOOKUP($R658,'Budget Assumption Driver'!$A$7:$A$11,'Budget Assumption Driver'!E$7:E$11)</f>
        <v>5</v>
      </c>
      <c r="T658" s="179">
        <f>S658+_xlfn.XLOOKUP($R658,'Budget Assumption Driver'!$A$7:$A$11,'Budget Assumption Driver'!F$7:F$11)</f>
        <v>5</v>
      </c>
      <c r="U658" s="179">
        <f>T658+_xlfn.XLOOKUP($R658,'Budget Assumption Driver'!$A$7:$A$11,'Budget Assumption Driver'!G$7:G$11)</f>
        <v>5</v>
      </c>
      <c r="V658" s="179">
        <f>U658+_xlfn.XLOOKUP($R658,'Budget Assumption Driver'!$A$7:$A$11,'Budget Assumption Driver'!H$7:H$11)</f>
        <v>5</v>
      </c>
      <c r="W658" s="179">
        <f>V658+_xlfn.XLOOKUP($R658,'Budget Assumption Driver'!$A$7:$A$11,'Budget Assumption Driver'!I$7:I$11)</f>
        <v>5</v>
      </c>
      <c r="X658" s="179">
        <f>W658+_xlfn.XLOOKUP($R658,'Budget Assumption Driver'!$A$7:$A$11,'Budget Assumption Driver'!J$7:J$11)</f>
        <v>5</v>
      </c>
      <c r="Y658" s="179">
        <f>X658+_xlfn.XLOOKUP($R658,'Budget Assumption Driver'!$A$7:$A$11,'Budget Assumption Driver'!K$7:K$11)</f>
        <v>5</v>
      </c>
      <c r="Z658" s="179">
        <f>Y658+_xlfn.XLOOKUP($R658,'Budget Assumption Driver'!$A$7:$A$11,'Budget Assumption Driver'!L$7:L$11)</f>
        <v>5</v>
      </c>
      <c r="AA658" s="179">
        <f>Z658+_xlfn.XLOOKUP($R658,'Budget Assumption Driver'!$A$7:$A$11,'Budget Assumption Driver'!M$7:M$11)</f>
        <v>5</v>
      </c>
      <c r="AB658" s="179">
        <f>AA658+_xlfn.XLOOKUP($R658,'Budget Assumption Driver'!$A$7:$A$11,'Budget Assumption Driver'!N$7:N$11)</f>
        <v>5</v>
      </c>
      <c r="AC658" s="179">
        <f>AB658+_xlfn.XLOOKUP($R658,'Budget Assumption Driver'!$A$7:$A$11,'Budget Assumption Driver'!O$7:O$11)</f>
        <v>5</v>
      </c>
      <c r="AD658" s="290">
        <f>AC658+_xlfn.XLOOKUP($R658,'Budget Assumption Driver'!$A$7:$A$11,'Budget Assumption Driver'!P$7:P$11)</f>
        <v>5</v>
      </c>
      <c r="AE658" s="15"/>
      <c r="AF658" s="229">
        <f>_xlfn.XLOOKUP($C658,'Site Level Financials - ''23 ''24'!$C$2:$C$1577,'Site Level Financials - ''23 ''24'!$AF$2:$AF$1577)</f>
        <v>4.583333333333333</v>
      </c>
      <c r="AG658" s="91">
        <f t="shared" ref="AG658:AH658" si="1851">AG660/AG659</f>
        <v>4.2453531598513008</v>
      </c>
      <c r="AH658" s="91">
        <f t="shared" si="1851"/>
        <v>5</v>
      </c>
    </row>
    <row r="659" spans="2:34" x14ac:dyDescent="0.2">
      <c r="B659" s="9">
        <f>G652</f>
        <v>14</v>
      </c>
      <c r="C659" s="9" t="str">
        <f t="shared" ref="C659:C695" si="1852">B659&amp;" - "&amp;F659</f>
        <v>14 - Workdays in Month / Year</v>
      </c>
      <c r="D659" s="9" t="s">
        <v>56</v>
      </c>
      <c r="F659" s="7" t="s">
        <v>54</v>
      </c>
      <c r="G659" s="178">
        <f>_xlfn.XLOOKUP($C659,'Site Level Financials - ''23 ''24'!$C$2:$C$1577,'Site Level Financials - ''23 ''24'!S$2:S$1577)</f>
        <v>23</v>
      </c>
      <c r="H659" s="235">
        <f>_xlfn.XLOOKUP($C659,'Site Level Financials - ''23 ''24'!$C$2:$C$1577,'Site Level Financials - ''23 ''24'!T$2:T$1577)</f>
        <v>22</v>
      </c>
      <c r="I659" s="235">
        <f>_xlfn.XLOOKUP($C659,'Site Level Financials - ''23 ''24'!$C$2:$C$1577,'Site Level Financials - ''23 ''24'!U$2:U$1577)</f>
        <v>22</v>
      </c>
      <c r="J659" s="179">
        <f>_xlfn.XLOOKUP($C659,'Site Level Financials - ''23 ''24'!$C$2:$C$1577,'Site Level Financials - ''23 ''24'!V$2:V$1577)</f>
        <v>22</v>
      </c>
      <c r="K659" s="179">
        <f>_xlfn.XLOOKUP($C659,'Site Level Financials - ''23 ''24'!$C$2:$C$1577,'Site Level Financials - ''23 ''24'!W$2:W$1577)</f>
        <v>24</v>
      </c>
      <c r="L659" s="179">
        <f>_xlfn.XLOOKUP($C659,'Site Level Financials - ''23 ''24'!$C$2:$C$1577,'Site Level Financials - ''23 ''24'!X$2:X$1577)</f>
        <v>21</v>
      </c>
      <c r="M659" s="179">
        <f>_xlfn.XLOOKUP($C659,'Site Level Financials - ''23 ''24'!$C$2:$C$1577,'Site Level Financials - ''23 ''24'!Y$2:Y$1577)</f>
        <v>23</v>
      </c>
      <c r="N659" s="179">
        <f>_xlfn.XLOOKUP($C659,'Site Level Financials - ''23 ''24'!$C$2:$C$1577,'Site Level Financials - ''23 ''24'!Z$2:Z$1577)</f>
        <v>23</v>
      </c>
      <c r="O659" s="179">
        <f>_xlfn.XLOOKUP($C659,'Site Level Financials - ''23 ''24'!$C$2:$C$1577,'Site Level Financials - ''23 ''24'!AA$2:AA$1577)</f>
        <v>21</v>
      </c>
      <c r="P659" s="179">
        <f>_xlfn.XLOOKUP($C659,'Site Level Financials - ''23 ''24'!$C$2:$C$1577,'Site Level Financials - ''23 ''24'!AB$2:AB$1577)</f>
        <v>24</v>
      </c>
      <c r="Q659" s="179">
        <f>_xlfn.XLOOKUP($C659,'Site Level Financials - ''23 ''24'!$C$2:$C$1577,'Site Level Financials - ''23 ''24'!AC$2:AC$1577)</f>
        <v>22</v>
      </c>
      <c r="R659" s="179">
        <f>_xlfn.XLOOKUP($C659,'Site Level Financials - ''23 ''24'!$C$2:$C$1577,'Site Level Financials - ''23 ''24'!AD$2:AD$1577)</f>
        <v>22</v>
      </c>
      <c r="S659" s="155">
        <f>NETWORKDAYS(R656,S656)</f>
        <v>23</v>
      </c>
      <c r="T659" s="154">
        <f t="shared" ref="T659:AD659" si="1853">NETWORKDAYS(S656,T656)</f>
        <v>22</v>
      </c>
      <c r="U659" s="154">
        <f t="shared" si="1853"/>
        <v>22</v>
      </c>
      <c r="V659" s="154">
        <f t="shared" si="1853"/>
        <v>22</v>
      </c>
      <c r="W659" s="154">
        <f t="shared" si="1853"/>
        <v>24</v>
      </c>
      <c r="X659" s="154">
        <f t="shared" si="1853"/>
        <v>21</v>
      </c>
      <c r="Y659" s="154">
        <f t="shared" si="1853"/>
        <v>23</v>
      </c>
      <c r="Z659" s="154">
        <f t="shared" si="1853"/>
        <v>23</v>
      </c>
      <c r="AA659" s="154">
        <f t="shared" si="1853"/>
        <v>21</v>
      </c>
      <c r="AB659" s="154">
        <f t="shared" si="1853"/>
        <v>24</v>
      </c>
      <c r="AC659" s="154">
        <f t="shared" si="1853"/>
        <v>22</v>
      </c>
      <c r="AD659" s="156">
        <f t="shared" si="1853"/>
        <v>22</v>
      </c>
      <c r="AE659" s="15"/>
      <c r="AF659" s="115">
        <f>_xlfn.XLOOKUP($C659,'Site Level Financials - ''23 ''24'!$C$2:$C$1577,'Site Level Financials - ''23 ''24'!$AF$2:$AF$1577)</f>
        <v>269</v>
      </c>
      <c r="AG659" s="93">
        <f>SUM(G659:R659)</f>
        <v>269</v>
      </c>
      <c r="AH659" s="93">
        <f>SUM(S659:AD659)</f>
        <v>269</v>
      </c>
    </row>
    <row r="660" spans="2:34" x14ac:dyDescent="0.2">
      <c r="B660" s="9">
        <f>G652</f>
        <v>14</v>
      </c>
      <c r="C660" s="9" t="str">
        <f t="shared" si="1852"/>
        <v>14 - Total Vet Days</v>
      </c>
      <c r="D660" s="9" t="s">
        <v>56</v>
      </c>
      <c r="F660" s="8" t="s">
        <v>51</v>
      </c>
      <c r="G660" s="236">
        <f>_xlfn.XLOOKUP($C660,'Site Level Financials - ''23 ''24'!$C$2:$C$1577,'Site Level Financials - ''23 ''24'!S$2:S$1577)</f>
        <v>92</v>
      </c>
      <c r="H660" s="237">
        <f>_xlfn.XLOOKUP($C660,'Site Level Financials - ''23 ''24'!$C$2:$C$1577,'Site Level Financials - ''23 ''24'!T$2:T$1577)</f>
        <v>88</v>
      </c>
      <c r="I660" s="237">
        <f>_xlfn.XLOOKUP($C660,'Site Level Financials - ''23 ''24'!$C$2:$C$1577,'Site Level Financials - ''23 ''24'!U$2:U$1577)</f>
        <v>88</v>
      </c>
      <c r="J660" s="238">
        <f>_xlfn.XLOOKUP($C660,'Site Level Financials - ''23 ''24'!$C$2:$C$1577,'Site Level Financials - ''23 ''24'!V$2:V$1577)</f>
        <v>66</v>
      </c>
      <c r="K660" s="238">
        <f>_xlfn.XLOOKUP($C660,'Site Level Financials - ''23 ''24'!$C$2:$C$1577,'Site Level Financials - ''23 ''24'!W$2:W$1577)</f>
        <v>72</v>
      </c>
      <c r="L660" s="238">
        <f>_xlfn.XLOOKUP($C660,'Site Level Financials - ''23 ''24'!$C$2:$C$1577,'Site Level Financials - ''23 ''24'!X$2:X$1577)</f>
        <v>84</v>
      </c>
      <c r="M660" s="238">
        <f>_xlfn.XLOOKUP($C660,'Site Level Financials - ''23 ''24'!$C$2:$C$1577,'Site Level Financials - ''23 ''24'!Y$2:Y$1577)</f>
        <v>92</v>
      </c>
      <c r="N660" s="238">
        <f>_xlfn.XLOOKUP($C660,'Site Level Financials - ''23 ''24'!$C$2:$C$1577,'Site Level Financials - ''23 ''24'!Z$2:Z$1577)</f>
        <v>115</v>
      </c>
      <c r="O660" s="238">
        <f>_xlfn.XLOOKUP($C660,'Site Level Financials - ''23 ''24'!$C$2:$C$1577,'Site Level Financials - ''23 ''24'!AA$2:AA$1577)</f>
        <v>105</v>
      </c>
      <c r="P660" s="238">
        <f>_xlfn.XLOOKUP($C660,'Site Level Financials - ''23 ''24'!$C$2:$C$1577,'Site Level Financials - ''23 ''24'!AB$2:AB$1577)</f>
        <v>120</v>
      </c>
      <c r="Q660" s="238">
        <f>_xlfn.XLOOKUP($C660,'Site Level Financials - ''23 ''24'!$C$2:$C$1577,'Site Level Financials - ''23 ''24'!AC$2:AC$1577)</f>
        <v>110</v>
      </c>
      <c r="R660" s="238">
        <f>_xlfn.XLOOKUP($C660,'Site Level Financials - ''23 ''24'!$C$2:$C$1577,'Site Level Financials - ''23 ''24'!AD$2:AD$1577)</f>
        <v>110</v>
      </c>
      <c r="S660" s="125">
        <f t="shared" ref="S660:AD660" si="1854">S658*S659</f>
        <v>115</v>
      </c>
      <c r="T660" s="127">
        <f t="shared" si="1854"/>
        <v>110</v>
      </c>
      <c r="U660" s="127">
        <f t="shared" si="1854"/>
        <v>110</v>
      </c>
      <c r="V660" s="127">
        <f t="shared" si="1854"/>
        <v>110</v>
      </c>
      <c r="W660" s="127">
        <f t="shared" si="1854"/>
        <v>120</v>
      </c>
      <c r="X660" s="127">
        <f t="shared" si="1854"/>
        <v>105</v>
      </c>
      <c r="Y660" s="127">
        <f t="shared" si="1854"/>
        <v>115</v>
      </c>
      <c r="Z660" s="127">
        <f t="shared" si="1854"/>
        <v>115</v>
      </c>
      <c r="AA660" s="127">
        <f t="shared" si="1854"/>
        <v>105</v>
      </c>
      <c r="AB660" s="127">
        <f t="shared" si="1854"/>
        <v>120</v>
      </c>
      <c r="AC660" s="127">
        <f t="shared" si="1854"/>
        <v>110</v>
      </c>
      <c r="AD660" s="128">
        <f t="shared" si="1854"/>
        <v>110</v>
      </c>
      <c r="AF660" s="112">
        <f>_xlfn.XLOOKUP($C660,'Site Level Financials - ''23 ''24'!$C$2:$C$1577,'Site Level Financials - ''23 ''24'!$AF$2:$AF$1577)</f>
        <v>1234</v>
      </c>
      <c r="AG660" s="120">
        <f>SUM(G660:R660)</f>
        <v>1142</v>
      </c>
      <c r="AH660" s="120">
        <f t="shared" ref="AH660" si="1855">SUM(S660:AD660)</f>
        <v>1345</v>
      </c>
    </row>
    <row r="661" spans="2:34" x14ac:dyDescent="0.2">
      <c r="B661" s="9">
        <f>G652</f>
        <v>14</v>
      </c>
      <c r="C661" s="9" t="str">
        <f t="shared" si="1852"/>
        <v>14 - Production per Vet Workday</v>
      </c>
      <c r="D661" s="9" t="s">
        <v>56</v>
      </c>
      <c r="F661" s="7" t="s">
        <v>50</v>
      </c>
      <c r="G661" s="239">
        <f>_xlfn.XLOOKUP($C661,'Site Level Financials - ''23 ''24'!$C$2:$C$1577,'Site Level Financials - ''23 ''24'!S$2:S$1577)</f>
        <v>4.73713429249021</v>
      </c>
      <c r="H661" s="240">
        <f>_xlfn.XLOOKUP($C661,'Site Level Financials - ''23 ''24'!$C$2:$C$1577,'Site Level Financials - ''23 ''24'!T$2:T$1577)</f>
        <v>4.8160244060927386</v>
      </c>
      <c r="I661" s="240">
        <f>_xlfn.XLOOKUP($C661,'Site Level Financials - ''23 ''24'!$C$2:$C$1577,'Site Level Financials - ''23 ''24'!U$2:U$1577)</f>
        <v>5.1871467867651893</v>
      </c>
      <c r="J661" s="240">
        <f>_xlfn.XLOOKUP($C661,'Site Level Financials - ''23 ''24'!$C$2:$C$1577,'Site Level Financials - ''23 ''24'!V$2:V$1577)</f>
        <v>5.9249640237352228</v>
      </c>
      <c r="K661" s="240">
        <f>_xlfn.XLOOKUP($C661,'Site Level Financials - ''23 ''24'!$C$2:$C$1577,'Site Level Financials - ''23 ''24'!W$2:W$1577)</f>
        <v>5.7445991864455763</v>
      </c>
      <c r="L661" s="240">
        <f>_xlfn.XLOOKUP($C661,'Site Level Financials - ''23 ''24'!$C$2:$C$1577,'Site Level Financials - ''23 ''24'!X$2:X$1577)</f>
        <v>4.9005212008164412</v>
      </c>
      <c r="M661" s="240">
        <f>_xlfn.XLOOKUP($C661,'Site Level Financials - ''23 ''24'!$C$2:$C$1577,'Site Level Financials - ''23 ''24'!Y$2:Y$1577)</f>
        <v>4.7825475742776886</v>
      </c>
      <c r="N661" s="240">
        <f>_xlfn.XLOOKUP($C661,'Site Level Financials - ''23 ''24'!$C$2:$C$1577,'Site Level Financials - ''23 ''24'!Z$2:Z$1577)</f>
        <v>4.1464776145075799</v>
      </c>
      <c r="O661" s="240">
        <f>_xlfn.XLOOKUP($C661,'Site Level Financials - ''23 ''24'!$C$2:$C$1577,'Site Level Financials - ''23 ''24'!AA$2:AA$1577)</f>
        <v>4.090287359072069</v>
      </c>
      <c r="P661" s="240">
        <f>_xlfn.XLOOKUP($C661,'Site Level Financials - ''23 ''24'!$C$2:$C$1577,'Site Level Financials - ''23 ''24'!AB$2:AB$1577)</f>
        <v>4.0705877219749302</v>
      </c>
      <c r="Q661" s="240">
        <f>_xlfn.XLOOKUP($C661,'Site Level Financials - ''23 ''24'!$C$2:$C$1577,'Site Level Financials - ''23 ''24'!AC$2:AC$1577)</f>
        <v>3.6258351223385863</v>
      </c>
      <c r="R661" s="240">
        <f>_xlfn.XLOOKUP($C661,'Site Level Financials - ''23 ''24'!$C$2:$C$1577,'Site Level Financials - ''23 ''24'!AD$2:AD$1577)</f>
        <v>2.6331003298836642</v>
      </c>
      <c r="S661" s="239">
        <f>R661*(1+_xlfn.XLOOKUP($R658,'Budget Assumption Driver'!$A$15:$A$19,'Budget Assumption Driver'!E$15:E$19))</f>
        <v>3.7253333834975213</v>
      </c>
      <c r="T661" s="240">
        <f>S661*(1+_xlfn.XLOOKUP($R658,'Budget Assumption Driver'!$A$15:$A$19,'Budget Assumption Driver'!F$15:F$19))</f>
        <v>4.0328448676051503</v>
      </c>
      <c r="U661" s="240">
        <f>T661*(1+_xlfn.XLOOKUP($R658,'Budget Assumption Driver'!$A$15:$A$19,'Budget Assumption Driver'!G$15:G$19))</f>
        <v>4.3304254020069548</v>
      </c>
      <c r="V661" s="240">
        <f>U661*(1+_xlfn.XLOOKUP($R658,'Budget Assumption Driver'!$A$15:$A$19,'Budget Assumption Driver'!H$15:H$19))</f>
        <v>4.6385851521664065</v>
      </c>
      <c r="W661" s="240">
        <f>V661*(1+_xlfn.XLOOKUP($R658,'Budget Assumption Driver'!$A$15:$A$19,'Budget Assumption Driver'!I$15:I$19))</f>
        <v>5.0535949397513935</v>
      </c>
      <c r="X661" s="240">
        <f>W661*(1+_xlfn.XLOOKUP($R658,'Budget Assumption Driver'!$A$15:$A$19,'Budget Assumption Driver'!J$15:J$19))</f>
        <v>4.8500000157609566</v>
      </c>
      <c r="Y661" s="240">
        <f>X661*(1+_xlfn.XLOOKUP($R658,'Budget Assumption Driver'!$A$15:$A$19,'Budget Assumption Driver'!K$15:K$19))</f>
        <v>4.4611945350519324</v>
      </c>
      <c r="Z661" s="240">
        <f>Y661*(1+_xlfn.XLOOKUP($R658,'Budget Assumption Driver'!$A$15:$A$19,'Budget Assumption Driver'!L$15:L$19))</f>
        <v>3.8254334093108984</v>
      </c>
      <c r="AA661" s="240">
        <f>Z661*(1+_xlfn.XLOOKUP($R658,'Budget Assumption Driver'!$A$15:$A$19,'Budget Assumption Driver'!M$15:M$19))</f>
        <v>3.8413275116544381</v>
      </c>
      <c r="AB661" s="240">
        <f>AA661*(1+_xlfn.XLOOKUP($R658,'Budget Assumption Driver'!$A$15:$A$19,'Budget Assumption Driver'!N$15:N$19))</f>
        <v>3.8602696680098814</v>
      </c>
      <c r="AC661" s="240">
        <f>AB661*(1+_xlfn.XLOOKUP($R658,'Budget Assumption Driver'!$A$15:$A$19,'Budget Assumption Driver'!O$15:O$19))</f>
        <v>3.3288254745712984</v>
      </c>
      <c r="AD661" s="291">
        <f>AC661*(1+_xlfn.XLOOKUP($R658,'Budget Assumption Driver'!$A$15:$A$19,'Budget Assumption Driver'!P$15:P$19))</f>
        <v>2.7170291380318701</v>
      </c>
      <c r="AE661" s="15"/>
      <c r="AF661" s="230">
        <f>_xlfn.XLOOKUP($C661,'Site Level Financials - ''23 ''24'!$C$2:$C$1577,'Site Level Financials - ''23 ''24'!$AF$2:$AF$1577)</f>
        <v>4.5235220974107326</v>
      </c>
      <c r="AG661" s="101">
        <f>AG662/AG660</f>
        <v>4.4270322848736514</v>
      </c>
      <c r="AH661" s="101">
        <f>AH662/AH660</f>
        <v>4.0586444608147918</v>
      </c>
    </row>
    <row r="662" spans="2:34" x14ac:dyDescent="0.2">
      <c r="B662" s="9">
        <f>G652</f>
        <v>14</v>
      </c>
      <c r="C662" s="9" t="str">
        <f t="shared" si="1852"/>
        <v>14 - Total Production</v>
      </c>
      <c r="D662" s="9" t="s">
        <v>56</v>
      </c>
      <c r="F662" s="8" t="s">
        <v>1</v>
      </c>
      <c r="G662" s="241">
        <f>_xlfn.XLOOKUP($C662,'Site Level Financials - ''23 ''24'!$C$2:$C$1577,'Site Level Financials - ''23 ''24'!S$2:S$1577)</f>
        <v>435.81635490909935</v>
      </c>
      <c r="H662" s="242">
        <f>_xlfn.XLOOKUP($C662,'Site Level Financials - ''23 ''24'!$C$2:$C$1577,'Site Level Financials - ''23 ''24'!T$2:T$1577)</f>
        <v>423.81014773616101</v>
      </c>
      <c r="I662" s="242">
        <f>_xlfn.XLOOKUP($C662,'Site Level Financials - ''23 ''24'!$C$2:$C$1577,'Site Level Financials - ''23 ''24'!U$2:U$1577)</f>
        <v>456.46891723533668</v>
      </c>
      <c r="J662" s="242">
        <f>_xlfn.XLOOKUP($C662,'Site Level Financials - ''23 ''24'!$C$2:$C$1577,'Site Level Financials - ''23 ''24'!V$2:V$1577)</f>
        <v>391.04762556652469</v>
      </c>
      <c r="K662" s="242">
        <f>_xlfn.XLOOKUP($C662,'Site Level Financials - ''23 ''24'!$C$2:$C$1577,'Site Level Financials - ''23 ''24'!W$2:W$1577)</f>
        <v>413.6111414240815</v>
      </c>
      <c r="L662" s="242">
        <f>_xlfn.XLOOKUP($C662,'Site Level Financials - ''23 ''24'!$C$2:$C$1577,'Site Level Financials - ''23 ''24'!X$2:X$1577)</f>
        <v>411.64378086858108</v>
      </c>
      <c r="M662" s="242">
        <f>_xlfn.XLOOKUP($C662,'Site Level Financials - ''23 ''24'!$C$2:$C$1577,'Site Level Financials - ''23 ''24'!Y$2:Y$1577)</f>
        <v>439.99437683354734</v>
      </c>
      <c r="N662" s="242">
        <f>_xlfn.XLOOKUP($C662,'Site Level Financials - ''23 ''24'!$C$2:$C$1577,'Site Level Financials - ''23 ''24'!Z$2:Z$1577)</f>
        <v>476.84492566837167</v>
      </c>
      <c r="O662" s="242">
        <f>_xlfn.XLOOKUP($C662,'Site Level Financials - ''23 ''24'!$C$2:$C$1577,'Site Level Financials - ''23 ''24'!AA$2:AA$1577)</f>
        <v>429.48017270256724</v>
      </c>
      <c r="P662" s="242">
        <f>_xlfn.XLOOKUP($C662,'Site Level Financials - ''23 ''24'!$C$2:$C$1577,'Site Level Financials - ''23 ''24'!AB$2:AB$1577)</f>
        <v>488.47052663699162</v>
      </c>
      <c r="Q662" s="242">
        <f>_xlfn.XLOOKUP($C662,'Site Level Financials - ''23 ''24'!$C$2:$C$1577,'Site Level Financials - ''23 ''24'!AC$2:AC$1577)</f>
        <v>398.84186345724447</v>
      </c>
      <c r="R662" s="242">
        <f>_xlfn.XLOOKUP($C662,'Site Level Financials - ''23 ''24'!$C$2:$C$1577,'Site Level Financials - ''23 ''24'!AD$2:AD$1577)</f>
        <v>289.64103628720306</v>
      </c>
      <c r="S662" s="134">
        <f t="shared" ref="S662:AD662" si="1856">S661*S660</f>
        <v>428.41333910221493</v>
      </c>
      <c r="T662" s="135">
        <f t="shared" si="1856"/>
        <v>443.61293543656654</v>
      </c>
      <c r="U662" s="135">
        <f t="shared" si="1856"/>
        <v>476.34679422076505</v>
      </c>
      <c r="V662" s="135">
        <f t="shared" si="1856"/>
        <v>510.24436673830473</v>
      </c>
      <c r="W662" s="135">
        <f t="shared" si="1856"/>
        <v>606.43139277016724</v>
      </c>
      <c r="X662" s="135">
        <f t="shared" si="1856"/>
        <v>509.25000165490047</v>
      </c>
      <c r="Y662" s="135">
        <f t="shared" si="1856"/>
        <v>513.03737153097222</v>
      </c>
      <c r="Z662" s="135">
        <f t="shared" si="1856"/>
        <v>439.9248420707533</v>
      </c>
      <c r="AA662" s="135">
        <f t="shared" si="1856"/>
        <v>403.33938872371601</v>
      </c>
      <c r="AB662" s="135">
        <f t="shared" si="1856"/>
        <v>463.23236016118574</v>
      </c>
      <c r="AC662" s="135">
        <f t="shared" si="1856"/>
        <v>366.17080220284282</v>
      </c>
      <c r="AD662" s="136">
        <f t="shared" si="1856"/>
        <v>298.87320518350572</v>
      </c>
      <c r="AE662" s="15"/>
      <c r="AF662" s="113">
        <f>_xlfn.XLOOKUP($C662,'Site Level Financials - ''23 ''24'!$C$2:$C$1577,'Site Level Financials - ''23 ''24'!$AF$2:$AF$1577)</f>
        <v>5534.8726625608269</v>
      </c>
      <c r="AG662" s="95">
        <f>SUM(G662:R662)</f>
        <v>5055.6708693257096</v>
      </c>
      <c r="AH662" s="95">
        <f t="shared" ref="AH662" si="1857">SUM(S662:AD662)</f>
        <v>5458.8767997958948</v>
      </c>
    </row>
    <row r="663" spans="2:34" x14ac:dyDescent="0.2">
      <c r="B663" s="9">
        <f>G652</f>
        <v>14</v>
      </c>
      <c r="C663" s="9" t="str">
        <f t="shared" si="1852"/>
        <v>14 - Revenue as a % of Production</v>
      </c>
      <c r="D663" s="9" t="s">
        <v>56</v>
      </c>
      <c r="F663" s="7" t="s">
        <v>2</v>
      </c>
      <c r="G663" s="243">
        <f>_xlfn.XLOOKUP($C663,'Site Level Financials - ''23 ''24'!$C$2:$C$1577,'Site Level Financials - ''23 ''24'!S$2:S$1577)</f>
        <v>0.9785631729931672</v>
      </c>
      <c r="H663" s="244">
        <f>_xlfn.XLOOKUP($C663,'Site Level Financials - ''23 ''24'!$C$2:$C$1577,'Site Level Financials - ''23 ''24'!T$2:T$1577)</f>
        <v>0.9785631729931672</v>
      </c>
      <c r="I663" s="244">
        <f>_xlfn.XLOOKUP($C663,'Site Level Financials - ''23 ''24'!$C$2:$C$1577,'Site Level Financials - ''23 ''24'!U$2:U$1577)</f>
        <v>0.9785631729931672</v>
      </c>
      <c r="J663" s="244">
        <f>_xlfn.XLOOKUP($C663,'Site Level Financials - ''23 ''24'!$C$2:$C$1577,'Site Level Financials - ''23 ''24'!V$2:V$1577)</f>
        <v>0.9785631729931672</v>
      </c>
      <c r="K663" s="244">
        <f>_xlfn.XLOOKUP($C663,'Site Level Financials - ''23 ''24'!$C$2:$C$1577,'Site Level Financials - ''23 ''24'!W$2:W$1577)</f>
        <v>0.9785631729931672</v>
      </c>
      <c r="L663" s="244">
        <f>_xlfn.XLOOKUP($C663,'Site Level Financials - ''23 ''24'!$C$2:$C$1577,'Site Level Financials - ''23 ''24'!X$2:X$1577)</f>
        <v>0.9785631729931672</v>
      </c>
      <c r="M663" s="244">
        <f>_xlfn.XLOOKUP($C663,'Site Level Financials - ''23 ''24'!$C$2:$C$1577,'Site Level Financials - ''23 ''24'!Y$2:Y$1577)</f>
        <v>0.9785631729931672</v>
      </c>
      <c r="N663" s="244">
        <f>_xlfn.XLOOKUP($C663,'Site Level Financials - ''23 ''24'!$C$2:$C$1577,'Site Level Financials - ''23 ''24'!Z$2:Z$1577)</f>
        <v>0.9785631729931672</v>
      </c>
      <c r="O663" s="244">
        <f>_xlfn.XLOOKUP($C663,'Site Level Financials - ''23 ''24'!$C$2:$C$1577,'Site Level Financials - ''23 ''24'!AA$2:AA$1577)</f>
        <v>0.9785631729931672</v>
      </c>
      <c r="P663" s="244">
        <f>_xlfn.XLOOKUP($C663,'Site Level Financials - ''23 ''24'!$C$2:$C$1577,'Site Level Financials - ''23 ''24'!AB$2:AB$1577)</f>
        <v>0.9785631729931672</v>
      </c>
      <c r="Q663" s="244">
        <f>_xlfn.XLOOKUP($C663,'Site Level Financials - ''23 ''24'!$C$2:$C$1577,'Site Level Financials - ''23 ''24'!AC$2:AC$1577)</f>
        <v>0.9785631729931672</v>
      </c>
      <c r="R663" s="244">
        <f>_xlfn.XLOOKUP($C663,'Site Level Financials - ''23 ''24'!$C$2:$C$1577,'Site Level Financials - ''23 ''24'!AD$2:AD$1577)</f>
        <v>0.9785631729931672</v>
      </c>
      <c r="S663" s="292">
        <f>SUM(G692:R692)/SUM(G662:R662)</f>
        <v>0.97452849845585177</v>
      </c>
      <c r="T663" s="203">
        <f>S663</f>
        <v>0.97452849845585177</v>
      </c>
      <c r="U663" s="203">
        <f t="shared" ref="U663:AD663" si="1858">T663</f>
        <v>0.97452849845585177</v>
      </c>
      <c r="V663" s="203">
        <f t="shared" si="1858"/>
        <v>0.97452849845585177</v>
      </c>
      <c r="W663" s="203">
        <f t="shared" si="1858"/>
        <v>0.97452849845585177</v>
      </c>
      <c r="X663" s="203">
        <f t="shared" si="1858"/>
        <v>0.97452849845585177</v>
      </c>
      <c r="Y663" s="203">
        <f t="shared" si="1858"/>
        <v>0.97452849845585177</v>
      </c>
      <c r="Z663" s="203">
        <f t="shared" si="1858"/>
        <v>0.97452849845585177</v>
      </c>
      <c r="AA663" s="203">
        <f t="shared" si="1858"/>
        <v>0.97452849845585177</v>
      </c>
      <c r="AB663" s="203">
        <f t="shared" si="1858"/>
        <v>0.97452849845585177</v>
      </c>
      <c r="AC663" s="203">
        <f t="shared" si="1858"/>
        <v>0.97452849845585177</v>
      </c>
      <c r="AD663" s="204">
        <f t="shared" si="1858"/>
        <v>0.97452849845585177</v>
      </c>
      <c r="AE663" s="15"/>
      <c r="AF663" s="231">
        <f>_xlfn.XLOOKUP($C663,'Site Level Financials - ''23 ''24'!$C$2:$C$1577,'Site Level Financials - ''23 ''24'!$AF$2:$AF$1577)</f>
        <v>0.98364295538393309</v>
      </c>
      <c r="AG663" s="103">
        <f>AG664/AG662</f>
        <v>0.97856317299316731</v>
      </c>
      <c r="AH663" s="103">
        <f>AH664/AH662</f>
        <v>0.97452849845585166</v>
      </c>
    </row>
    <row r="664" spans="2:34" x14ac:dyDescent="0.2">
      <c r="B664" s="9">
        <f>G652</f>
        <v>14</v>
      </c>
      <c r="C664" s="9" t="str">
        <f t="shared" si="1852"/>
        <v>14 - Total Revenue</v>
      </c>
      <c r="D664" s="9" t="s">
        <v>56</v>
      </c>
      <c r="F664" s="8" t="s">
        <v>3</v>
      </c>
      <c r="G664" s="241">
        <f>_xlfn.XLOOKUP($C664,'Site Level Financials - ''23 ''24'!$C$2:$C$1577,'Site Level Financials - ''23 ''24'!S$2:S$1577)</f>
        <v>426.47383510216451</v>
      </c>
      <c r="H664" s="242">
        <f>_xlfn.XLOOKUP($C664,'Site Level Financials - ''23 ''24'!$C$2:$C$1577,'Site Level Financials - ''23 ''24'!T$2:T$1577)</f>
        <v>414.72500291540069</v>
      </c>
      <c r="I664" s="242">
        <f>_xlfn.XLOOKUP($C664,'Site Level Financials - ''23 ''24'!$C$2:$C$1577,'Site Level Financials - ''23 ''24'!U$2:U$1577)</f>
        <v>446.6836720225665</v>
      </c>
      <c r="J664" s="242">
        <f>_xlfn.XLOOKUP($C664,'Site Level Financials - ''23 ''24'!$C$2:$C$1577,'Site Level Financials - ''23 ''24'!V$2:V$1577)</f>
        <v>382.66480526582239</v>
      </c>
      <c r="K664" s="242">
        <f>_xlfn.XLOOKUP($C664,'Site Level Financials - ''23 ''24'!$C$2:$C$1577,'Site Level Financials - ''23 ''24'!W$2:W$1577)</f>
        <v>404.74463093727479</v>
      </c>
      <c r="L664" s="242">
        <f>_xlfn.XLOOKUP($C664,'Site Level Financials - ''23 ''24'!$C$2:$C$1577,'Site Level Financials - ''23 ''24'!X$2:X$1577)</f>
        <v>402.81944434966272</v>
      </c>
      <c r="M664" s="242">
        <f>_xlfn.XLOOKUP($C664,'Site Level Financials - ''23 ''24'!$C$2:$C$1577,'Site Level Financials - ''23 ''24'!Y$2:Y$1577)</f>
        <v>430.56229349338736</v>
      </c>
      <c r="N664" s="242">
        <f>_xlfn.XLOOKUP($C664,'Site Level Financials - ''23 ''24'!$C$2:$C$1577,'Site Level Financials - ''23 ''24'!Z$2:Z$1577)</f>
        <v>466.62288348773274</v>
      </c>
      <c r="O664" s="242">
        <f>_xlfn.XLOOKUP($C664,'Site Level Financials - ''23 ''24'!$C$2:$C$1577,'Site Level Financials - ''23 ''24'!AA$2:AA$1577)</f>
        <v>420.27348053747761</v>
      </c>
      <c r="P664" s="242">
        <f>_xlfn.XLOOKUP($C664,'Site Level Financials - ''23 ''24'!$C$2:$C$1577,'Site Level Financials - ''23 ''24'!AB$2:AB$1577)</f>
        <v>477.99926845953792</v>
      </c>
      <c r="Q664" s="242">
        <f>_xlfn.XLOOKUP($C664,'Site Level Financials - ''23 ''24'!$C$2:$C$1577,'Site Level Financials - ''23 ''24'!AC$2:AC$1577)</f>
        <v>390.29195942722868</v>
      </c>
      <c r="R664" s="242">
        <f>_xlfn.XLOOKUP($C664,'Site Level Financials - ''23 ''24'!$C$2:$C$1577,'Site Level Financials - ''23 ''24'!AD$2:AD$1577)</f>
        <v>283.4320514982345</v>
      </c>
      <c r="S664" s="134">
        <f t="shared" ref="S664:AD664" si="1859">S663*S662</f>
        <v>417.50100807373917</v>
      </c>
      <c r="T664" s="135">
        <f t="shared" si="1859"/>
        <v>432.31344786658991</v>
      </c>
      <c r="U664" s="135">
        <f t="shared" si="1859"/>
        <v>464.21352611622075</v>
      </c>
      <c r="V664" s="135">
        <f t="shared" si="1859"/>
        <v>497.24767656303709</v>
      </c>
      <c r="W664" s="135">
        <f t="shared" si="1859"/>
        <v>590.984674612802</v>
      </c>
      <c r="X664" s="135">
        <f t="shared" si="1859"/>
        <v>496.27863945139018</v>
      </c>
      <c r="Y664" s="135">
        <f t="shared" si="1859"/>
        <v>499.96953932981529</v>
      </c>
      <c r="Z664" s="135">
        <f t="shared" si="1859"/>
        <v>428.71929577663894</v>
      </c>
      <c r="AA664" s="135">
        <f t="shared" si="1859"/>
        <v>393.06572886102407</v>
      </c>
      <c r="AB664" s="135">
        <f t="shared" si="1859"/>
        <v>451.43313638404067</v>
      </c>
      <c r="AC664" s="135">
        <f t="shared" si="1859"/>
        <v>356.84388204911113</v>
      </c>
      <c r="AD664" s="136">
        <f t="shared" si="1859"/>
        <v>291.26045587616954</v>
      </c>
      <c r="AE664" s="15"/>
      <c r="AF664" s="113">
        <f>_xlfn.XLOOKUP($C664,'Site Level Financials - ''23 ''24'!$C$2:$C$1577,'Site Level Financials - ''23 ''24'!$AF$2:$AF$1577)</f>
        <v>5444.3385034750709</v>
      </c>
      <c r="AG664" s="95">
        <f>SUM(G664:R664)</f>
        <v>4947.2933274964907</v>
      </c>
      <c r="AH664" s="95">
        <f t="shared" ref="AH664" si="1860">SUM(S664:AD664)</f>
        <v>5319.8310109605782</v>
      </c>
    </row>
    <row r="665" spans="2:34" x14ac:dyDescent="0.2">
      <c r="B665" s="9">
        <f>G652</f>
        <v>14</v>
      </c>
      <c r="C665" s="9" t="str">
        <f t="shared" si="1852"/>
        <v>14 - % YoY Revenue Growth</v>
      </c>
      <c r="D665" s="9" t="s">
        <v>56</v>
      </c>
      <c r="F665" s="16" t="s">
        <v>174</v>
      </c>
      <c r="G665" s="245">
        <f>_xlfn.XLOOKUP($C665,'Site Level Financials - ''23 ''24'!$C$2:$C$1577,'Site Level Financials - ''23 ''24'!S$2:S$1577)</f>
        <v>0.14914250362868264</v>
      </c>
      <c r="H665" s="246">
        <f>_xlfn.XLOOKUP($C665,'Site Level Financials - ''23 ''24'!$C$2:$C$1577,'Site Level Financials - ''23 ''24'!T$2:T$1577)</f>
        <v>0.10233060741153155</v>
      </c>
      <c r="I665" s="246">
        <f>_xlfn.XLOOKUP($C665,'Site Level Financials - ''23 ''24'!$C$2:$C$1577,'Site Level Financials - ''23 ''24'!U$2:U$1577)</f>
        <v>-5.2123494363847556E-2</v>
      </c>
      <c r="J665" s="246">
        <f>_xlfn.XLOOKUP($C665,'Site Level Financials - ''23 ''24'!$C$2:$C$1577,'Site Level Financials - ''23 ''24'!V$2:V$1577)</f>
        <v>-0.12381793923569262</v>
      </c>
      <c r="K665" s="246">
        <f>_xlfn.XLOOKUP($C665,'Site Level Financials - ''23 ''24'!$C$2:$C$1577,'Site Level Financials - ''23 ''24'!W$2:W$1577)</f>
        <v>-0.19976752021164168</v>
      </c>
      <c r="L665" s="246">
        <f>_xlfn.XLOOKUP($C665,'Site Level Financials - ''23 ''24'!$C$2:$C$1577,'Site Level Financials - ''23 ''24'!X$2:X$1577)</f>
        <v>-0.2699285861716797</v>
      </c>
      <c r="M665" s="246">
        <f>_xlfn.XLOOKUP($C665,'Site Level Financials - ''23 ''24'!$C$2:$C$1577,'Site Level Financials - ''23 ''24'!Y$2:Y$1577)</f>
        <v>-0.13356457267723154</v>
      </c>
      <c r="N665" s="246">
        <f>_xlfn.XLOOKUP($C665,'Site Level Financials - ''23 ''24'!$C$2:$C$1577,'Site Level Financials - ''23 ''24'!Z$2:Z$1577)</f>
        <v>-5.5032549293642985E-2</v>
      </c>
      <c r="O665" s="246">
        <f>_xlfn.XLOOKUP($C665,'Site Level Financials - ''23 ''24'!$C$2:$C$1577,'Site Level Financials - ''23 ''24'!AA$2:AA$1577)</f>
        <v>-8.283130539470307E-2</v>
      </c>
      <c r="P665" s="246">
        <f>_xlfn.XLOOKUP($C665,'Site Level Financials - ''23 ''24'!$C$2:$C$1577,'Site Level Financials - ''23 ''24'!AB$2:AB$1577)</f>
        <v>1.2451937937945079E-3</v>
      </c>
      <c r="Q665" s="246">
        <f>_xlfn.XLOOKUP($C665,'Site Level Financials - ''23 ''24'!$C$2:$C$1577,'Site Level Financials - ''23 ''24'!AC$2:AC$1577)</f>
        <v>-0.12053423147532694</v>
      </c>
      <c r="R665" s="246">
        <f>_xlfn.XLOOKUP($C665,'Site Level Financials - ''23 ''24'!$C$2:$C$1577,'Site Level Financials - ''23 ''24'!AD$2:AD$1577)</f>
        <v>-0.21555215748825063</v>
      </c>
      <c r="S665" s="148">
        <f>S664/G664-1</f>
        <v>-2.1039572161035025E-2</v>
      </c>
      <c r="T665" s="149">
        <f t="shared" ref="T665" si="1861">T664/H664-1</f>
        <v>4.2409897709439592E-2</v>
      </c>
      <c r="U665" s="149">
        <f t="shared" ref="U665" si="1862">U664/I664-1</f>
        <v>3.9244447898173052E-2</v>
      </c>
      <c r="V665" s="149">
        <f t="shared" ref="V665" si="1863">V664/J664-1</f>
        <v>0.29943404703136589</v>
      </c>
      <c r="W665" s="149">
        <f t="shared" ref="W665" si="1864">W664/K664-1</f>
        <v>0.4601420981033093</v>
      </c>
      <c r="X665" s="149">
        <f t="shared" ref="X665" si="1865">X664/L664-1</f>
        <v>0.23201262107049958</v>
      </c>
      <c r="Y665" s="149">
        <f t="shared" ref="Y665" si="1866">Y664/M664-1</f>
        <v>0.1612014031077571</v>
      </c>
      <c r="Z665" s="149">
        <f t="shared" ref="Z665" si="1867">Z664/N664-1</f>
        <v>-8.122959471637281E-2</v>
      </c>
      <c r="AA665" s="149">
        <f t="shared" ref="AA665" si="1868">AA664/O664-1</f>
        <v>-6.4738207230344846E-2</v>
      </c>
      <c r="AB665" s="149">
        <f t="shared" ref="AB665" si="1869">AB664/P664-1</f>
        <v>-5.557776722360408E-2</v>
      </c>
      <c r="AC665" s="149">
        <f t="shared" ref="AC665" si="1870">AC664/Q664-1</f>
        <v>-8.5700144648647503E-2</v>
      </c>
      <c r="AD665" s="150">
        <f t="shared" ref="AD665" si="1871">AD664/R664-1</f>
        <v>2.7620039217702175E-2</v>
      </c>
      <c r="AE665" s="15"/>
      <c r="AF665" s="11"/>
      <c r="AG665" s="97">
        <f>AG664/AF664-1</f>
        <v>-9.1295788397676048E-2</v>
      </c>
      <c r="AH665" s="97">
        <f>AH664/AG664-1</f>
        <v>7.5301313021721494E-2</v>
      </c>
    </row>
    <row r="666" spans="2:34" ht="6" customHeight="1" x14ac:dyDescent="0.2">
      <c r="B666" s="9">
        <f>G652</f>
        <v>14</v>
      </c>
      <c r="C666" s="9" t="str">
        <f t="shared" si="1852"/>
        <v xml:space="preserve">14 - </v>
      </c>
      <c r="D666" s="9" t="s">
        <v>56</v>
      </c>
      <c r="G666" s="80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80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81"/>
      <c r="AE666" s="15"/>
      <c r="AF666" s="11"/>
      <c r="AG666" s="15"/>
      <c r="AH666" s="15"/>
    </row>
    <row r="667" spans="2:34" x14ac:dyDescent="0.2">
      <c r="B667" s="9">
        <f>G652</f>
        <v>14</v>
      </c>
      <c r="C667" s="9" t="str">
        <f t="shared" si="1852"/>
        <v>14 - Doctor Compensation</v>
      </c>
      <c r="D667" s="9" t="s">
        <v>56</v>
      </c>
      <c r="F667" t="s">
        <v>4</v>
      </c>
      <c r="G667" s="178">
        <f>_xlfn.XLOOKUP($C667,'Site Level Financials - ''23 ''24'!$C$2:$C$1577,'Site Level Financials - ''23 ''24'!S$2:S$1577)</f>
        <v>-166.49517671148922</v>
      </c>
      <c r="H667" s="179">
        <f>_xlfn.XLOOKUP($C667,'Site Level Financials - ''23 ''24'!$C$2:$C$1577,'Site Level Financials - ''23 ''24'!T$2:T$1577)</f>
        <v>-158.55531170980751</v>
      </c>
      <c r="I667" s="179">
        <f>_xlfn.XLOOKUP($C667,'Site Level Financials - ''23 ''24'!$C$2:$C$1577,'Site Level Financials - ''23 ''24'!U$2:U$1577)</f>
        <v>-171.24542296337742</v>
      </c>
      <c r="J667" s="179">
        <f>_xlfn.XLOOKUP($C667,'Site Level Financials - ''23 ''24'!$C$2:$C$1577,'Site Level Financials - ''23 ''24'!V$2:V$1577)</f>
        <v>-191.86374116746998</v>
      </c>
      <c r="K667" s="179">
        <f>_xlfn.XLOOKUP($C667,'Site Level Financials - ''23 ''24'!$C$2:$C$1577,'Site Level Financials - ''23 ''24'!W$2:W$1577)</f>
        <v>-199.69429040798408</v>
      </c>
      <c r="L667" s="179">
        <f>_xlfn.XLOOKUP($C667,'Site Level Financials - ''23 ''24'!$C$2:$C$1577,'Site Level Financials - ''23 ''24'!X$2:X$1577)</f>
        <v>-147.45350418790682</v>
      </c>
      <c r="M667" s="179">
        <f>_xlfn.XLOOKUP($C667,'Site Level Financials - ''23 ''24'!$C$2:$C$1577,'Site Level Financials - ''23 ''24'!Y$2:Y$1577)</f>
        <v>-160.60280701983308</v>
      </c>
      <c r="N667" s="179">
        <f>_xlfn.XLOOKUP($C667,'Site Level Financials - ''23 ''24'!$C$2:$C$1577,'Site Level Financials - ''23 ''24'!Z$2:Z$1577)</f>
        <v>-140.73543682351345</v>
      </c>
      <c r="O667" s="179">
        <f>_xlfn.XLOOKUP($C667,'Site Level Financials - ''23 ''24'!$C$2:$C$1577,'Site Level Financials - ''23 ''24'!AA$2:AA$1577)</f>
        <v>-126.52586458438111</v>
      </c>
      <c r="P667" s="179">
        <f>_xlfn.XLOOKUP($C667,'Site Level Financials - ''23 ''24'!$C$2:$C$1577,'Site Level Financials - ''23 ''24'!AB$2:AB$1577)</f>
        <v>-146.48916540780257</v>
      </c>
      <c r="Q667" s="179">
        <f>_xlfn.XLOOKUP($C667,'Site Level Financials - ''23 ''24'!$C$2:$C$1577,'Site Level Financials - ''23 ''24'!AC$2:AC$1577)</f>
        <v>-120.89270223731883</v>
      </c>
      <c r="R667" s="179">
        <f>_xlfn.XLOOKUP($C667,'Site Level Financials - ''23 ''24'!$C$2:$C$1577,'Site Level Financials - ''23 ''24'!AD$2:AD$1577)</f>
        <v>-89.625497198427936</v>
      </c>
      <c r="S667" s="155">
        <f>S668*S664</f>
        <v>-162.99218942660355</v>
      </c>
      <c r="T667" s="154">
        <f t="shared" ref="T667" si="1872">T668*T664</f>
        <v>-165.27962626070877</v>
      </c>
      <c r="U667" s="154">
        <f t="shared" ref="U667" si="1873">U668*U664</f>
        <v>-177.96585504266429</v>
      </c>
      <c r="V667" s="154">
        <f t="shared" ref="V667" si="1874">V668*V664</f>
        <v>-249.31427766382396</v>
      </c>
      <c r="W667" s="154">
        <f t="shared" ref="W667" si="1875">W668*W664</f>
        <v>-291.58204017556545</v>
      </c>
      <c r="X667" s="154">
        <f t="shared" ref="X667" si="1876">X668*X664</f>
        <v>-181.66457818057293</v>
      </c>
      <c r="Y667" s="154">
        <f t="shared" ref="Y667" si="1877">Y668*Y664</f>
        <v>-186.49220485447452</v>
      </c>
      <c r="Z667" s="154">
        <f t="shared" ref="Z667" si="1878">Z668*Z664</f>
        <v>-129.30355432810777</v>
      </c>
      <c r="AA667" s="154">
        <f t="shared" ref="AA667" si="1879">AA668*AA664</f>
        <v>-118.33480694291889</v>
      </c>
      <c r="AB667" s="154">
        <f t="shared" ref="AB667" si="1880">AB668*AB664</f>
        <v>-138.34762467198769</v>
      </c>
      <c r="AC667" s="154">
        <f t="shared" ref="AC667" si="1881">AC668*AC664</f>
        <v>-110.53218016861474</v>
      </c>
      <c r="AD667" s="156">
        <f t="shared" ref="AD667" si="1882">AD668*AD664</f>
        <v>-92.100956945954579</v>
      </c>
      <c r="AE667" s="15"/>
      <c r="AF667" s="115">
        <f>_xlfn.XLOOKUP($C667,'Site Level Financials - ''23 ''24'!$C$2:$C$1577,'Site Level Financials - ''23 ''24'!$AF$2:$AF$1577)</f>
        <v>-1865.1430901697734</v>
      </c>
      <c r="AG667" s="93">
        <f>SUM(G667:R667)</f>
        <v>-1820.1789204193121</v>
      </c>
      <c r="AH667" s="93">
        <f t="shared" ref="AH667" si="1883">SUM(S667:AD667)</f>
        <v>-2003.9098946619972</v>
      </c>
    </row>
    <row r="668" spans="2:34" x14ac:dyDescent="0.2">
      <c r="B668" s="9">
        <f>G652</f>
        <v>14</v>
      </c>
      <c r="C668" s="9" t="str">
        <f t="shared" si="1852"/>
        <v>14 - % of Revenue - Doctor Compensation</v>
      </c>
      <c r="D668" s="9" t="s">
        <v>56</v>
      </c>
      <c r="F668" s="16" t="str">
        <f>"% of Revenue - "&amp;F667</f>
        <v>% of Revenue - Doctor Compensation</v>
      </c>
      <c r="G668" s="148">
        <f>G667/G664</f>
        <v>-0.39039951107810456</v>
      </c>
      <c r="H668" s="149">
        <f t="shared" ref="H668:R668" si="1884">H667/H664</f>
        <v>-0.38231433020726519</v>
      </c>
      <c r="I668" s="149">
        <f t="shared" si="1884"/>
        <v>-0.38337067972058331</v>
      </c>
      <c r="J668" s="149">
        <f t="shared" si="1884"/>
        <v>-0.50138852208838403</v>
      </c>
      <c r="K668" s="149">
        <f t="shared" si="1884"/>
        <v>-0.49338342041881628</v>
      </c>
      <c r="L668" s="149">
        <f t="shared" si="1884"/>
        <v>-0.36605359114668634</v>
      </c>
      <c r="M668" s="149">
        <f t="shared" si="1884"/>
        <v>-0.3730071338035077</v>
      </c>
      <c r="N668" s="149">
        <f t="shared" si="1884"/>
        <v>-0.30160423289059141</v>
      </c>
      <c r="O668" s="149">
        <f t="shared" si="1884"/>
        <v>-0.3010560276669616</v>
      </c>
      <c r="P668" s="149">
        <f t="shared" si="1884"/>
        <v>-0.30646315815481778</v>
      </c>
      <c r="Q668" s="149">
        <f t="shared" si="1884"/>
        <v>-0.30974940507289572</v>
      </c>
      <c r="R668" s="149">
        <f t="shared" si="1884"/>
        <v>-0.31621510949331083</v>
      </c>
      <c r="S668" s="245">
        <f>_xlfn.XLOOKUP($F668,'Budget Assumption Driver'!$A$33:$A$39,'Budget Assumption Driver'!E$33:E$39)+G668</f>
        <v>-0.39039951107810456</v>
      </c>
      <c r="T668" s="246">
        <f>_xlfn.XLOOKUP($F668,'Budget Assumption Driver'!$A$33:$A$39,'Budget Assumption Driver'!F$33:F$39)+H668</f>
        <v>-0.38231433020726519</v>
      </c>
      <c r="U668" s="246">
        <f>_xlfn.XLOOKUP($F668,'Budget Assumption Driver'!$A$33:$A$39,'Budget Assumption Driver'!G$33:G$39)+I668</f>
        <v>-0.38337067972058331</v>
      </c>
      <c r="V668" s="246">
        <f>_xlfn.XLOOKUP($F668,'Budget Assumption Driver'!$A$33:$A$39,'Budget Assumption Driver'!H$33:H$39)+J668</f>
        <v>-0.50138852208838403</v>
      </c>
      <c r="W668" s="246">
        <f>_xlfn.XLOOKUP($F668,'Budget Assumption Driver'!$A$33:$A$39,'Budget Assumption Driver'!I$33:I$39)+K668</f>
        <v>-0.49338342041881628</v>
      </c>
      <c r="X668" s="246">
        <f>_xlfn.XLOOKUP($F668,'Budget Assumption Driver'!$A$33:$A$39,'Budget Assumption Driver'!J$33:J$39)+L668</f>
        <v>-0.36605359114668634</v>
      </c>
      <c r="Y668" s="246">
        <f>_xlfn.XLOOKUP($F668,'Budget Assumption Driver'!$A$33:$A$39,'Budget Assumption Driver'!K$33:K$39)+M668</f>
        <v>-0.3730071338035077</v>
      </c>
      <c r="Z668" s="246">
        <f>_xlfn.XLOOKUP($F668,'Budget Assumption Driver'!$A$33:$A$39,'Budget Assumption Driver'!L$33:L$39)+N668</f>
        <v>-0.30160423289059141</v>
      </c>
      <c r="AA668" s="246">
        <f>_xlfn.XLOOKUP($F668,'Budget Assumption Driver'!$A$33:$A$39,'Budget Assumption Driver'!M$33:M$39)+O668</f>
        <v>-0.3010560276669616</v>
      </c>
      <c r="AB668" s="246">
        <f>_xlfn.XLOOKUP($F668,'Budget Assumption Driver'!$A$33:$A$39,'Budget Assumption Driver'!N$33:N$39)+P668</f>
        <v>-0.30646315815481778</v>
      </c>
      <c r="AC668" s="246">
        <f>_xlfn.XLOOKUP($F668,'Budget Assumption Driver'!$A$33:$A$39,'Budget Assumption Driver'!O$33:O$39)+Q668</f>
        <v>-0.30974940507289572</v>
      </c>
      <c r="AD668" s="296">
        <f>_xlfn.XLOOKUP($F668,'Budget Assumption Driver'!$A$33:$A$39,'Budget Assumption Driver'!P$33:P$39)+R668</f>
        <v>-0.31621510949331083</v>
      </c>
      <c r="AE668" s="15"/>
      <c r="AF668" s="232">
        <f>_xlfn.XLOOKUP($C668,'Site Level Financials - ''23 ''24'!$C$2:$C$1577,'Site Level Financials - ''23 ''24'!$AF$2:$AF$1577)</f>
        <v>-0.3425839684617828</v>
      </c>
      <c r="AG668" s="97">
        <f t="shared" ref="AG668:AH668" si="1885">AG667/AG664</f>
        <v>-0.36791408956953608</v>
      </c>
      <c r="AH668" s="97">
        <f t="shared" si="1885"/>
        <v>-0.37668675763070153</v>
      </c>
    </row>
    <row r="669" spans="2:34" ht="3" customHeight="1" x14ac:dyDescent="0.2">
      <c r="B669" s="9">
        <f>G652</f>
        <v>14</v>
      </c>
      <c r="C669" s="9" t="str">
        <f t="shared" si="1852"/>
        <v xml:space="preserve">14 - </v>
      </c>
      <c r="D669" s="9" t="s">
        <v>56</v>
      </c>
      <c r="F669" s="16"/>
      <c r="G669" s="84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4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6"/>
      <c r="AE669" s="15"/>
      <c r="AF669" s="36"/>
      <c r="AG669" s="38"/>
      <c r="AH669" s="38"/>
    </row>
    <row r="670" spans="2:34" x14ac:dyDescent="0.2">
      <c r="B670" s="9">
        <f>G652</f>
        <v>14</v>
      </c>
      <c r="C670" s="9" t="str">
        <f t="shared" si="1852"/>
        <v>14 - Administrative Staff Compensation</v>
      </c>
      <c r="D670" s="9" t="s">
        <v>56</v>
      </c>
      <c r="F670" t="s">
        <v>5</v>
      </c>
      <c r="G670" s="178">
        <f>_xlfn.XLOOKUP($C670,'Site Level Financials - ''23 ''24'!$C$2:$C$1577,'Site Level Financials - ''23 ''24'!S$2:S$1577)</f>
        <v>-99.1796303323421</v>
      </c>
      <c r="H670" s="179">
        <f>_xlfn.XLOOKUP($C670,'Site Level Financials - ''23 ''24'!$C$2:$C$1577,'Site Level Financials - ''23 ''24'!T$2:T$1577)</f>
        <v>-92.885110673098112</v>
      </c>
      <c r="I670" s="179">
        <f>_xlfn.XLOOKUP($C670,'Site Level Financials - ''23 ''24'!$C$2:$C$1577,'Site Level Financials - ''23 ''24'!U$2:U$1577)</f>
        <v>-103.64793627465457</v>
      </c>
      <c r="J670" s="179">
        <f>_xlfn.XLOOKUP($C670,'Site Level Financials - ''23 ''24'!$C$2:$C$1577,'Site Level Financials - ''23 ''24'!V$2:V$1577)</f>
        <v>-118.84885618289589</v>
      </c>
      <c r="K670" s="179">
        <f>_xlfn.XLOOKUP($C670,'Site Level Financials - ''23 ''24'!$C$2:$C$1577,'Site Level Financials - ''23 ''24'!W$2:W$1577)</f>
        <v>-128.44533963677566</v>
      </c>
      <c r="L670" s="179">
        <f>_xlfn.XLOOKUP($C670,'Site Level Financials - ''23 ''24'!$C$2:$C$1577,'Site Level Financials - ''23 ''24'!X$2:X$1577)</f>
        <v>-98.350208681041252</v>
      </c>
      <c r="M670" s="179">
        <f>_xlfn.XLOOKUP($C670,'Site Level Financials - ''23 ''24'!$C$2:$C$1577,'Site Level Financials - ''23 ''24'!Y$2:Y$1577)</f>
        <v>-104.85319899814495</v>
      </c>
      <c r="N670" s="179">
        <f>_xlfn.XLOOKUP($C670,'Site Level Financials - ''23 ''24'!$C$2:$C$1577,'Site Level Financials - ''23 ''24'!Z$2:Z$1577)</f>
        <v>-88.522220401200101</v>
      </c>
      <c r="O670" s="179">
        <f>_xlfn.XLOOKUP($C670,'Site Level Financials - ''23 ''24'!$C$2:$C$1577,'Site Level Financials - ''23 ''24'!AA$2:AA$1577)</f>
        <v>-82.766798378018279</v>
      </c>
      <c r="P670" s="179">
        <f>_xlfn.XLOOKUP($C670,'Site Level Financials - ''23 ''24'!$C$2:$C$1577,'Site Level Financials - ''23 ''24'!AB$2:AB$1577)</f>
        <v>-96.472503799353333</v>
      </c>
      <c r="Q670" s="179">
        <f>_xlfn.XLOOKUP($C670,'Site Level Financials - ''23 ''24'!$C$2:$C$1577,'Site Level Financials - ''23 ''24'!AC$2:AC$1577)</f>
        <v>-76.727676062391907</v>
      </c>
      <c r="R670" s="179">
        <f>_xlfn.XLOOKUP($C670,'Site Level Financials - ''23 ''24'!$C$2:$C$1577,'Site Level Financials - ''23 ''24'!AD$2:AD$1577)</f>
        <v>-55.546216938045305</v>
      </c>
      <c r="S670" s="155">
        <f>S671*S664</f>
        <v>-97.092933343060011</v>
      </c>
      <c r="T670" s="154">
        <f t="shared" ref="T670" si="1886">T671*T664</f>
        <v>-96.82435871547419</v>
      </c>
      <c r="U670" s="154">
        <f t="shared" ref="U670" si="1887">U671*U664</f>
        <v>-107.71554230953842</v>
      </c>
      <c r="V670" s="154">
        <f t="shared" ref="V670" si="1888">V671*V664</f>
        <v>-154.43625017478917</v>
      </c>
      <c r="W670" s="154">
        <f t="shared" ref="W670" si="1889">W671*W664</f>
        <v>-187.54844770883375</v>
      </c>
      <c r="X670" s="154">
        <f t="shared" ref="X670" si="1890">X671*X664</f>
        <v>-121.16869837996023</v>
      </c>
      <c r="Y670" s="154">
        <f t="shared" ref="Y670" si="1891">Y671*Y664</f>
        <v>-121.75568179698277</v>
      </c>
      <c r="Z670" s="154">
        <f t="shared" ref="Z670" si="1892">Z671*Z664</f>
        <v>-81.331596314617187</v>
      </c>
      <c r="AA670" s="154">
        <f t="shared" ref="AA670" si="1893">AA671*AA664</f>
        <v>-77.408624232829951</v>
      </c>
      <c r="AB670" s="154">
        <f t="shared" ref="AB670" si="1894">AB671*AB664</f>
        <v>-91.11077743971461</v>
      </c>
      <c r="AC670" s="154">
        <f t="shared" ref="AC670" si="1895">AC671*AC664</f>
        <v>-70.152103125290353</v>
      </c>
      <c r="AD670" s="156">
        <f t="shared" ref="AD670" si="1896">AD671*AD664</f>
        <v>-57.080405628269119</v>
      </c>
      <c r="AE670" s="15"/>
      <c r="AF670" s="115">
        <f>_xlfn.XLOOKUP($C670,'Site Level Financials - ''23 ''24'!$C$2:$C$1577,'Site Level Financials - ''23 ''24'!$AF$2:$AF$1577)</f>
        <v>-863.65562151672339</v>
      </c>
      <c r="AG670" s="93">
        <f>SUM(G670:R670)</f>
        <v>-1146.2456963579616</v>
      </c>
      <c r="AH670" s="93">
        <f t="shared" ref="AH670" si="1897">SUM(S670:AD670)</f>
        <v>-1263.6254191693597</v>
      </c>
    </row>
    <row r="671" spans="2:34" x14ac:dyDescent="0.2">
      <c r="B671" s="9">
        <f>G652</f>
        <v>14</v>
      </c>
      <c r="C671" s="9" t="str">
        <f t="shared" si="1852"/>
        <v>14 - % of Revenue - Administrative Staff Compensation</v>
      </c>
      <c r="D671" s="9" t="s">
        <v>56</v>
      </c>
      <c r="F671" s="16" t="str">
        <f>"% of Revenue - "&amp;F670</f>
        <v>% of Revenue - Administrative Staff Compensation</v>
      </c>
      <c r="G671" s="148">
        <f>G670/G664</f>
        <v>-0.23255736265410748</v>
      </c>
      <c r="H671" s="149">
        <f t="shared" ref="H671:R671" si="1898">H670/H664</f>
        <v>-0.223967954717323</v>
      </c>
      <c r="I671" s="149">
        <f t="shared" si="1898"/>
        <v>-0.23203878441614106</v>
      </c>
      <c r="J671" s="149">
        <f t="shared" si="1898"/>
        <v>-0.31058214538527051</v>
      </c>
      <c r="K671" s="149">
        <f t="shared" si="1898"/>
        <v>-0.31734908833585351</v>
      </c>
      <c r="L671" s="149">
        <f t="shared" si="1898"/>
        <v>-0.24415457113750821</v>
      </c>
      <c r="M671" s="149">
        <f t="shared" si="1898"/>
        <v>-0.24352619953645638</v>
      </c>
      <c r="N671" s="149">
        <f t="shared" si="1898"/>
        <v>-0.18970827092650999</v>
      </c>
      <c r="O671" s="149">
        <f t="shared" si="1898"/>
        <v>-0.19693557221876054</v>
      </c>
      <c r="P671" s="149">
        <f t="shared" si="1898"/>
        <v>-0.20182563063382516</v>
      </c>
      <c r="Q671" s="149">
        <f t="shared" si="1898"/>
        <v>-0.19659046057467666</v>
      </c>
      <c r="R671" s="149">
        <f t="shared" si="1898"/>
        <v>-0.19597718975121381</v>
      </c>
      <c r="S671" s="245">
        <f>_xlfn.XLOOKUP($F671,'Budget Assumption Driver'!$A$33:$A$39,'Budget Assumption Driver'!E$33:E$39)+G671</f>
        <v>-0.23255736265410748</v>
      </c>
      <c r="T671" s="246">
        <f>_xlfn.XLOOKUP($F671,'Budget Assumption Driver'!$A$33:$A$39,'Budget Assumption Driver'!F$33:F$39)+H671</f>
        <v>-0.223967954717323</v>
      </c>
      <c r="U671" s="246">
        <f>_xlfn.XLOOKUP($F671,'Budget Assumption Driver'!$A$33:$A$39,'Budget Assumption Driver'!G$33:G$39)+I671</f>
        <v>-0.23203878441614106</v>
      </c>
      <c r="V671" s="246">
        <f>_xlfn.XLOOKUP($F671,'Budget Assumption Driver'!$A$33:$A$39,'Budget Assumption Driver'!H$33:H$39)+J671</f>
        <v>-0.31058214538527051</v>
      </c>
      <c r="W671" s="246">
        <f>_xlfn.XLOOKUP($F671,'Budget Assumption Driver'!$A$33:$A$39,'Budget Assumption Driver'!I$33:I$39)+K671</f>
        <v>-0.31734908833585351</v>
      </c>
      <c r="X671" s="246">
        <f>_xlfn.XLOOKUP($F671,'Budget Assumption Driver'!$A$33:$A$39,'Budget Assumption Driver'!J$33:J$39)+L671</f>
        <v>-0.24415457113750821</v>
      </c>
      <c r="Y671" s="246">
        <f>_xlfn.XLOOKUP($F671,'Budget Assumption Driver'!$A$33:$A$39,'Budget Assumption Driver'!K$33:K$39)+M671</f>
        <v>-0.24352619953645638</v>
      </c>
      <c r="Z671" s="246">
        <f>_xlfn.XLOOKUP($F671,'Budget Assumption Driver'!$A$33:$A$39,'Budget Assumption Driver'!L$33:L$39)+N671</f>
        <v>-0.18970827092650999</v>
      </c>
      <c r="AA671" s="246">
        <f>_xlfn.XLOOKUP($F671,'Budget Assumption Driver'!$A$33:$A$39,'Budget Assumption Driver'!M$33:M$39)+O671</f>
        <v>-0.19693557221876054</v>
      </c>
      <c r="AB671" s="246">
        <f>_xlfn.XLOOKUP($F671,'Budget Assumption Driver'!$A$33:$A$39,'Budget Assumption Driver'!N$33:N$39)+P671</f>
        <v>-0.20182563063382516</v>
      </c>
      <c r="AC671" s="246">
        <f>_xlfn.XLOOKUP($F671,'Budget Assumption Driver'!$A$33:$A$39,'Budget Assumption Driver'!O$33:O$39)+Q671</f>
        <v>-0.19659046057467666</v>
      </c>
      <c r="AD671" s="296">
        <f>_xlfn.XLOOKUP($F671,'Budget Assumption Driver'!$A$33:$A$39,'Budget Assumption Driver'!P$33:P$39)+R671</f>
        <v>-0.19597718975121381</v>
      </c>
      <c r="AE671" s="15"/>
      <c r="AF671" s="232">
        <f>_xlfn.XLOOKUP($C671,'Site Level Financials - ''23 ''24'!$C$2:$C$1577,'Site Level Financials - ''23 ''24'!$AF$2:$AF$1577)</f>
        <v>-0.15863371114148395</v>
      </c>
      <c r="AG671" s="97">
        <f t="shared" ref="AG671:AH671" si="1899">AG670/AG664</f>
        <v>-0.2316914766276863</v>
      </c>
      <c r="AH671" s="97">
        <f t="shared" si="1899"/>
        <v>-0.23753112017390801</v>
      </c>
    </row>
    <row r="672" spans="2:34" ht="3" customHeight="1" x14ac:dyDescent="0.2">
      <c r="B672" s="9">
        <f>G652</f>
        <v>14</v>
      </c>
      <c r="C672" s="9" t="str">
        <f t="shared" si="1852"/>
        <v xml:space="preserve">14 - </v>
      </c>
      <c r="D672" s="9" t="s">
        <v>56</v>
      </c>
      <c r="F672" s="16"/>
      <c r="G672" s="84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4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6"/>
      <c r="AE672" s="15"/>
      <c r="AF672" s="36"/>
      <c r="AG672" s="38"/>
      <c r="AH672" s="38"/>
    </row>
    <row r="673" spans="2:34" x14ac:dyDescent="0.2">
      <c r="B673" s="9">
        <f>G652</f>
        <v>14</v>
      </c>
      <c r="C673" s="9" t="str">
        <f t="shared" si="1852"/>
        <v>14 - Office Supplies</v>
      </c>
      <c r="D673" s="9" t="s">
        <v>56</v>
      </c>
      <c r="F673" t="s">
        <v>6</v>
      </c>
      <c r="G673" s="178">
        <f>_xlfn.XLOOKUP($C673,'Site Level Financials - ''23 ''24'!$C$2:$C$1577,'Site Level Financials - ''23 ''24'!S$2:S$1577)</f>
        <v>-19.760082528310221</v>
      </c>
      <c r="H673" s="179">
        <f>_xlfn.XLOOKUP($C673,'Site Level Financials - ''23 ''24'!$C$2:$C$1577,'Site Level Financials - ''23 ''24'!T$2:T$1577)</f>
        <v>-21.085315560068516</v>
      </c>
      <c r="I673" s="179">
        <f>_xlfn.XLOOKUP($C673,'Site Level Financials - ''23 ''24'!$C$2:$C$1577,'Site Level Financials - ''23 ''24'!U$2:U$1577)</f>
        <v>-22.469815219438352</v>
      </c>
      <c r="J673" s="179">
        <f>_xlfn.XLOOKUP($C673,'Site Level Financials - ''23 ''24'!$C$2:$C$1577,'Site Level Financials - ''23 ''24'!V$2:V$1577)</f>
        <v>-27.043613829436271</v>
      </c>
      <c r="K673" s="179">
        <f>_xlfn.XLOOKUP($C673,'Site Level Financials - ''23 ''24'!$C$2:$C$1577,'Site Level Financials - ''23 ''24'!W$2:W$1577)</f>
        <v>-30.752851137425861</v>
      </c>
      <c r="L673" s="179">
        <f>_xlfn.XLOOKUP($C673,'Site Level Financials - ''23 ''24'!$C$2:$C$1577,'Site Level Financials - ''23 ''24'!X$2:X$1577)</f>
        <v>-22.375068649479779</v>
      </c>
      <c r="M673" s="179">
        <f>_xlfn.XLOOKUP($C673,'Site Level Financials - ''23 ''24'!$C$2:$C$1577,'Site Level Financials - ''23 ''24'!Y$2:Y$1577)</f>
        <v>-23.586398924139829</v>
      </c>
      <c r="N673" s="179">
        <f>_xlfn.XLOOKUP($C673,'Site Level Financials - ''23 ''24'!$C$2:$C$1577,'Site Level Financials - ''23 ''24'!Z$2:Z$1577)</f>
        <v>-19.742247402746631</v>
      </c>
      <c r="O673" s="179">
        <f>_xlfn.XLOOKUP($C673,'Site Level Financials - ''23 ''24'!$C$2:$C$1577,'Site Level Financials - ''23 ''24'!AA$2:AA$1577)</f>
        <v>-16.47107853699444</v>
      </c>
      <c r="P673" s="179">
        <f>_xlfn.XLOOKUP($C673,'Site Level Financials - ''23 ''24'!$C$2:$C$1577,'Site Level Financials - ''23 ''24'!AB$2:AB$1577)</f>
        <v>-18.441611193535124</v>
      </c>
      <c r="Q673" s="179">
        <f>_xlfn.XLOOKUP($C673,'Site Level Financials - ''23 ''24'!$C$2:$C$1577,'Site Level Financials - ''23 ''24'!AC$2:AC$1577)</f>
        <v>-14.093767642892685</v>
      </c>
      <c r="R673" s="179">
        <f>_xlfn.XLOOKUP($C673,'Site Level Financials - ''23 ''24'!$C$2:$C$1577,'Site Level Financials - ''23 ''24'!AD$2:AD$1577)</f>
        <v>-10.249839186283381</v>
      </c>
      <c r="S673" s="155">
        <f>S674*S664</f>
        <v>-19.34433884604783</v>
      </c>
      <c r="T673" s="154">
        <f t="shared" ref="T673" si="1900">T674*T664</f>
        <v>-21.979541636142276</v>
      </c>
      <c r="U673" s="154">
        <f t="shared" ref="U673" si="1901">U674*U664</f>
        <v>-23.351630712099176</v>
      </c>
      <c r="V673" s="154">
        <f t="shared" ref="V673" si="1902">V674*V664</f>
        <v>-35.141392564737792</v>
      </c>
      <c r="W673" s="154">
        <f t="shared" ref="W673" si="1903">W674*W664</f>
        <v>-44.903532582459739</v>
      </c>
      <c r="X673" s="154">
        <f t="shared" ref="X673" si="1904">X674*X664</f>
        <v>-27.566366973477944</v>
      </c>
      <c r="Y673" s="154">
        <f t="shared" ref="Y673" si="1905">Y674*Y664</f>
        <v>-27.388559524970461</v>
      </c>
      <c r="Z673" s="154">
        <f t="shared" ref="Z673" si="1906">Z674*Z664</f>
        <v>-18.13859264743116</v>
      </c>
      <c r="AA673" s="154">
        <f t="shared" ref="AA673" si="1907">AA674*AA664</f>
        <v>-15.40477044135921</v>
      </c>
      <c r="AB673" s="154">
        <f t="shared" ref="AB673" si="1908">AB674*AB664</f>
        <v>-17.416667619392616</v>
      </c>
      <c r="AC673" s="154">
        <f t="shared" ref="AC673" si="1909">AC674*AC664</f>
        <v>-12.885929717252354</v>
      </c>
      <c r="AD673" s="156">
        <f t="shared" ref="AD673" si="1910">AD674*AD664</f>
        <v>-10.53294014658367</v>
      </c>
      <c r="AE673" s="15"/>
      <c r="AF673" s="115">
        <f>_xlfn.XLOOKUP($C673,'Site Level Financials - ''23 ''24'!$C$2:$C$1577,'Site Level Financials - ''23 ''24'!$AF$2:$AF$1577)</f>
        <v>-261.7300888807041</v>
      </c>
      <c r="AG673" s="93">
        <f>SUM(G673:R673)</f>
        <v>-246.07168981075114</v>
      </c>
      <c r="AH673" s="93">
        <f t="shared" ref="AH673" si="1911">SUM(S673:AD673)</f>
        <v>-274.05426341195425</v>
      </c>
    </row>
    <row r="674" spans="2:34" x14ac:dyDescent="0.2">
      <c r="B674" s="9">
        <f>G652</f>
        <v>14</v>
      </c>
      <c r="C674" s="9" t="str">
        <f t="shared" si="1852"/>
        <v>14 - % of Revenue - Office Supplies</v>
      </c>
      <c r="D674" s="9" t="s">
        <v>56</v>
      </c>
      <c r="F674" s="16" t="str">
        <f>"% of Revenue - "&amp;F673</f>
        <v>% of Revenue - Office Supplies</v>
      </c>
      <c r="G674" s="148">
        <f>G673/G664</f>
        <v>-4.6333633864259378E-2</v>
      </c>
      <c r="H674" s="149">
        <f t="shared" ref="H674:R674" si="1912">H673/H664</f>
        <v>-5.0841679213562356E-2</v>
      </c>
      <c r="I674" s="149">
        <f t="shared" si="1912"/>
        <v>-5.030364131667471E-2</v>
      </c>
      <c r="J674" s="149">
        <f t="shared" si="1912"/>
        <v>-7.0671808479094711E-2</v>
      </c>
      <c r="K674" s="149">
        <f t="shared" si="1912"/>
        <v>-7.5980874820280889E-2</v>
      </c>
      <c r="L674" s="149">
        <f t="shared" si="1912"/>
        <v>-5.5546148437803221E-2</v>
      </c>
      <c r="M674" s="149">
        <f t="shared" si="1912"/>
        <v>-5.4780456348767735E-2</v>
      </c>
      <c r="N674" s="149">
        <f t="shared" si="1912"/>
        <v>-4.2308785319710204E-2</v>
      </c>
      <c r="O674" s="149">
        <f t="shared" si="1912"/>
        <v>-3.9191334451866858E-2</v>
      </c>
      <c r="P674" s="149">
        <f t="shared" si="1912"/>
        <v>-3.8580835600371184E-2</v>
      </c>
      <c r="Q674" s="149">
        <f t="shared" si="1912"/>
        <v>-3.6110832679145978E-2</v>
      </c>
      <c r="R674" s="149">
        <f t="shared" si="1912"/>
        <v>-3.6163303098934202E-2</v>
      </c>
      <c r="S674" s="245">
        <f>_xlfn.XLOOKUP($F674,'Budget Assumption Driver'!$A$33:$A$39,'Budget Assumption Driver'!E$33:E$39)+G674</f>
        <v>-4.6333633864259378E-2</v>
      </c>
      <c r="T674" s="246">
        <f>_xlfn.XLOOKUP($F674,'Budget Assumption Driver'!$A$33:$A$39,'Budget Assumption Driver'!F$33:F$39)+H674</f>
        <v>-5.0841679213562356E-2</v>
      </c>
      <c r="U674" s="246">
        <f>_xlfn.XLOOKUP($F674,'Budget Assumption Driver'!$A$33:$A$39,'Budget Assumption Driver'!G$33:G$39)+I674</f>
        <v>-5.030364131667471E-2</v>
      </c>
      <c r="V674" s="246">
        <f>_xlfn.XLOOKUP($F674,'Budget Assumption Driver'!$A$33:$A$39,'Budget Assumption Driver'!H$33:H$39)+J674</f>
        <v>-7.0671808479094711E-2</v>
      </c>
      <c r="W674" s="246">
        <f>_xlfn.XLOOKUP($F674,'Budget Assumption Driver'!$A$33:$A$39,'Budget Assumption Driver'!I$33:I$39)+K674</f>
        <v>-7.5980874820280889E-2</v>
      </c>
      <c r="X674" s="246">
        <f>_xlfn.XLOOKUP($F674,'Budget Assumption Driver'!$A$33:$A$39,'Budget Assumption Driver'!J$33:J$39)+L674</f>
        <v>-5.5546148437803221E-2</v>
      </c>
      <c r="Y674" s="246">
        <f>_xlfn.XLOOKUP($F674,'Budget Assumption Driver'!$A$33:$A$39,'Budget Assumption Driver'!K$33:K$39)+M674</f>
        <v>-5.4780456348767735E-2</v>
      </c>
      <c r="Z674" s="246">
        <f>_xlfn.XLOOKUP($F674,'Budget Assumption Driver'!$A$33:$A$39,'Budget Assumption Driver'!L$33:L$39)+N674</f>
        <v>-4.2308785319710204E-2</v>
      </c>
      <c r="AA674" s="246">
        <f>_xlfn.XLOOKUP($F674,'Budget Assumption Driver'!$A$33:$A$39,'Budget Assumption Driver'!M$33:M$39)+O674</f>
        <v>-3.9191334451866858E-2</v>
      </c>
      <c r="AB674" s="246">
        <f>_xlfn.XLOOKUP($F674,'Budget Assumption Driver'!$A$33:$A$39,'Budget Assumption Driver'!N$33:N$39)+P674</f>
        <v>-3.8580835600371184E-2</v>
      </c>
      <c r="AC674" s="246">
        <f>_xlfn.XLOOKUP($F674,'Budget Assumption Driver'!$A$33:$A$39,'Budget Assumption Driver'!O$33:O$39)+Q674</f>
        <v>-3.6110832679145978E-2</v>
      </c>
      <c r="AD674" s="296">
        <f>_xlfn.XLOOKUP($F674,'Budget Assumption Driver'!$A$33:$A$39,'Budget Assumption Driver'!P$33:P$39)+R674</f>
        <v>-3.6163303098934202E-2</v>
      </c>
      <c r="AE674" s="15"/>
      <c r="AF674" s="232">
        <f>_xlfn.XLOOKUP($C674,'Site Level Financials - ''23 ''24'!$C$2:$C$1577,'Site Level Financials - ''23 ''24'!$AF$2:$AF$1577)</f>
        <v>-4.8073808914277504E-2</v>
      </c>
      <c r="AG674" s="97">
        <f t="shared" ref="AG674:AH674" si="1913">AG673/AG664</f>
        <v>-4.9738649706317757E-2</v>
      </c>
      <c r="AH674" s="97">
        <f t="shared" si="1913"/>
        <v>-5.1515595673492925E-2</v>
      </c>
    </row>
    <row r="675" spans="2:34" ht="6" customHeight="1" x14ac:dyDescent="0.2">
      <c r="B675" s="9">
        <f>G652</f>
        <v>14</v>
      </c>
      <c r="C675" s="9" t="str">
        <f t="shared" si="1852"/>
        <v xml:space="preserve">14 - </v>
      </c>
      <c r="D675" s="9" t="s">
        <v>56</v>
      </c>
      <c r="F675" s="16"/>
      <c r="G675" s="80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80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81"/>
      <c r="AE675" s="15"/>
      <c r="AF675" s="11"/>
      <c r="AG675" s="15"/>
      <c r="AH675" s="15"/>
    </row>
    <row r="676" spans="2:34" x14ac:dyDescent="0.2">
      <c r="B676" s="9">
        <f>G652</f>
        <v>14</v>
      </c>
      <c r="C676" s="9" t="str">
        <f t="shared" si="1852"/>
        <v>14 - Office Gross Profit</v>
      </c>
      <c r="D676" s="9" t="s">
        <v>56</v>
      </c>
      <c r="F676" s="8" t="s">
        <v>11</v>
      </c>
      <c r="G676" s="241">
        <f>_xlfn.XLOOKUP($C676,'Site Level Financials - ''23 ''24'!$C$2:$C$1577,'Site Level Financials - ''23 ''24'!S$2:S$1577)</f>
        <v>141.03894553002294</v>
      </c>
      <c r="H676" s="242">
        <f>_xlfn.XLOOKUP($C676,'Site Level Financials - ''23 ''24'!$C$2:$C$1577,'Site Level Financials - ''23 ''24'!T$2:T$1577)</f>
        <v>142.19926497242653</v>
      </c>
      <c r="I676" s="242">
        <f>_xlfn.XLOOKUP($C676,'Site Level Financials - ''23 ''24'!$C$2:$C$1577,'Site Level Financials - ''23 ''24'!U$2:U$1577)</f>
        <v>149.32049756509613</v>
      </c>
      <c r="J676" s="242">
        <f>_xlfn.XLOOKUP($C676,'Site Level Financials - ''23 ''24'!$C$2:$C$1577,'Site Level Financials - ''23 ''24'!V$2:V$1577)</f>
        <v>44.908594086020258</v>
      </c>
      <c r="K676" s="242">
        <f>_xlfn.XLOOKUP($C676,'Site Level Financials - ''23 ''24'!$C$2:$C$1577,'Site Level Financials - ''23 ''24'!W$2:W$1577)</f>
        <v>45.852149755089187</v>
      </c>
      <c r="L676" s="242">
        <f>_xlfn.XLOOKUP($C676,'Site Level Financials - ''23 ''24'!$C$2:$C$1577,'Site Level Financials - ''23 ''24'!X$2:X$1577)</f>
        <v>134.64066283123486</v>
      </c>
      <c r="M676" s="242">
        <f>_xlfn.XLOOKUP($C676,'Site Level Financials - ''23 ''24'!$C$2:$C$1577,'Site Level Financials - ''23 ''24'!Y$2:Y$1577)</f>
        <v>141.51988855126956</v>
      </c>
      <c r="N676" s="242">
        <f>_xlfn.XLOOKUP($C676,'Site Level Financials - ''23 ''24'!$C$2:$C$1577,'Site Level Financials - ''23 ''24'!Z$2:Z$1577)</f>
        <v>217.62297886027253</v>
      </c>
      <c r="O676" s="242">
        <f>_xlfn.XLOOKUP($C676,'Site Level Financials - ''23 ''24'!$C$2:$C$1577,'Site Level Financials - ''23 ''24'!AA$2:AA$1577)</f>
        <v>194.50973903808378</v>
      </c>
      <c r="P676" s="242">
        <f>_xlfn.XLOOKUP($C676,'Site Level Financials - ''23 ''24'!$C$2:$C$1577,'Site Level Financials - ''23 ''24'!AB$2:AB$1577)</f>
        <v>216.59598805884687</v>
      </c>
      <c r="Q676" s="242">
        <f>_xlfn.XLOOKUP($C676,'Site Level Financials - ''23 ''24'!$C$2:$C$1577,'Site Level Financials - ''23 ''24'!AC$2:AC$1577)</f>
        <v>178.57781348462527</v>
      </c>
      <c r="R676" s="242">
        <f>_xlfn.XLOOKUP($C676,'Site Level Financials - ''23 ''24'!$C$2:$C$1577,'Site Level Financials - ''23 ''24'!AD$2:AD$1577)</f>
        <v>128.01049817547789</v>
      </c>
      <c r="S676" s="134">
        <f t="shared" ref="S676:AD676" si="1914">S664+S667+S670+S673</f>
        <v>138.0715464580278</v>
      </c>
      <c r="T676" s="135">
        <f t="shared" si="1914"/>
        <v>148.22992125426467</v>
      </c>
      <c r="U676" s="135">
        <f t="shared" si="1914"/>
        <v>155.1804980519189</v>
      </c>
      <c r="V676" s="135">
        <f t="shared" si="1914"/>
        <v>58.355756159686173</v>
      </c>
      <c r="W676" s="135">
        <f t="shared" si="1914"/>
        <v>66.950654145943048</v>
      </c>
      <c r="X676" s="135">
        <f t="shared" si="1914"/>
        <v>165.87899591737909</v>
      </c>
      <c r="Y676" s="135">
        <f t="shared" si="1914"/>
        <v>164.33309315338749</v>
      </c>
      <c r="Z676" s="135">
        <f t="shared" si="1914"/>
        <v>199.94555248648288</v>
      </c>
      <c r="AA676" s="135">
        <f t="shared" si="1914"/>
        <v>181.91752724391606</v>
      </c>
      <c r="AB676" s="135">
        <f t="shared" si="1914"/>
        <v>204.55806665294571</v>
      </c>
      <c r="AC676" s="135">
        <f t="shared" si="1914"/>
        <v>163.27366903795368</v>
      </c>
      <c r="AD676" s="136">
        <f t="shared" si="1914"/>
        <v>131.54615315536216</v>
      </c>
      <c r="AE676" s="15"/>
      <c r="AF676" s="114">
        <f>_xlfn.XLOOKUP($C676,'Site Level Financials - ''23 ''24'!$C$2:$C$1577,'Site Level Financials - ''23 ''24'!$AF$2:$AF$1577)</f>
        <v>2453.8097029078699</v>
      </c>
      <c r="AG676" s="95">
        <f>SUM(G676:R676)</f>
        <v>1734.7970209084656</v>
      </c>
      <c r="AH676" s="95">
        <f t="shared" ref="AH676" si="1915">SUM(S676:AD676)</f>
        <v>1778.2414337172675</v>
      </c>
    </row>
    <row r="677" spans="2:34" x14ac:dyDescent="0.2">
      <c r="B677" s="9">
        <f>G652</f>
        <v>14</v>
      </c>
      <c r="C677" s="9" t="str">
        <f t="shared" si="1852"/>
        <v>14 - % of Revenue - Office Gross Profit</v>
      </c>
      <c r="D677" s="9" t="s">
        <v>56</v>
      </c>
      <c r="F677" s="16" t="str">
        <f>"% of Revenue - "&amp;F676</f>
        <v>% of Revenue - Office Gross Profit</v>
      </c>
      <c r="G677" s="148">
        <f>G676/G664</f>
        <v>0.33070949240352848</v>
      </c>
      <c r="H677" s="149">
        <f t="shared" ref="H677:AD677" si="1916">H676/H664</f>
        <v>0.34287603586184939</v>
      </c>
      <c r="I677" s="149">
        <f t="shared" si="1916"/>
        <v>0.33428689454660088</v>
      </c>
      <c r="J677" s="149">
        <f t="shared" si="1916"/>
        <v>0.11735752404725069</v>
      </c>
      <c r="K677" s="149">
        <f t="shared" si="1916"/>
        <v>0.11328661642504929</v>
      </c>
      <c r="L677" s="149">
        <f t="shared" si="1916"/>
        <v>0.33424568927800219</v>
      </c>
      <c r="M677" s="149">
        <f t="shared" si="1916"/>
        <v>0.32868621031126832</v>
      </c>
      <c r="N677" s="149">
        <f t="shared" si="1916"/>
        <v>0.46637871086318833</v>
      </c>
      <c r="O677" s="149">
        <f t="shared" si="1916"/>
        <v>0.46281706566241099</v>
      </c>
      <c r="P677" s="149">
        <f t="shared" si="1916"/>
        <v>0.45313037561098585</v>
      </c>
      <c r="Q677" s="149">
        <f t="shared" si="1916"/>
        <v>0.45754930167328167</v>
      </c>
      <c r="R677" s="149">
        <f t="shared" si="1916"/>
        <v>0.45164439765654124</v>
      </c>
      <c r="S677" s="148">
        <f t="shared" si="1916"/>
        <v>0.33070949240352865</v>
      </c>
      <c r="T677" s="149">
        <f t="shared" si="1916"/>
        <v>0.34287603586184945</v>
      </c>
      <c r="U677" s="149">
        <f t="shared" si="1916"/>
        <v>0.33428689454660104</v>
      </c>
      <c r="V677" s="149">
        <f t="shared" si="1916"/>
        <v>0.11735752404725072</v>
      </c>
      <c r="W677" s="149">
        <f t="shared" si="1916"/>
        <v>0.11328661642504927</v>
      </c>
      <c r="X677" s="149">
        <f t="shared" si="1916"/>
        <v>0.3342456892780023</v>
      </c>
      <c r="Y677" s="149">
        <f t="shared" si="1916"/>
        <v>0.3286862103112681</v>
      </c>
      <c r="Z677" s="149">
        <f t="shared" si="1916"/>
        <v>0.46637871086318849</v>
      </c>
      <c r="AA677" s="149">
        <f t="shared" si="1916"/>
        <v>0.4628170656624111</v>
      </c>
      <c r="AB677" s="149">
        <f t="shared" si="1916"/>
        <v>0.45313037561098579</v>
      </c>
      <c r="AC677" s="149">
        <f t="shared" si="1916"/>
        <v>0.45754930167328167</v>
      </c>
      <c r="AD677" s="150">
        <f t="shared" si="1916"/>
        <v>0.45164439765654113</v>
      </c>
      <c r="AE677" s="15"/>
      <c r="AF677" s="233">
        <f>_xlfn.XLOOKUP($C677,'Site Level Financials - ''23 ''24'!$C$2:$C$1577,'Site Level Financials - ''23 ''24'!$AF$2:$AF$1577)</f>
        <v>0.45070851148245572</v>
      </c>
      <c r="AG677" s="97">
        <f t="shared" ref="AG677:AH677" si="1917">AG676/AG664</f>
        <v>0.35065578409645981</v>
      </c>
      <c r="AH677" s="97">
        <f t="shared" si="1917"/>
        <v>0.33426652652189759</v>
      </c>
    </row>
    <row r="678" spans="2:34" ht="6" customHeight="1" x14ac:dyDescent="0.2">
      <c r="B678" s="9">
        <f>G652</f>
        <v>14</v>
      </c>
      <c r="C678" s="9" t="str">
        <f t="shared" si="1852"/>
        <v xml:space="preserve">14 - </v>
      </c>
      <c r="D678" s="9" t="s">
        <v>56</v>
      </c>
      <c r="F678" s="16"/>
      <c r="G678" s="80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80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81"/>
      <c r="AE678" s="15"/>
      <c r="AF678" s="11"/>
      <c r="AG678" s="15"/>
      <c r="AH678" s="15"/>
    </row>
    <row r="679" spans="2:34" x14ac:dyDescent="0.2">
      <c r="B679" s="9">
        <f>G652</f>
        <v>14</v>
      </c>
      <c r="C679" s="9" t="str">
        <f t="shared" si="1852"/>
        <v>14 - General and Administrative Expense</v>
      </c>
      <c r="D679" s="9" t="s">
        <v>56</v>
      </c>
      <c r="F679" t="s">
        <v>10</v>
      </c>
      <c r="G679" s="178">
        <f>_xlfn.XLOOKUP($C679,'Site Level Financials - ''23 ''24'!$C$2:$C$1577,'Site Level Financials - ''23 ''24'!S$2:S$1577)</f>
        <v>-33.190531922875444</v>
      </c>
      <c r="H679" s="179">
        <f>_xlfn.XLOOKUP($C679,'Site Level Financials - ''23 ''24'!$C$2:$C$1577,'Site Level Financials - ''23 ''24'!T$2:T$1577)</f>
        <v>-30.603978001833454</v>
      </c>
      <c r="I679" s="179">
        <f>_xlfn.XLOOKUP($C679,'Site Level Financials - ''23 ''24'!$C$2:$C$1577,'Site Level Financials - ''23 ''24'!U$2:U$1577)</f>
        <v>-32.832184710748081</v>
      </c>
      <c r="J679" s="179">
        <f>_xlfn.XLOOKUP($C679,'Site Level Financials - ''23 ''24'!$C$2:$C$1577,'Site Level Financials - ''23 ''24'!V$2:V$1577)</f>
        <v>-36.620386392321741</v>
      </c>
      <c r="K679" s="179">
        <f>_xlfn.XLOOKUP($C679,'Site Level Financials - ''23 ''24'!$C$2:$C$1577,'Site Level Financials - ''23 ''24'!W$2:W$1577)</f>
        <v>-36.073139210465548</v>
      </c>
      <c r="L679" s="179">
        <f>_xlfn.XLOOKUP($C679,'Site Level Financials - ''23 ''24'!$C$2:$C$1577,'Site Level Financials - ''23 ''24'!X$2:X$1577)</f>
        <v>-27.621824235465908</v>
      </c>
      <c r="M679" s="179">
        <f>_xlfn.XLOOKUP($C679,'Site Level Financials - ''23 ''24'!$C$2:$C$1577,'Site Level Financials - ''23 ''24'!Y$2:Y$1577)</f>
        <v>-31.464631724495511</v>
      </c>
      <c r="N679" s="179">
        <f>_xlfn.XLOOKUP($C679,'Site Level Financials - ''23 ''24'!$C$2:$C$1577,'Site Level Financials - ''23 ''24'!Z$2:Z$1577)</f>
        <v>-27.482248102650765</v>
      </c>
      <c r="O679" s="179">
        <f>_xlfn.XLOOKUP($C679,'Site Level Financials - ''23 ''24'!$C$2:$C$1577,'Site Level Financials - ''23 ''24'!AA$2:AA$1577)</f>
        <v>-23.236852070582287</v>
      </c>
      <c r="P679" s="179">
        <f>_xlfn.XLOOKUP($C679,'Site Level Financials - ''23 ''24'!$C$2:$C$1577,'Site Level Financials - ''23 ''24'!AB$2:AB$1577)</f>
        <v>-26.140224225101942</v>
      </c>
      <c r="Q679" s="179">
        <f>_xlfn.XLOOKUP($C679,'Site Level Financials - ''23 ''24'!$C$2:$C$1577,'Site Level Financials - ''23 ''24'!AC$2:AC$1577)</f>
        <v>-21.083476825646855</v>
      </c>
      <c r="R679" s="179">
        <f>_xlfn.XLOOKUP($C679,'Site Level Financials - ''23 ''24'!$C$2:$C$1577,'Site Level Financials - ''23 ''24'!AD$2:AD$1577)</f>
        <v>-14.625318707052452</v>
      </c>
      <c r="S679" s="155">
        <f>S680*S664</f>
        <v>-32.492217331420967</v>
      </c>
      <c r="T679" s="154">
        <f t="shared" ref="T679" si="1918">T680*T664</f>
        <v>-31.901889578393153</v>
      </c>
      <c r="U679" s="154">
        <f t="shared" ref="U679" si="1919">U680*U664</f>
        <v>-34.120665673012226</v>
      </c>
      <c r="V679" s="154">
        <f t="shared" ref="V679" si="1920">V680*V664</f>
        <v>-47.585776893626999</v>
      </c>
      <c r="W679" s="154">
        <f t="shared" ref="W679" si="1921">W680*W664</f>
        <v>-52.67190917194192</v>
      </c>
      <c r="X679" s="154">
        <f t="shared" ref="X679" si="1922">X680*X664</f>
        <v>-34.030436075084999</v>
      </c>
      <c r="Y679" s="154">
        <f t="shared" ref="Y679" si="1923">Y680*Y664</f>
        <v>-36.536774506753034</v>
      </c>
      <c r="Z679" s="154">
        <f t="shared" ref="Z679" si="1924">Z680*Z664</f>
        <v>-25.249876227377637</v>
      </c>
      <c r="AA679" s="154">
        <f t="shared" ref="AA679" si="1925">AA680*AA664</f>
        <v>-21.732539925856063</v>
      </c>
      <c r="AB679" s="154">
        <f t="shared" ref="AB679" si="1926">AB680*AB664</f>
        <v>-24.687408927946411</v>
      </c>
      <c r="AC679" s="154">
        <f t="shared" ref="AC679" si="1927">AC680*AC664</f>
        <v>-19.276619811992514</v>
      </c>
      <c r="AD679" s="156">
        <f t="shared" ref="AD679" si="1928">AD680*AD664</f>
        <v>-15.029270583312636</v>
      </c>
      <c r="AE679" s="15"/>
      <c r="AF679" s="115">
        <f>_xlfn.XLOOKUP($C679,'Site Level Financials - ''23 ''24'!$C$2:$C$1577,'Site Level Financials - ''23 ''24'!$AF$2:$AF$1577)</f>
        <v>-387.5394183412007</v>
      </c>
      <c r="AG679" s="93">
        <f>SUM(G679:R679)</f>
        <v>-340.97479612923996</v>
      </c>
      <c r="AH679" s="93">
        <f t="shared" ref="AH679" si="1929">SUM(S679:AD679)</f>
        <v>-375.31538470671859</v>
      </c>
    </row>
    <row r="680" spans="2:34" x14ac:dyDescent="0.2">
      <c r="B680" s="9">
        <f>G652</f>
        <v>14</v>
      </c>
      <c r="C680" s="9" t="str">
        <f t="shared" si="1852"/>
        <v>14 - % of Revenue - General and Administrative Expense</v>
      </c>
      <c r="D680" s="9" t="s">
        <v>56</v>
      </c>
      <c r="F680" s="16" t="str">
        <f>"% of Revenue - "&amp;F679</f>
        <v>% of Revenue - General and Administrative Expense</v>
      </c>
      <c r="G680" s="148">
        <f>G679/G664</f>
        <v>-7.7825482341547264E-2</v>
      </c>
      <c r="H680" s="149">
        <f t="shared" ref="H680:R680" si="1930">H679/H664</f>
        <v>-7.379342404411611E-2</v>
      </c>
      <c r="I680" s="149">
        <f t="shared" si="1930"/>
        <v>-7.3502092794404617E-2</v>
      </c>
      <c r="J680" s="149">
        <f t="shared" si="1930"/>
        <v>-9.5698339351806813E-2</v>
      </c>
      <c r="K680" s="149">
        <f t="shared" si="1930"/>
        <v>-8.9125676916158955E-2</v>
      </c>
      <c r="L680" s="149">
        <f t="shared" si="1930"/>
        <v>-6.8571228680532878E-2</v>
      </c>
      <c r="M680" s="149">
        <f t="shared" si="1930"/>
        <v>-7.3078001023279923E-2</v>
      </c>
      <c r="N680" s="149">
        <f t="shared" si="1930"/>
        <v>-5.8896057341288229E-2</v>
      </c>
      <c r="O680" s="149">
        <f t="shared" si="1930"/>
        <v>-5.5289836610354852E-2</v>
      </c>
      <c r="P680" s="149">
        <f t="shared" si="1930"/>
        <v>-5.4686745252445261E-2</v>
      </c>
      <c r="Q680" s="149">
        <f t="shared" si="1930"/>
        <v>-5.4019757046975356E-2</v>
      </c>
      <c r="R680" s="149">
        <f t="shared" si="1930"/>
        <v>-5.160079331092713E-2</v>
      </c>
      <c r="S680" s="245">
        <f>_xlfn.XLOOKUP($F680,'Budget Assumption Driver'!$A$33:$A$39,'Budget Assumption Driver'!E$33:E$39)+G680</f>
        <v>-7.7825482341547264E-2</v>
      </c>
      <c r="T680" s="246">
        <f>_xlfn.XLOOKUP($F680,'Budget Assumption Driver'!$A$33:$A$39,'Budget Assumption Driver'!F$33:F$39)+H680</f>
        <v>-7.379342404411611E-2</v>
      </c>
      <c r="U680" s="246">
        <f>_xlfn.XLOOKUP($F680,'Budget Assumption Driver'!$A$33:$A$39,'Budget Assumption Driver'!G$33:G$39)+I680</f>
        <v>-7.3502092794404617E-2</v>
      </c>
      <c r="V680" s="246">
        <f>_xlfn.XLOOKUP($F680,'Budget Assumption Driver'!$A$33:$A$39,'Budget Assumption Driver'!H$33:H$39)+J680</f>
        <v>-9.5698339351806813E-2</v>
      </c>
      <c r="W680" s="246">
        <f>_xlfn.XLOOKUP($F680,'Budget Assumption Driver'!$A$33:$A$39,'Budget Assumption Driver'!I$33:I$39)+K680</f>
        <v>-8.9125676916158955E-2</v>
      </c>
      <c r="X680" s="246">
        <f>_xlfn.XLOOKUP($F680,'Budget Assumption Driver'!$A$33:$A$39,'Budget Assumption Driver'!J$33:J$39)+L680</f>
        <v>-6.8571228680532878E-2</v>
      </c>
      <c r="Y680" s="246">
        <f>_xlfn.XLOOKUP($F680,'Budget Assumption Driver'!$A$33:$A$39,'Budget Assumption Driver'!K$33:K$39)+M680</f>
        <v>-7.3078001023279923E-2</v>
      </c>
      <c r="Z680" s="246">
        <f>_xlfn.XLOOKUP($F680,'Budget Assumption Driver'!$A$33:$A$39,'Budget Assumption Driver'!L$33:L$39)+N680</f>
        <v>-5.8896057341288229E-2</v>
      </c>
      <c r="AA680" s="246">
        <f>_xlfn.XLOOKUP($F680,'Budget Assumption Driver'!$A$33:$A$39,'Budget Assumption Driver'!M$33:M$39)+O680</f>
        <v>-5.5289836610354852E-2</v>
      </c>
      <c r="AB680" s="246">
        <f>_xlfn.XLOOKUP($F680,'Budget Assumption Driver'!$A$33:$A$39,'Budget Assumption Driver'!N$33:N$39)+P680</f>
        <v>-5.4686745252445261E-2</v>
      </c>
      <c r="AC680" s="246">
        <f>_xlfn.XLOOKUP($F680,'Budget Assumption Driver'!$A$33:$A$39,'Budget Assumption Driver'!O$33:O$39)+Q680</f>
        <v>-5.4019757046975356E-2</v>
      </c>
      <c r="AD680" s="296">
        <f>_xlfn.XLOOKUP($F680,'Budget Assumption Driver'!$A$33:$A$39,'Budget Assumption Driver'!P$33:P$39)+R680</f>
        <v>-5.160079331092713E-2</v>
      </c>
      <c r="AE680" s="15"/>
      <c r="AF680" s="232">
        <f>_xlfn.XLOOKUP($C680,'Site Level Financials - ''23 ''24'!$C$2:$C$1577,'Site Level Financials - ''23 ''24'!$AF$2:$AF$1577)</f>
        <v>-7.1182094591259876E-2</v>
      </c>
      <c r="AG680" s="97">
        <f t="shared" ref="AG680:AH680" si="1931">AG679/AG664</f>
        <v>-6.8921483639173164E-2</v>
      </c>
      <c r="AH680" s="97">
        <f t="shared" si="1931"/>
        <v>-7.0550245662587233E-2</v>
      </c>
    </row>
    <row r="681" spans="2:34" ht="3" customHeight="1" x14ac:dyDescent="0.2">
      <c r="B681" s="9">
        <f>G652</f>
        <v>14</v>
      </c>
      <c r="C681" s="9" t="str">
        <f t="shared" si="1852"/>
        <v xml:space="preserve">14 - </v>
      </c>
      <c r="D681" s="9" t="s">
        <v>56</v>
      </c>
      <c r="F681" s="16"/>
      <c r="G681" s="84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4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6"/>
      <c r="AE681" s="15"/>
      <c r="AF681" s="36"/>
      <c r="AG681" s="38"/>
      <c r="AH681" s="38"/>
    </row>
    <row r="682" spans="2:34" x14ac:dyDescent="0.2">
      <c r="B682" s="9">
        <f>G652</f>
        <v>14</v>
      </c>
      <c r="C682" s="9" t="str">
        <f t="shared" si="1852"/>
        <v>14 - Marketing</v>
      </c>
      <c r="D682" s="9" t="s">
        <v>56</v>
      </c>
      <c r="F682" t="s">
        <v>7</v>
      </c>
      <c r="G682" s="178">
        <f>_xlfn.XLOOKUP($C682,'Site Level Financials - ''23 ''24'!$C$2:$C$1577,'Site Level Financials - ''23 ''24'!S$2:S$1577)</f>
        <v>-13.383190582604799</v>
      </c>
      <c r="H682" s="179">
        <f>_xlfn.XLOOKUP($C682,'Site Level Financials - ''23 ''24'!$C$2:$C$1577,'Site Level Financials - ''23 ''24'!T$2:T$1577)</f>
        <v>-12.539981364639305</v>
      </c>
      <c r="I682" s="179">
        <f>_xlfn.XLOOKUP($C682,'Site Level Financials - ''23 ''24'!$C$2:$C$1577,'Site Level Financials - ''23 ''24'!U$2:U$1577)</f>
        <v>-13.761459825680438</v>
      </c>
      <c r="J682" s="179">
        <f>_xlfn.XLOOKUP($C682,'Site Level Financials - ''23 ''24'!$C$2:$C$1577,'Site Level Financials - ''23 ''24'!V$2:V$1577)</f>
        <v>-15.920291932163465</v>
      </c>
      <c r="K682" s="179">
        <f>_xlfn.XLOOKUP($C682,'Site Level Financials - ''23 ''24'!$C$2:$C$1577,'Site Level Financials - ''23 ''24'!W$2:W$1577)</f>
        <v>-17.292889394024026</v>
      </c>
      <c r="L682" s="179">
        <f>_xlfn.XLOOKUP($C682,'Site Level Financials - ''23 ''24'!$C$2:$C$1577,'Site Level Financials - ''23 ''24'!X$2:X$1577)</f>
        <v>-12.810882195742849</v>
      </c>
      <c r="M682" s="179">
        <f>_xlfn.XLOOKUP($C682,'Site Level Financials - ''23 ''24'!$C$2:$C$1577,'Site Level Financials - ''23 ''24'!Y$2:Y$1577)</f>
        <v>-14.036680943374455</v>
      </c>
      <c r="N682" s="179">
        <f>_xlfn.XLOOKUP($C682,'Site Level Financials - ''23 ''24'!$C$2:$C$1577,'Site Level Financials - ''23 ''24'!Z$2:Z$1577)</f>
        <v>-10.335718922903805</v>
      </c>
      <c r="O682" s="179">
        <f>_xlfn.XLOOKUP($C682,'Site Level Financials - ''23 ''24'!$C$2:$C$1577,'Site Level Financials - ''23 ''24'!AA$2:AA$1577)</f>
        <v>-8.6120821616789875</v>
      </c>
      <c r="P682" s="179">
        <f>_xlfn.XLOOKUP($C682,'Site Level Financials - ''23 ''24'!$C$2:$C$1577,'Site Level Financials - ''23 ''24'!AB$2:AB$1577)</f>
        <v>-10.709497266144535</v>
      </c>
      <c r="Q682" s="179">
        <f>_xlfn.XLOOKUP($C682,'Site Level Financials - ''23 ''24'!$C$2:$C$1577,'Site Level Financials - ''23 ''24'!AC$2:AC$1577)</f>
        <v>-10.262830582450707</v>
      </c>
      <c r="R682" s="179">
        <f>_xlfn.XLOOKUP($C682,'Site Level Financials - ''23 ''24'!$C$2:$C$1577,'Site Level Financials - ''23 ''24'!AD$2:AD$1577)</f>
        <v>-8.2493740826003474</v>
      </c>
      <c r="S682" s="155">
        <f>S683*S664</f>
        <v>-13.101613978597202</v>
      </c>
      <c r="T682" s="154">
        <f t="shared" ref="T682" si="1932">T683*T664</f>
        <v>-13.071800691591939</v>
      </c>
      <c r="U682" s="154">
        <f t="shared" ref="U682" si="1933">U683*U664</f>
        <v>-14.301520718812156</v>
      </c>
      <c r="V682" s="154">
        <f t="shared" ref="V682" si="1934">V683*V664</f>
        <v>-20.687369375331972</v>
      </c>
      <c r="W682" s="154">
        <f t="shared" ref="W682" si="1935">W683*W664</f>
        <v>-25.250075802058706</v>
      </c>
      <c r="X682" s="154">
        <f t="shared" ref="X682" si="1936">X683*X664</f>
        <v>-15.783168552202543</v>
      </c>
      <c r="Y682" s="154">
        <f t="shared" ref="Y682" si="1937">Y683*Y664</f>
        <v>-16.299413606422331</v>
      </c>
      <c r="Z682" s="154">
        <f t="shared" ref="Z682" si="1938">Z683*Z664</f>
        <v>-9.4961526636939837</v>
      </c>
      <c r="AA682" s="154">
        <f t="shared" ref="AA682" si="1939">AA683*AA664</f>
        <v>-8.0545514020114553</v>
      </c>
      <c r="AB682" s="154">
        <f t="shared" ref="AB682" si="1940">AB683*AB664</f>
        <v>-10.11428732000493</v>
      </c>
      <c r="AC682" s="154">
        <f t="shared" ref="AC682" si="1941">AC683*AC664</f>
        <v>-9.383304517030119</v>
      </c>
      <c r="AD682" s="156">
        <f t="shared" ref="AD682" si="1942">AD683*AD664</f>
        <v>-8.4772221182832652</v>
      </c>
      <c r="AE682" s="15"/>
      <c r="AF682" s="115">
        <f>_xlfn.XLOOKUP($C682,'Site Level Financials - ''23 ''24'!$C$2:$C$1577,'Site Level Financials - ''23 ''24'!$AF$2:$AF$1577)</f>
        <v>-182.18412321550548</v>
      </c>
      <c r="AG682" s="93">
        <f>SUM(G682:R682)</f>
        <v>-147.9148792540077</v>
      </c>
      <c r="AH682" s="93">
        <f t="shared" ref="AH682" si="1943">SUM(S682:AD682)</f>
        <v>-164.02048074604062</v>
      </c>
    </row>
    <row r="683" spans="2:34" x14ac:dyDescent="0.2">
      <c r="B683" s="9">
        <f>G652</f>
        <v>14</v>
      </c>
      <c r="C683" s="9" t="str">
        <f t="shared" si="1852"/>
        <v>14 - % of Revenue - Marketing</v>
      </c>
      <c r="D683" s="9" t="s">
        <v>56</v>
      </c>
      <c r="F683" s="16" t="str">
        <f>"% of Revenue - "&amp;F682</f>
        <v>% of Revenue - Marketing</v>
      </c>
      <c r="G683" s="148">
        <f>G682/G664</f>
        <v>-3.1381035554968503E-2</v>
      </c>
      <c r="H683" s="149">
        <f t="shared" ref="H683:R683" si="1944">H682/H664</f>
        <v>-3.0236858825695934E-2</v>
      </c>
      <c r="I683" s="149">
        <f t="shared" si="1944"/>
        <v>-3.0808065500511978E-2</v>
      </c>
      <c r="J683" s="149">
        <f t="shared" si="1944"/>
        <v>-4.1603752718006703E-2</v>
      </c>
      <c r="K683" s="149">
        <f t="shared" si="1944"/>
        <v>-4.2725432463374638E-2</v>
      </c>
      <c r="L683" s="149">
        <f t="shared" si="1944"/>
        <v>-3.1803038248130126E-2</v>
      </c>
      <c r="M683" s="149">
        <f t="shared" si="1944"/>
        <v>-3.2600813298087915E-2</v>
      </c>
      <c r="N683" s="149">
        <f t="shared" si="1944"/>
        <v>-2.215004726225675E-2</v>
      </c>
      <c r="O683" s="149">
        <f t="shared" si="1944"/>
        <v>-2.0491614533149231E-2</v>
      </c>
      <c r="P683" s="149">
        <f t="shared" si="1944"/>
        <v>-2.2404840284919979E-2</v>
      </c>
      <c r="Q683" s="149">
        <f t="shared" si="1944"/>
        <v>-2.6295265209951752E-2</v>
      </c>
      <c r="R683" s="149">
        <f t="shared" si="1944"/>
        <v>-2.9105297156739287E-2</v>
      </c>
      <c r="S683" s="245">
        <f>_xlfn.XLOOKUP($F683,'Budget Assumption Driver'!$A$33:$A$39,'Budget Assumption Driver'!E$33:E$39)+G683</f>
        <v>-3.1381035554968503E-2</v>
      </c>
      <c r="T683" s="246">
        <f>_xlfn.XLOOKUP($F683,'Budget Assumption Driver'!$A$33:$A$39,'Budget Assumption Driver'!F$33:F$39)+H683</f>
        <v>-3.0236858825695934E-2</v>
      </c>
      <c r="U683" s="246">
        <f>_xlfn.XLOOKUP($F683,'Budget Assumption Driver'!$A$33:$A$39,'Budget Assumption Driver'!G$33:G$39)+I683</f>
        <v>-3.0808065500511978E-2</v>
      </c>
      <c r="V683" s="246">
        <f>_xlfn.XLOOKUP($F683,'Budget Assumption Driver'!$A$33:$A$39,'Budget Assumption Driver'!H$33:H$39)+J683</f>
        <v>-4.1603752718006703E-2</v>
      </c>
      <c r="W683" s="246">
        <f>_xlfn.XLOOKUP($F683,'Budget Assumption Driver'!$A$33:$A$39,'Budget Assumption Driver'!I$33:I$39)+K683</f>
        <v>-4.2725432463374638E-2</v>
      </c>
      <c r="X683" s="246">
        <f>_xlfn.XLOOKUP($F683,'Budget Assumption Driver'!$A$33:$A$39,'Budget Assumption Driver'!J$33:J$39)+L683</f>
        <v>-3.1803038248130126E-2</v>
      </c>
      <c r="Y683" s="246">
        <f>_xlfn.XLOOKUP($F683,'Budget Assumption Driver'!$A$33:$A$39,'Budget Assumption Driver'!K$33:K$39)+M683</f>
        <v>-3.2600813298087915E-2</v>
      </c>
      <c r="Z683" s="246">
        <f>_xlfn.XLOOKUP($F683,'Budget Assumption Driver'!$A$33:$A$39,'Budget Assumption Driver'!L$33:L$39)+N683</f>
        <v>-2.215004726225675E-2</v>
      </c>
      <c r="AA683" s="246">
        <f>_xlfn.XLOOKUP($F683,'Budget Assumption Driver'!$A$33:$A$39,'Budget Assumption Driver'!M$33:M$39)+O683</f>
        <v>-2.0491614533149231E-2</v>
      </c>
      <c r="AB683" s="246">
        <f>_xlfn.XLOOKUP($F683,'Budget Assumption Driver'!$A$33:$A$39,'Budget Assumption Driver'!N$33:N$39)+P683</f>
        <v>-2.2404840284919979E-2</v>
      </c>
      <c r="AC683" s="246">
        <f>_xlfn.XLOOKUP($F683,'Budget Assumption Driver'!$A$33:$A$39,'Budget Assumption Driver'!O$33:O$39)+Q683</f>
        <v>-2.6295265209951752E-2</v>
      </c>
      <c r="AD683" s="296">
        <f>_xlfn.XLOOKUP($F683,'Budget Assumption Driver'!$A$33:$A$39,'Budget Assumption Driver'!P$33:P$39)+R683</f>
        <v>-2.9105297156739287E-2</v>
      </c>
      <c r="AE683" s="15"/>
      <c r="AF683" s="232">
        <f>_xlfn.XLOOKUP($C683,'Site Level Financials - ''23 ''24'!$C$2:$C$1577,'Site Level Financials - ''23 ''24'!$AF$2:$AF$1577)</f>
        <v>-3.3463041120462854E-2</v>
      </c>
      <c r="AG683" s="97">
        <f t="shared" ref="AG683:AH683" si="1945">AG682/AG664</f>
        <v>-2.9898142168347634E-2</v>
      </c>
      <c r="AH683" s="97">
        <f t="shared" si="1945"/>
        <v>-3.0831896804260361E-2</v>
      </c>
    </row>
    <row r="684" spans="2:34" ht="3" customHeight="1" x14ac:dyDescent="0.2">
      <c r="B684" s="9">
        <f>G652</f>
        <v>14</v>
      </c>
      <c r="C684" s="9" t="str">
        <f t="shared" si="1852"/>
        <v xml:space="preserve">14 - </v>
      </c>
      <c r="D684" s="9" t="s">
        <v>56</v>
      </c>
      <c r="F684" s="16"/>
      <c r="G684" s="84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4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6"/>
      <c r="AE684" s="15"/>
      <c r="AF684" s="36"/>
      <c r="AG684" s="38"/>
      <c r="AH684" s="38"/>
    </row>
    <row r="685" spans="2:34" x14ac:dyDescent="0.2">
      <c r="B685" s="9">
        <f>G652</f>
        <v>14</v>
      </c>
      <c r="C685" s="9" t="str">
        <f t="shared" si="1852"/>
        <v>14 - Office Rent</v>
      </c>
      <c r="D685" s="9" t="s">
        <v>56</v>
      </c>
      <c r="F685" t="s">
        <v>162</v>
      </c>
      <c r="G685" s="178">
        <f>_xlfn.XLOOKUP($C685,'Site Level Financials - ''23 ''24'!$C$2:$C$1577,'Site Level Financials - ''23 ''24'!S$2:S$1577)</f>
        <v>-31.10803983660815</v>
      </c>
      <c r="H685" s="179">
        <f>_xlfn.XLOOKUP($C685,'Site Level Financials - ''23 ''24'!$C$2:$C$1577,'Site Level Financials - ''23 ''24'!T$2:T$1577)</f>
        <v>-31.10803983660815</v>
      </c>
      <c r="I685" s="179">
        <f>_xlfn.XLOOKUP($C685,'Site Level Financials - ''23 ''24'!$C$2:$C$1577,'Site Level Financials - ''23 ''24'!U$2:U$1577)</f>
        <v>-31.10803983660815</v>
      </c>
      <c r="J685" s="179">
        <f>_xlfn.XLOOKUP($C685,'Site Level Financials - ''23 ''24'!$C$2:$C$1577,'Site Level Financials - ''23 ''24'!V$2:V$1577)</f>
        <v>-31.10803983660815</v>
      </c>
      <c r="K685" s="179">
        <f>_xlfn.XLOOKUP($C685,'Site Level Financials - ''23 ''24'!$C$2:$C$1577,'Site Level Financials - ''23 ''24'!W$2:W$1577)</f>
        <v>-31.10803983660815</v>
      </c>
      <c r="L685" s="179">
        <f>_xlfn.XLOOKUP($C685,'Site Level Financials - ''23 ''24'!$C$2:$C$1577,'Site Level Financials - ''23 ''24'!X$2:X$1577)</f>
        <v>-31.10803983660815</v>
      </c>
      <c r="M685" s="179">
        <f>_xlfn.XLOOKUP($C685,'Site Level Financials - ''23 ''24'!$C$2:$C$1577,'Site Level Financials - ''23 ''24'!Y$2:Y$1577)</f>
        <v>-31.10803983660815</v>
      </c>
      <c r="N685" s="179">
        <f>_xlfn.XLOOKUP($C685,'Site Level Financials - ''23 ''24'!$C$2:$C$1577,'Site Level Financials - ''23 ''24'!Z$2:Z$1577)</f>
        <v>-31.10803983660815</v>
      </c>
      <c r="O685" s="179">
        <f>_xlfn.XLOOKUP($C685,'Site Level Financials - ''23 ''24'!$C$2:$C$1577,'Site Level Financials - ''23 ''24'!AA$2:AA$1577)</f>
        <v>-31.10803983660815</v>
      </c>
      <c r="P685" s="179">
        <f>_xlfn.XLOOKUP($C685,'Site Level Financials - ''23 ''24'!$C$2:$C$1577,'Site Level Financials - ''23 ''24'!AB$2:AB$1577)</f>
        <v>-31.10803983660815</v>
      </c>
      <c r="Q685" s="179">
        <f>_xlfn.XLOOKUP($C685,'Site Level Financials - ''23 ''24'!$C$2:$C$1577,'Site Level Financials - ''23 ''24'!AC$2:AC$1577)</f>
        <v>-31.10803983660815</v>
      </c>
      <c r="R685" s="179">
        <f>_xlfn.XLOOKUP($C685,'Site Level Financials - ''23 ''24'!$C$2:$C$1577,'Site Level Financials - ''23 ''24'!AD$2:AD$1577)</f>
        <v>-32.04128103170639</v>
      </c>
      <c r="S685" s="155">
        <f>G685*(1+S686)</f>
        <v>-32.041281031706397</v>
      </c>
      <c r="T685" s="154">
        <f t="shared" ref="T685" si="1946">H685*(1+T686)</f>
        <v>-32.041281031706397</v>
      </c>
      <c r="U685" s="154">
        <f t="shared" ref="U685" si="1947">I685*(1+U686)</f>
        <v>-32.041281031706397</v>
      </c>
      <c r="V685" s="154">
        <f t="shared" ref="V685" si="1948">J685*(1+V686)</f>
        <v>-32.041281031706397</v>
      </c>
      <c r="W685" s="154">
        <f t="shared" ref="W685" si="1949">K685*(1+W686)</f>
        <v>-32.041281031706397</v>
      </c>
      <c r="X685" s="154">
        <f t="shared" ref="X685" si="1950">L685*(1+X686)</f>
        <v>-32.041281031706397</v>
      </c>
      <c r="Y685" s="154">
        <f t="shared" ref="Y685" si="1951">M685*(1+Y686)</f>
        <v>-32.041281031706397</v>
      </c>
      <c r="Z685" s="154">
        <f t="shared" ref="Z685" si="1952">N685*(1+Z686)</f>
        <v>-32.041281031706397</v>
      </c>
      <c r="AA685" s="154">
        <f t="shared" ref="AA685" si="1953">O685*(1+AA686)</f>
        <v>-32.041281031706397</v>
      </c>
      <c r="AB685" s="154">
        <f t="shared" ref="AB685" si="1954">P685*(1+AB686)</f>
        <v>-32.041281031706397</v>
      </c>
      <c r="AC685" s="154">
        <f t="shared" ref="AC685" si="1955">Q685*(1+AC686)</f>
        <v>-32.041281031706397</v>
      </c>
      <c r="AD685" s="156">
        <f t="shared" ref="AD685" si="1956">R685*(1+AD686)</f>
        <v>-33.002519462657581</v>
      </c>
      <c r="AE685" s="15"/>
      <c r="AF685" s="115">
        <f>_xlfn.XLOOKUP($C685,'Site Level Financials - ''23 ''24'!$C$2:$C$1577,'Site Level Financials - ''23 ''24'!$AF$2:$AF$1577)</f>
        <v>-363.32783955983996</v>
      </c>
      <c r="AG685" s="93">
        <f>SUM(G685:R685)</f>
        <v>-374.22971923439604</v>
      </c>
      <c r="AH685" s="93">
        <f t="shared" ref="AH685" si="1957">SUM(S685:AD685)</f>
        <v>-385.45661081142788</v>
      </c>
    </row>
    <row r="686" spans="2:34" x14ac:dyDescent="0.2">
      <c r="B686" s="9">
        <f>G652</f>
        <v>14</v>
      </c>
      <c r="C686" s="9" t="str">
        <f t="shared" si="1852"/>
        <v>14 - % YoY Growth</v>
      </c>
      <c r="D686" s="9" t="s">
        <v>56</v>
      </c>
      <c r="F686" s="16" t="s">
        <v>8</v>
      </c>
      <c r="G686" s="245">
        <f>_xlfn.XLOOKUP($C686,'Site Level Financials - ''23 ''24'!$C$2:$C$1577,'Site Level Financials - ''23 ''24'!S$2:S$1577)</f>
        <v>3.0005627115619271E-2</v>
      </c>
      <c r="H686" s="246">
        <f>_xlfn.XLOOKUP($C686,'Site Level Financials - ''23 ''24'!$C$2:$C$1577,'Site Level Financials - ''23 ''24'!T$2:T$1577)</f>
        <v>3.0005627115619271E-2</v>
      </c>
      <c r="I686" s="246">
        <f>_xlfn.XLOOKUP($C686,'Site Level Financials - ''23 ''24'!$C$2:$C$1577,'Site Level Financials - ''23 ''24'!U$2:U$1577)</f>
        <v>3.0005627115619271E-2</v>
      </c>
      <c r="J686" s="246">
        <f>_xlfn.XLOOKUP($C686,'Site Level Financials - ''23 ''24'!$C$2:$C$1577,'Site Level Financials - ''23 ''24'!V$2:V$1577)</f>
        <v>3.0005627115619271E-2</v>
      </c>
      <c r="K686" s="246">
        <f>_xlfn.XLOOKUP($C686,'Site Level Financials - ''23 ''24'!$C$2:$C$1577,'Site Level Financials - ''23 ''24'!W$2:W$1577)</f>
        <v>3.0005627115619271E-2</v>
      </c>
      <c r="L686" s="246">
        <f>_xlfn.XLOOKUP($C686,'Site Level Financials - ''23 ''24'!$C$2:$C$1577,'Site Level Financials - ''23 ''24'!X$2:X$1577)</f>
        <v>3.0005627115619271E-2</v>
      </c>
      <c r="M686" s="246">
        <f>_xlfn.XLOOKUP($C686,'Site Level Financials - ''23 ''24'!$C$2:$C$1577,'Site Level Financials - ''23 ''24'!Y$2:Y$1577)</f>
        <v>3.0005627115619271E-2</v>
      </c>
      <c r="N686" s="246">
        <f>_xlfn.XLOOKUP($C686,'Site Level Financials - ''23 ''24'!$C$2:$C$1577,'Site Level Financials - ''23 ''24'!Z$2:Z$1577)</f>
        <v>3.0005627115619271E-2</v>
      </c>
      <c r="O686" s="246">
        <f>_xlfn.XLOOKUP($C686,'Site Level Financials - ''23 ''24'!$C$2:$C$1577,'Site Level Financials - ''23 ''24'!AA$2:AA$1577)</f>
        <v>3.0005627115619271E-2</v>
      </c>
      <c r="P686" s="246">
        <f>_xlfn.XLOOKUP($C686,'Site Level Financials - ''23 ''24'!$C$2:$C$1577,'Site Level Financials - ''23 ''24'!AB$2:AB$1577)</f>
        <v>3.0005627115619271E-2</v>
      </c>
      <c r="Q686" s="246">
        <f>_xlfn.XLOOKUP($C686,'Site Level Financials - ''23 ''24'!$C$2:$C$1577,'Site Level Financials - ''23 ''24'!AC$2:AC$1577)</f>
        <v>3.0005627115619271E-2</v>
      </c>
      <c r="R686" s="246">
        <f>_xlfn.XLOOKUP($C686,'Site Level Financials - ''23 ''24'!$C$2:$C$1577,'Site Level Financials - ''23 ''24'!AD$2:AD$1577)</f>
        <v>3.0005627115619049E-2</v>
      </c>
      <c r="S686" s="245">
        <f>_xlfn.XLOOKUP($F686,'Budget Assumption Driver'!$A$33:$A$39,'Budget Assumption Driver'!E$33:E$39)</f>
        <v>0.03</v>
      </c>
      <c r="T686" s="246">
        <f>_xlfn.XLOOKUP($F686,'Budget Assumption Driver'!$A$33:$A$39,'Budget Assumption Driver'!F$33:F$39)</f>
        <v>0.03</v>
      </c>
      <c r="U686" s="246">
        <f>_xlfn.XLOOKUP($F686,'Budget Assumption Driver'!$A$33:$A$39,'Budget Assumption Driver'!G$33:G$39)</f>
        <v>0.03</v>
      </c>
      <c r="V686" s="246">
        <f>_xlfn.XLOOKUP($F686,'Budget Assumption Driver'!$A$33:$A$39,'Budget Assumption Driver'!H$33:H$39)</f>
        <v>0.03</v>
      </c>
      <c r="W686" s="246">
        <f>_xlfn.XLOOKUP($F686,'Budget Assumption Driver'!$A$33:$A$39,'Budget Assumption Driver'!I$33:I$39)</f>
        <v>0.03</v>
      </c>
      <c r="X686" s="246">
        <f>_xlfn.XLOOKUP($F686,'Budget Assumption Driver'!$A$33:$A$39,'Budget Assumption Driver'!J$33:J$39)</f>
        <v>0.03</v>
      </c>
      <c r="Y686" s="246">
        <f>_xlfn.XLOOKUP($F686,'Budget Assumption Driver'!$A$33:$A$39,'Budget Assumption Driver'!K$33:K$39)</f>
        <v>0.03</v>
      </c>
      <c r="Z686" s="246">
        <f>_xlfn.XLOOKUP($F686,'Budget Assumption Driver'!$A$33:$A$39,'Budget Assumption Driver'!L$33:L$39)</f>
        <v>0.03</v>
      </c>
      <c r="AA686" s="246">
        <f>_xlfn.XLOOKUP($F686,'Budget Assumption Driver'!$A$33:$A$39,'Budget Assumption Driver'!M$33:M$39)</f>
        <v>0.03</v>
      </c>
      <c r="AB686" s="246">
        <f>_xlfn.XLOOKUP($F686,'Budget Assumption Driver'!$A$33:$A$39,'Budget Assumption Driver'!N$33:N$39)</f>
        <v>0.03</v>
      </c>
      <c r="AC686" s="246">
        <f>_xlfn.XLOOKUP($F686,'Budget Assumption Driver'!$A$33:$A$39,'Budget Assumption Driver'!O$33:O$39)</f>
        <v>0.03</v>
      </c>
      <c r="AD686" s="296">
        <f>_xlfn.XLOOKUP($F686,'Budget Assumption Driver'!$A$33:$A$39,'Budget Assumption Driver'!P$33:P$39)</f>
        <v>0.03</v>
      </c>
      <c r="AE686" s="15"/>
      <c r="AF686" s="11"/>
      <c r="AG686" s="97">
        <f>AG685/AF685-1</f>
        <v>3.0005627115619271E-2</v>
      </c>
      <c r="AH686" s="97">
        <f>AH685/AG685-1</f>
        <v>2.9999999999999805E-2</v>
      </c>
    </row>
    <row r="687" spans="2:34" ht="6" customHeight="1" x14ac:dyDescent="0.2">
      <c r="B687" s="9">
        <f>G652</f>
        <v>14</v>
      </c>
      <c r="C687" s="9" t="str">
        <f t="shared" si="1852"/>
        <v xml:space="preserve">14 - </v>
      </c>
      <c r="D687" s="9" t="s">
        <v>56</v>
      </c>
      <c r="F687" s="16"/>
      <c r="G687" s="80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80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81"/>
      <c r="AE687" s="15"/>
      <c r="AF687" s="11"/>
      <c r="AG687" s="15"/>
      <c r="AH687" s="15"/>
    </row>
    <row r="688" spans="2:34" x14ac:dyDescent="0.2">
      <c r="B688" s="9">
        <f>G652</f>
        <v>14</v>
      </c>
      <c r="C688" s="9" t="str">
        <f t="shared" si="1852"/>
        <v>14 - Office EBITDA</v>
      </c>
      <c r="D688" s="9" t="s">
        <v>56</v>
      </c>
      <c r="F688" s="8" t="s">
        <v>12</v>
      </c>
      <c r="G688" s="241">
        <f>_xlfn.XLOOKUP($C688,'Site Level Financials - ''23 ''24'!$C$2:$C$1577,'Site Level Financials - ''23 ''24'!S$2:S$1577)</f>
        <v>63.357183187934559</v>
      </c>
      <c r="H688" s="242">
        <f>_xlfn.XLOOKUP($C688,'Site Level Financials - ''23 ''24'!$C$2:$C$1577,'Site Level Financials - ''23 ''24'!T$2:T$1577)</f>
        <v>67.94726576934562</v>
      </c>
      <c r="I688" s="242">
        <f>_xlfn.XLOOKUP($C688,'Site Level Financials - ''23 ''24'!$C$2:$C$1577,'Site Level Financials - ''23 ''24'!U$2:U$1577)</f>
        <v>71.618813192059463</v>
      </c>
      <c r="J688" s="242">
        <f>_xlfn.XLOOKUP($C688,'Site Level Financials - ''23 ''24'!$C$2:$C$1577,'Site Level Financials - ''23 ''24'!V$2:V$1577)</f>
        <v>-38.740124075073098</v>
      </c>
      <c r="K688" s="242">
        <f>_xlfn.XLOOKUP($C688,'Site Level Financials - ''23 ''24'!$C$2:$C$1577,'Site Level Financials - ''23 ''24'!W$2:W$1577)</f>
        <v>-38.621918686008541</v>
      </c>
      <c r="L688" s="242">
        <f>_xlfn.XLOOKUP($C688,'Site Level Financials - ''23 ''24'!$C$2:$C$1577,'Site Level Financials - ''23 ''24'!X$2:X$1577)</f>
        <v>63.099916563417956</v>
      </c>
      <c r="M688" s="242">
        <f>_xlfn.XLOOKUP($C688,'Site Level Financials - ''23 ''24'!$C$2:$C$1577,'Site Level Financials - ''23 ''24'!Y$2:Y$1577)</f>
        <v>64.910536046791435</v>
      </c>
      <c r="N688" s="242">
        <f>_xlfn.XLOOKUP($C688,'Site Level Financials - ''23 ''24'!$C$2:$C$1577,'Site Level Financials - ''23 ''24'!Z$2:Z$1577)</f>
        <v>148.6969719981098</v>
      </c>
      <c r="O688" s="242">
        <f>_xlfn.XLOOKUP($C688,'Site Level Financials - ''23 ''24'!$C$2:$C$1577,'Site Level Financials - ''23 ''24'!AA$2:AA$1577)</f>
        <v>131.55276496921437</v>
      </c>
      <c r="P688" s="242">
        <f>_xlfn.XLOOKUP($C688,'Site Level Financials - ''23 ''24'!$C$2:$C$1577,'Site Level Financials - ''23 ''24'!AB$2:AB$1577)</f>
        <v>148.63822673099224</v>
      </c>
      <c r="Q688" s="242">
        <f>_xlfn.XLOOKUP($C688,'Site Level Financials - ''23 ''24'!$C$2:$C$1577,'Site Level Financials - ''23 ''24'!AC$2:AC$1577)</f>
        <v>116.12346623991954</v>
      </c>
      <c r="R688" s="242">
        <f>_xlfn.XLOOKUP($C688,'Site Level Financials - ''23 ''24'!$C$2:$C$1577,'Site Level Financials - ''23 ''24'!AD$2:AD$1577)</f>
        <v>73.09452435411869</v>
      </c>
      <c r="S688" s="134">
        <f t="shared" ref="S688:AD688" si="1958">S676+S679+S682+S685</f>
        <v>60.436434116303239</v>
      </c>
      <c r="T688" s="135">
        <f t="shared" si="1958"/>
        <v>71.214949952573164</v>
      </c>
      <c r="U688" s="135">
        <f t="shared" si="1958"/>
        <v>74.71703062838813</v>
      </c>
      <c r="V688" s="135">
        <f t="shared" si="1958"/>
        <v>-41.958671140979192</v>
      </c>
      <c r="W688" s="135">
        <f t="shared" si="1958"/>
        <v>-43.012611859763979</v>
      </c>
      <c r="X688" s="135">
        <f t="shared" si="1958"/>
        <v>84.02411025838515</v>
      </c>
      <c r="Y688" s="135">
        <f t="shared" si="1958"/>
        <v>79.455624008505737</v>
      </c>
      <c r="Z688" s="135">
        <f t="shared" si="1958"/>
        <v>133.15824256370487</v>
      </c>
      <c r="AA688" s="135">
        <f t="shared" si="1958"/>
        <v>120.08915488434215</v>
      </c>
      <c r="AB688" s="135">
        <f t="shared" si="1958"/>
        <v>137.71508937328795</v>
      </c>
      <c r="AC688" s="135">
        <f t="shared" si="1958"/>
        <v>102.57246367722465</v>
      </c>
      <c r="AD688" s="136">
        <f t="shared" si="1958"/>
        <v>75.037140991108686</v>
      </c>
      <c r="AE688" s="15"/>
      <c r="AF688" s="113">
        <f>_xlfn.XLOOKUP($C688,'Site Level Financials - ''23 ''24'!$C$2:$C$1577,'Site Level Financials - ''23 ''24'!$AF$2:$AF$1577)</f>
        <v>1520.7583217913236</v>
      </c>
      <c r="AG688" s="95">
        <f>SUM(G688:R688)</f>
        <v>871.67762629082199</v>
      </c>
      <c r="AH688" s="95">
        <f t="shared" ref="AH688" si="1959">SUM(S688:AD688)</f>
        <v>853.44895745308054</v>
      </c>
    </row>
    <row r="689" spans="2:35" x14ac:dyDescent="0.2">
      <c r="B689" s="9">
        <f>G652</f>
        <v>14</v>
      </c>
      <c r="C689" s="9" t="str">
        <f t="shared" si="1852"/>
        <v>14 - % of Revenue - Office EBITDA</v>
      </c>
      <c r="D689" s="9" t="s">
        <v>56</v>
      </c>
      <c r="F689" s="16" t="str">
        <f>"% of Revenue - "&amp;F688</f>
        <v>% of Revenue - Office EBITDA</v>
      </c>
      <c r="G689" s="148">
        <f>G688/G664</f>
        <v>0.14856053988108542</v>
      </c>
      <c r="H689" s="149">
        <f t="shared" ref="H689:AD689" si="1960">H688/H664</f>
        <v>0.16383691673204018</v>
      </c>
      <c r="I689" s="149">
        <f t="shared" si="1960"/>
        <v>0.16033452234278506</v>
      </c>
      <c r="J689" s="149">
        <f t="shared" si="1960"/>
        <v>-0.10123775048547209</v>
      </c>
      <c r="K689" s="149">
        <f t="shared" si="1960"/>
        <v>-9.5422930247576199E-2</v>
      </c>
      <c r="L689" s="149">
        <f t="shared" si="1960"/>
        <v>0.15664565712633477</v>
      </c>
      <c r="M689" s="149">
        <f t="shared" si="1960"/>
        <v>0.15075759542280573</v>
      </c>
      <c r="N689" s="149">
        <f t="shared" si="1960"/>
        <v>0.31866626618627669</v>
      </c>
      <c r="O689" s="149">
        <f t="shared" si="1960"/>
        <v>0.31301704975763567</v>
      </c>
      <c r="P689" s="149">
        <f t="shared" si="1960"/>
        <v>0.31095910922628178</v>
      </c>
      <c r="Q689" s="149">
        <f t="shared" si="1960"/>
        <v>0.29752974263250526</v>
      </c>
      <c r="R689" s="149">
        <f t="shared" si="1960"/>
        <v>0.25789082063139213</v>
      </c>
      <c r="S689" s="148">
        <f t="shared" si="1960"/>
        <v>0.14475757650297441</v>
      </c>
      <c r="T689" s="149">
        <f t="shared" si="1960"/>
        <v>0.16472989749453687</v>
      </c>
      <c r="U689" s="149">
        <f t="shared" si="1960"/>
        <v>0.16095401453184269</v>
      </c>
      <c r="V689" s="149">
        <f t="shared" si="1960"/>
        <v>-8.4381834483363352E-2</v>
      </c>
      <c r="W689" s="149">
        <f t="shared" si="1960"/>
        <v>-7.2781264400713502E-2</v>
      </c>
      <c r="X689" s="149">
        <f t="shared" si="1960"/>
        <v>0.16930833523536165</v>
      </c>
      <c r="Y689" s="149">
        <f t="shared" si="1960"/>
        <v>0.15892092969306112</v>
      </c>
      <c r="Z689" s="149">
        <f t="shared" si="1960"/>
        <v>0.31059540327543317</v>
      </c>
      <c r="AA689" s="149">
        <f t="shared" si="1960"/>
        <v>0.30551927086678671</v>
      </c>
      <c r="AB689" s="149">
        <f t="shared" si="1960"/>
        <v>0.30506198653554695</v>
      </c>
      <c r="AC689" s="149">
        <f t="shared" si="1960"/>
        <v>0.28744352597057549</v>
      </c>
      <c r="AD689" s="150">
        <f t="shared" si="1960"/>
        <v>0.2576290034477286</v>
      </c>
      <c r="AE689" s="15"/>
      <c r="AF689" s="232">
        <f>_xlfn.XLOOKUP($C689,'Site Level Financials - ''23 ''24'!$C$2:$C$1577,'Site Level Financials - ''23 ''24'!$AF$2:$AF$1577)</f>
        <v>0.27932839238791596</v>
      </c>
      <c r="AG689" s="97">
        <f t="shared" ref="AG689:AH689" si="1961">AG688/AG664</f>
        <v>0.17619283284581841</v>
      </c>
      <c r="AH689" s="97">
        <f t="shared" si="1961"/>
        <v>0.1604278323305193</v>
      </c>
    </row>
    <row r="690" spans="2:35" ht="6" customHeight="1" x14ac:dyDescent="0.2">
      <c r="B690" s="9">
        <f>G652</f>
        <v>14</v>
      </c>
      <c r="C690" s="9" t="str">
        <f t="shared" si="1852"/>
        <v xml:space="preserve">14 - </v>
      </c>
      <c r="D690" s="9" t="s">
        <v>56</v>
      </c>
      <c r="G690" s="80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80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81"/>
      <c r="AE690" s="15"/>
      <c r="AF690" s="11"/>
      <c r="AG690" s="15"/>
      <c r="AH690" s="15"/>
    </row>
    <row r="691" spans="2:35" x14ac:dyDescent="0.2">
      <c r="B691" s="9">
        <f>G652</f>
        <v>14</v>
      </c>
      <c r="C691" s="9" t="str">
        <f t="shared" si="1852"/>
        <v>14 - Memo:</v>
      </c>
      <c r="D691" s="9" t="s">
        <v>56</v>
      </c>
      <c r="F691" s="6" t="s">
        <v>13</v>
      </c>
      <c r="G691" s="80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80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81"/>
      <c r="AE691" s="15"/>
      <c r="AF691" s="11"/>
      <c r="AG691" s="15"/>
      <c r="AH691" s="15"/>
    </row>
    <row r="692" spans="2:35" s="24" customFormat="1" x14ac:dyDescent="0.2">
      <c r="B692" s="9">
        <f>G652</f>
        <v>14</v>
      </c>
      <c r="C692" s="9" t="str">
        <f t="shared" si="1852"/>
        <v>14 - Collections</v>
      </c>
      <c r="D692" s="9" t="s">
        <v>56</v>
      </c>
      <c r="E692" s="49"/>
      <c r="F692" s="24" t="s">
        <v>15</v>
      </c>
      <c r="G692" s="247">
        <f>_xlfn.XLOOKUP($C692,'Site Level Financials - ''23 ''24'!$C$2:$C$1577,'Site Level Financials - ''23 ''24'!S$2:S$1577)</f>
        <v>425.79219039872777</v>
      </c>
      <c r="H692" s="248">
        <f>_xlfn.XLOOKUP($C692,'Site Level Financials - ''23 ''24'!$C$2:$C$1577,'Site Level Financials - ''23 ''24'!T$2:T$1577)</f>
        <v>408.26930766595751</v>
      </c>
      <c r="I692" s="248">
        <f>_xlfn.XLOOKUP($C692,'Site Level Financials - ''23 ''24'!$C$2:$C$1577,'Site Level Financials - ''23 ''24'!U$2:U$1577)</f>
        <v>449.95751019363473</v>
      </c>
      <c r="J692" s="248">
        <f>_xlfn.XLOOKUP($C692,'Site Level Financials - ''23 ''24'!$C$2:$C$1577,'Site Level Financials - ''23 ''24'!V$2:V$1577)</f>
        <v>380.07516047005237</v>
      </c>
      <c r="K692" s="248">
        <f>_xlfn.XLOOKUP($C692,'Site Level Financials - ''23 ''24'!$C$2:$C$1577,'Site Level Financials - ''23 ''24'!W$2:W$1577)</f>
        <v>407.56998697451127</v>
      </c>
      <c r="L692" s="248">
        <f>_xlfn.XLOOKUP($C692,'Site Level Financials - ''23 ''24'!$C$2:$C$1577,'Site Level Financials - ''23 ''24'!X$2:X$1577)</f>
        <v>399.25520072217114</v>
      </c>
      <c r="M692" s="248">
        <f>_xlfn.XLOOKUP($C692,'Site Level Financials - ''23 ''24'!$C$2:$C$1577,'Site Level Financials - ''23 ''24'!Y$2:Y$1577)</f>
        <v>422.52604381569944</v>
      </c>
      <c r="N692" s="248">
        <f>_xlfn.XLOOKUP($C692,'Site Level Financials - ''23 ''24'!$C$2:$C$1577,'Site Level Financials - ''23 ''24'!Z$2:Z$1577)</f>
        <v>462.9474086640796</v>
      </c>
      <c r="O692" s="248">
        <f>_xlfn.XLOOKUP($C692,'Site Level Financials - ''23 ''24'!$C$2:$C$1577,'Site Level Financials - ''23 ''24'!AA$2:AA$1577)</f>
        <v>413.19144138839459</v>
      </c>
      <c r="P692" s="248">
        <f>_xlfn.XLOOKUP($C692,'Site Level Financials - ''23 ''24'!$C$2:$C$1577,'Site Level Financials - ''23 ''24'!AB$2:AB$1577)</f>
        <v>473.93695088859164</v>
      </c>
      <c r="Q692" s="248">
        <f>_xlfn.XLOOKUP($C692,'Site Level Financials - ''23 ''24'!$C$2:$C$1577,'Site Level Financials - ''23 ''24'!AC$2:AC$1577)</f>
        <v>396.11466591537277</v>
      </c>
      <c r="R692" s="248">
        <f>_xlfn.XLOOKUP($C692,'Site Level Financials - ''23 ''24'!$C$2:$C$1577,'Site Level Financials - ''23 ''24'!AD$2:AD$1577)</f>
        <v>287.25947387378153</v>
      </c>
      <c r="S692" s="169">
        <f t="shared" ref="S692:AD692" si="1962">S693*S662</f>
        <v>417.50100807373917</v>
      </c>
      <c r="T692" s="170">
        <f t="shared" si="1962"/>
        <v>432.31344786658991</v>
      </c>
      <c r="U692" s="170">
        <f t="shared" si="1962"/>
        <v>464.21352611622075</v>
      </c>
      <c r="V692" s="170">
        <f t="shared" si="1962"/>
        <v>497.24767656303709</v>
      </c>
      <c r="W692" s="170">
        <f t="shared" si="1962"/>
        <v>590.984674612802</v>
      </c>
      <c r="X692" s="170">
        <f t="shared" si="1962"/>
        <v>496.27863945139018</v>
      </c>
      <c r="Y692" s="170">
        <f t="shared" si="1962"/>
        <v>499.96953932981529</v>
      </c>
      <c r="Z692" s="170">
        <f t="shared" si="1962"/>
        <v>428.71929577663894</v>
      </c>
      <c r="AA692" s="170">
        <f t="shared" si="1962"/>
        <v>393.06572886102407</v>
      </c>
      <c r="AB692" s="170">
        <f t="shared" si="1962"/>
        <v>451.43313638404067</v>
      </c>
      <c r="AC692" s="170">
        <f t="shared" si="1962"/>
        <v>356.84388204911113</v>
      </c>
      <c r="AD692" s="171">
        <f t="shared" si="1962"/>
        <v>291.26045587616954</v>
      </c>
      <c r="AE692" s="26"/>
      <c r="AF692" s="234">
        <f>_xlfn.XLOOKUP($C692,'Site Level Financials - ''23 ''24'!$C$2:$C$1577,'Site Level Financials - ''23 ''24'!$AF$2:$AF$1577)</f>
        <v>5396.4436921219531</v>
      </c>
      <c r="AG692" s="99">
        <f>SUM(G692:R692)</f>
        <v>4926.8953409709748</v>
      </c>
      <c r="AH692" s="99">
        <f t="shared" ref="AH692" si="1963">SUM(S692:AD692)</f>
        <v>5319.8310109605782</v>
      </c>
    </row>
    <row r="693" spans="2:35" x14ac:dyDescent="0.2">
      <c r="B693" s="9">
        <f>G652</f>
        <v>14</v>
      </c>
      <c r="C693" s="9" t="str">
        <f t="shared" si="1852"/>
        <v>14 - Collections as a % of Production</v>
      </c>
      <c r="D693" s="9" t="s">
        <v>56</v>
      </c>
      <c r="F693" s="16" t="s">
        <v>17</v>
      </c>
      <c r="G693" s="245">
        <f>_xlfn.XLOOKUP($C693,'Site Level Financials - ''23 ''24'!$C$2:$C$1577,'Site Level Financials - ''23 ''24'!S$2:S$1577)</f>
        <v>0.97699910891948427</v>
      </c>
      <c r="H693" s="246">
        <f>_xlfn.XLOOKUP($C693,'Site Level Financials - ''23 ''24'!$C$2:$C$1577,'Site Level Financials - ''23 ''24'!T$2:T$1577)</f>
        <v>0.96333065606565349</v>
      </c>
      <c r="I693" s="246">
        <f>_xlfn.XLOOKUP($C693,'Site Level Financials - ''23 ''24'!$C$2:$C$1577,'Site Level Financials - ''23 ''24'!U$2:U$1577)</f>
        <v>0.98573526740629103</v>
      </c>
      <c r="J693" s="246">
        <f>_xlfn.XLOOKUP($C693,'Site Level Financials - ''23 ''24'!$C$2:$C$1577,'Site Level Financials - ''23 ''24'!V$2:V$1577)</f>
        <v>0.97194084715237405</v>
      </c>
      <c r="K693" s="246">
        <f>_xlfn.XLOOKUP($C693,'Site Level Financials - ''23 ''24'!$C$2:$C$1577,'Site Level Financials - ''23 ''24'!W$2:W$1577)</f>
        <v>0.98539412060136911</v>
      </c>
      <c r="L693" s="246">
        <f>_xlfn.XLOOKUP($C693,'Site Level Financials - ''23 ''24'!$C$2:$C$1577,'Site Level Financials - ''23 ''24'!X$2:X$1577)</f>
        <v>0.96990460995118244</v>
      </c>
      <c r="M693" s="246">
        <f>_xlfn.XLOOKUP($C693,'Site Level Financials - ''23 ''24'!$C$2:$C$1577,'Site Level Financials - ''23 ''24'!Y$2:Y$1577)</f>
        <v>0.96029873576212477</v>
      </c>
      <c r="N693" s="246">
        <f>_xlfn.XLOOKUP($C693,'Site Level Financials - ''23 ''24'!$C$2:$C$1577,'Site Level Financials - ''23 ''24'!Z$2:Z$1577)</f>
        <v>0.97085526917411868</v>
      </c>
      <c r="O693" s="246">
        <f>_xlfn.XLOOKUP($C693,'Site Level Financials - ''23 ''24'!$C$2:$C$1577,'Site Level Financials - ''23 ''24'!AA$2:AA$1577)</f>
        <v>0.96207337998475362</v>
      </c>
      <c r="P693" s="246">
        <f>_xlfn.XLOOKUP($C693,'Site Level Financials - ''23 ''24'!$C$2:$C$1577,'Site Level Financials - ''23 ''24'!AB$2:AB$1577)</f>
        <v>0.97024677036614604</v>
      </c>
      <c r="Q693" s="246">
        <f>_xlfn.XLOOKUP($C693,'Site Level Financials - ''23 ''24'!$C$2:$C$1577,'Site Level Financials - ''23 ''24'!AC$2:AC$1577)</f>
        <v>0.99316220840452463</v>
      </c>
      <c r="R693" s="246">
        <f>_xlfn.XLOOKUP($C693,'Site Level Financials - ''23 ''24'!$C$2:$C$1577,'Site Level Financials - ''23 ''24'!AD$2:AD$1577)</f>
        <v>0.99177753800376534</v>
      </c>
      <c r="S693" s="148">
        <f>S663</f>
        <v>0.97452849845585177</v>
      </c>
      <c r="T693" s="149">
        <f t="shared" ref="T693:AD693" si="1964">T663</f>
        <v>0.97452849845585177</v>
      </c>
      <c r="U693" s="149">
        <f t="shared" si="1964"/>
        <v>0.97452849845585177</v>
      </c>
      <c r="V693" s="149">
        <f t="shared" si="1964"/>
        <v>0.97452849845585177</v>
      </c>
      <c r="W693" s="149">
        <f t="shared" si="1964"/>
        <v>0.97452849845585177</v>
      </c>
      <c r="X693" s="149">
        <f t="shared" si="1964"/>
        <v>0.97452849845585177</v>
      </c>
      <c r="Y693" s="149">
        <f t="shared" si="1964"/>
        <v>0.97452849845585177</v>
      </c>
      <c r="Z693" s="149">
        <f t="shared" si="1964"/>
        <v>0.97452849845585177</v>
      </c>
      <c r="AA693" s="149">
        <f t="shared" si="1964"/>
        <v>0.97452849845585177</v>
      </c>
      <c r="AB693" s="149">
        <f t="shared" si="1964"/>
        <v>0.97452849845585177</v>
      </c>
      <c r="AC693" s="149">
        <f t="shared" si="1964"/>
        <v>0.97452849845585177</v>
      </c>
      <c r="AD693" s="150">
        <f t="shared" si="1964"/>
        <v>0.97452849845585177</v>
      </c>
      <c r="AE693" s="15"/>
      <c r="AF693" s="232">
        <f>_xlfn.XLOOKUP($C693,'Site Level Financials - ''23 ''24'!$C$2:$C$1577,'Site Level Financials - ''23 ''24'!$AF$2:$AF$1577)</f>
        <v>0.97498967385912239</v>
      </c>
      <c r="AG693" s="97">
        <f t="shared" ref="AG693:AH693" si="1965">AG692/AG662</f>
        <v>0.97452849845585177</v>
      </c>
      <c r="AH693" s="97">
        <f t="shared" si="1965"/>
        <v>0.97452849845585166</v>
      </c>
    </row>
    <row r="694" spans="2:35" ht="6" customHeight="1" x14ac:dyDescent="0.2">
      <c r="B694" s="9">
        <f>G652</f>
        <v>14</v>
      </c>
      <c r="C694" s="9" t="str">
        <f t="shared" si="1852"/>
        <v xml:space="preserve">14 - </v>
      </c>
      <c r="D694" s="9" t="s">
        <v>56</v>
      </c>
      <c r="F694" s="27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81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81"/>
      <c r="AE694" s="15"/>
      <c r="AF694" s="11"/>
      <c r="AH694" s="224"/>
    </row>
    <row r="695" spans="2:35" s="24" customFormat="1" x14ac:dyDescent="0.2">
      <c r="B695" s="9">
        <f>G652</f>
        <v>14</v>
      </c>
      <c r="C695" s="9" t="str">
        <f t="shared" si="1852"/>
        <v>14 - Production per Vet Workday - YoY Change</v>
      </c>
      <c r="D695" s="9" t="s">
        <v>56</v>
      </c>
      <c r="E695" s="49"/>
      <c r="F695" s="24" t="s">
        <v>55</v>
      </c>
      <c r="G695" s="249">
        <f>_xlfn.XLOOKUP($C695,'Site Level Financials - ''23 ''24'!$C$2:$C$1577,'Site Level Financials - ''23 ''24'!S$2:S$1577)</f>
        <v>0.1048856968227394</v>
      </c>
      <c r="H695" s="250">
        <f>_xlfn.XLOOKUP($C695,'Site Level Financials - ''23 ''24'!$C$2:$C$1577,'Site Level Financials - ''23 ''24'!T$2:T$1577)</f>
        <v>5.7686834525181752E-2</v>
      </c>
      <c r="I695" s="250">
        <f>_xlfn.XLOOKUP($C695,'Site Level Financials - ''23 ''24'!$C$2:$C$1577,'Site Level Financials - ''23 ''24'!U$2:U$1577)</f>
        <v>3.941489995458558E-2</v>
      </c>
      <c r="J695" s="250">
        <f>_xlfn.XLOOKUP($C695,'Site Level Financials - ''23 ''24'!$C$2:$C$1577,'Site Level Financials - ''23 ''24'!V$2:V$1577)</f>
        <v>0.12092956999372939</v>
      </c>
      <c r="K695" s="250">
        <f>_xlfn.XLOOKUP($C695,'Site Level Financials - ''23 ''24'!$C$2:$C$1577,'Site Level Financials - ''23 ''24'!W$2:W$1577)</f>
        <v>2.7827241008656634E-2</v>
      </c>
      <c r="L695" s="250">
        <f>_xlfn.XLOOKUP($C695,'Site Level Financials - ''23 ''24'!$C$2:$C$1577,'Site Level Financials - ''23 ''24'!X$2:X$1577)</f>
        <v>4.6910107381417099E-3</v>
      </c>
      <c r="M695" s="250">
        <f>_xlfn.XLOOKUP($C695,'Site Level Financials - ''23 ''24'!$C$2:$C$1577,'Site Level Financials - ''23 ''24'!Y$2:Y$1577)</f>
        <v>4.1333111261757205E-2</v>
      </c>
      <c r="N695" s="250">
        <f>_xlfn.XLOOKUP($C695,'Site Level Financials - ''23 ''24'!$C$2:$C$1577,'Site Level Financials - ''23 ''24'!Z$2:Z$1577)</f>
        <v>-8.8283454505591052E-3</v>
      </c>
      <c r="O695" s="250">
        <f>_xlfn.XLOOKUP($C695,'Site Level Financials - ''23 ''24'!$C$2:$C$1577,'Site Level Financials - ''23 ''24'!AA$2:AA$1577)</f>
        <v>-3.4168807735629469E-2</v>
      </c>
      <c r="P695" s="250">
        <f>_xlfn.XLOOKUP($C695,'Site Level Financials - ''23 ''24'!$C$2:$C$1577,'Site Level Financials - ''23 ''24'!AB$2:AB$1577)</f>
        <v>-7.742750669644316E-2</v>
      </c>
      <c r="Q695" s="250">
        <f>_xlfn.XLOOKUP($C695,'Site Level Financials - ''23 ''24'!$C$2:$C$1577,'Site Level Financials - ''23 ''24'!AC$2:AC$1577)</f>
        <v>-7.5785636697375813E-2</v>
      </c>
      <c r="R695" s="251">
        <f>_xlfn.XLOOKUP($C695,'Site Level Financials - ''23 ''24'!$C$2:$C$1577,'Site Level Financials - ''23 ''24'!AD$2:AD$1577)</f>
        <v>-0.21148003987046116</v>
      </c>
      <c r="S695" s="151">
        <f>S661/G661-1</f>
        <v>-0.21358923908842931</v>
      </c>
      <c r="T695" s="152">
        <f t="shared" ref="T695" si="1966">T661/H661-1</f>
        <v>-0.16261951195612512</v>
      </c>
      <c r="U695" s="152">
        <f t="shared" ref="U695" si="1967">U661/I661-1</f>
        <v>-0.16516235610376917</v>
      </c>
      <c r="V695" s="152">
        <f t="shared" ref="V695" si="1968">V661/J661-1</f>
        <v>-0.21711167636050144</v>
      </c>
      <c r="W695" s="152">
        <f t="shared" ref="W695" si="1969">W661/K661-1</f>
        <v>-0.12028763439660206</v>
      </c>
      <c r="X695" s="152">
        <f t="shared" ref="X695" si="1970">X661/L661-1</f>
        <v>-1.0309349349833963E-2</v>
      </c>
      <c r="Y695" s="152">
        <f t="shared" ref="Y695" si="1971">Y661/M661-1</f>
        <v>-6.7192857830439934E-2</v>
      </c>
      <c r="Z695" s="152">
        <f t="shared" ref="Z695" si="1972">Z661/N661-1</f>
        <v>-7.7425765925618673E-2</v>
      </c>
      <c r="AA695" s="152">
        <f t="shared" ref="AA695" si="1973">AA661/O661-1</f>
        <v>-6.0866101953802709E-2</v>
      </c>
      <c r="AB695" s="152">
        <f t="shared" ref="AB695" si="1974">AB661/P661-1</f>
        <v>-5.1667736535845665E-2</v>
      </c>
      <c r="AC695" s="152">
        <f t="shared" ref="AC695" si="1975">AC661/Q661-1</f>
        <v>-8.1914824515165185E-2</v>
      </c>
      <c r="AD695" s="153">
        <f t="shared" ref="AD695" si="1976">AD661/R661-1</f>
        <v>3.1874519628317444E-2</v>
      </c>
      <c r="AF695" s="43"/>
      <c r="AG695" s="177">
        <f>AG661/AF661-1</f>
        <v>-2.1330682255827127E-2</v>
      </c>
      <c r="AH695" s="225">
        <f>AH661/AG661-1</f>
        <v>-8.3213268021010922E-2</v>
      </c>
    </row>
    <row r="696" spans="2:35" s="24" customFormat="1" ht="6" customHeight="1" x14ac:dyDescent="0.2">
      <c r="D696" s="9" t="s">
        <v>56</v>
      </c>
      <c r="E696" s="49"/>
      <c r="G696" s="28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29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29"/>
      <c r="AE696" s="25"/>
      <c r="AF696" s="28"/>
      <c r="AG696" s="30"/>
      <c r="AH696" s="226"/>
    </row>
    <row r="697" spans="2:35" s="24" customFormat="1" ht="6" customHeight="1" x14ac:dyDescent="0.2">
      <c r="D697" s="9" t="s">
        <v>56</v>
      </c>
      <c r="E697" s="49"/>
    </row>
    <row r="698" spans="2:35" x14ac:dyDescent="0.2">
      <c r="D698" s="9" t="s">
        <v>56</v>
      </c>
      <c r="F698" s="16"/>
    </row>
    <row r="699" spans="2:35" ht="15.75" thickBot="1" x14ac:dyDescent="0.4">
      <c r="B699" s="35" t="s">
        <v>52</v>
      </c>
      <c r="C699" s="35"/>
      <c r="D699" s="9" t="s">
        <v>56</v>
      </c>
      <c r="E699" s="48" t="s">
        <v>0</v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74"/>
      <c r="AH699" s="3">
        <f ca="1">TODAY()</f>
        <v>45999</v>
      </c>
      <c r="AI699" s="1"/>
    </row>
    <row r="700" spans="2:35" x14ac:dyDescent="0.2">
      <c r="B700" s="9">
        <f>G701</f>
        <v>15</v>
      </c>
      <c r="C700" s="9"/>
      <c r="D700" s="9" t="s">
        <v>56</v>
      </c>
      <c r="F700" t="s">
        <v>159</v>
      </c>
      <c r="AG700" s="6"/>
      <c r="AH700" s="6" t="s">
        <v>16</v>
      </c>
    </row>
    <row r="701" spans="2:35" x14ac:dyDescent="0.2">
      <c r="B701" s="9">
        <f>G701</f>
        <v>15</v>
      </c>
      <c r="C701" s="9"/>
      <c r="D701" s="9" t="s">
        <v>56</v>
      </c>
      <c r="F701" s="40" t="s">
        <v>53</v>
      </c>
      <c r="G701" s="42">
        <v>15</v>
      </c>
    </row>
    <row r="702" spans="2:35" x14ac:dyDescent="0.2">
      <c r="B702" s="9">
        <f>G701</f>
        <v>15</v>
      </c>
      <c r="C702" s="9"/>
      <c r="D702" s="9" t="s">
        <v>56</v>
      </c>
      <c r="F702" s="39" t="s">
        <v>32</v>
      </c>
      <c r="G702" s="41"/>
      <c r="H702" s="11"/>
    </row>
    <row r="703" spans="2:35" x14ac:dyDescent="0.2">
      <c r="B703" s="9">
        <f>G701</f>
        <v>15</v>
      </c>
      <c r="C703" s="9"/>
      <c r="D703" s="9" t="s">
        <v>56</v>
      </c>
      <c r="G703" s="23"/>
    </row>
    <row r="704" spans="2:35" x14ac:dyDescent="0.2">
      <c r="B704" s="9">
        <f>G701</f>
        <v>15</v>
      </c>
      <c r="C704" s="9"/>
      <c r="D704" s="9" t="s">
        <v>56</v>
      </c>
      <c r="G704" s="208" t="s">
        <v>229</v>
      </c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10"/>
      <c r="S704" s="266" t="s">
        <v>230</v>
      </c>
      <c r="T704" s="267"/>
      <c r="U704" s="267"/>
      <c r="V704" s="267"/>
      <c r="W704" s="267"/>
      <c r="X704" s="267"/>
      <c r="Y704" s="267"/>
      <c r="Z704" s="267"/>
      <c r="AA704" s="267"/>
      <c r="AB704" s="267"/>
      <c r="AC704" s="267"/>
      <c r="AD704" s="268"/>
      <c r="AF704" s="17" t="s">
        <v>231</v>
      </c>
      <c r="AG704" s="50"/>
      <c r="AH704" s="269" t="s">
        <v>232</v>
      </c>
    </row>
    <row r="705" spans="2:34" ht="15" customHeight="1" x14ac:dyDescent="0.35">
      <c r="B705" s="9">
        <f>G701</f>
        <v>15</v>
      </c>
      <c r="C705" s="9"/>
      <c r="D705" s="9" t="s">
        <v>56</v>
      </c>
      <c r="G705" s="211">
        <v>44957</v>
      </c>
      <c r="H705" s="212">
        <f>EOMONTH(G705,1)</f>
        <v>44985</v>
      </c>
      <c r="I705" s="212">
        <f t="shared" ref="I705" si="1977">EOMONTH(H705,1)</f>
        <v>45016</v>
      </c>
      <c r="J705" s="212">
        <f t="shared" ref="J705" si="1978">EOMONTH(I705,1)</f>
        <v>45046</v>
      </c>
      <c r="K705" s="212">
        <f t="shared" ref="K705" si="1979">EOMONTH(J705,1)</f>
        <v>45077</v>
      </c>
      <c r="L705" s="212">
        <f t="shared" ref="L705" si="1980">EOMONTH(K705,1)</f>
        <v>45107</v>
      </c>
      <c r="M705" s="212">
        <f t="shared" ref="M705" si="1981">EOMONTH(L705,1)</f>
        <v>45138</v>
      </c>
      <c r="N705" s="212">
        <f t="shared" ref="N705" si="1982">EOMONTH(M705,1)</f>
        <v>45169</v>
      </c>
      <c r="O705" s="212">
        <f t="shared" ref="O705" si="1983">EOMONTH(N705,1)</f>
        <v>45199</v>
      </c>
      <c r="P705" s="212">
        <f t="shared" ref="P705" si="1984">EOMONTH(O705,1)</f>
        <v>45230</v>
      </c>
      <c r="Q705" s="212">
        <f t="shared" ref="Q705" si="1985">EOMONTH(P705,1)</f>
        <v>45260</v>
      </c>
      <c r="R705" s="213">
        <f t="shared" ref="R705" si="1986">EOMONTH(Q705,1)</f>
        <v>45291</v>
      </c>
      <c r="S705" s="4">
        <f t="shared" ref="S705" si="1987">EOMONTH(R705,1)</f>
        <v>45322</v>
      </c>
      <c r="T705" s="19">
        <f t="shared" ref="T705" si="1988">EOMONTH(S705,1)</f>
        <v>45351</v>
      </c>
      <c r="U705" s="19">
        <f t="shared" ref="U705" si="1989">EOMONTH(T705,1)</f>
        <v>45382</v>
      </c>
      <c r="V705" s="19">
        <f t="shared" ref="V705" si="1990">EOMONTH(U705,1)</f>
        <v>45412</v>
      </c>
      <c r="W705" s="19">
        <f t="shared" ref="W705" si="1991">EOMONTH(V705,1)</f>
        <v>45443</v>
      </c>
      <c r="X705" s="19">
        <f t="shared" ref="X705" si="1992">EOMONTH(W705,1)</f>
        <v>45473</v>
      </c>
      <c r="Y705" s="19">
        <f t="shared" ref="Y705" si="1993">EOMONTH(X705,1)</f>
        <v>45504</v>
      </c>
      <c r="Z705" s="19">
        <f t="shared" ref="Z705" si="1994">EOMONTH(Y705,1)</f>
        <v>45535</v>
      </c>
      <c r="AA705" s="19">
        <f t="shared" ref="AA705" si="1995">EOMONTH(Z705,1)</f>
        <v>45565</v>
      </c>
      <c r="AB705" s="19">
        <f t="shared" ref="AB705" si="1996">EOMONTH(AA705,1)</f>
        <v>45596</v>
      </c>
      <c r="AC705" s="19">
        <f t="shared" ref="AC705" si="1997">EOMONTH(AB705,1)</f>
        <v>45626</v>
      </c>
      <c r="AD705" s="5">
        <f t="shared" ref="AD705" si="1998">EOMONTH(AC705,1)</f>
        <v>45657</v>
      </c>
      <c r="AE705" s="168"/>
      <c r="AF705" s="13">
        <v>45291</v>
      </c>
      <c r="AG705" s="14">
        <v>45657</v>
      </c>
      <c r="AH705" s="14">
        <v>46022</v>
      </c>
    </row>
    <row r="706" spans="2:34" ht="0.95" customHeight="1" x14ac:dyDescent="0.2">
      <c r="B706" s="9">
        <f>G701</f>
        <v>15</v>
      </c>
      <c r="C706" s="9"/>
      <c r="D706" s="9" t="s">
        <v>56</v>
      </c>
      <c r="G706" s="11"/>
      <c r="S706" s="11"/>
      <c r="AD706" s="15"/>
      <c r="AE706" s="15"/>
      <c r="AF706" s="11"/>
      <c r="AG706" s="15"/>
      <c r="AH706" s="15"/>
    </row>
    <row r="707" spans="2:34" x14ac:dyDescent="0.2">
      <c r="B707" s="9">
        <f>G701</f>
        <v>15</v>
      </c>
      <c r="C707" s="9" t="str">
        <f>B707&amp;" - "&amp;F707</f>
        <v>15 - Employed Vets</v>
      </c>
      <c r="D707" s="9" t="s">
        <v>56</v>
      </c>
      <c r="F707" s="7" t="s">
        <v>160</v>
      </c>
      <c r="G707" s="178">
        <f>_xlfn.XLOOKUP($C707,'Site Level Financials - ''23 ''24'!$C$2:$C$1577,'Site Level Financials - ''23 ''24'!S$2:S$1577)</f>
        <v>3</v>
      </c>
      <c r="H707" s="179">
        <f>_xlfn.XLOOKUP($C707,'Site Level Financials - ''23 ''24'!$C$2:$C$1577,'Site Level Financials - ''23 ''24'!T$2:T$1577)</f>
        <v>3</v>
      </c>
      <c r="I707" s="179">
        <f>_xlfn.XLOOKUP($C707,'Site Level Financials - ''23 ''24'!$C$2:$C$1577,'Site Level Financials - ''23 ''24'!U$2:U$1577)</f>
        <v>3</v>
      </c>
      <c r="J707" s="179">
        <f>_xlfn.XLOOKUP($C707,'Site Level Financials - ''23 ''24'!$C$2:$C$1577,'Site Level Financials - ''23 ''24'!V$2:V$1577)</f>
        <v>3</v>
      </c>
      <c r="K707" s="179">
        <f>_xlfn.XLOOKUP($C707,'Site Level Financials - ''23 ''24'!$C$2:$C$1577,'Site Level Financials - ''23 ''24'!W$2:W$1577)</f>
        <v>3</v>
      </c>
      <c r="L707" s="179">
        <f>_xlfn.XLOOKUP($C707,'Site Level Financials - ''23 ''24'!$C$2:$C$1577,'Site Level Financials - ''23 ''24'!X$2:X$1577)</f>
        <v>3</v>
      </c>
      <c r="M707" s="179">
        <f>_xlfn.XLOOKUP($C707,'Site Level Financials - ''23 ''24'!$C$2:$C$1577,'Site Level Financials - ''23 ''24'!Y$2:Y$1577)</f>
        <v>3</v>
      </c>
      <c r="N707" s="179">
        <f>_xlfn.XLOOKUP($C707,'Site Level Financials - ''23 ''24'!$C$2:$C$1577,'Site Level Financials - ''23 ''24'!Z$2:Z$1577)</f>
        <v>4</v>
      </c>
      <c r="O707" s="179">
        <f>_xlfn.XLOOKUP($C707,'Site Level Financials - ''23 ''24'!$C$2:$C$1577,'Site Level Financials - ''23 ''24'!AA$2:AA$1577)</f>
        <v>4</v>
      </c>
      <c r="P707" s="179">
        <f>_xlfn.XLOOKUP($C707,'Site Level Financials - ''23 ''24'!$C$2:$C$1577,'Site Level Financials - ''23 ''24'!AB$2:AB$1577)</f>
        <v>4</v>
      </c>
      <c r="Q707" s="179">
        <f>_xlfn.XLOOKUP($C707,'Site Level Financials - ''23 ''24'!$C$2:$C$1577,'Site Level Financials - ''23 ''24'!AC$2:AC$1577)</f>
        <v>4</v>
      </c>
      <c r="R707" s="179">
        <f>_xlfn.XLOOKUP($C707,'Site Level Financials - ''23 ''24'!$C$2:$C$1577,'Site Level Financials - ''23 ''24'!AD$2:AD$1577)</f>
        <v>5</v>
      </c>
      <c r="S707" s="178">
        <f>R707+_xlfn.XLOOKUP($R707,'Budget Assumption Driver'!$A$7:$A$11,'Budget Assumption Driver'!E$7:E$11)</f>
        <v>5</v>
      </c>
      <c r="T707" s="179">
        <f>S707+_xlfn.XLOOKUP($R707,'Budget Assumption Driver'!$A$7:$A$11,'Budget Assumption Driver'!F$7:F$11)</f>
        <v>5</v>
      </c>
      <c r="U707" s="179">
        <f>T707+_xlfn.XLOOKUP($R707,'Budget Assumption Driver'!$A$7:$A$11,'Budget Assumption Driver'!G$7:G$11)</f>
        <v>5</v>
      </c>
      <c r="V707" s="179">
        <f>U707+_xlfn.XLOOKUP($R707,'Budget Assumption Driver'!$A$7:$A$11,'Budget Assumption Driver'!H$7:H$11)</f>
        <v>5</v>
      </c>
      <c r="W707" s="179">
        <f>V707+_xlfn.XLOOKUP($R707,'Budget Assumption Driver'!$A$7:$A$11,'Budget Assumption Driver'!I$7:I$11)</f>
        <v>5</v>
      </c>
      <c r="X707" s="179">
        <f>W707+_xlfn.XLOOKUP($R707,'Budget Assumption Driver'!$A$7:$A$11,'Budget Assumption Driver'!J$7:J$11)</f>
        <v>5</v>
      </c>
      <c r="Y707" s="179">
        <f>X707+_xlfn.XLOOKUP($R707,'Budget Assumption Driver'!$A$7:$A$11,'Budget Assumption Driver'!K$7:K$11)</f>
        <v>5</v>
      </c>
      <c r="Z707" s="179">
        <f>Y707+_xlfn.XLOOKUP($R707,'Budget Assumption Driver'!$A$7:$A$11,'Budget Assumption Driver'!L$7:L$11)</f>
        <v>5</v>
      </c>
      <c r="AA707" s="179">
        <f>Z707+_xlfn.XLOOKUP($R707,'Budget Assumption Driver'!$A$7:$A$11,'Budget Assumption Driver'!M$7:M$11)</f>
        <v>5</v>
      </c>
      <c r="AB707" s="179">
        <f>AA707+_xlfn.XLOOKUP($R707,'Budget Assumption Driver'!$A$7:$A$11,'Budget Assumption Driver'!N$7:N$11)</f>
        <v>5</v>
      </c>
      <c r="AC707" s="179">
        <f>AB707+_xlfn.XLOOKUP($R707,'Budget Assumption Driver'!$A$7:$A$11,'Budget Assumption Driver'!O$7:O$11)</f>
        <v>5</v>
      </c>
      <c r="AD707" s="290">
        <f>AC707+_xlfn.XLOOKUP($R707,'Budget Assumption Driver'!$A$7:$A$11,'Budget Assumption Driver'!P$7:P$11)</f>
        <v>5</v>
      </c>
      <c r="AE707" s="15"/>
      <c r="AF707" s="229">
        <f>_xlfn.XLOOKUP($C707,'Site Level Financials - ''23 ''24'!$C$2:$C$1577,'Site Level Financials - ''23 ''24'!$AF$2:$AF$1577)</f>
        <v>1.6666666666666667</v>
      </c>
      <c r="AG707" s="91">
        <f t="shared" ref="AG707:AH707" si="1999">AG709/AG708</f>
        <v>3.4981412639405205</v>
      </c>
      <c r="AH707" s="91">
        <f t="shared" si="1999"/>
        <v>5</v>
      </c>
    </row>
    <row r="708" spans="2:34" x14ac:dyDescent="0.2">
      <c r="B708" s="9">
        <f>G701</f>
        <v>15</v>
      </c>
      <c r="C708" s="9" t="str">
        <f t="shared" ref="C708:C744" si="2000">B708&amp;" - "&amp;F708</f>
        <v>15 - Workdays in Month / Year</v>
      </c>
      <c r="D708" s="9" t="s">
        <v>56</v>
      </c>
      <c r="F708" s="7" t="s">
        <v>54</v>
      </c>
      <c r="G708" s="178">
        <f>_xlfn.XLOOKUP($C708,'Site Level Financials - ''23 ''24'!$C$2:$C$1577,'Site Level Financials - ''23 ''24'!S$2:S$1577)</f>
        <v>23</v>
      </c>
      <c r="H708" s="235">
        <f>_xlfn.XLOOKUP($C708,'Site Level Financials - ''23 ''24'!$C$2:$C$1577,'Site Level Financials - ''23 ''24'!T$2:T$1577)</f>
        <v>22</v>
      </c>
      <c r="I708" s="235">
        <f>_xlfn.XLOOKUP($C708,'Site Level Financials - ''23 ''24'!$C$2:$C$1577,'Site Level Financials - ''23 ''24'!U$2:U$1577)</f>
        <v>22</v>
      </c>
      <c r="J708" s="179">
        <f>_xlfn.XLOOKUP($C708,'Site Level Financials - ''23 ''24'!$C$2:$C$1577,'Site Level Financials - ''23 ''24'!V$2:V$1577)</f>
        <v>22</v>
      </c>
      <c r="K708" s="179">
        <f>_xlfn.XLOOKUP($C708,'Site Level Financials - ''23 ''24'!$C$2:$C$1577,'Site Level Financials - ''23 ''24'!W$2:W$1577)</f>
        <v>24</v>
      </c>
      <c r="L708" s="179">
        <f>_xlfn.XLOOKUP($C708,'Site Level Financials - ''23 ''24'!$C$2:$C$1577,'Site Level Financials - ''23 ''24'!X$2:X$1577)</f>
        <v>21</v>
      </c>
      <c r="M708" s="179">
        <f>_xlfn.XLOOKUP($C708,'Site Level Financials - ''23 ''24'!$C$2:$C$1577,'Site Level Financials - ''23 ''24'!Y$2:Y$1577)</f>
        <v>23</v>
      </c>
      <c r="N708" s="179">
        <f>_xlfn.XLOOKUP($C708,'Site Level Financials - ''23 ''24'!$C$2:$C$1577,'Site Level Financials - ''23 ''24'!Z$2:Z$1577)</f>
        <v>23</v>
      </c>
      <c r="O708" s="179">
        <f>_xlfn.XLOOKUP($C708,'Site Level Financials - ''23 ''24'!$C$2:$C$1577,'Site Level Financials - ''23 ''24'!AA$2:AA$1577)</f>
        <v>21</v>
      </c>
      <c r="P708" s="179">
        <f>_xlfn.XLOOKUP($C708,'Site Level Financials - ''23 ''24'!$C$2:$C$1577,'Site Level Financials - ''23 ''24'!AB$2:AB$1577)</f>
        <v>24</v>
      </c>
      <c r="Q708" s="179">
        <f>_xlfn.XLOOKUP($C708,'Site Level Financials - ''23 ''24'!$C$2:$C$1577,'Site Level Financials - ''23 ''24'!AC$2:AC$1577)</f>
        <v>22</v>
      </c>
      <c r="R708" s="179">
        <f>_xlfn.XLOOKUP($C708,'Site Level Financials - ''23 ''24'!$C$2:$C$1577,'Site Level Financials - ''23 ''24'!AD$2:AD$1577)</f>
        <v>22</v>
      </c>
      <c r="S708" s="155">
        <f>NETWORKDAYS(R705,S705)</f>
        <v>23</v>
      </c>
      <c r="T708" s="154">
        <f t="shared" ref="T708:AD708" si="2001">NETWORKDAYS(S705,T705)</f>
        <v>22</v>
      </c>
      <c r="U708" s="154">
        <f t="shared" si="2001"/>
        <v>22</v>
      </c>
      <c r="V708" s="154">
        <f t="shared" si="2001"/>
        <v>22</v>
      </c>
      <c r="W708" s="154">
        <f t="shared" si="2001"/>
        <v>24</v>
      </c>
      <c r="X708" s="154">
        <f t="shared" si="2001"/>
        <v>21</v>
      </c>
      <c r="Y708" s="154">
        <f t="shared" si="2001"/>
        <v>23</v>
      </c>
      <c r="Z708" s="154">
        <f t="shared" si="2001"/>
        <v>23</v>
      </c>
      <c r="AA708" s="154">
        <f t="shared" si="2001"/>
        <v>21</v>
      </c>
      <c r="AB708" s="154">
        <f t="shared" si="2001"/>
        <v>24</v>
      </c>
      <c r="AC708" s="154">
        <f t="shared" si="2001"/>
        <v>22</v>
      </c>
      <c r="AD708" s="156">
        <f t="shared" si="2001"/>
        <v>22</v>
      </c>
      <c r="AE708" s="15"/>
      <c r="AF708" s="115">
        <f>_xlfn.XLOOKUP($C708,'Site Level Financials - ''23 ''24'!$C$2:$C$1577,'Site Level Financials - ''23 ''24'!$AF$2:$AF$1577)</f>
        <v>269</v>
      </c>
      <c r="AG708" s="93">
        <f>SUM(G708:R708)</f>
        <v>269</v>
      </c>
      <c r="AH708" s="93">
        <f>SUM(S708:AD708)</f>
        <v>269</v>
      </c>
    </row>
    <row r="709" spans="2:34" x14ac:dyDescent="0.2">
      <c r="B709" s="9">
        <f>G701</f>
        <v>15</v>
      </c>
      <c r="C709" s="9" t="str">
        <f t="shared" si="2000"/>
        <v>15 - Total Vet Days</v>
      </c>
      <c r="D709" s="9" t="s">
        <v>56</v>
      </c>
      <c r="F709" s="8" t="s">
        <v>51</v>
      </c>
      <c r="G709" s="236">
        <f>_xlfn.XLOOKUP($C709,'Site Level Financials - ''23 ''24'!$C$2:$C$1577,'Site Level Financials - ''23 ''24'!S$2:S$1577)</f>
        <v>69</v>
      </c>
      <c r="H709" s="237">
        <f>_xlfn.XLOOKUP($C709,'Site Level Financials - ''23 ''24'!$C$2:$C$1577,'Site Level Financials - ''23 ''24'!T$2:T$1577)</f>
        <v>66</v>
      </c>
      <c r="I709" s="237">
        <f>_xlfn.XLOOKUP($C709,'Site Level Financials - ''23 ''24'!$C$2:$C$1577,'Site Level Financials - ''23 ''24'!U$2:U$1577)</f>
        <v>66</v>
      </c>
      <c r="J709" s="238">
        <f>_xlfn.XLOOKUP($C709,'Site Level Financials - ''23 ''24'!$C$2:$C$1577,'Site Level Financials - ''23 ''24'!V$2:V$1577)</f>
        <v>66</v>
      </c>
      <c r="K709" s="238">
        <f>_xlfn.XLOOKUP($C709,'Site Level Financials - ''23 ''24'!$C$2:$C$1577,'Site Level Financials - ''23 ''24'!W$2:W$1577)</f>
        <v>72</v>
      </c>
      <c r="L709" s="238">
        <f>_xlfn.XLOOKUP($C709,'Site Level Financials - ''23 ''24'!$C$2:$C$1577,'Site Level Financials - ''23 ''24'!X$2:X$1577)</f>
        <v>63</v>
      </c>
      <c r="M709" s="238">
        <f>_xlfn.XLOOKUP($C709,'Site Level Financials - ''23 ''24'!$C$2:$C$1577,'Site Level Financials - ''23 ''24'!Y$2:Y$1577)</f>
        <v>69</v>
      </c>
      <c r="N709" s="238">
        <f>_xlfn.XLOOKUP($C709,'Site Level Financials - ''23 ''24'!$C$2:$C$1577,'Site Level Financials - ''23 ''24'!Z$2:Z$1577)</f>
        <v>92</v>
      </c>
      <c r="O709" s="238">
        <f>_xlfn.XLOOKUP($C709,'Site Level Financials - ''23 ''24'!$C$2:$C$1577,'Site Level Financials - ''23 ''24'!AA$2:AA$1577)</f>
        <v>84</v>
      </c>
      <c r="P709" s="238">
        <f>_xlfn.XLOOKUP($C709,'Site Level Financials - ''23 ''24'!$C$2:$C$1577,'Site Level Financials - ''23 ''24'!AB$2:AB$1577)</f>
        <v>96</v>
      </c>
      <c r="Q709" s="238">
        <f>_xlfn.XLOOKUP($C709,'Site Level Financials - ''23 ''24'!$C$2:$C$1577,'Site Level Financials - ''23 ''24'!AC$2:AC$1577)</f>
        <v>88</v>
      </c>
      <c r="R709" s="238">
        <f>_xlfn.XLOOKUP($C709,'Site Level Financials - ''23 ''24'!$C$2:$C$1577,'Site Level Financials - ''23 ''24'!AD$2:AD$1577)</f>
        <v>110</v>
      </c>
      <c r="S709" s="125">
        <f t="shared" ref="S709:AD709" si="2002">S707*S708</f>
        <v>115</v>
      </c>
      <c r="T709" s="127">
        <f t="shared" si="2002"/>
        <v>110</v>
      </c>
      <c r="U709" s="127">
        <f t="shared" si="2002"/>
        <v>110</v>
      </c>
      <c r="V709" s="127">
        <f t="shared" si="2002"/>
        <v>110</v>
      </c>
      <c r="W709" s="127">
        <f t="shared" si="2002"/>
        <v>120</v>
      </c>
      <c r="X709" s="127">
        <f t="shared" si="2002"/>
        <v>105</v>
      </c>
      <c r="Y709" s="127">
        <f t="shared" si="2002"/>
        <v>115</v>
      </c>
      <c r="Z709" s="127">
        <f t="shared" si="2002"/>
        <v>115</v>
      </c>
      <c r="AA709" s="127">
        <f t="shared" si="2002"/>
        <v>105</v>
      </c>
      <c r="AB709" s="127">
        <f t="shared" si="2002"/>
        <v>120</v>
      </c>
      <c r="AC709" s="127">
        <f t="shared" si="2002"/>
        <v>110</v>
      </c>
      <c r="AD709" s="128">
        <f t="shared" si="2002"/>
        <v>110</v>
      </c>
      <c r="AF709" s="112">
        <f>_xlfn.XLOOKUP($C709,'Site Level Financials - ''23 ''24'!$C$2:$C$1577,'Site Level Financials - ''23 ''24'!$AF$2:$AF$1577)</f>
        <v>449</v>
      </c>
      <c r="AG709" s="120">
        <f>SUM(G709:R709)</f>
        <v>941</v>
      </c>
      <c r="AH709" s="120">
        <f t="shared" ref="AH709" si="2003">SUM(S709:AD709)</f>
        <v>1345</v>
      </c>
    </row>
    <row r="710" spans="2:34" x14ac:dyDescent="0.2">
      <c r="B710" s="9">
        <f>G701</f>
        <v>15</v>
      </c>
      <c r="C710" s="9" t="str">
        <f t="shared" si="2000"/>
        <v>15 - Production per Vet Workday</v>
      </c>
      <c r="D710" s="9" t="s">
        <v>56</v>
      </c>
      <c r="F710" s="7" t="s">
        <v>50</v>
      </c>
      <c r="G710" s="239">
        <f>_xlfn.XLOOKUP($C710,'Site Level Financials - ''23 ''24'!$C$2:$C$1577,'Site Level Financials - ''23 ''24'!S$2:S$1577)</f>
        <v>6.1914831263868848</v>
      </c>
      <c r="H710" s="240">
        <f>_xlfn.XLOOKUP($C710,'Site Level Financials - ''23 ''24'!$C$2:$C$1577,'Site Level Financials - ''23 ''24'!T$2:T$1577)</f>
        <v>6.3075912551052156</v>
      </c>
      <c r="I710" s="240">
        <f>_xlfn.XLOOKUP($C710,'Site Level Financials - ''23 ''24'!$C$2:$C$1577,'Site Level Financials - ''23 ''24'!U$2:U$1577)</f>
        <v>6.3717754527163519</v>
      </c>
      <c r="J710" s="240">
        <f>_xlfn.XLOOKUP($C710,'Site Level Financials - ''23 ''24'!$C$2:$C$1577,'Site Level Financials - ''23 ''24'!V$2:V$1577)</f>
        <v>6.9818678951008453</v>
      </c>
      <c r="K710" s="240">
        <f>_xlfn.XLOOKUP($C710,'Site Level Financials - ''23 ''24'!$C$2:$C$1577,'Site Level Financials - ''23 ''24'!W$2:W$1577)</f>
        <v>6.9971505161304153</v>
      </c>
      <c r="L710" s="240">
        <f>_xlfn.XLOOKUP($C710,'Site Level Financials - ''23 ''24'!$C$2:$C$1577,'Site Level Financials - ''23 ''24'!X$2:X$1577)</f>
        <v>7.1507022499949739</v>
      </c>
      <c r="M710" s="240">
        <f>_xlfn.XLOOKUP($C710,'Site Level Financials - ''23 ''24'!$C$2:$C$1577,'Site Level Financials - ''23 ''24'!Y$2:Y$1577)</f>
        <v>7.2146460293325037</v>
      </c>
      <c r="N710" s="240">
        <f>_xlfn.XLOOKUP($C710,'Site Level Financials - ''23 ''24'!$C$2:$C$1577,'Site Level Financials - ''23 ''24'!Z$2:Z$1577)</f>
        <v>5.5135781989714587</v>
      </c>
      <c r="O710" s="240">
        <f>_xlfn.XLOOKUP($C710,'Site Level Financials - ''23 ''24'!$C$2:$C$1577,'Site Level Financials - ''23 ''24'!AA$2:AA$1577)</f>
        <v>5.4982490474457268</v>
      </c>
      <c r="P710" s="240">
        <f>_xlfn.XLOOKUP($C710,'Site Level Financials - ''23 ''24'!$C$2:$C$1577,'Site Level Financials - ''23 ''24'!AB$2:AB$1577)</f>
        <v>5.3144575389399735</v>
      </c>
      <c r="Q710" s="240">
        <f>_xlfn.XLOOKUP($C710,'Site Level Financials - ''23 ''24'!$C$2:$C$1577,'Site Level Financials - ''23 ''24'!AC$2:AC$1577)</f>
        <v>4.9981793579543812</v>
      </c>
      <c r="R710" s="240">
        <f>_xlfn.XLOOKUP($C710,'Site Level Financials - ''23 ''24'!$C$2:$C$1577,'Site Level Financials - ''23 ''24'!AD$2:AD$1577)</f>
        <v>4.1574973546455984</v>
      </c>
      <c r="S710" s="239">
        <f>R710*(1+_xlfn.XLOOKUP($R707,'Budget Assumption Driver'!$A$15:$A$19,'Budget Assumption Driver'!E$15:E$19))</f>
        <v>5.8820636309548355</v>
      </c>
      <c r="T710" s="240">
        <f>S710*(1+_xlfn.XLOOKUP($R707,'Budget Assumption Driver'!$A$15:$A$19,'Budget Assumption Driver'!F$15:F$19))</f>
        <v>6.3676046364345229</v>
      </c>
      <c r="U710" s="240">
        <f>T710*(1+_xlfn.XLOOKUP($R707,'Budget Assumption Driver'!$A$15:$A$19,'Budget Assumption Driver'!G$15:G$19))</f>
        <v>6.8374653062040585</v>
      </c>
      <c r="V710" s="240">
        <f>U710*(1+_xlfn.XLOOKUP($R707,'Budget Assumption Driver'!$A$15:$A$19,'Budget Assumption Driver'!H$15:H$19))</f>
        <v>7.3240298824018719</v>
      </c>
      <c r="W710" s="240">
        <f>V710*(1+_xlfn.XLOOKUP($R707,'Budget Assumption Driver'!$A$15:$A$19,'Budget Assumption Driver'!I$15:I$19))</f>
        <v>7.9793038476414901</v>
      </c>
      <c r="X710" s="240">
        <f>W710*(1+_xlfn.XLOOKUP($R707,'Budget Assumption Driver'!$A$15:$A$19,'Budget Assumption Driver'!J$15:J$19))</f>
        <v>7.657840457772517</v>
      </c>
      <c r="Y710" s="240">
        <f>X710*(1+_xlfn.XLOOKUP($R707,'Budget Assumption Driver'!$A$15:$A$19,'Budget Assumption Driver'!K$15:K$19))</f>
        <v>7.043941420514451</v>
      </c>
      <c r="Z710" s="240">
        <f>Y710*(1+_xlfn.XLOOKUP($R707,'Budget Assumption Driver'!$A$15:$A$19,'Budget Assumption Driver'!L$15:L$19))</f>
        <v>6.0401151825026096</v>
      </c>
      <c r="AA710" s="240">
        <f>Z710*(1+_xlfn.XLOOKUP($R707,'Budget Assumption Driver'!$A$15:$A$19,'Budget Assumption Driver'!M$15:M$19))</f>
        <v>6.0652109556099916</v>
      </c>
      <c r="AB710" s="240">
        <f>AA710*(1+_xlfn.XLOOKUP($R707,'Budget Assumption Driver'!$A$15:$A$19,'Budget Assumption Driver'!N$15:N$19))</f>
        <v>6.0951194114501526</v>
      </c>
      <c r="AC710" s="240">
        <f>AB710*(1+_xlfn.XLOOKUP($R707,'Budget Assumption Driver'!$A$15:$A$19,'Budget Assumption Driver'!O$15:O$19))</f>
        <v>5.2560029511744855</v>
      </c>
      <c r="AD710" s="291">
        <f>AC710*(1+_xlfn.XLOOKUP($R707,'Budget Assumption Driver'!$A$15:$A$19,'Budget Assumption Driver'!P$15:P$19))</f>
        <v>4.2900155856809272</v>
      </c>
      <c r="AE710" s="15"/>
      <c r="AF710" s="230">
        <f>_xlfn.XLOOKUP($C710,'Site Level Financials - ''23 ''24'!$C$2:$C$1577,'Site Level Financials - ''23 ''24'!$AF$2:$AF$1577)</f>
        <v>6.8405615477984778</v>
      </c>
      <c r="AG710" s="101">
        <f>AG711/AG709</f>
        <v>5.9016025557796441</v>
      </c>
      <c r="AH710" s="101">
        <f>AH711/AH709</f>
        <v>6.408340547369126</v>
      </c>
    </row>
    <row r="711" spans="2:34" x14ac:dyDescent="0.2">
      <c r="B711" s="9">
        <f>G701</f>
        <v>15</v>
      </c>
      <c r="C711" s="9" t="str">
        <f t="shared" si="2000"/>
        <v>15 - Total Production</v>
      </c>
      <c r="D711" s="9" t="s">
        <v>56</v>
      </c>
      <c r="F711" s="8" t="s">
        <v>1</v>
      </c>
      <c r="G711" s="241">
        <f>_xlfn.XLOOKUP($C711,'Site Level Financials - ''23 ''24'!$C$2:$C$1577,'Site Level Financials - ''23 ''24'!S$2:S$1577)</f>
        <v>427.21233572069502</v>
      </c>
      <c r="H711" s="242">
        <f>_xlfn.XLOOKUP($C711,'Site Level Financials - ''23 ''24'!$C$2:$C$1577,'Site Level Financials - ''23 ''24'!T$2:T$1577)</f>
        <v>416.30102283694424</v>
      </c>
      <c r="I711" s="242">
        <f>_xlfn.XLOOKUP($C711,'Site Level Financials - ''23 ''24'!$C$2:$C$1577,'Site Level Financials - ''23 ''24'!U$2:U$1577)</f>
        <v>420.53717987927922</v>
      </c>
      <c r="J711" s="242">
        <f>_xlfn.XLOOKUP($C711,'Site Level Financials - ''23 ''24'!$C$2:$C$1577,'Site Level Financials - ''23 ''24'!V$2:V$1577)</f>
        <v>460.80328107665576</v>
      </c>
      <c r="K711" s="242">
        <f>_xlfn.XLOOKUP($C711,'Site Level Financials - ''23 ''24'!$C$2:$C$1577,'Site Level Financials - ''23 ''24'!W$2:W$1577)</f>
        <v>503.79483716138992</v>
      </c>
      <c r="L711" s="242">
        <f>_xlfn.XLOOKUP($C711,'Site Level Financials - ''23 ''24'!$C$2:$C$1577,'Site Level Financials - ''23 ''24'!X$2:X$1577)</f>
        <v>450.49424174968334</v>
      </c>
      <c r="M711" s="242">
        <f>_xlfn.XLOOKUP($C711,'Site Level Financials - ''23 ''24'!$C$2:$C$1577,'Site Level Financials - ''23 ''24'!Y$2:Y$1577)</f>
        <v>497.81057602394276</v>
      </c>
      <c r="N711" s="242">
        <f>_xlfn.XLOOKUP($C711,'Site Level Financials - ''23 ''24'!$C$2:$C$1577,'Site Level Financials - ''23 ''24'!Z$2:Z$1577)</f>
        <v>507.2491943053742</v>
      </c>
      <c r="O711" s="242">
        <f>_xlfn.XLOOKUP($C711,'Site Level Financials - ''23 ''24'!$C$2:$C$1577,'Site Level Financials - ''23 ''24'!AA$2:AA$1577)</f>
        <v>461.85291998544108</v>
      </c>
      <c r="P711" s="242">
        <f>_xlfn.XLOOKUP($C711,'Site Level Financials - ''23 ''24'!$C$2:$C$1577,'Site Level Financials - ''23 ''24'!AB$2:AB$1577)</f>
        <v>510.18792373823749</v>
      </c>
      <c r="Q711" s="242">
        <f>_xlfn.XLOOKUP($C711,'Site Level Financials - ''23 ''24'!$C$2:$C$1577,'Site Level Financials - ''23 ''24'!AC$2:AC$1577)</f>
        <v>439.83978349998551</v>
      </c>
      <c r="R711" s="242">
        <f>_xlfn.XLOOKUP($C711,'Site Level Financials - ''23 ''24'!$C$2:$C$1577,'Site Level Financials - ''23 ''24'!AD$2:AD$1577)</f>
        <v>457.32470901101584</v>
      </c>
      <c r="S711" s="134">
        <f t="shared" ref="S711:AD711" si="2004">S710*S709</f>
        <v>676.43731755980605</v>
      </c>
      <c r="T711" s="135">
        <f t="shared" si="2004"/>
        <v>700.43651000779755</v>
      </c>
      <c r="U711" s="135">
        <f t="shared" si="2004"/>
        <v>752.12118368244649</v>
      </c>
      <c r="V711" s="135">
        <f t="shared" si="2004"/>
        <v>805.64328706420588</v>
      </c>
      <c r="W711" s="135">
        <f t="shared" si="2004"/>
        <v>957.51646171697882</v>
      </c>
      <c r="X711" s="135">
        <f t="shared" si="2004"/>
        <v>804.07324806611427</v>
      </c>
      <c r="Y711" s="135">
        <f t="shared" si="2004"/>
        <v>810.05326335916186</v>
      </c>
      <c r="Z711" s="135">
        <f t="shared" si="2004"/>
        <v>694.61324598780016</v>
      </c>
      <c r="AA711" s="135">
        <f t="shared" si="2004"/>
        <v>636.84715033904911</v>
      </c>
      <c r="AB711" s="135">
        <f t="shared" si="2004"/>
        <v>731.41432937401828</v>
      </c>
      <c r="AC711" s="135">
        <f t="shared" si="2004"/>
        <v>578.16032462919338</v>
      </c>
      <c r="AD711" s="136">
        <f t="shared" si="2004"/>
        <v>471.90171442490197</v>
      </c>
      <c r="AE711" s="15"/>
      <c r="AF711" s="113">
        <f>_xlfn.XLOOKUP($C711,'Site Level Financials - ''23 ''24'!$C$2:$C$1577,'Site Level Financials - ''23 ''24'!$AF$2:$AF$1577)</f>
        <v>2883.432449468668</v>
      </c>
      <c r="AG711" s="95">
        <f>SUM(G711:R711)</f>
        <v>5553.4080049886452</v>
      </c>
      <c r="AH711" s="95">
        <f t="shared" ref="AH711" si="2005">SUM(S711:AD711)</f>
        <v>8619.2180362114741</v>
      </c>
    </row>
    <row r="712" spans="2:34" x14ac:dyDescent="0.2">
      <c r="B712" s="9">
        <f>G701</f>
        <v>15</v>
      </c>
      <c r="C712" s="9" t="str">
        <f t="shared" si="2000"/>
        <v>15 - Revenue as a % of Production</v>
      </c>
      <c r="D712" s="9" t="s">
        <v>56</v>
      </c>
      <c r="F712" s="7" t="s">
        <v>2</v>
      </c>
      <c r="G712" s="243">
        <f>_xlfn.XLOOKUP($C712,'Site Level Financials - ''23 ''24'!$C$2:$C$1577,'Site Level Financials - ''23 ''24'!S$2:S$1577)</f>
        <v>0.99001317711415238</v>
      </c>
      <c r="H712" s="244">
        <f>_xlfn.XLOOKUP($C712,'Site Level Financials - ''23 ''24'!$C$2:$C$1577,'Site Level Financials - ''23 ''24'!T$2:T$1577)</f>
        <v>0.99001317711415238</v>
      </c>
      <c r="I712" s="244">
        <f>_xlfn.XLOOKUP($C712,'Site Level Financials - ''23 ''24'!$C$2:$C$1577,'Site Level Financials - ''23 ''24'!U$2:U$1577)</f>
        <v>0.99001317711415238</v>
      </c>
      <c r="J712" s="244">
        <f>_xlfn.XLOOKUP($C712,'Site Level Financials - ''23 ''24'!$C$2:$C$1577,'Site Level Financials - ''23 ''24'!V$2:V$1577)</f>
        <v>0.99001317711415238</v>
      </c>
      <c r="K712" s="244">
        <f>_xlfn.XLOOKUP($C712,'Site Level Financials - ''23 ''24'!$C$2:$C$1577,'Site Level Financials - ''23 ''24'!W$2:W$1577)</f>
        <v>0.99001317711415238</v>
      </c>
      <c r="L712" s="244">
        <f>_xlfn.XLOOKUP($C712,'Site Level Financials - ''23 ''24'!$C$2:$C$1577,'Site Level Financials - ''23 ''24'!X$2:X$1577)</f>
        <v>0.99001317711415238</v>
      </c>
      <c r="M712" s="244">
        <f>_xlfn.XLOOKUP($C712,'Site Level Financials - ''23 ''24'!$C$2:$C$1577,'Site Level Financials - ''23 ''24'!Y$2:Y$1577)</f>
        <v>0.99001317711415238</v>
      </c>
      <c r="N712" s="244">
        <f>_xlfn.XLOOKUP($C712,'Site Level Financials - ''23 ''24'!$C$2:$C$1577,'Site Level Financials - ''23 ''24'!Z$2:Z$1577)</f>
        <v>0.99001317711415238</v>
      </c>
      <c r="O712" s="244">
        <f>_xlfn.XLOOKUP($C712,'Site Level Financials - ''23 ''24'!$C$2:$C$1577,'Site Level Financials - ''23 ''24'!AA$2:AA$1577)</f>
        <v>0.99001317711415238</v>
      </c>
      <c r="P712" s="244">
        <f>_xlfn.XLOOKUP($C712,'Site Level Financials - ''23 ''24'!$C$2:$C$1577,'Site Level Financials - ''23 ''24'!AB$2:AB$1577)</f>
        <v>0.99001317711415238</v>
      </c>
      <c r="Q712" s="244">
        <f>_xlfn.XLOOKUP($C712,'Site Level Financials - ''23 ''24'!$C$2:$C$1577,'Site Level Financials - ''23 ''24'!AC$2:AC$1577)</f>
        <v>0.99001317711415238</v>
      </c>
      <c r="R712" s="244">
        <f>_xlfn.XLOOKUP($C712,'Site Level Financials - ''23 ''24'!$C$2:$C$1577,'Site Level Financials - ''23 ''24'!AD$2:AD$1577)</f>
        <v>0.99001317711415238</v>
      </c>
      <c r="S712" s="292">
        <f>SUM(G741:R741)/SUM(G711:R711)</f>
        <v>0.97873845376339741</v>
      </c>
      <c r="T712" s="203">
        <f>S712</f>
        <v>0.97873845376339741</v>
      </c>
      <c r="U712" s="203">
        <f t="shared" ref="U712:AD712" si="2006">T712</f>
        <v>0.97873845376339741</v>
      </c>
      <c r="V712" s="203">
        <f t="shared" si="2006"/>
        <v>0.97873845376339741</v>
      </c>
      <c r="W712" s="203">
        <f t="shared" si="2006"/>
        <v>0.97873845376339741</v>
      </c>
      <c r="X712" s="203">
        <f t="shared" si="2006"/>
        <v>0.97873845376339741</v>
      </c>
      <c r="Y712" s="203">
        <f t="shared" si="2006"/>
        <v>0.97873845376339741</v>
      </c>
      <c r="Z712" s="203">
        <f t="shared" si="2006"/>
        <v>0.97873845376339741</v>
      </c>
      <c r="AA712" s="203">
        <f t="shared" si="2006"/>
        <v>0.97873845376339741</v>
      </c>
      <c r="AB712" s="203">
        <f t="shared" si="2006"/>
        <v>0.97873845376339741</v>
      </c>
      <c r="AC712" s="203">
        <f t="shared" si="2006"/>
        <v>0.97873845376339741</v>
      </c>
      <c r="AD712" s="204">
        <f t="shared" si="2006"/>
        <v>0.97873845376339741</v>
      </c>
      <c r="AE712" s="15"/>
      <c r="AF712" s="231">
        <f>_xlfn.XLOOKUP($C712,'Site Level Financials - ''23 ''24'!$C$2:$C$1577,'Site Level Financials - ''23 ''24'!$AF$2:$AF$1577)</f>
        <v>0.98790651313962108</v>
      </c>
      <c r="AG712" s="103">
        <f>AG713/AG711</f>
        <v>0.99001317711415238</v>
      </c>
      <c r="AH712" s="103">
        <f>AH713/AH711</f>
        <v>0.97873845376339741</v>
      </c>
    </row>
    <row r="713" spans="2:34" x14ac:dyDescent="0.2">
      <c r="B713" s="9">
        <f>G701</f>
        <v>15</v>
      </c>
      <c r="C713" s="9" t="str">
        <f t="shared" si="2000"/>
        <v>15 - Total Revenue</v>
      </c>
      <c r="D713" s="9" t="s">
        <v>56</v>
      </c>
      <c r="F713" s="8" t="s">
        <v>3</v>
      </c>
      <c r="G713" s="241">
        <f>_xlfn.XLOOKUP($C713,'Site Level Financials - ''23 ''24'!$C$2:$C$1577,'Site Level Financials - ''23 ''24'!S$2:S$1577)</f>
        <v>422.94584178920314</v>
      </c>
      <c r="H713" s="242">
        <f>_xlfn.XLOOKUP($C713,'Site Level Financials - ''23 ''24'!$C$2:$C$1577,'Site Level Financials - ''23 ''24'!T$2:T$1577)</f>
        <v>412.14349825467445</v>
      </c>
      <c r="I713" s="242">
        <f>_xlfn.XLOOKUP($C713,'Site Level Financials - ''23 ''24'!$C$2:$C$1577,'Site Level Financials - ''23 ''24'!U$2:U$1577)</f>
        <v>416.33734954691101</v>
      </c>
      <c r="J713" s="242">
        <f>_xlfn.XLOOKUP($C713,'Site Level Financials - ''23 ''24'!$C$2:$C$1577,'Site Level Financials - ''23 ''24'!V$2:V$1577)</f>
        <v>456.20132032332572</v>
      </c>
      <c r="K713" s="242">
        <f>_xlfn.XLOOKUP($C713,'Site Level Financials - ''23 ''24'!$C$2:$C$1577,'Site Level Financials - ''23 ''24'!W$2:W$1577)</f>
        <v>498.76352735185469</v>
      </c>
      <c r="L713" s="242">
        <f>_xlfn.XLOOKUP($C713,'Site Level Financials - ''23 ''24'!$C$2:$C$1577,'Site Level Financials - ''23 ''24'!X$2:X$1577)</f>
        <v>445.99523554623505</v>
      </c>
      <c r="M713" s="242">
        <f>_xlfn.XLOOKUP($C713,'Site Level Financials - ''23 ''24'!$C$2:$C$1577,'Site Level Financials - ''23 ''24'!Y$2:Y$1577)</f>
        <v>492.83902997048983</v>
      </c>
      <c r="N713" s="242">
        <f>_xlfn.XLOOKUP($C713,'Site Level Financials - ''23 ''24'!$C$2:$C$1577,'Site Level Financials - ''23 ''24'!Z$2:Z$1577)</f>
        <v>502.18338644285751</v>
      </c>
      <c r="O713" s="242">
        <f>_xlfn.XLOOKUP($C713,'Site Level Financials - ''23 ''24'!$C$2:$C$1577,'Site Level Financials - ''23 ''24'!AA$2:AA$1577)</f>
        <v>457.24047667423491</v>
      </c>
      <c r="P713" s="242">
        <f>_xlfn.XLOOKUP($C713,'Site Level Financials - ''23 ''24'!$C$2:$C$1577,'Site Level Financials - ''23 ''24'!AB$2:AB$1577)</f>
        <v>505.09276730536538</v>
      </c>
      <c r="Q713" s="242">
        <f>_xlfn.XLOOKUP($C713,'Site Level Financials - ''23 ''24'!$C$2:$C$1577,'Site Level Financials - ''23 ''24'!AC$2:AC$1577)</f>
        <v>435.4471814840216</v>
      </c>
      <c r="R713" s="242">
        <f>_xlfn.XLOOKUP($C713,'Site Level Financials - ''23 ''24'!$C$2:$C$1577,'Site Level Financials - ''23 ''24'!AD$2:AD$1577)</f>
        <v>452.757488140801</v>
      </c>
      <c r="S713" s="134">
        <f t="shared" ref="S713:AD713" si="2007">S712*S711</f>
        <v>662.05521425634481</v>
      </c>
      <c r="T713" s="135">
        <f t="shared" si="2007"/>
        <v>685.5441467644622</v>
      </c>
      <c r="U713" s="135">
        <f t="shared" si="2007"/>
        <v>736.12992436005391</v>
      </c>
      <c r="V713" s="135">
        <f t="shared" si="2007"/>
        <v>788.5140650660818</v>
      </c>
      <c r="W713" s="135">
        <f t="shared" si="2007"/>
        <v>937.15818119387518</v>
      </c>
      <c r="X713" s="135">
        <f t="shared" si="2007"/>
        <v>786.97740752474135</v>
      </c>
      <c r="Y713" s="135">
        <f t="shared" si="2007"/>
        <v>792.83027844614026</v>
      </c>
      <c r="Z713" s="135">
        <f t="shared" si="2007"/>
        <v>679.84469434167397</v>
      </c>
      <c r="AA713" s="135">
        <f t="shared" si="2007"/>
        <v>623.30679520646686</v>
      </c>
      <c r="AB713" s="135">
        <f t="shared" si="2007"/>
        <v>715.86332979191889</v>
      </c>
      <c r="AC713" s="135">
        <f t="shared" si="2007"/>
        <v>565.86774215492062</v>
      </c>
      <c r="AD713" s="136">
        <f t="shared" si="2007"/>
        <v>461.86835430452487</v>
      </c>
      <c r="AE713" s="15"/>
      <c r="AF713" s="113">
        <f>_xlfn.XLOOKUP($C713,'Site Level Financials - ''23 ''24'!$C$2:$C$1577,'Site Level Financials - ''23 ''24'!$AF$2:$AF$1577)</f>
        <v>2848.561697028229</v>
      </c>
      <c r="AG713" s="95">
        <f>SUM(G713:R713)</f>
        <v>5497.9471028299749</v>
      </c>
      <c r="AH713" s="95">
        <f t="shared" ref="AH713" si="2008">SUM(S713:AD713)</f>
        <v>8435.9601334112049</v>
      </c>
    </row>
    <row r="714" spans="2:34" x14ac:dyDescent="0.2">
      <c r="B714" s="9">
        <f>G701</f>
        <v>15</v>
      </c>
      <c r="C714" s="9" t="str">
        <f t="shared" si="2000"/>
        <v>15 - % YoY Revenue Growth</v>
      </c>
      <c r="D714" s="9" t="s">
        <v>56</v>
      </c>
      <c r="F714" s="16" t="s">
        <v>174</v>
      </c>
      <c r="G714" s="245">
        <f>_xlfn.XLOOKUP($C714,'Site Level Financials - ''23 ''24'!$C$2:$C$1577,'Site Level Financials - ''23 ''24'!S$2:S$1577)</f>
        <v>2.0928519542336619</v>
      </c>
      <c r="H714" s="246">
        <f>_xlfn.XLOOKUP($C714,'Site Level Financials - ''23 ''24'!$C$2:$C$1577,'Site Level Financials - ''23 ''24'!T$2:T$1577)</f>
        <v>2.0630661662136811</v>
      </c>
      <c r="I714" s="246">
        <f>_xlfn.XLOOKUP($C714,'Site Level Financials - ''23 ''24'!$C$2:$C$1577,'Site Level Financials - ''23 ''24'!U$2:U$1577)</f>
        <v>1.4517668986016723</v>
      </c>
      <c r="J714" s="246">
        <f>_xlfn.XLOOKUP($C714,'Site Level Financials - ''23 ''24'!$C$2:$C$1577,'Site Level Financials - ''23 ''24'!V$2:V$1577)</f>
        <v>1.9446010205426814</v>
      </c>
      <c r="K714" s="246">
        <f>_xlfn.XLOOKUP($C714,'Site Level Financials - ''23 ''24'!$C$2:$C$1577,'Site Level Financials - ''23 ''24'!W$2:W$1577)</f>
        <v>1.6692570776075004</v>
      </c>
      <c r="L714" s="246">
        <f>_xlfn.XLOOKUP($C714,'Site Level Financials - ''23 ''24'!$C$2:$C$1577,'Site Level Financials - ''23 ''24'!X$2:X$1577)</f>
        <v>1.3861599633653041</v>
      </c>
      <c r="M714" s="246">
        <f>_xlfn.XLOOKUP($C714,'Site Level Financials - ''23 ''24'!$C$2:$C$1577,'Site Level Financials - ''23 ''24'!Y$2:Y$1577)</f>
        <v>2.0309240720854418</v>
      </c>
      <c r="N714" s="246">
        <f>_xlfn.XLOOKUP($C714,'Site Level Financials - ''23 ''24'!$C$2:$C$1577,'Site Level Financials - ''23 ''24'!Z$2:Z$1577)</f>
        <v>0.59025353258742719</v>
      </c>
      <c r="O714" s="246">
        <f>_xlfn.XLOOKUP($C714,'Site Level Financials - ''23 ''24'!$C$2:$C$1577,'Site Level Financials - ''23 ''24'!AA$2:AA$1577)</f>
        <v>0.62073713562316413</v>
      </c>
      <c r="P714" s="246">
        <f>_xlfn.XLOOKUP($C714,'Site Level Financials - ''23 ''24'!$C$2:$C$1577,'Site Level Financials - ''23 ''24'!AB$2:AB$1577)</f>
        <v>0.72635710503913287</v>
      </c>
      <c r="Q714" s="246">
        <f>_xlfn.XLOOKUP($C714,'Site Level Financials - ''23 ''24'!$C$2:$C$1577,'Site Level Financials - ''23 ''24'!AC$2:AC$1577)</f>
        <v>7.3918877761102175E-2</v>
      </c>
      <c r="R714" s="246">
        <f>_xlfn.XLOOKUP($C714,'Site Level Financials - ''23 ''24'!$C$2:$C$1577,'Site Level Financials - ''23 ''24'!AD$2:AD$1577)</f>
        <v>7.7497267185186569E-2</v>
      </c>
      <c r="S714" s="148">
        <f>S713/G713-1</f>
        <v>0.56534276695008656</v>
      </c>
      <c r="T714" s="149">
        <f t="shared" ref="T714" si="2009">T713/H713-1</f>
        <v>0.66336275997940453</v>
      </c>
      <c r="U714" s="149">
        <f t="shared" ref="U714" si="2010">U713/I713-1</f>
        <v>0.76810926322407713</v>
      </c>
      <c r="V714" s="149">
        <f t="shared" ref="V714" si="2011">V713/J713-1</f>
        <v>0.72843442124901014</v>
      </c>
      <c r="W714" s="149">
        <f t="shared" ref="W714" si="2012">W713/K713-1</f>
        <v>0.87896293493961375</v>
      </c>
      <c r="X714" s="149">
        <f t="shared" ref="X714" si="2013">X713/L713-1</f>
        <v>0.76454218521165718</v>
      </c>
      <c r="Y714" s="149">
        <f t="shared" ref="Y714" si="2014">Y713/M713-1</f>
        <v>0.60870026567013835</v>
      </c>
      <c r="Z714" s="149">
        <f t="shared" ref="Z714" si="2015">Z713/N713-1</f>
        <v>0.35377774871696643</v>
      </c>
      <c r="AA714" s="149">
        <f t="shared" ref="AA714" si="2016">AA713/O713-1</f>
        <v>0.36319251467001545</v>
      </c>
      <c r="AB714" s="149">
        <f t="shared" ref="AB714" si="2017">AB713/P713-1</f>
        <v>0.4172907951365048</v>
      </c>
      <c r="AC714" s="149">
        <f t="shared" ref="AC714" si="2018">AC713/Q713-1</f>
        <v>0.29950948408121625</v>
      </c>
      <c r="AD714" s="150">
        <f t="shared" ref="AD714" si="2019">AD713/R713-1</f>
        <v>2.0123060142277494E-2</v>
      </c>
      <c r="AE714" s="15"/>
      <c r="AF714" s="11"/>
      <c r="AG714" s="97">
        <f>AG713/AF713-1</f>
        <v>0.93007829479899473</v>
      </c>
      <c r="AH714" s="97">
        <f>AH713/AG713-1</f>
        <v>0.53438364822916129</v>
      </c>
    </row>
    <row r="715" spans="2:34" ht="6" customHeight="1" x14ac:dyDescent="0.2">
      <c r="B715" s="9">
        <f>G701</f>
        <v>15</v>
      </c>
      <c r="C715" s="9" t="str">
        <f t="shared" si="2000"/>
        <v xml:space="preserve">15 - </v>
      </c>
      <c r="D715" s="9" t="s">
        <v>56</v>
      </c>
      <c r="G715" s="80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80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81"/>
      <c r="AE715" s="15"/>
      <c r="AF715" s="11"/>
      <c r="AG715" s="15"/>
      <c r="AH715" s="15"/>
    </row>
    <row r="716" spans="2:34" x14ac:dyDescent="0.2">
      <c r="B716" s="9">
        <f>G701</f>
        <v>15</v>
      </c>
      <c r="C716" s="9" t="str">
        <f t="shared" si="2000"/>
        <v>15 - Doctor Compensation</v>
      </c>
      <c r="D716" s="9" t="s">
        <v>56</v>
      </c>
      <c r="F716" t="s">
        <v>4</v>
      </c>
      <c r="G716" s="178">
        <f>_xlfn.XLOOKUP($C716,'Site Level Financials - ''23 ''24'!$C$2:$C$1577,'Site Level Financials - ''23 ''24'!S$2:S$1577)</f>
        <v>-146.17883745099201</v>
      </c>
      <c r="H716" s="179">
        <f>_xlfn.XLOOKUP($C716,'Site Level Financials - ''23 ''24'!$C$2:$C$1577,'Site Level Financials - ''23 ''24'!T$2:T$1577)</f>
        <v>-141.42089972850059</v>
      </c>
      <c r="I716" s="179">
        <f>_xlfn.XLOOKUP($C716,'Site Level Financials - ''23 ''24'!$C$2:$C$1577,'Site Level Financials - ''23 ''24'!U$2:U$1577)</f>
        <v>-146.12176652996712</v>
      </c>
      <c r="J716" s="179">
        <f>_xlfn.XLOOKUP($C716,'Site Level Financials - ''23 ''24'!$C$2:$C$1577,'Site Level Financials - ''23 ''24'!V$2:V$1577)</f>
        <v>-158.29725848682233</v>
      </c>
      <c r="K716" s="179">
        <f>_xlfn.XLOOKUP($C716,'Site Level Financials - ''23 ''24'!$C$2:$C$1577,'Site Level Financials - ''23 ''24'!W$2:W$1577)</f>
        <v>-175.54894296607515</v>
      </c>
      <c r="L716" s="179">
        <f>_xlfn.XLOOKUP($C716,'Site Level Financials - ''23 ''24'!$C$2:$C$1577,'Site Level Financials - ''23 ''24'!X$2:X$1577)</f>
        <v>-153.68043729598995</v>
      </c>
      <c r="M716" s="179">
        <f>_xlfn.XLOOKUP($C716,'Site Level Financials - ''23 ''24'!$C$2:$C$1577,'Site Level Financials - ''23 ''24'!Y$2:Y$1577)</f>
        <v>-173.75593954866454</v>
      </c>
      <c r="N716" s="179">
        <f>_xlfn.XLOOKUP($C716,'Site Level Financials - ''23 ''24'!$C$2:$C$1577,'Site Level Financials - ''23 ''24'!Z$2:Z$1577)</f>
        <v>-132.86331594202886</v>
      </c>
      <c r="O716" s="179">
        <f>_xlfn.XLOOKUP($C716,'Site Level Financials - ''23 ''24'!$C$2:$C$1577,'Site Level Financials - ''23 ''24'!AA$2:AA$1577)</f>
        <v>-118.78849773542477</v>
      </c>
      <c r="P716" s="179">
        <f>_xlfn.XLOOKUP($C716,'Site Level Financials - ''23 ''24'!$C$2:$C$1577,'Site Level Financials - ''23 ''24'!AB$2:AB$1577)</f>
        <v>-134.32234038140771</v>
      </c>
      <c r="Q716" s="179">
        <f>_xlfn.XLOOKUP($C716,'Site Level Financials - ''23 ''24'!$C$2:$C$1577,'Site Level Financials - ''23 ''24'!AC$2:AC$1577)</f>
        <v>-116.32330562474475</v>
      </c>
      <c r="R716" s="179">
        <f>_xlfn.XLOOKUP($C716,'Site Level Financials - ''23 ''24'!$C$2:$C$1577,'Site Level Financials - ''23 ''24'!AD$2:AD$1577)</f>
        <v>-95.118525686156133</v>
      </c>
      <c r="S716" s="155">
        <f>S717*S713</f>
        <v>-228.81998588508279</v>
      </c>
      <c r="T716" s="154">
        <f t="shared" ref="T716" si="2020">T717*T713</f>
        <v>-235.23425809116935</v>
      </c>
      <c r="U716" s="154">
        <f t="shared" ref="U716" si="2021">U717*U713</f>
        <v>-258.35924896030076</v>
      </c>
      <c r="V716" s="154">
        <f t="shared" ref="V716" si="2022">V717*V713</f>
        <v>-273.60643035797568</v>
      </c>
      <c r="W716" s="154">
        <f t="shared" ref="W716" si="2023">W717*W713</f>
        <v>-329.84995710108342</v>
      </c>
      <c r="X716" s="154">
        <f t="shared" ref="X716" si="2024">X717*X713</f>
        <v>-271.17561465054916</v>
      </c>
      <c r="Y716" s="154">
        <f t="shared" ref="Y716" si="2025">Y717*Y713</f>
        <v>-279.52122611370112</v>
      </c>
      <c r="Z716" s="154">
        <f t="shared" ref="Z716" si="2026">Z717*Z713</f>
        <v>-179.86740074307085</v>
      </c>
      <c r="AA716" s="154">
        <f t="shared" ref="AA716" si="2027">AA717*AA713</f>
        <v>-161.93159094182715</v>
      </c>
      <c r="AB716" s="154">
        <f t="shared" ref="AB716" si="2028">AB717*AB713</f>
        <v>-190.37381660376158</v>
      </c>
      <c r="AC716" s="154">
        <f t="shared" ref="AC716" si="2029">AC717*AC713</f>
        <v>-151.16323887903368</v>
      </c>
      <c r="AD716" s="156">
        <f t="shared" ref="AD716" si="2030">AD717*AD713</f>
        <v>-97.032601499183428</v>
      </c>
      <c r="AE716" s="15"/>
      <c r="AF716" s="115">
        <f>_xlfn.XLOOKUP($C716,'Site Level Financials - ''23 ''24'!$C$2:$C$1577,'Site Level Financials - ''23 ''24'!$AF$2:$AF$1577)</f>
        <v>-741.23934843144093</v>
      </c>
      <c r="AG716" s="93">
        <f>SUM(G716:R716)</f>
        <v>-1692.4200673767737</v>
      </c>
      <c r="AH716" s="93">
        <f t="shared" ref="AH716" si="2031">SUM(S716:AD716)</f>
        <v>-2656.9353698267387</v>
      </c>
    </row>
    <row r="717" spans="2:34" x14ac:dyDescent="0.2">
      <c r="B717" s="9">
        <f>G701</f>
        <v>15</v>
      </c>
      <c r="C717" s="9" t="str">
        <f t="shared" si="2000"/>
        <v>15 - % of Revenue - Doctor Compensation</v>
      </c>
      <c r="D717" s="9" t="s">
        <v>56</v>
      </c>
      <c r="F717" s="16" t="str">
        <f>"% of Revenue - "&amp;F716</f>
        <v>% of Revenue - Doctor Compensation</v>
      </c>
      <c r="G717" s="148">
        <f>G716/G713</f>
        <v>-0.34562069893536812</v>
      </c>
      <c r="H717" s="149">
        <f t="shared" ref="H717:R717" si="2032">H716/H713</f>
        <v>-0.34313509815727539</v>
      </c>
      <c r="I717" s="149">
        <f t="shared" si="2032"/>
        <v>-0.35096963241224355</v>
      </c>
      <c r="J717" s="149">
        <f t="shared" si="2032"/>
        <v>-0.34698991746589325</v>
      </c>
      <c r="K717" s="149">
        <f t="shared" si="2032"/>
        <v>-0.35196828424511772</v>
      </c>
      <c r="L717" s="149">
        <f t="shared" si="2032"/>
        <v>-0.34457865252252978</v>
      </c>
      <c r="M717" s="149">
        <f t="shared" si="2032"/>
        <v>-0.35256124004437855</v>
      </c>
      <c r="N717" s="149">
        <f t="shared" si="2032"/>
        <v>-0.26457130906529325</v>
      </c>
      <c r="O717" s="149">
        <f t="shared" si="2032"/>
        <v>-0.2597943616003548</v>
      </c>
      <c r="P717" s="149">
        <f t="shared" si="2032"/>
        <v>-0.26593598062789142</v>
      </c>
      <c r="Q717" s="149">
        <f t="shared" si="2032"/>
        <v>-0.26713528200667236</v>
      </c>
      <c r="R717" s="149">
        <f t="shared" si="2032"/>
        <v>-0.21008713975499319</v>
      </c>
      <c r="S717" s="245">
        <f>_xlfn.XLOOKUP($F717,'Budget Assumption Driver'!$A$33:$A$39,'Budget Assumption Driver'!E$33:E$39)+G717</f>
        <v>-0.34562069893536812</v>
      </c>
      <c r="T717" s="246">
        <f>_xlfn.XLOOKUP($F717,'Budget Assumption Driver'!$A$33:$A$39,'Budget Assumption Driver'!F$33:F$39)+H717</f>
        <v>-0.34313509815727539</v>
      </c>
      <c r="U717" s="246">
        <f>_xlfn.XLOOKUP($F717,'Budget Assumption Driver'!$A$33:$A$39,'Budget Assumption Driver'!G$33:G$39)+I717</f>
        <v>-0.35096963241224355</v>
      </c>
      <c r="V717" s="246">
        <f>_xlfn.XLOOKUP($F717,'Budget Assumption Driver'!$A$33:$A$39,'Budget Assumption Driver'!H$33:H$39)+J717</f>
        <v>-0.34698991746589325</v>
      </c>
      <c r="W717" s="246">
        <f>_xlfn.XLOOKUP($F717,'Budget Assumption Driver'!$A$33:$A$39,'Budget Assumption Driver'!I$33:I$39)+K717</f>
        <v>-0.35196828424511772</v>
      </c>
      <c r="X717" s="246">
        <f>_xlfn.XLOOKUP($F717,'Budget Assumption Driver'!$A$33:$A$39,'Budget Assumption Driver'!J$33:J$39)+L717</f>
        <v>-0.34457865252252978</v>
      </c>
      <c r="Y717" s="246">
        <f>_xlfn.XLOOKUP($F717,'Budget Assumption Driver'!$A$33:$A$39,'Budget Assumption Driver'!K$33:K$39)+M717</f>
        <v>-0.35256124004437855</v>
      </c>
      <c r="Z717" s="246">
        <f>_xlfn.XLOOKUP($F717,'Budget Assumption Driver'!$A$33:$A$39,'Budget Assumption Driver'!L$33:L$39)+N717</f>
        <v>-0.26457130906529325</v>
      </c>
      <c r="AA717" s="246">
        <f>_xlfn.XLOOKUP($F717,'Budget Assumption Driver'!$A$33:$A$39,'Budget Assumption Driver'!M$33:M$39)+O717</f>
        <v>-0.2597943616003548</v>
      </c>
      <c r="AB717" s="246">
        <f>_xlfn.XLOOKUP($F717,'Budget Assumption Driver'!$A$33:$A$39,'Budget Assumption Driver'!N$33:N$39)+P717</f>
        <v>-0.26593598062789142</v>
      </c>
      <c r="AC717" s="246">
        <f>_xlfn.XLOOKUP($F717,'Budget Assumption Driver'!$A$33:$A$39,'Budget Assumption Driver'!O$33:O$39)+Q717</f>
        <v>-0.26713528200667236</v>
      </c>
      <c r="AD717" s="296">
        <f>_xlfn.XLOOKUP($F717,'Budget Assumption Driver'!$A$33:$A$39,'Budget Assumption Driver'!P$33:P$39)+R717</f>
        <v>-0.21008713975499319</v>
      </c>
      <c r="AE717" s="15"/>
      <c r="AF717" s="232">
        <f>_xlfn.XLOOKUP($C717,'Site Level Financials - ''23 ''24'!$C$2:$C$1577,'Site Level Financials - ''23 ''24'!$AF$2:$AF$1577)</f>
        <v>-0.26021530416727195</v>
      </c>
      <c r="AG717" s="97">
        <f t="shared" ref="AG717:AH717" si="2033">AG716/AG713</f>
        <v>-0.30782763742954694</v>
      </c>
      <c r="AH717" s="97">
        <f t="shared" si="2033"/>
        <v>-0.31495352370191532</v>
      </c>
    </row>
    <row r="718" spans="2:34" ht="3" customHeight="1" x14ac:dyDescent="0.2">
      <c r="B718" s="9">
        <f>G701</f>
        <v>15</v>
      </c>
      <c r="C718" s="9" t="str">
        <f t="shared" si="2000"/>
        <v xml:space="preserve">15 - </v>
      </c>
      <c r="D718" s="9" t="s">
        <v>56</v>
      </c>
      <c r="F718" s="16"/>
      <c r="G718" s="84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4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6"/>
      <c r="AE718" s="15"/>
      <c r="AF718" s="36"/>
      <c r="AG718" s="38"/>
      <c r="AH718" s="38"/>
    </row>
    <row r="719" spans="2:34" x14ac:dyDescent="0.2">
      <c r="B719" s="9">
        <f>G701</f>
        <v>15</v>
      </c>
      <c r="C719" s="9" t="str">
        <f t="shared" si="2000"/>
        <v>15 - Administrative Staff Compensation</v>
      </c>
      <c r="D719" s="9" t="s">
        <v>56</v>
      </c>
      <c r="F719" t="s">
        <v>5</v>
      </c>
      <c r="G719" s="178">
        <f>_xlfn.XLOOKUP($C719,'Site Level Financials - ''23 ''24'!$C$2:$C$1577,'Site Level Financials - ''23 ''24'!S$2:S$1577)</f>
        <v>-81.774469546149277</v>
      </c>
      <c r="H719" s="179">
        <f>_xlfn.XLOOKUP($C719,'Site Level Financials - ''23 ''24'!$C$2:$C$1577,'Site Level Financials - ''23 ''24'!T$2:T$1577)</f>
        <v>-79.460299023559017</v>
      </c>
      <c r="I719" s="179">
        <f>_xlfn.XLOOKUP($C719,'Site Level Financials - ''23 ''24'!$C$2:$C$1577,'Site Level Financials - ''23 ''24'!U$2:U$1577)</f>
        <v>-79.878274452887936</v>
      </c>
      <c r="J719" s="179">
        <f>_xlfn.XLOOKUP($C719,'Site Level Financials - ''23 ''24'!$C$2:$C$1577,'Site Level Financials - ''23 ''24'!V$2:V$1577)</f>
        <v>-83.803107533720009</v>
      </c>
      <c r="K719" s="179">
        <f>_xlfn.XLOOKUP($C719,'Site Level Financials - ''23 ''24'!$C$2:$C$1577,'Site Level Financials - ''23 ''24'!W$2:W$1577)</f>
        <v>-90.05302963822929</v>
      </c>
      <c r="L719" s="179">
        <f>_xlfn.XLOOKUP($C719,'Site Level Financials - ''23 ''24'!$C$2:$C$1577,'Site Level Financials - ''23 ''24'!X$2:X$1577)</f>
        <v>-81.150575542595249</v>
      </c>
      <c r="M719" s="179">
        <f>_xlfn.XLOOKUP($C719,'Site Level Financials - ''23 ''24'!$C$2:$C$1577,'Site Level Financials - ''23 ''24'!Y$2:Y$1577)</f>
        <v>-90.816840808062025</v>
      </c>
      <c r="N719" s="179">
        <f>_xlfn.XLOOKUP($C719,'Site Level Financials - ''23 ''24'!$C$2:$C$1577,'Site Level Financials - ''23 ''24'!Z$2:Z$1577)</f>
        <v>-70.317558999982154</v>
      </c>
      <c r="O719" s="179">
        <f>_xlfn.XLOOKUP($C719,'Site Level Financials - ''23 ''24'!$C$2:$C$1577,'Site Level Financials - ''23 ''24'!AA$2:AA$1577)</f>
        <v>-62.009991252009023</v>
      </c>
      <c r="P719" s="179">
        <f>_xlfn.XLOOKUP($C719,'Site Level Financials - ''23 ''24'!$C$2:$C$1577,'Site Level Financials - ''23 ''24'!AB$2:AB$1577)</f>
        <v>-71.280606536301107</v>
      </c>
      <c r="Q719" s="179">
        <f>_xlfn.XLOOKUP($C719,'Site Level Financials - ''23 ''24'!$C$2:$C$1577,'Site Level Financials - ''23 ''24'!AC$2:AC$1577)</f>
        <v>-63.342532056004067</v>
      </c>
      <c r="R719" s="179">
        <f>_xlfn.XLOOKUP($C719,'Site Level Financials - ''23 ''24'!$C$2:$C$1577,'Site Level Financials - ''23 ''24'!AD$2:AD$1577)</f>
        <v>-52.741639931369207</v>
      </c>
      <c r="S719" s="155">
        <f>S720*S713</f>
        <v>-128.00507442524489</v>
      </c>
      <c r="T719" s="154">
        <f t="shared" ref="T719" si="2034">T720*T713</f>
        <v>-132.17130229261591</v>
      </c>
      <c r="U719" s="154">
        <f t="shared" ref="U719" si="2035">U720*U713</f>
        <v>-141.23351699050633</v>
      </c>
      <c r="V719" s="154">
        <f t="shared" ref="V719" si="2036">V720*V713</f>
        <v>-144.84817566891391</v>
      </c>
      <c r="W719" s="154">
        <f t="shared" ref="W719" si="2037">W720*W713</f>
        <v>-169.20630486925131</v>
      </c>
      <c r="X719" s="154">
        <f t="shared" ref="X719" si="2038">X720*X713</f>
        <v>-143.19361389911467</v>
      </c>
      <c r="Y719" s="154">
        <f t="shared" ref="Y719" si="2039">Y720*Y713</f>
        <v>-146.09707593525204</v>
      </c>
      <c r="Z719" s="154">
        <f t="shared" ref="Z719" si="2040">Z720*Z713</f>
        <v>-95.194346718268307</v>
      </c>
      <c r="AA719" s="154">
        <f t="shared" ref="AA719" si="2041">AA720*AA713</f>
        <v>-84.531555909491843</v>
      </c>
      <c r="AB719" s="154">
        <f t="shared" ref="AB719" si="2042">AB720*AB713</f>
        <v>-101.02534751564654</v>
      </c>
      <c r="AC719" s="154">
        <f t="shared" ref="AC719" si="2043">AC720*AC713</f>
        <v>-82.314221152495747</v>
      </c>
      <c r="AD719" s="156">
        <f t="shared" ref="AD719" si="2044">AD720*AD713</f>
        <v>-53.802963123710498</v>
      </c>
      <c r="AE719" s="15"/>
      <c r="AF719" s="115">
        <f>_xlfn.XLOOKUP($C719,'Site Level Financials - ''23 ''24'!$C$2:$C$1577,'Site Level Financials - ''23 ''24'!$AF$2:$AF$1577)</f>
        <v>-386.03040909918252</v>
      </c>
      <c r="AG719" s="93">
        <f>SUM(G719:R719)</f>
        <v>-906.62892532086835</v>
      </c>
      <c r="AH719" s="93">
        <f t="shared" ref="AH719" si="2045">SUM(S719:AD719)</f>
        <v>-1421.6234985005117</v>
      </c>
    </row>
    <row r="720" spans="2:34" x14ac:dyDescent="0.2">
      <c r="B720" s="9">
        <f>G701</f>
        <v>15</v>
      </c>
      <c r="C720" s="9" t="str">
        <f t="shared" si="2000"/>
        <v>15 - % of Revenue - Administrative Staff Compensation</v>
      </c>
      <c r="D720" s="9" t="s">
        <v>56</v>
      </c>
      <c r="F720" s="16" t="str">
        <f>"% of Revenue - "&amp;F719</f>
        <v>% of Revenue - Administrative Staff Compensation</v>
      </c>
      <c r="G720" s="148">
        <f>G719/G713</f>
        <v>-0.19334501363156986</v>
      </c>
      <c r="H720" s="149">
        <f t="shared" ref="H720:R720" si="2046">H719/H713</f>
        <v>-0.19279765266237048</v>
      </c>
      <c r="I720" s="149">
        <f t="shared" si="2046"/>
        <v>-0.19185949696758497</v>
      </c>
      <c r="J720" s="149">
        <f t="shared" si="2046"/>
        <v>-0.18369764356299065</v>
      </c>
      <c r="K720" s="149">
        <f t="shared" si="2046"/>
        <v>-0.18055255587023111</v>
      </c>
      <c r="L720" s="149">
        <f t="shared" si="2046"/>
        <v>-0.18195390684657348</v>
      </c>
      <c r="M720" s="149">
        <f t="shared" si="2046"/>
        <v>-0.18427282598437861</v>
      </c>
      <c r="N720" s="149">
        <f t="shared" si="2046"/>
        <v>-0.14002366644995226</v>
      </c>
      <c r="O720" s="149">
        <f t="shared" si="2046"/>
        <v>-0.13561789564878921</v>
      </c>
      <c r="P720" s="149">
        <f t="shared" si="2046"/>
        <v>-0.14112379180675694</v>
      </c>
      <c r="Q720" s="149">
        <f t="shared" si="2046"/>
        <v>-0.1454654772138613</v>
      </c>
      <c r="R720" s="149">
        <f t="shared" si="2046"/>
        <v>-0.11648982360942714</v>
      </c>
      <c r="S720" s="245">
        <f>_xlfn.XLOOKUP($F720,'Budget Assumption Driver'!$A$33:$A$39,'Budget Assumption Driver'!E$33:E$39)+G720</f>
        <v>-0.19334501363156986</v>
      </c>
      <c r="T720" s="246">
        <f>_xlfn.XLOOKUP($F720,'Budget Assumption Driver'!$A$33:$A$39,'Budget Assumption Driver'!F$33:F$39)+H720</f>
        <v>-0.19279765266237048</v>
      </c>
      <c r="U720" s="246">
        <f>_xlfn.XLOOKUP($F720,'Budget Assumption Driver'!$A$33:$A$39,'Budget Assumption Driver'!G$33:G$39)+I720</f>
        <v>-0.19185949696758497</v>
      </c>
      <c r="V720" s="246">
        <f>_xlfn.XLOOKUP($F720,'Budget Assumption Driver'!$A$33:$A$39,'Budget Assumption Driver'!H$33:H$39)+J720</f>
        <v>-0.18369764356299065</v>
      </c>
      <c r="W720" s="246">
        <f>_xlfn.XLOOKUP($F720,'Budget Assumption Driver'!$A$33:$A$39,'Budget Assumption Driver'!I$33:I$39)+K720</f>
        <v>-0.18055255587023111</v>
      </c>
      <c r="X720" s="246">
        <f>_xlfn.XLOOKUP($F720,'Budget Assumption Driver'!$A$33:$A$39,'Budget Assumption Driver'!J$33:J$39)+L720</f>
        <v>-0.18195390684657348</v>
      </c>
      <c r="Y720" s="246">
        <f>_xlfn.XLOOKUP($F720,'Budget Assumption Driver'!$A$33:$A$39,'Budget Assumption Driver'!K$33:K$39)+M720</f>
        <v>-0.18427282598437861</v>
      </c>
      <c r="Z720" s="246">
        <f>_xlfn.XLOOKUP($F720,'Budget Assumption Driver'!$A$33:$A$39,'Budget Assumption Driver'!L$33:L$39)+N720</f>
        <v>-0.14002366644995226</v>
      </c>
      <c r="AA720" s="246">
        <f>_xlfn.XLOOKUP($F720,'Budget Assumption Driver'!$A$33:$A$39,'Budget Assumption Driver'!M$33:M$39)+O720</f>
        <v>-0.13561789564878921</v>
      </c>
      <c r="AB720" s="246">
        <f>_xlfn.XLOOKUP($F720,'Budget Assumption Driver'!$A$33:$A$39,'Budget Assumption Driver'!N$33:N$39)+P720</f>
        <v>-0.14112379180675694</v>
      </c>
      <c r="AC720" s="246">
        <f>_xlfn.XLOOKUP($F720,'Budget Assumption Driver'!$A$33:$A$39,'Budget Assumption Driver'!O$33:O$39)+Q720</f>
        <v>-0.1454654772138613</v>
      </c>
      <c r="AD720" s="296">
        <f>_xlfn.XLOOKUP($F720,'Budget Assumption Driver'!$A$33:$A$39,'Budget Assumption Driver'!P$33:P$39)+R720</f>
        <v>-0.11648982360942714</v>
      </c>
      <c r="AE720" s="15"/>
      <c r="AF720" s="232">
        <f>_xlfn.XLOOKUP($C720,'Site Level Financials - ''23 ''24'!$C$2:$C$1577,'Site Level Financials - ''23 ''24'!$AF$2:$AF$1577)</f>
        <v>-0.13551765773650259</v>
      </c>
      <c r="AG720" s="97">
        <f t="shared" ref="AG720:AH720" si="2047">AG719/AG713</f>
        <v>-0.16490317355985409</v>
      </c>
      <c r="AH720" s="97">
        <f t="shared" si="2047"/>
        <v>-0.16851946619212593</v>
      </c>
    </row>
    <row r="721" spans="2:34" ht="3" customHeight="1" x14ac:dyDescent="0.2">
      <c r="B721" s="9">
        <f>G701</f>
        <v>15</v>
      </c>
      <c r="C721" s="9" t="str">
        <f t="shared" si="2000"/>
        <v xml:space="preserve">15 - </v>
      </c>
      <c r="D721" s="9" t="s">
        <v>56</v>
      </c>
      <c r="F721" s="16"/>
      <c r="G721" s="84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4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6"/>
      <c r="AE721" s="15"/>
      <c r="AF721" s="36"/>
      <c r="AG721" s="38"/>
      <c r="AH721" s="38"/>
    </row>
    <row r="722" spans="2:34" x14ac:dyDescent="0.2">
      <c r="B722" s="9">
        <f>G701</f>
        <v>15</v>
      </c>
      <c r="C722" s="9" t="str">
        <f t="shared" si="2000"/>
        <v>15 - Office Supplies</v>
      </c>
      <c r="D722" s="9" t="s">
        <v>56</v>
      </c>
      <c r="F722" t="s">
        <v>6</v>
      </c>
      <c r="G722" s="178">
        <f>_xlfn.XLOOKUP($C722,'Site Level Financials - ''23 ''24'!$C$2:$C$1577,'Site Level Financials - ''23 ''24'!S$2:S$1577)</f>
        <v>-16.495044663708217</v>
      </c>
      <c r="H722" s="179">
        <f>_xlfn.XLOOKUP($C722,'Site Level Financials - ''23 ''24'!$C$2:$C$1577,'Site Level Financials - ''23 ''24'!T$2:T$1577)</f>
        <v>-16.772555792344491</v>
      </c>
      <c r="I722" s="179">
        <f>_xlfn.XLOOKUP($C722,'Site Level Financials - ''23 ''24'!$C$2:$C$1577,'Site Level Financials - ''23 ''24'!U$2:U$1577)</f>
        <v>-17.89944375029717</v>
      </c>
      <c r="J722" s="179">
        <f>_xlfn.XLOOKUP($C722,'Site Level Financials - ''23 ''24'!$C$2:$C$1577,'Site Level Financials - ''23 ''24'!V$2:V$1577)</f>
        <v>-19.884202398693667</v>
      </c>
      <c r="K722" s="179">
        <f>_xlfn.XLOOKUP($C722,'Site Level Financials - ''23 ''24'!$C$2:$C$1577,'Site Level Financials - ''23 ''24'!W$2:W$1577)</f>
        <v>-22.715742802343986</v>
      </c>
      <c r="L722" s="179">
        <f>_xlfn.XLOOKUP($C722,'Site Level Financials - ''23 ''24'!$C$2:$C$1577,'Site Level Financials - ''23 ''24'!X$2:X$1577)</f>
        <v>-20.134019186639993</v>
      </c>
      <c r="M722" s="179">
        <f>_xlfn.XLOOKUP($C722,'Site Level Financials - ''23 ''24'!$C$2:$C$1577,'Site Level Financials - ''23 ''24'!Y$2:Y$1577)</f>
        <v>-21.223905540928072</v>
      </c>
      <c r="N722" s="179">
        <f>_xlfn.XLOOKUP($C722,'Site Level Financials - ''23 ''24'!$C$2:$C$1577,'Site Level Financials - ''23 ''24'!Z$2:Z$1577)</f>
        <v>-17.082612222829475</v>
      </c>
      <c r="O722" s="179">
        <f>_xlfn.XLOOKUP($C722,'Site Level Financials - ''23 ''24'!$C$2:$C$1577,'Site Level Financials - ''23 ''24'!AA$2:AA$1577)</f>
        <v>-15.672999391948442</v>
      </c>
      <c r="P722" s="179">
        <f>_xlfn.XLOOKUP($C722,'Site Level Financials - ''23 ''24'!$C$2:$C$1577,'Site Level Financials - ''23 ''24'!AB$2:AB$1577)</f>
        <v>-17.166839004889969</v>
      </c>
      <c r="Q722" s="179">
        <f>_xlfn.XLOOKUP($C722,'Site Level Financials - ''23 ''24'!$C$2:$C$1577,'Site Level Financials - ''23 ''24'!AC$2:AC$1577)</f>
        <v>-15.553703945976526</v>
      </c>
      <c r="R722" s="179">
        <f>_xlfn.XLOOKUP($C722,'Site Level Financials - ''23 ''24'!$C$2:$C$1577,'Site Level Financials - ''23 ''24'!AD$2:AD$1577)</f>
        <v>-12.85612841561335</v>
      </c>
      <c r="S722" s="155">
        <f>S723*S713</f>
        <v>-25.820398854854279</v>
      </c>
      <c r="T722" s="154">
        <f t="shared" ref="T722" si="2048">T723*T713</f>
        <v>-27.898844694662682</v>
      </c>
      <c r="U722" s="154">
        <f t="shared" ref="U722" si="2049">U723*U713</f>
        <v>-31.648172301458743</v>
      </c>
      <c r="V722" s="154">
        <f t="shared" ref="V722" si="2050">V723*V713</f>
        <v>-34.368539864984264</v>
      </c>
      <c r="W722" s="154">
        <f t="shared" ref="W722" si="2051">W723*W713</f>
        <v>-42.682038765225663</v>
      </c>
      <c r="X722" s="154">
        <f t="shared" ref="X722" si="2052">X723*X713</f>
        <v>-35.527326212687164</v>
      </c>
      <c r="Y722" s="154">
        <f t="shared" ref="Y722" si="2053">Y723*Y713</f>
        <v>-34.142902482248907</v>
      </c>
      <c r="Z722" s="154">
        <f t="shared" ref="Z722" si="2054">Z723*Z713</f>
        <v>-23.126060317227019</v>
      </c>
      <c r="AA722" s="154">
        <f t="shared" ref="AA722" si="2055">AA723*AA713</f>
        <v>-21.365315453531824</v>
      </c>
      <c r="AB722" s="154">
        <f t="shared" ref="AB722" si="2056">AB723*AB713</f>
        <v>-24.330402903220868</v>
      </c>
      <c r="AC722" s="154">
        <f t="shared" ref="AC722" si="2057">AC723*AC713</f>
        <v>-20.212185790387931</v>
      </c>
      <c r="AD722" s="156">
        <f t="shared" ref="AD722" si="2058">AD723*AD713</f>
        <v>-13.114833060917581</v>
      </c>
      <c r="AE722" s="15"/>
      <c r="AF722" s="115">
        <f>_xlfn.XLOOKUP($C722,'Site Level Financials - ''23 ''24'!$C$2:$C$1577,'Site Level Financials - ''23 ''24'!$AF$2:$AF$1577)</f>
        <v>-142.40385031282378</v>
      </c>
      <c r="AG722" s="93">
        <f>SUM(G722:R722)</f>
        <v>-213.45719711621337</v>
      </c>
      <c r="AH722" s="93">
        <f t="shared" ref="AH722" si="2059">SUM(S722:AD722)</f>
        <v>-334.23702070140695</v>
      </c>
    </row>
    <row r="723" spans="2:34" x14ac:dyDescent="0.2">
      <c r="B723" s="9">
        <f>G701</f>
        <v>15</v>
      </c>
      <c r="C723" s="9" t="str">
        <f t="shared" si="2000"/>
        <v>15 - % of Revenue - Office Supplies</v>
      </c>
      <c r="D723" s="9" t="s">
        <v>56</v>
      </c>
      <c r="F723" s="16" t="str">
        <f>"% of Revenue - "&amp;F722</f>
        <v>% of Revenue - Office Supplies</v>
      </c>
      <c r="G723" s="148">
        <f>G722/G713</f>
        <v>-3.9000370813266849E-2</v>
      </c>
      <c r="H723" s="149">
        <f t="shared" ref="H723:R723" si="2060">H722/H713</f>
        <v>-4.0695912621143138E-2</v>
      </c>
      <c r="I723" s="149">
        <f t="shared" si="2060"/>
        <v>-4.2992644714140264E-2</v>
      </c>
      <c r="J723" s="149">
        <f t="shared" si="2060"/>
        <v>-4.3586463942281099E-2</v>
      </c>
      <c r="K723" s="149">
        <f t="shared" si="2060"/>
        <v>-4.5544113706452068E-2</v>
      </c>
      <c r="L723" s="149">
        <f t="shared" si="2060"/>
        <v>-4.5144023034193952E-2</v>
      </c>
      <c r="M723" s="149">
        <f t="shared" si="2060"/>
        <v>-4.3064579406787068E-2</v>
      </c>
      <c r="N723" s="149">
        <f t="shared" si="2060"/>
        <v>-3.4016681323991334E-2</v>
      </c>
      <c r="O723" s="149">
        <f t="shared" si="2060"/>
        <v>-3.4277366487645435E-2</v>
      </c>
      <c r="P723" s="149">
        <f t="shared" si="2060"/>
        <v>-3.3987497180911645E-2</v>
      </c>
      <c r="Q723" s="149">
        <f t="shared" si="2060"/>
        <v>-3.5718922081362139E-2</v>
      </c>
      <c r="R723" s="149">
        <f t="shared" si="2060"/>
        <v>-2.8395175678718496E-2</v>
      </c>
      <c r="S723" s="245">
        <f>_xlfn.XLOOKUP($F723,'Budget Assumption Driver'!$A$33:$A$39,'Budget Assumption Driver'!E$33:E$39)+G723</f>
        <v>-3.9000370813266849E-2</v>
      </c>
      <c r="T723" s="246">
        <f>_xlfn.XLOOKUP($F723,'Budget Assumption Driver'!$A$33:$A$39,'Budget Assumption Driver'!F$33:F$39)+H723</f>
        <v>-4.0695912621143138E-2</v>
      </c>
      <c r="U723" s="246">
        <f>_xlfn.XLOOKUP($F723,'Budget Assumption Driver'!$A$33:$A$39,'Budget Assumption Driver'!G$33:G$39)+I723</f>
        <v>-4.2992644714140264E-2</v>
      </c>
      <c r="V723" s="246">
        <f>_xlfn.XLOOKUP($F723,'Budget Assumption Driver'!$A$33:$A$39,'Budget Assumption Driver'!H$33:H$39)+J723</f>
        <v>-4.3586463942281099E-2</v>
      </c>
      <c r="W723" s="246">
        <f>_xlfn.XLOOKUP($F723,'Budget Assumption Driver'!$A$33:$A$39,'Budget Assumption Driver'!I$33:I$39)+K723</f>
        <v>-4.5544113706452068E-2</v>
      </c>
      <c r="X723" s="246">
        <f>_xlfn.XLOOKUP($F723,'Budget Assumption Driver'!$A$33:$A$39,'Budget Assumption Driver'!J$33:J$39)+L723</f>
        <v>-4.5144023034193952E-2</v>
      </c>
      <c r="Y723" s="246">
        <f>_xlfn.XLOOKUP($F723,'Budget Assumption Driver'!$A$33:$A$39,'Budget Assumption Driver'!K$33:K$39)+M723</f>
        <v>-4.3064579406787068E-2</v>
      </c>
      <c r="Z723" s="246">
        <f>_xlfn.XLOOKUP($F723,'Budget Assumption Driver'!$A$33:$A$39,'Budget Assumption Driver'!L$33:L$39)+N723</f>
        <v>-3.4016681323991334E-2</v>
      </c>
      <c r="AA723" s="246">
        <f>_xlfn.XLOOKUP($F723,'Budget Assumption Driver'!$A$33:$A$39,'Budget Assumption Driver'!M$33:M$39)+O723</f>
        <v>-3.4277366487645435E-2</v>
      </c>
      <c r="AB723" s="246">
        <f>_xlfn.XLOOKUP($F723,'Budget Assumption Driver'!$A$33:$A$39,'Budget Assumption Driver'!N$33:N$39)+P723</f>
        <v>-3.3987497180911645E-2</v>
      </c>
      <c r="AC723" s="246">
        <f>_xlfn.XLOOKUP($F723,'Budget Assumption Driver'!$A$33:$A$39,'Budget Assumption Driver'!O$33:O$39)+Q723</f>
        <v>-3.5718922081362139E-2</v>
      </c>
      <c r="AD723" s="296">
        <f>_xlfn.XLOOKUP($F723,'Budget Assumption Driver'!$A$33:$A$39,'Budget Assumption Driver'!P$33:P$39)+R723</f>
        <v>-2.8395175678718496E-2</v>
      </c>
      <c r="AE723" s="15"/>
      <c r="AF723" s="232">
        <f>_xlfn.XLOOKUP($C723,'Site Level Financials - ''23 ''24'!$C$2:$C$1577,'Site Level Financials - ''23 ''24'!$AF$2:$AF$1577)</f>
        <v>-4.9991492359595741E-2</v>
      </c>
      <c r="AG723" s="97">
        <f t="shared" ref="AG723:AH723" si="2061">AG722/AG713</f>
        <v>-3.8824891022749185E-2</v>
      </c>
      <c r="AH723" s="97">
        <f t="shared" si="2061"/>
        <v>-3.9620507377416125E-2</v>
      </c>
    </row>
    <row r="724" spans="2:34" ht="6" customHeight="1" x14ac:dyDescent="0.2">
      <c r="B724" s="9">
        <f>G701</f>
        <v>15</v>
      </c>
      <c r="C724" s="9" t="str">
        <f t="shared" si="2000"/>
        <v xml:space="preserve">15 - </v>
      </c>
      <c r="D724" s="9" t="s">
        <v>56</v>
      </c>
      <c r="F724" s="16"/>
      <c r="G724" s="80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80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81"/>
      <c r="AE724" s="15"/>
      <c r="AF724" s="11"/>
      <c r="AG724" s="15"/>
      <c r="AH724" s="15"/>
    </row>
    <row r="725" spans="2:34" x14ac:dyDescent="0.2">
      <c r="B725" s="9">
        <f>G701</f>
        <v>15</v>
      </c>
      <c r="C725" s="9" t="str">
        <f t="shared" si="2000"/>
        <v>15 - Office Gross Profit</v>
      </c>
      <c r="D725" s="9" t="s">
        <v>56</v>
      </c>
      <c r="F725" s="8" t="s">
        <v>11</v>
      </c>
      <c r="G725" s="241">
        <f>_xlfn.XLOOKUP($C725,'Site Level Financials - ''23 ''24'!$C$2:$C$1577,'Site Level Financials - ''23 ''24'!S$2:S$1577)</f>
        <v>178.4974901283536</v>
      </c>
      <c r="H725" s="242">
        <f>_xlfn.XLOOKUP($C725,'Site Level Financials - ''23 ''24'!$C$2:$C$1577,'Site Level Financials - ''23 ''24'!T$2:T$1577)</f>
        <v>174.4897437102704</v>
      </c>
      <c r="I725" s="242">
        <f>_xlfn.XLOOKUP($C725,'Site Level Financials - ''23 ''24'!$C$2:$C$1577,'Site Level Financials - ''23 ''24'!U$2:U$1577)</f>
        <v>172.43786481375884</v>
      </c>
      <c r="J725" s="242">
        <f>_xlfn.XLOOKUP($C725,'Site Level Financials - ''23 ''24'!$C$2:$C$1577,'Site Level Financials - ''23 ''24'!V$2:V$1577)</f>
        <v>194.2167519040897</v>
      </c>
      <c r="K725" s="242">
        <f>_xlfn.XLOOKUP($C725,'Site Level Financials - ''23 ''24'!$C$2:$C$1577,'Site Level Financials - ''23 ''24'!W$2:W$1577)</f>
        <v>210.44581194520623</v>
      </c>
      <c r="L725" s="242">
        <f>_xlfn.XLOOKUP($C725,'Site Level Financials - ''23 ''24'!$C$2:$C$1577,'Site Level Financials - ''23 ''24'!X$2:X$1577)</f>
        <v>191.03020352100984</v>
      </c>
      <c r="M725" s="242">
        <f>_xlfn.XLOOKUP($C725,'Site Level Financials - ''23 ''24'!$C$2:$C$1577,'Site Level Financials - ''23 ''24'!Y$2:Y$1577)</f>
        <v>207.04234407283525</v>
      </c>
      <c r="N725" s="242">
        <f>_xlfn.XLOOKUP($C725,'Site Level Financials - ''23 ''24'!$C$2:$C$1577,'Site Level Financials - ''23 ''24'!Z$2:Z$1577)</f>
        <v>281.919899278017</v>
      </c>
      <c r="O725" s="242">
        <f>_xlfn.XLOOKUP($C725,'Site Level Financials - ''23 ''24'!$C$2:$C$1577,'Site Level Financials - ''23 ''24'!AA$2:AA$1577)</f>
        <v>260.7689882948527</v>
      </c>
      <c r="P725" s="242">
        <f>_xlfn.XLOOKUP($C725,'Site Level Financials - ''23 ''24'!$C$2:$C$1577,'Site Level Financials - ''23 ''24'!AB$2:AB$1577)</f>
        <v>282.32298138276656</v>
      </c>
      <c r="Q725" s="242">
        <f>_xlfn.XLOOKUP($C725,'Site Level Financials - ''23 ''24'!$C$2:$C$1577,'Site Level Financials - ''23 ''24'!AC$2:AC$1577)</f>
        <v>240.22763985729623</v>
      </c>
      <c r="R725" s="242">
        <f>_xlfn.XLOOKUP($C725,'Site Level Financials - ''23 ''24'!$C$2:$C$1577,'Site Level Financials - ''23 ''24'!AD$2:AD$1577)</f>
        <v>292.04119410766231</v>
      </c>
      <c r="S725" s="134">
        <f t="shared" ref="S725:AD725" si="2062">S713+S716+S719+S722</f>
        <v>279.40975509116288</v>
      </c>
      <c r="T725" s="135">
        <f t="shared" si="2062"/>
        <v>290.23974168601427</v>
      </c>
      <c r="U725" s="135">
        <f t="shared" si="2062"/>
        <v>304.88898610778801</v>
      </c>
      <c r="V725" s="135">
        <f t="shared" si="2062"/>
        <v>335.69091917420798</v>
      </c>
      <c r="W725" s="135">
        <f t="shared" si="2062"/>
        <v>395.41988045831476</v>
      </c>
      <c r="X725" s="135">
        <f t="shared" si="2062"/>
        <v>337.08085276239035</v>
      </c>
      <c r="Y725" s="135">
        <f t="shared" si="2062"/>
        <v>333.06907391493814</v>
      </c>
      <c r="Z725" s="135">
        <f t="shared" si="2062"/>
        <v>381.65688656310778</v>
      </c>
      <c r="AA725" s="135">
        <f t="shared" si="2062"/>
        <v>355.47833290161606</v>
      </c>
      <c r="AB725" s="135">
        <f t="shared" si="2062"/>
        <v>400.13376276928983</v>
      </c>
      <c r="AC725" s="135">
        <f t="shared" si="2062"/>
        <v>312.17809633300328</v>
      </c>
      <c r="AD725" s="136">
        <f t="shared" si="2062"/>
        <v>297.91795662071331</v>
      </c>
      <c r="AE725" s="15"/>
      <c r="AF725" s="114">
        <f>_xlfn.XLOOKUP($C725,'Site Level Financials - ''23 ''24'!$C$2:$C$1577,'Site Level Financials - ''23 ''24'!$AF$2:$AF$1577)</f>
        <v>1578.8880891847814</v>
      </c>
      <c r="AG725" s="95">
        <f>SUM(G725:R725)</f>
        <v>2685.4409130161184</v>
      </c>
      <c r="AH725" s="95">
        <f t="shared" ref="AH725" si="2063">SUM(S725:AD725)</f>
        <v>4023.1642443825467</v>
      </c>
    </row>
    <row r="726" spans="2:34" x14ac:dyDescent="0.2">
      <c r="B726" s="9">
        <f>G701</f>
        <v>15</v>
      </c>
      <c r="C726" s="9" t="str">
        <f t="shared" si="2000"/>
        <v>15 - % of Revenue - Office Gross Profit</v>
      </c>
      <c r="D726" s="9" t="s">
        <v>56</v>
      </c>
      <c r="F726" s="16" t="str">
        <f>"% of Revenue - "&amp;F725</f>
        <v>% of Revenue - Office Gross Profit</v>
      </c>
      <c r="G726" s="148">
        <f>G725/G713</f>
        <v>0.42203391661979511</v>
      </c>
      <c r="H726" s="149">
        <f t="shared" ref="H726:AD726" si="2064">H725/H713</f>
        <v>0.42337133655921105</v>
      </c>
      <c r="I726" s="149">
        <f t="shared" si="2064"/>
        <v>0.41417822590603132</v>
      </c>
      <c r="J726" s="149">
        <f t="shared" si="2064"/>
        <v>0.42572597502883497</v>
      </c>
      <c r="K726" s="149">
        <f t="shared" si="2064"/>
        <v>0.42193504617819899</v>
      </c>
      <c r="L726" s="149">
        <f t="shared" si="2064"/>
        <v>0.42832341759670273</v>
      </c>
      <c r="M726" s="149">
        <f t="shared" si="2064"/>
        <v>0.42010135456445591</v>
      </c>
      <c r="N726" s="149">
        <f t="shared" si="2064"/>
        <v>0.56138834316076314</v>
      </c>
      <c r="O726" s="149">
        <f t="shared" si="2064"/>
        <v>0.57031037626321068</v>
      </c>
      <c r="P726" s="149">
        <f t="shared" si="2064"/>
        <v>0.55895273038443993</v>
      </c>
      <c r="Q726" s="149">
        <f t="shared" si="2064"/>
        <v>0.55168031869810419</v>
      </c>
      <c r="R726" s="149">
        <f t="shared" si="2064"/>
        <v>0.64502786095686115</v>
      </c>
      <c r="S726" s="148">
        <f t="shared" si="2064"/>
        <v>0.42203391661979522</v>
      </c>
      <c r="T726" s="149">
        <f t="shared" si="2064"/>
        <v>0.423371336559211</v>
      </c>
      <c r="U726" s="149">
        <f t="shared" si="2064"/>
        <v>0.41417822590603115</v>
      </c>
      <c r="V726" s="149">
        <f t="shared" si="2064"/>
        <v>0.42572597502883508</v>
      </c>
      <c r="W726" s="149">
        <f t="shared" si="2064"/>
        <v>0.42193504617819905</v>
      </c>
      <c r="X726" s="149">
        <f t="shared" si="2064"/>
        <v>0.42832341759670278</v>
      </c>
      <c r="Y726" s="149">
        <f t="shared" si="2064"/>
        <v>0.42010135456445574</v>
      </c>
      <c r="Z726" s="149">
        <f t="shared" si="2064"/>
        <v>0.56138834316076314</v>
      </c>
      <c r="AA726" s="149">
        <f t="shared" si="2064"/>
        <v>0.57031037626321057</v>
      </c>
      <c r="AB726" s="149">
        <f t="shared" si="2064"/>
        <v>0.55895273038443993</v>
      </c>
      <c r="AC726" s="149">
        <f t="shared" si="2064"/>
        <v>0.55168031869810419</v>
      </c>
      <c r="AD726" s="150">
        <f t="shared" si="2064"/>
        <v>0.64502786095686104</v>
      </c>
      <c r="AE726" s="15"/>
      <c r="AF726" s="233">
        <f>_xlfn.XLOOKUP($C726,'Site Level Financials - ''23 ''24'!$C$2:$C$1577,'Site Level Financials - ''23 ''24'!$AF$2:$AF$1577)</f>
        <v>0.55427554573662963</v>
      </c>
      <c r="AG726" s="97">
        <f t="shared" ref="AG726:AH726" si="2065">AG725/AG713</f>
        <v>0.48844429798784955</v>
      </c>
      <c r="AH726" s="97">
        <f t="shared" si="2065"/>
        <v>0.47690650272854251</v>
      </c>
    </row>
    <row r="727" spans="2:34" ht="6" customHeight="1" x14ac:dyDescent="0.2">
      <c r="B727" s="9">
        <f>G701</f>
        <v>15</v>
      </c>
      <c r="C727" s="9" t="str">
        <f t="shared" si="2000"/>
        <v xml:space="preserve">15 - </v>
      </c>
      <c r="D727" s="9" t="s">
        <v>56</v>
      </c>
      <c r="F727" s="16"/>
      <c r="G727" s="80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80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81"/>
      <c r="AE727" s="15"/>
      <c r="AF727" s="11"/>
      <c r="AG727" s="15"/>
      <c r="AH727" s="15"/>
    </row>
    <row r="728" spans="2:34" x14ac:dyDescent="0.2">
      <c r="B728" s="9">
        <f>G701</f>
        <v>15</v>
      </c>
      <c r="C728" s="9" t="str">
        <f t="shared" si="2000"/>
        <v>15 - General and Administrative Expense</v>
      </c>
      <c r="D728" s="9" t="s">
        <v>56</v>
      </c>
      <c r="F728" t="s">
        <v>10</v>
      </c>
      <c r="G728" s="178">
        <f>_xlfn.XLOOKUP($C728,'Site Level Financials - ''23 ''24'!$C$2:$C$1577,'Site Level Financials - ''23 ''24'!S$2:S$1577)</f>
        <v>-7.3150594606609838</v>
      </c>
      <c r="H728" s="179">
        <f>_xlfn.XLOOKUP($C728,'Site Level Financials - ''23 ''24'!$C$2:$C$1577,'Site Level Financials - ''23 ''24'!T$2:T$1577)</f>
        <v>-7.6116803131321706</v>
      </c>
      <c r="I728" s="179">
        <f>_xlfn.XLOOKUP($C728,'Site Level Financials - ''23 ''24'!$C$2:$C$1577,'Site Level Financials - ''23 ''24'!U$2:U$1577)</f>
        <v>-7.0432088219472186</v>
      </c>
      <c r="J728" s="179">
        <f>_xlfn.XLOOKUP($C728,'Site Level Financials - ''23 ''24'!$C$2:$C$1577,'Site Level Financials - ''23 ''24'!V$2:V$1577)</f>
        <v>-7.7505157182361186</v>
      </c>
      <c r="K728" s="179">
        <f>_xlfn.XLOOKUP($C728,'Site Level Financials - ''23 ''24'!$C$2:$C$1577,'Site Level Financials - ''23 ''24'!W$2:W$1577)</f>
        <v>-7.9475048206115915</v>
      </c>
      <c r="L728" s="179">
        <f>_xlfn.XLOOKUP($C728,'Site Level Financials - ''23 ''24'!$C$2:$C$1577,'Site Level Financials - ''23 ''24'!X$2:X$1577)</f>
        <v>-6.6337286620395481</v>
      </c>
      <c r="M728" s="179">
        <f>_xlfn.XLOOKUP($C728,'Site Level Financials - ''23 ''24'!$C$2:$C$1577,'Site Level Financials - ''23 ''24'!Y$2:Y$1577)</f>
        <v>-7.7473745569183707</v>
      </c>
      <c r="N728" s="179">
        <f>_xlfn.XLOOKUP($C728,'Site Level Financials - ''23 ''24'!$C$2:$C$1577,'Site Level Financials - ''23 ''24'!Z$2:Z$1577)</f>
        <v>-6.278306287885969</v>
      </c>
      <c r="O728" s="179">
        <f>_xlfn.XLOOKUP($C728,'Site Level Financials - ''23 ''24'!$C$2:$C$1577,'Site Level Financials - ''23 ''24'!AA$2:AA$1577)</f>
        <v>-5.2745399061250984</v>
      </c>
      <c r="P728" s="179">
        <f>_xlfn.XLOOKUP($C728,'Site Level Financials - ''23 ''24'!$C$2:$C$1577,'Site Level Financials - ''23 ''24'!AB$2:AB$1577)</f>
        <v>-5.471547837956467</v>
      </c>
      <c r="Q728" s="179">
        <f>_xlfn.XLOOKUP($C728,'Site Level Financials - ''23 ''24'!$C$2:$C$1577,'Site Level Financials - ''23 ''24'!AC$2:AC$1577)</f>
        <v>-4.9011737549927465</v>
      </c>
      <c r="R728" s="179">
        <f>_xlfn.XLOOKUP($C728,'Site Level Financials - ''23 ''24'!$C$2:$C$1577,'Site Level Financials - ''23 ''24'!AD$2:AD$1577)</f>
        <v>-4.0673354904358954</v>
      </c>
      <c r="S728" s="155">
        <f>S729*S713</f>
        <v>-11.450575416555473</v>
      </c>
      <c r="T728" s="154">
        <f t="shared" ref="T728" si="2066">T729*T713</f>
        <v>-12.660985573732425</v>
      </c>
      <c r="U728" s="154">
        <f t="shared" ref="U728" si="2067">U729*U713</f>
        <v>-12.453162760906416</v>
      </c>
      <c r="V728" s="154">
        <f t="shared" ref="V728" si="2068">V729*V713</f>
        <v>-13.396258149830803</v>
      </c>
      <c r="W728" s="154">
        <f t="shared" ref="W728" si="2069">W729*W713</f>
        <v>-14.933066983183084</v>
      </c>
      <c r="X728" s="154">
        <f t="shared" ref="X728" si="2070">X729*X713</f>
        <v>-11.705494069416467</v>
      </c>
      <c r="Y728" s="154">
        <f t="shared" ref="Y728" si="2071">Y729*Y713</f>
        <v>-12.463203507960655</v>
      </c>
      <c r="Z728" s="154">
        <f t="shared" ref="Z728" si="2072">Z729*Z713</f>
        <v>-8.4994313521698412</v>
      </c>
      <c r="AA728" s="154">
        <f t="shared" ref="AA728" si="2073">AA729*AA713</f>
        <v>-7.1902133183580208</v>
      </c>
      <c r="AB728" s="154">
        <f t="shared" ref="AB728" si="2074">AB729*AB713</f>
        <v>-7.7547743858847449</v>
      </c>
      <c r="AC728" s="154">
        <f t="shared" ref="AC728" si="2075">AC729*AC713</f>
        <v>-6.3691217777430218</v>
      </c>
      <c r="AD728" s="156">
        <f t="shared" ref="AD728" si="2076">AD729*AD713</f>
        <v>-4.1491827271287569</v>
      </c>
      <c r="AE728" s="15"/>
      <c r="AF728" s="115">
        <f>_xlfn.XLOOKUP($C728,'Site Level Financials - ''23 ''24'!$C$2:$C$1577,'Site Level Financials - ''23 ''24'!$AF$2:$AF$1577)</f>
        <v>-95.771887430294129</v>
      </c>
      <c r="AG728" s="93">
        <f>SUM(G728:R728)</f>
        <v>-78.041975630942176</v>
      </c>
      <c r="AH728" s="93">
        <f t="shared" ref="AH728" si="2077">SUM(S728:AD728)</f>
        <v>-123.02547002286971</v>
      </c>
    </row>
    <row r="729" spans="2:34" x14ac:dyDescent="0.2">
      <c r="B729" s="9">
        <f>G701</f>
        <v>15</v>
      </c>
      <c r="C729" s="9" t="str">
        <f t="shared" si="2000"/>
        <v>15 - % of Revenue - General and Administrative Expense</v>
      </c>
      <c r="D729" s="9" t="s">
        <v>56</v>
      </c>
      <c r="F729" s="16" t="str">
        <f>"% of Revenue - "&amp;F728</f>
        <v>% of Revenue - General and Administrative Expense</v>
      </c>
      <c r="G729" s="148">
        <f>G728/G713</f>
        <v>-1.7295499181918476E-2</v>
      </c>
      <c r="H729" s="149">
        <f t="shared" ref="H729:R729" si="2078">H728/H713</f>
        <v>-1.8468519691238004E-2</v>
      </c>
      <c r="I729" s="149">
        <f t="shared" si="2078"/>
        <v>-1.6917071767911664E-2</v>
      </c>
      <c r="J729" s="149">
        <f t="shared" si="2078"/>
        <v>-1.6989244381719587E-2</v>
      </c>
      <c r="K729" s="149">
        <f t="shared" si="2078"/>
        <v>-1.5934414576800025E-2</v>
      </c>
      <c r="L729" s="149">
        <f t="shared" si="2078"/>
        <v>-1.4873989974163858E-2</v>
      </c>
      <c r="M729" s="149">
        <f t="shared" si="2078"/>
        <v>-1.5719888413428352E-2</v>
      </c>
      <c r="N729" s="149">
        <f t="shared" si="2078"/>
        <v>-1.2502019097759151E-2</v>
      </c>
      <c r="O729" s="149">
        <f t="shared" si="2078"/>
        <v>-1.1535592702749699E-2</v>
      </c>
      <c r="P729" s="149">
        <f t="shared" si="2078"/>
        <v>-1.0832758241910278E-2</v>
      </c>
      <c r="Q729" s="149">
        <f t="shared" si="2078"/>
        <v>-1.1255495415745598E-2</v>
      </c>
      <c r="R729" s="149">
        <f t="shared" si="2078"/>
        <v>-8.9834748115110424E-3</v>
      </c>
      <c r="S729" s="245">
        <f>_xlfn.XLOOKUP($F729,'Budget Assumption Driver'!$A$33:$A$39,'Budget Assumption Driver'!E$33:E$39)+G729</f>
        <v>-1.7295499181918476E-2</v>
      </c>
      <c r="T729" s="246">
        <f>_xlfn.XLOOKUP($F729,'Budget Assumption Driver'!$A$33:$A$39,'Budget Assumption Driver'!F$33:F$39)+H729</f>
        <v>-1.8468519691238004E-2</v>
      </c>
      <c r="U729" s="246">
        <f>_xlfn.XLOOKUP($F729,'Budget Assumption Driver'!$A$33:$A$39,'Budget Assumption Driver'!G$33:G$39)+I729</f>
        <v>-1.6917071767911664E-2</v>
      </c>
      <c r="V729" s="246">
        <f>_xlfn.XLOOKUP($F729,'Budget Assumption Driver'!$A$33:$A$39,'Budget Assumption Driver'!H$33:H$39)+J729</f>
        <v>-1.6989244381719587E-2</v>
      </c>
      <c r="W729" s="246">
        <f>_xlfn.XLOOKUP($F729,'Budget Assumption Driver'!$A$33:$A$39,'Budget Assumption Driver'!I$33:I$39)+K729</f>
        <v>-1.5934414576800025E-2</v>
      </c>
      <c r="X729" s="246">
        <f>_xlfn.XLOOKUP($F729,'Budget Assumption Driver'!$A$33:$A$39,'Budget Assumption Driver'!J$33:J$39)+L729</f>
        <v>-1.4873989974163858E-2</v>
      </c>
      <c r="Y729" s="246">
        <f>_xlfn.XLOOKUP($F729,'Budget Assumption Driver'!$A$33:$A$39,'Budget Assumption Driver'!K$33:K$39)+M729</f>
        <v>-1.5719888413428352E-2</v>
      </c>
      <c r="Z729" s="246">
        <f>_xlfn.XLOOKUP($F729,'Budget Assumption Driver'!$A$33:$A$39,'Budget Assumption Driver'!L$33:L$39)+N729</f>
        <v>-1.2502019097759151E-2</v>
      </c>
      <c r="AA729" s="246">
        <f>_xlfn.XLOOKUP($F729,'Budget Assumption Driver'!$A$33:$A$39,'Budget Assumption Driver'!M$33:M$39)+O729</f>
        <v>-1.1535592702749699E-2</v>
      </c>
      <c r="AB729" s="246">
        <f>_xlfn.XLOOKUP($F729,'Budget Assumption Driver'!$A$33:$A$39,'Budget Assumption Driver'!N$33:N$39)+P729</f>
        <v>-1.0832758241910278E-2</v>
      </c>
      <c r="AC729" s="246">
        <f>_xlfn.XLOOKUP($F729,'Budget Assumption Driver'!$A$33:$A$39,'Budget Assumption Driver'!O$33:O$39)+Q729</f>
        <v>-1.1255495415745598E-2</v>
      </c>
      <c r="AD729" s="296">
        <f>_xlfn.XLOOKUP($F729,'Budget Assumption Driver'!$A$33:$A$39,'Budget Assumption Driver'!P$33:P$39)+R729</f>
        <v>-8.9834748115110424E-3</v>
      </c>
      <c r="AE729" s="15"/>
      <c r="AF729" s="232">
        <f>_xlfn.XLOOKUP($C729,'Site Level Financials - ''23 ''24'!$C$2:$C$1577,'Site Level Financials - ''23 ''24'!$AF$2:$AF$1577)</f>
        <v>-3.362113853114309E-2</v>
      </c>
      <c r="AG729" s="97">
        <f t="shared" ref="AG729:AH729" si="2079">AG728/AG713</f>
        <v>-1.4194748361760592E-2</v>
      </c>
      <c r="AH729" s="97">
        <f t="shared" si="2079"/>
        <v>-1.4583457967708834E-2</v>
      </c>
    </row>
    <row r="730" spans="2:34" ht="3" customHeight="1" x14ac:dyDescent="0.2">
      <c r="B730" s="9">
        <f>G701</f>
        <v>15</v>
      </c>
      <c r="C730" s="9" t="str">
        <f t="shared" si="2000"/>
        <v xml:space="preserve">15 - </v>
      </c>
      <c r="D730" s="9" t="s">
        <v>56</v>
      </c>
      <c r="F730" s="16"/>
      <c r="G730" s="84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4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6"/>
      <c r="AE730" s="15"/>
      <c r="AF730" s="36"/>
      <c r="AG730" s="38"/>
      <c r="AH730" s="38"/>
    </row>
    <row r="731" spans="2:34" x14ac:dyDescent="0.2">
      <c r="B731" s="9">
        <f>G701</f>
        <v>15</v>
      </c>
      <c r="C731" s="9" t="str">
        <f t="shared" si="2000"/>
        <v>15 - Marketing</v>
      </c>
      <c r="D731" s="9" t="s">
        <v>56</v>
      </c>
      <c r="F731" t="s">
        <v>7</v>
      </c>
      <c r="G731" s="178">
        <f>_xlfn.XLOOKUP($C731,'Site Level Financials - ''23 ''24'!$C$2:$C$1577,'Site Level Financials - ''23 ''24'!S$2:S$1577)</f>
        <v>-3.9402513402855353</v>
      </c>
      <c r="H731" s="179">
        <f>_xlfn.XLOOKUP($C731,'Site Level Financials - ''23 ''24'!$C$2:$C$1577,'Site Level Financials - ''23 ''24'!T$2:T$1577)</f>
        <v>-4.0530154476484901</v>
      </c>
      <c r="I731" s="179">
        <f>_xlfn.XLOOKUP($C731,'Site Level Financials - ''23 ''24'!$C$2:$C$1577,'Site Level Financials - ''23 ''24'!U$2:U$1577)</f>
        <v>-3.7151814146713944</v>
      </c>
      <c r="J731" s="179">
        <f>_xlfn.XLOOKUP($C731,'Site Level Financials - ''23 ''24'!$C$2:$C$1577,'Site Level Financials - ''23 ''24'!V$2:V$1577)</f>
        <v>-4.0119999158002138</v>
      </c>
      <c r="K731" s="179">
        <f>_xlfn.XLOOKUP($C731,'Site Level Financials - ''23 ''24'!$C$2:$C$1577,'Site Level Financials - ''23 ''24'!W$2:W$1577)</f>
        <v>-4.2118906589495264</v>
      </c>
      <c r="L731" s="179">
        <f>_xlfn.XLOOKUP($C731,'Site Level Financials - ''23 ''24'!$C$2:$C$1577,'Site Level Financials - ''23 ''24'!X$2:X$1577)</f>
        <v>-4.2509110568450161</v>
      </c>
      <c r="M731" s="179">
        <f>_xlfn.XLOOKUP($C731,'Site Level Financials - ''23 ''24'!$C$2:$C$1577,'Site Level Financials - ''23 ''24'!Y$2:Y$1577)</f>
        <v>-4.1094173270882708</v>
      </c>
      <c r="N731" s="179">
        <f>_xlfn.XLOOKUP($C731,'Site Level Financials - ''23 ''24'!$C$2:$C$1577,'Site Level Financials - ''23 ''24'!Z$2:Z$1577)</f>
        <v>-2.6445522481110313</v>
      </c>
      <c r="O731" s="179">
        <f>_xlfn.XLOOKUP($C731,'Site Level Financials - ''23 ''24'!$C$2:$C$1577,'Site Level Financials - ''23 ''24'!AA$2:AA$1577)</f>
        <v>-2.5305693931176632</v>
      </c>
      <c r="P731" s="179">
        <f>_xlfn.XLOOKUP($C731,'Site Level Financials - ''23 ''24'!$C$2:$C$1577,'Site Level Financials - ''23 ''24'!AB$2:AB$1577)</f>
        <v>-2.386779044139173</v>
      </c>
      <c r="Q731" s="179">
        <f>_xlfn.XLOOKUP($C731,'Site Level Financials - ''23 ''24'!$C$2:$C$1577,'Site Level Financials - ''23 ''24'!AC$2:AC$1577)</f>
        <v>-1.7849356299236021</v>
      </c>
      <c r="R731" s="179">
        <f>_xlfn.XLOOKUP($C731,'Site Level Financials - ''23 ''24'!$C$2:$C$1577,'Site Level Financials - ''23 ''24'!AD$2:AD$1577)</f>
        <v>-1.7975985473623937</v>
      </c>
      <c r="S731" s="155">
        <f>S732*S713</f>
        <v>-6.167843935481347</v>
      </c>
      <c r="T731" s="154">
        <f t="shared" ref="T731" si="2080">T732*T713</f>
        <v>-6.7416349612397539</v>
      </c>
      <c r="U731" s="154">
        <f t="shared" ref="U731" si="2081">U732*U713</f>
        <v>-6.5688466738384239</v>
      </c>
      <c r="V731" s="154">
        <f t="shared" ref="V731" si="2082">V732*V713</f>
        <v>-6.9344787525172205</v>
      </c>
      <c r="W731" s="154">
        <f t="shared" ref="W731" si="2083">W732*W713</f>
        <v>-7.9139864341845447</v>
      </c>
      <c r="X731" s="154">
        <f t="shared" ref="X731" si="2084">X732*X713</f>
        <v>-7.5009118853856993</v>
      </c>
      <c r="Y731" s="154">
        <f t="shared" ref="Y731" si="2085">Y732*Y713</f>
        <v>-6.6108207458363717</v>
      </c>
      <c r="Z731" s="154">
        <f t="shared" ref="Z731" si="2086">Z732*Z713</f>
        <v>-3.580135988812144</v>
      </c>
      <c r="AA731" s="154">
        <f t="shared" ref="AA731" si="2087">AA732*AA713</f>
        <v>-3.4496532545510421</v>
      </c>
      <c r="AB731" s="154">
        <f t="shared" ref="AB731" si="2088">AB732*AB713</f>
        <v>-3.3827599692831556</v>
      </c>
      <c r="AC731" s="154">
        <f t="shared" ref="AC731" si="2089">AC732*AC713</f>
        <v>-2.3195407795602008</v>
      </c>
      <c r="AD731" s="156">
        <f t="shared" ref="AD731" si="2090">AD732*AD713</f>
        <v>-1.8337717310426378</v>
      </c>
      <c r="AE731" s="15"/>
      <c r="AF731" s="115">
        <f>_xlfn.XLOOKUP($C731,'Site Level Financials - ''23 ''24'!$C$2:$C$1577,'Site Level Financials - ''23 ''24'!$AF$2:$AF$1577)</f>
        <v>-48.642151973173384</v>
      </c>
      <c r="AG731" s="93">
        <f>SUM(G731:R731)</f>
        <v>-39.437102023942316</v>
      </c>
      <c r="AH731" s="93">
        <f t="shared" ref="AH731" si="2091">SUM(S731:AD731)</f>
        <v>-63.004385111732546</v>
      </c>
    </row>
    <row r="732" spans="2:34" x14ac:dyDescent="0.2">
      <c r="B732" s="9">
        <f>G701</f>
        <v>15</v>
      </c>
      <c r="C732" s="9" t="str">
        <f t="shared" si="2000"/>
        <v>15 - % of Revenue - Marketing</v>
      </c>
      <c r="D732" s="9" t="s">
        <v>56</v>
      </c>
      <c r="F732" s="16" t="str">
        <f>"% of Revenue - "&amp;F731</f>
        <v>% of Revenue - Marketing</v>
      </c>
      <c r="G732" s="148">
        <f>G731/G713</f>
        <v>-9.3162077764305396E-3</v>
      </c>
      <c r="H732" s="149">
        <f t="shared" ref="H732:R732" si="2092">H731/H713</f>
        <v>-9.833990988119443E-3</v>
      </c>
      <c r="I732" s="149">
        <f t="shared" si="2092"/>
        <v>-8.9234881730273028E-3</v>
      </c>
      <c r="J732" s="149">
        <f t="shared" si="2092"/>
        <v>-8.7943627891229476E-3</v>
      </c>
      <c r="K732" s="149">
        <f t="shared" si="2092"/>
        <v>-8.4446645112809769E-3</v>
      </c>
      <c r="L732" s="149">
        <f t="shared" si="2092"/>
        <v>-9.5312925297031253E-3</v>
      </c>
      <c r="M732" s="149">
        <f t="shared" si="2092"/>
        <v>-8.3382546372886383E-3</v>
      </c>
      <c r="N732" s="149">
        <f t="shared" si="2092"/>
        <v>-5.2661085959918542E-3</v>
      </c>
      <c r="O732" s="149">
        <f t="shared" si="2092"/>
        <v>-5.5344387083223825E-3</v>
      </c>
      <c r="P732" s="149">
        <f t="shared" si="2092"/>
        <v>-4.7254270871318798E-3</v>
      </c>
      <c r="Q732" s="149">
        <f t="shared" si="2092"/>
        <v>-4.0990864238470192E-3</v>
      </c>
      <c r="R732" s="149">
        <f t="shared" si="2092"/>
        <v>-3.9703342174284848E-3</v>
      </c>
      <c r="S732" s="245">
        <f>_xlfn.XLOOKUP($F732,'Budget Assumption Driver'!$A$33:$A$39,'Budget Assumption Driver'!E$33:E$39)+G732</f>
        <v>-9.3162077764305396E-3</v>
      </c>
      <c r="T732" s="246">
        <f>_xlfn.XLOOKUP($F732,'Budget Assumption Driver'!$A$33:$A$39,'Budget Assumption Driver'!F$33:F$39)+H732</f>
        <v>-9.833990988119443E-3</v>
      </c>
      <c r="U732" s="246">
        <f>_xlfn.XLOOKUP($F732,'Budget Assumption Driver'!$A$33:$A$39,'Budget Assumption Driver'!G$33:G$39)+I732</f>
        <v>-8.9234881730273028E-3</v>
      </c>
      <c r="V732" s="246">
        <f>_xlfn.XLOOKUP($F732,'Budget Assumption Driver'!$A$33:$A$39,'Budget Assumption Driver'!H$33:H$39)+J732</f>
        <v>-8.7943627891229476E-3</v>
      </c>
      <c r="W732" s="246">
        <f>_xlfn.XLOOKUP($F732,'Budget Assumption Driver'!$A$33:$A$39,'Budget Assumption Driver'!I$33:I$39)+K732</f>
        <v>-8.4446645112809769E-3</v>
      </c>
      <c r="X732" s="246">
        <f>_xlfn.XLOOKUP($F732,'Budget Assumption Driver'!$A$33:$A$39,'Budget Assumption Driver'!J$33:J$39)+L732</f>
        <v>-9.5312925297031253E-3</v>
      </c>
      <c r="Y732" s="246">
        <f>_xlfn.XLOOKUP($F732,'Budget Assumption Driver'!$A$33:$A$39,'Budget Assumption Driver'!K$33:K$39)+M732</f>
        <v>-8.3382546372886383E-3</v>
      </c>
      <c r="Z732" s="246">
        <f>_xlfn.XLOOKUP($F732,'Budget Assumption Driver'!$A$33:$A$39,'Budget Assumption Driver'!L$33:L$39)+N732</f>
        <v>-5.2661085959918542E-3</v>
      </c>
      <c r="AA732" s="246">
        <f>_xlfn.XLOOKUP($F732,'Budget Assumption Driver'!$A$33:$A$39,'Budget Assumption Driver'!M$33:M$39)+O732</f>
        <v>-5.5344387083223825E-3</v>
      </c>
      <c r="AB732" s="246">
        <f>_xlfn.XLOOKUP($F732,'Budget Assumption Driver'!$A$33:$A$39,'Budget Assumption Driver'!N$33:N$39)+P732</f>
        <v>-4.7254270871318798E-3</v>
      </c>
      <c r="AC732" s="246">
        <f>_xlfn.XLOOKUP($F732,'Budget Assumption Driver'!$A$33:$A$39,'Budget Assumption Driver'!O$33:O$39)+Q732</f>
        <v>-4.0990864238470192E-3</v>
      </c>
      <c r="AD732" s="296">
        <f>_xlfn.XLOOKUP($F732,'Budget Assumption Driver'!$A$33:$A$39,'Budget Assumption Driver'!P$33:P$39)+R732</f>
        <v>-3.9703342174284848E-3</v>
      </c>
      <c r="AE732" s="15"/>
      <c r="AF732" s="232">
        <f>_xlfn.XLOOKUP($C732,'Site Level Financials - ''23 ''24'!$C$2:$C$1577,'Site Level Financials - ''23 ''24'!$AF$2:$AF$1577)</f>
        <v>-1.7076039470698304E-2</v>
      </c>
      <c r="AG732" s="97">
        <f t="shared" ref="AG732:AH732" si="2093">AG731/AG713</f>
        <v>-7.1730595595659221E-3</v>
      </c>
      <c r="AH732" s="97">
        <f t="shared" si="2093"/>
        <v>-7.468549414096839E-3</v>
      </c>
    </row>
    <row r="733" spans="2:34" ht="3" customHeight="1" x14ac:dyDescent="0.2">
      <c r="B733" s="9">
        <f>G701</f>
        <v>15</v>
      </c>
      <c r="C733" s="9" t="str">
        <f t="shared" si="2000"/>
        <v xml:space="preserve">15 - </v>
      </c>
      <c r="D733" s="9" t="s">
        <v>56</v>
      </c>
      <c r="F733" s="16"/>
      <c r="G733" s="84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4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6"/>
      <c r="AE733" s="15"/>
      <c r="AF733" s="36"/>
      <c r="AG733" s="38"/>
      <c r="AH733" s="38"/>
    </row>
    <row r="734" spans="2:34" x14ac:dyDescent="0.2">
      <c r="B734" s="9">
        <f>G701</f>
        <v>15</v>
      </c>
      <c r="C734" s="9" t="str">
        <f t="shared" si="2000"/>
        <v>15 - Office Rent</v>
      </c>
      <c r="D734" s="9" t="s">
        <v>56</v>
      </c>
      <c r="F734" t="s">
        <v>162</v>
      </c>
      <c r="G734" s="178">
        <f>_xlfn.XLOOKUP($C734,'Site Level Financials - ''23 ''24'!$C$2:$C$1577,'Site Level Financials - ''23 ''24'!S$2:S$1577)</f>
        <v>-16.308036729124627</v>
      </c>
      <c r="H734" s="179">
        <f>_xlfn.XLOOKUP($C734,'Site Level Financials - ''23 ''24'!$C$2:$C$1577,'Site Level Financials - ''23 ''24'!T$2:T$1577)</f>
        <v>-16.797277830998365</v>
      </c>
      <c r="I734" s="179">
        <f>_xlfn.XLOOKUP($C734,'Site Level Financials - ''23 ''24'!$C$2:$C$1577,'Site Level Financials - ''23 ''24'!U$2:U$1577)</f>
        <v>-16.797277830998365</v>
      </c>
      <c r="J734" s="179">
        <f>_xlfn.XLOOKUP($C734,'Site Level Financials - ''23 ''24'!$C$2:$C$1577,'Site Level Financials - ''23 ''24'!V$2:V$1577)</f>
        <v>-16.797277830998365</v>
      </c>
      <c r="K734" s="179">
        <f>_xlfn.XLOOKUP($C734,'Site Level Financials - ''23 ''24'!$C$2:$C$1577,'Site Level Financials - ''23 ''24'!W$2:W$1577)</f>
        <v>-16.797277830998365</v>
      </c>
      <c r="L734" s="179">
        <f>_xlfn.XLOOKUP($C734,'Site Level Financials - ''23 ''24'!$C$2:$C$1577,'Site Level Financials - ''23 ''24'!X$2:X$1577)</f>
        <v>-16.797277830998365</v>
      </c>
      <c r="M734" s="179">
        <f>_xlfn.XLOOKUP($C734,'Site Level Financials - ''23 ''24'!$C$2:$C$1577,'Site Level Financials - ''23 ''24'!Y$2:Y$1577)</f>
        <v>-16.797277830998365</v>
      </c>
      <c r="N734" s="179">
        <f>_xlfn.XLOOKUP($C734,'Site Level Financials - ''23 ''24'!$C$2:$C$1577,'Site Level Financials - ''23 ''24'!Z$2:Z$1577)</f>
        <v>-16.797277830998365</v>
      </c>
      <c r="O734" s="179">
        <f>_xlfn.XLOOKUP($C734,'Site Level Financials - ''23 ''24'!$C$2:$C$1577,'Site Level Financials - ''23 ''24'!AA$2:AA$1577)</f>
        <v>-16.797277830998365</v>
      </c>
      <c r="P734" s="179">
        <f>_xlfn.XLOOKUP($C734,'Site Level Financials - ''23 ''24'!$C$2:$C$1577,'Site Level Financials - ''23 ''24'!AB$2:AB$1577)</f>
        <v>-16.797277830998365</v>
      </c>
      <c r="Q734" s="179">
        <f>_xlfn.XLOOKUP($C734,'Site Level Financials - ''23 ''24'!$C$2:$C$1577,'Site Level Financials - ''23 ''24'!AC$2:AC$1577)</f>
        <v>-16.797277830998365</v>
      </c>
      <c r="R734" s="179">
        <f>_xlfn.XLOOKUP($C734,'Site Level Financials - ''23 ''24'!$C$2:$C$1577,'Site Level Financials - ''23 ''24'!AD$2:AD$1577)</f>
        <v>-16.797277830998365</v>
      </c>
      <c r="S734" s="155">
        <f>G734*(1+S735)</f>
        <v>-16.797277830998365</v>
      </c>
      <c r="T734" s="154">
        <f t="shared" ref="T734" si="2094">H734*(1+T735)</f>
        <v>-17.301196165928317</v>
      </c>
      <c r="U734" s="154">
        <f t="shared" ref="U734" si="2095">I734*(1+U735)</f>
        <v>-17.301196165928317</v>
      </c>
      <c r="V734" s="154">
        <f t="shared" ref="V734" si="2096">J734*(1+V735)</f>
        <v>-17.301196165928317</v>
      </c>
      <c r="W734" s="154">
        <f t="shared" ref="W734" si="2097">K734*(1+W735)</f>
        <v>-17.301196165928317</v>
      </c>
      <c r="X734" s="154">
        <f t="shared" ref="X734" si="2098">L734*(1+X735)</f>
        <v>-17.301196165928317</v>
      </c>
      <c r="Y734" s="154">
        <f t="shared" ref="Y734" si="2099">M734*(1+Y735)</f>
        <v>-17.301196165928317</v>
      </c>
      <c r="Z734" s="154">
        <f t="shared" ref="Z734" si="2100">N734*(1+Z735)</f>
        <v>-17.301196165928317</v>
      </c>
      <c r="AA734" s="154">
        <f t="shared" ref="AA734" si="2101">O734*(1+AA735)</f>
        <v>-17.301196165928317</v>
      </c>
      <c r="AB734" s="154">
        <f t="shared" ref="AB734" si="2102">P734*(1+AB735)</f>
        <v>-17.301196165928317</v>
      </c>
      <c r="AC734" s="154">
        <f t="shared" ref="AC734" si="2103">Q734*(1+AC735)</f>
        <v>-17.301196165928317</v>
      </c>
      <c r="AD734" s="156">
        <f t="shared" ref="AD734" si="2104">R734*(1+AD735)</f>
        <v>-17.301196165928317</v>
      </c>
      <c r="AE734" s="15"/>
      <c r="AF734" s="115">
        <f>_xlfn.XLOOKUP($C734,'Site Level Financials - ''23 ''24'!$C$2:$C$1577,'Site Level Financials - ''23 ''24'!$AF$2:$AF$1577)</f>
        <v>-195.21794229008103</v>
      </c>
      <c r="AG734" s="93">
        <f>SUM(G734:R734)</f>
        <v>-201.07809287010662</v>
      </c>
      <c r="AH734" s="93">
        <f t="shared" ref="AH734" si="2105">SUM(S734:AD734)</f>
        <v>-207.11043565620992</v>
      </c>
    </row>
    <row r="735" spans="2:34" x14ac:dyDescent="0.2">
      <c r="B735" s="9">
        <f>G701</f>
        <v>15</v>
      </c>
      <c r="C735" s="9" t="str">
        <f t="shared" si="2000"/>
        <v>15 - % YoY Growth</v>
      </c>
      <c r="D735" s="9" t="s">
        <v>56</v>
      </c>
      <c r="F735" s="16" t="s">
        <v>8</v>
      </c>
      <c r="G735" s="245">
        <f>_xlfn.XLOOKUP($C735,'Site Level Financials - ''23 ''24'!$C$2:$C$1577,'Site Level Financials - ''23 ''24'!S$2:S$1577)</f>
        <v>3.0018503992414347E-2</v>
      </c>
      <c r="H735" s="246">
        <f>_xlfn.XLOOKUP($C735,'Site Level Financials - ''23 ''24'!$C$2:$C$1577,'Site Level Financials - ''23 ''24'!T$2:T$1577)</f>
        <v>3.0018503992414125E-2</v>
      </c>
      <c r="I735" s="246">
        <f>_xlfn.XLOOKUP($C735,'Site Level Financials - ''23 ''24'!$C$2:$C$1577,'Site Level Financials - ''23 ''24'!U$2:U$1577)</f>
        <v>3.0018503992414125E-2</v>
      </c>
      <c r="J735" s="246">
        <f>_xlfn.XLOOKUP($C735,'Site Level Financials - ''23 ''24'!$C$2:$C$1577,'Site Level Financials - ''23 ''24'!V$2:V$1577)</f>
        <v>3.0018503992414125E-2</v>
      </c>
      <c r="K735" s="246">
        <f>_xlfn.XLOOKUP($C735,'Site Level Financials - ''23 ''24'!$C$2:$C$1577,'Site Level Financials - ''23 ''24'!W$2:W$1577)</f>
        <v>3.0018503992414125E-2</v>
      </c>
      <c r="L735" s="246">
        <f>_xlfn.XLOOKUP($C735,'Site Level Financials - ''23 ''24'!$C$2:$C$1577,'Site Level Financials - ''23 ''24'!X$2:X$1577)</f>
        <v>3.0018503992414125E-2</v>
      </c>
      <c r="M735" s="246">
        <f>_xlfn.XLOOKUP($C735,'Site Level Financials - ''23 ''24'!$C$2:$C$1577,'Site Level Financials - ''23 ''24'!Y$2:Y$1577)</f>
        <v>3.0018503992414125E-2</v>
      </c>
      <c r="N735" s="246">
        <f>_xlfn.XLOOKUP($C735,'Site Level Financials - ''23 ''24'!$C$2:$C$1577,'Site Level Financials - ''23 ''24'!Z$2:Z$1577)</f>
        <v>3.0018503992414125E-2</v>
      </c>
      <c r="O735" s="246">
        <f>_xlfn.XLOOKUP($C735,'Site Level Financials - ''23 ''24'!$C$2:$C$1577,'Site Level Financials - ''23 ''24'!AA$2:AA$1577)</f>
        <v>3.0018503992414125E-2</v>
      </c>
      <c r="P735" s="246">
        <f>_xlfn.XLOOKUP($C735,'Site Level Financials - ''23 ''24'!$C$2:$C$1577,'Site Level Financials - ''23 ''24'!AB$2:AB$1577)</f>
        <v>3.0018503992414125E-2</v>
      </c>
      <c r="Q735" s="246">
        <f>_xlfn.XLOOKUP($C735,'Site Level Financials - ''23 ''24'!$C$2:$C$1577,'Site Level Financials - ''23 ''24'!AC$2:AC$1577)</f>
        <v>3.0018503992414125E-2</v>
      </c>
      <c r="R735" s="246">
        <f>_xlfn.XLOOKUP($C735,'Site Level Financials - ''23 ''24'!$C$2:$C$1577,'Site Level Financials - ''23 ''24'!AD$2:AD$1577)</f>
        <v>3.0018503992414125E-2</v>
      </c>
      <c r="S735" s="245">
        <f>_xlfn.XLOOKUP($F735,'Budget Assumption Driver'!$A$33:$A$39,'Budget Assumption Driver'!E$33:E$39)</f>
        <v>0.03</v>
      </c>
      <c r="T735" s="246">
        <f>_xlfn.XLOOKUP($F735,'Budget Assumption Driver'!$A$33:$A$39,'Budget Assumption Driver'!F$33:F$39)</f>
        <v>0.03</v>
      </c>
      <c r="U735" s="246">
        <f>_xlfn.XLOOKUP($F735,'Budget Assumption Driver'!$A$33:$A$39,'Budget Assumption Driver'!G$33:G$39)</f>
        <v>0.03</v>
      </c>
      <c r="V735" s="246">
        <f>_xlfn.XLOOKUP($F735,'Budget Assumption Driver'!$A$33:$A$39,'Budget Assumption Driver'!H$33:H$39)</f>
        <v>0.03</v>
      </c>
      <c r="W735" s="246">
        <f>_xlfn.XLOOKUP($F735,'Budget Assumption Driver'!$A$33:$A$39,'Budget Assumption Driver'!I$33:I$39)</f>
        <v>0.03</v>
      </c>
      <c r="X735" s="246">
        <f>_xlfn.XLOOKUP($F735,'Budget Assumption Driver'!$A$33:$A$39,'Budget Assumption Driver'!J$33:J$39)</f>
        <v>0.03</v>
      </c>
      <c r="Y735" s="246">
        <f>_xlfn.XLOOKUP($F735,'Budget Assumption Driver'!$A$33:$A$39,'Budget Assumption Driver'!K$33:K$39)</f>
        <v>0.03</v>
      </c>
      <c r="Z735" s="246">
        <f>_xlfn.XLOOKUP($F735,'Budget Assumption Driver'!$A$33:$A$39,'Budget Assumption Driver'!L$33:L$39)</f>
        <v>0.03</v>
      </c>
      <c r="AA735" s="246">
        <f>_xlfn.XLOOKUP($F735,'Budget Assumption Driver'!$A$33:$A$39,'Budget Assumption Driver'!M$33:M$39)</f>
        <v>0.03</v>
      </c>
      <c r="AB735" s="246">
        <f>_xlfn.XLOOKUP($F735,'Budget Assumption Driver'!$A$33:$A$39,'Budget Assumption Driver'!N$33:N$39)</f>
        <v>0.03</v>
      </c>
      <c r="AC735" s="246">
        <f>_xlfn.XLOOKUP($F735,'Budget Assumption Driver'!$A$33:$A$39,'Budget Assumption Driver'!O$33:O$39)</f>
        <v>0.03</v>
      </c>
      <c r="AD735" s="296">
        <f>_xlfn.XLOOKUP($F735,'Budget Assumption Driver'!$A$33:$A$39,'Budget Assumption Driver'!P$33:P$39)</f>
        <v>0.03</v>
      </c>
      <c r="AE735" s="15"/>
      <c r="AF735" s="11"/>
      <c r="AG735" s="97">
        <f>AG734/AF734-1</f>
        <v>3.0018503992413681E-2</v>
      </c>
      <c r="AH735" s="97">
        <f>AH734/AG734-1</f>
        <v>3.0000000000000471E-2</v>
      </c>
    </row>
    <row r="736" spans="2:34" ht="6" customHeight="1" x14ac:dyDescent="0.2">
      <c r="B736" s="9">
        <f>G701</f>
        <v>15</v>
      </c>
      <c r="C736" s="9" t="str">
        <f t="shared" si="2000"/>
        <v xml:space="preserve">15 - </v>
      </c>
      <c r="D736" s="9" t="s">
        <v>56</v>
      </c>
      <c r="F736" s="16"/>
      <c r="G736" s="80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80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81"/>
      <c r="AE736" s="15"/>
      <c r="AF736" s="11"/>
      <c r="AG736" s="15"/>
      <c r="AH736" s="15"/>
    </row>
    <row r="737" spans="2:35" x14ac:dyDescent="0.2">
      <c r="B737" s="9">
        <f>G701</f>
        <v>15</v>
      </c>
      <c r="C737" s="9" t="str">
        <f t="shared" si="2000"/>
        <v>15 - Office EBITDA</v>
      </c>
      <c r="D737" s="9" t="s">
        <v>56</v>
      </c>
      <c r="F737" s="8" t="s">
        <v>12</v>
      </c>
      <c r="G737" s="241">
        <f>_xlfn.XLOOKUP($C737,'Site Level Financials - ''23 ''24'!$C$2:$C$1577,'Site Level Financials - ''23 ''24'!S$2:S$1577)</f>
        <v>150.93414259828245</v>
      </c>
      <c r="H737" s="242">
        <f>_xlfn.XLOOKUP($C737,'Site Level Financials - ''23 ''24'!$C$2:$C$1577,'Site Level Financials - ''23 ''24'!T$2:T$1577)</f>
        <v>146.02777011849139</v>
      </c>
      <c r="I737" s="242">
        <f>_xlfn.XLOOKUP($C737,'Site Level Financials - ''23 ''24'!$C$2:$C$1577,'Site Level Financials - ''23 ''24'!U$2:U$1577)</f>
        <v>144.88219674614186</v>
      </c>
      <c r="J737" s="242">
        <f>_xlfn.XLOOKUP($C737,'Site Level Financials - ''23 ''24'!$C$2:$C$1577,'Site Level Financials - ''23 ''24'!V$2:V$1577)</f>
        <v>165.65695843905502</v>
      </c>
      <c r="K737" s="242">
        <f>_xlfn.XLOOKUP($C737,'Site Level Financials - ''23 ''24'!$C$2:$C$1577,'Site Level Financials - ''23 ''24'!W$2:W$1577)</f>
        <v>181.48913863464676</v>
      </c>
      <c r="L737" s="242">
        <f>_xlfn.XLOOKUP($C737,'Site Level Financials - ''23 ''24'!$C$2:$C$1577,'Site Level Financials - ''23 ''24'!X$2:X$1577)</f>
        <v>163.34828597112693</v>
      </c>
      <c r="M737" s="242">
        <f>_xlfn.XLOOKUP($C737,'Site Level Financials - ''23 ''24'!$C$2:$C$1577,'Site Level Financials - ''23 ''24'!Y$2:Y$1577)</f>
        <v>178.38827435783026</v>
      </c>
      <c r="N737" s="242">
        <f>_xlfn.XLOOKUP($C737,'Site Level Financials - ''23 ''24'!$C$2:$C$1577,'Site Level Financials - ''23 ''24'!Z$2:Z$1577)</f>
        <v>256.19976291102159</v>
      </c>
      <c r="O737" s="242">
        <f>_xlfn.XLOOKUP($C737,'Site Level Financials - ''23 ''24'!$C$2:$C$1577,'Site Level Financials - ''23 ''24'!AA$2:AA$1577)</f>
        <v>236.16660116461159</v>
      </c>
      <c r="P737" s="242">
        <f>_xlfn.XLOOKUP($C737,'Site Level Financials - ''23 ''24'!$C$2:$C$1577,'Site Level Financials - ''23 ''24'!AB$2:AB$1577)</f>
        <v>257.66737666967254</v>
      </c>
      <c r="Q737" s="242">
        <f>_xlfn.XLOOKUP($C737,'Site Level Financials - ''23 ''24'!$C$2:$C$1577,'Site Level Financials - ''23 ''24'!AC$2:AC$1577)</f>
        <v>216.74425264138151</v>
      </c>
      <c r="R737" s="242">
        <f>_xlfn.XLOOKUP($C737,'Site Level Financials - ''23 ''24'!$C$2:$C$1577,'Site Level Financials - ''23 ''24'!AD$2:AD$1577)</f>
        <v>269.37898223886566</v>
      </c>
      <c r="S737" s="134">
        <f t="shared" ref="S737:AD737" si="2106">S725+S728+S731+S734</f>
        <v>244.9940579081277</v>
      </c>
      <c r="T737" s="135">
        <f t="shared" si="2106"/>
        <v>253.53592498511375</v>
      </c>
      <c r="U737" s="135">
        <f t="shared" si="2106"/>
        <v>268.56578050711482</v>
      </c>
      <c r="V737" s="135">
        <f t="shared" si="2106"/>
        <v>298.05898610593158</v>
      </c>
      <c r="W737" s="135">
        <f t="shared" si="2106"/>
        <v>355.27163087501879</v>
      </c>
      <c r="X737" s="135">
        <f t="shared" si="2106"/>
        <v>300.57325064165985</v>
      </c>
      <c r="Y737" s="135">
        <f t="shared" si="2106"/>
        <v>296.69385349521281</v>
      </c>
      <c r="Z737" s="135">
        <f t="shared" si="2106"/>
        <v>352.27612305619749</v>
      </c>
      <c r="AA737" s="135">
        <f t="shared" si="2106"/>
        <v>327.53727016277867</v>
      </c>
      <c r="AB737" s="135">
        <f t="shared" si="2106"/>
        <v>371.69503224819363</v>
      </c>
      <c r="AC737" s="135">
        <f t="shared" si="2106"/>
        <v>286.1882376097717</v>
      </c>
      <c r="AD737" s="136">
        <f t="shared" si="2106"/>
        <v>274.6338059966136</v>
      </c>
      <c r="AE737" s="15"/>
      <c r="AF737" s="113">
        <f>_xlfn.XLOOKUP($C737,'Site Level Financials - ''23 ''24'!$C$2:$C$1577,'Site Level Financials - ''23 ''24'!$AF$2:$AF$1577)</f>
        <v>1239.2561074912328</v>
      </c>
      <c r="AG737" s="95">
        <f>SUM(G737:R737)</f>
        <v>2366.8837424911276</v>
      </c>
      <c r="AH737" s="95">
        <f t="shared" ref="AH737" si="2107">SUM(S737:AD737)</f>
        <v>3630.0239535917344</v>
      </c>
    </row>
    <row r="738" spans="2:35" x14ac:dyDescent="0.2">
      <c r="B738" s="9">
        <f>G701</f>
        <v>15</v>
      </c>
      <c r="C738" s="9" t="str">
        <f t="shared" si="2000"/>
        <v>15 - % of Revenue - Office EBITDA</v>
      </c>
      <c r="D738" s="9" t="s">
        <v>56</v>
      </c>
      <c r="F738" s="16" t="str">
        <f>"% of Revenue - "&amp;F737</f>
        <v>% of Revenue - Office EBITDA</v>
      </c>
      <c r="G738" s="148">
        <f>G737/G713</f>
        <v>0.35686399459510054</v>
      </c>
      <c r="H738" s="149">
        <f t="shared" ref="H738:AD738" si="2108">H737/H713</f>
        <v>0.3543129292027723</v>
      </c>
      <c r="I738" s="149">
        <f t="shared" si="2108"/>
        <v>0.34799231177268469</v>
      </c>
      <c r="J738" s="149">
        <f t="shared" si="2108"/>
        <v>0.36312248794380553</v>
      </c>
      <c r="K738" s="149">
        <f t="shared" si="2108"/>
        <v>0.36387812797429059</v>
      </c>
      <c r="L738" s="149">
        <f t="shared" si="2108"/>
        <v>0.36625567484160509</v>
      </c>
      <c r="M738" s="149">
        <f t="shared" si="2108"/>
        <v>0.36196052566800924</v>
      </c>
      <c r="N738" s="149">
        <f t="shared" si="2108"/>
        <v>0.51017172178031434</v>
      </c>
      <c r="O738" s="149">
        <f t="shared" si="2108"/>
        <v>0.51650414434518799</v>
      </c>
      <c r="P738" s="149">
        <f t="shared" si="2108"/>
        <v>0.51013871777319242</v>
      </c>
      <c r="Q738" s="149">
        <f t="shared" si="2108"/>
        <v>0.49775096006525599</v>
      </c>
      <c r="R738" s="149">
        <f t="shared" si="2108"/>
        <v>0.5949741070987935</v>
      </c>
      <c r="S738" s="148">
        <f t="shared" si="2108"/>
        <v>0.37005079430318799</v>
      </c>
      <c r="T738" s="149">
        <f t="shared" si="2108"/>
        <v>0.36983165297482012</v>
      </c>
      <c r="U738" s="149">
        <f t="shared" si="2108"/>
        <v>0.36483475487100919</v>
      </c>
      <c r="V738" s="149">
        <f t="shared" si="2108"/>
        <v>0.3780008490792775</v>
      </c>
      <c r="W738" s="149">
        <f t="shared" si="2108"/>
        <v>0.37909462671758049</v>
      </c>
      <c r="X738" s="149">
        <f t="shared" si="2108"/>
        <v>0.38193377315245264</v>
      </c>
      <c r="Y738" s="149">
        <f t="shared" si="2108"/>
        <v>0.3742211436181524</v>
      </c>
      <c r="Z738" s="149">
        <f t="shared" si="2108"/>
        <v>0.51817146767222078</v>
      </c>
      <c r="AA738" s="149">
        <f t="shared" si="2108"/>
        <v>0.52548323342806458</v>
      </c>
      <c r="AB738" s="149">
        <f t="shared" si="2108"/>
        <v>0.51922625001092704</v>
      </c>
      <c r="AC738" s="149">
        <f t="shared" si="2108"/>
        <v>0.50575110805913448</v>
      </c>
      <c r="AD738" s="150">
        <f t="shared" si="2108"/>
        <v>0.59461490149103957</v>
      </c>
      <c r="AE738" s="15"/>
      <c r="AF738" s="232">
        <f>_xlfn.XLOOKUP($C738,'Site Level Financials - ''23 ''24'!$C$2:$C$1577,'Site Level Financials - ''23 ''24'!$AF$2:$AF$1577)</f>
        <v>0.43504625818148529</v>
      </c>
      <c r="AG738" s="97">
        <f t="shared" ref="AG738:AH738" si="2109">AG737/AG713</f>
        <v>0.43050318568412821</v>
      </c>
      <c r="AH738" s="97">
        <f t="shared" si="2109"/>
        <v>0.4303035927368567</v>
      </c>
    </row>
    <row r="739" spans="2:35" ht="6" customHeight="1" x14ac:dyDescent="0.2">
      <c r="B739" s="9">
        <f>G701</f>
        <v>15</v>
      </c>
      <c r="C739" s="9" t="str">
        <f t="shared" si="2000"/>
        <v xml:space="preserve">15 - </v>
      </c>
      <c r="D739" s="9" t="s">
        <v>56</v>
      </c>
      <c r="G739" s="80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80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81"/>
      <c r="AE739" s="15"/>
      <c r="AF739" s="11"/>
      <c r="AG739" s="15"/>
      <c r="AH739" s="15"/>
    </row>
    <row r="740" spans="2:35" x14ac:dyDescent="0.2">
      <c r="B740" s="9">
        <f>G701</f>
        <v>15</v>
      </c>
      <c r="C740" s="9" t="str">
        <f t="shared" si="2000"/>
        <v>15 - Memo:</v>
      </c>
      <c r="D740" s="9" t="s">
        <v>56</v>
      </c>
      <c r="F740" s="6" t="s">
        <v>13</v>
      </c>
      <c r="G740" s="80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80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81"/>
      <c r="AE740" s="15"/>
      <c r="AF740" s="11"/>
      <c r="AG740" s="15"/>
      <c r="AH740" s="15"/>
    </row>
    <row r="741" spans="2:35" s="24" customFormat="1" x14ac:dyDescent="0.2">
      <c r="B741" s="9">
        <f>G701</f>
        <v>15</v>
      </c>
      <c r="C741" s="9" t="str">
        <f t="shared" si="2000"/>
        <v>15 - Collections</v>
      </c>
      <c r="D741" s="9" t="s">
        <v>56</v>
      </c>
      <c r="E741" s="49"/>
      <c r="F741" s="24" t="s">
        <v>15</v>
      </c>
      <c r="G741" s="247">
        <f>_xlfn.XLOOKUP($C741,'Site Level Financials - ''23 ''24'!$C$2:$C$1577,'Site Level Financials - ''23 ''24'!S$2:S$1577)</f>
        <v>422.09202054666986</v>
      </c>
      <c r="H741" s="248">
        <f>_xlfn.XLOOKUP($C741,'Site Level Financials - ''23 ''24'!$C$2:$C$1577,'Site Level Financials - ''23 ''24'!T$2:T$1577)</f>
        <v>415.13623217933139</v>
      </c>
      <c r="I741" s="248">
        <f>_xlfn.XLOOKUP($C741,'Site Level Financials - ''23 ''24'!$C$2:$C$1577,'Site Level Financials - ''23 ''24'!U$2:U$1577)</f>
        <v>404.08359782334838</v>
      </c>
      <c r="J741" s="248">
        <f>_xlfn.XLOOKUP($C741,'Site Level Financials - ''23 ''24'!$C$2:$C$1577,'Site Level Financials - ''23 ''24'!V$2:V$1577)</f>
        <v>450.19387455123547</v>
      </c>
      <c r="K741" s="248">
        <f>_xlfn.XLOOKUP($C741,'Site Level Financials - ''23 ''24'!$C$2:$C$1577,'Site Level Financials - ''23 ''24'!W$2:W$1577)</f>
        <v>495.31506092960132</v>
      </c>
      <c r="L741" s="248">
        <f>_xlfn.XLOOKUP($C741,'Site Level Financials - ''23 ''24'!$C$2:$C$1577,'Site Level Financials - ''23 ''24'!X$2:X$1577)</f>
        <v>434.9853616454655</v>
      </c>
      <c r="M741" s="248">
        <f>_xlfn.XLOOKUP($C741,'Site Level Financials - ''23 ''24'!$C$2:$C$1577,'Site Level Financials - ''23 ''24'!Y$2:Y$1577)</f>
        <v>478.10703472169217</v>
      </c>
      <c r="N741" s="248">
        <f>_xlfn.XLOOKUP($C741,'Site Level Financials - ''23 ''24'!$C$2:$C$1577,'Site Level Financials - ''23 ''24'!Z$2:Z$1577)</f>
        <v>490.97548222834143</v>
      </c>
      <c r="O741" s="248">
        <f>_xlfn.XLOOKUP($C741,'Site Level Financials - ''23 ''24'!$C$2:$C$1577,'Site Level Financials - ''23 ''24'!AA$2:AA$1577)</f>
        <v>455.08960351650006</v>
      </c>
      <c r="P741" s="248">
        <f>_xlfn.XLOOKUP($C741,'Site Level Financials - ''23 ''24'!$C$2:$C$1577,'Site Level Financials - ''23 ''24'!AB$2:AB$1577)</f>
        <v>498.11020119712646</v>
      </c>
      <c r="Q741" s="248">
        <f>_xlfn.XLOOKUP($C741,'Site Level Financials - ''23 ''24'!$C$2:$C$1577,'Site Level Financials - ''23 ''24'!AC$2:AC$1577)</f>
        <v>436.40873825263145</v>
      </c>
      <c r="R741" s="248">
        <f>_xlfn.XLOOKUP($C741,'Site Level Financials - ''23 ''24'!$C$2:$C$1577,'Site Level Financials - ''23 ''24'!AD$2:AD$1577)</f>
        <v>454.83675632791636</v>
      </c>
      <c r="S741" s="169">
        <f t="shared" ref="S741:AD741" si="2110">S742*S711</f>
        <v>662.05521425634481</v>
      </c>
      <c r="T741" s="170">
        <f t="shared" si="2110"/>
        <v>685.5441467644622</v>
      </c>
      <c r="U741" s="170">
        <f t="shared" si="2110"/>
        <v>736.12992436005391</v>
      </c>
      <c r="V741" s="170">
        <f t="shared" si="2110"/>
        <v>788.5140650660818</v>
      </c>
      <c r="W741" s="170">
        <f t="shared" si="2110"/>
        <v>937.15818119387518</v>
      </c>
      <c r="X741" s="170">
        <f t="shared" si="2110"/>
        <v>786.97740752474135</v>
      </c>
      <c r="Y741" s="170">
        <f t="shared" si="2110"/>
        <v>792.83027844614026</v>
      </c>
      <c r="Z741" s="170">
        <f t="shared" si="2110"/>
        <v>679.84469434167397</v>
      </c>
      <c r="AA741" s="170">
        <f t="shared" si="2110"/>
        <v>623.30679520646686</v>
      </c>
      <c r="AB741" s="170">
        <f t="shared" si="2110"/>
        <v>715.86332979191889</v>
      </c>
      <c r="AC741" s="170">
        <f t="shared" si="2110"/>
        <v>565.86774215492062</v>
      </c>
      <c r="AD741" s="171">
        <f t="shared" si="2110"/>
        <v>461.86835430452487</v>
      </c>
      <c r="AE741" s="26"/>
      <c r="AF741" s="234">
        <f>_xlfn.XLOOKUP($C741,'Site Level Financials - ''23 ''24'!$C$2:$C$1577,'Site Level Financials - ''23 ''24'!$AF$2:$AF$1577)</f>
        <v>2840.7674691882526</v>
      </c>
      <c r="AG741" s="99">
        <f>SUM(G741:R741)</f>
        <v>5435.3339639198603</v>
      </c>
      <c r="AH741" s="99">
        <f t="shared" ref="AH741" si="2111">SUM(S741:AD741)</f>
        <v>8435.9601334112049</v>
      </c>
    </row>
    <row r="742" spans="2:35" x14ac:dyDescent="0.2">
      <c r="B742" s="9">
        <f>G701</f>
        <v>15</v>
      </c>
      <c r="C742" s="9" t="str">
        <f t="shared" si="2000"/>
        <v>15 - Collections as a % of Production</v>
      </c>
      <c r="D742" s="9" t="s">
        <v>56</v>
      </c>
      <c r="F742" s="16" t="s">
        <v>17</v>
      </c>
      <c r="G742" s="245">
        <f>_xlfn.XLOOKUP($C742,'Site Level Financials - ''23 ''24'!$C$2:$C$1577,'Site Level Financials - ''23 ''24'!S$2:S$1577)</f>
        <v>0.98801458959421817</v>
      </c>
      <c r="H742" s="246">
        <f>_xlfn.XLOOKUP($C742,'Site Level Financials - ''23 ''24'!$C$2:$C$1577,'Site Level Financials - ''23 ''24'!T$2:T$1577)</f>
        <v>0.99720204709160876</v>
      </c>
      <c r="I742" s="246">
        <f>_xlfn.XLOOKUP($C742,'Site Level Financials - ''23 ''24'!$C$2:$C$1577,'Site Level Financials - ''23 ''24'!U$2:U$1577)</f>
        <v>0.96087484568985304</v>
      </c>
      <c r="J742" s="246">
        <f>_xlfn.XLOOKUP($C742,'Site Level Financials - ''23 ''24'!$C$2:$C$1577,'Site Level Financials - ''23 ''24'!V$2:V$1577)</f>
        <v>0.97697627824907918</v>
      </c>
      <c r="K742" s="246">
        <f>_xlfn.XLOOKUP($C742,'Site Level Financials - ''23 ''24'!$C$2:$C$1577,'Site Level Financials - ''23 ''24'!W$2:W$1577)</f>
        <v>0.98316819545121281</v>
      </c>
      <c r="L742" s="246">
        <f>_xlfn.XLOOKUP($C742,'Site Level Financials - ''23 ''24'!$C$2:$C$1577,'Site Level Financials - ''23 ''24'!X$2:X$1577)</f>
        <v>0.96557363298588994</v>
      </c>
      <c r="M742" s="246">
        <f>_xlfn.XLOOKUP($C742,'Site Level Financials - ''23 ''24'!$C$2:$C$1577,'Site Level Financials - ''23 ''24'!Y$2:Y$1577)</f>
        <v>0.9604196008457182</v>
      </c>
      <c r="N742" s="246">
        <f>_xlfn.XLOOKUP($C742,'Site Level Financials - ''23 ''24'!$C$2:$C$1577,'Site Level Financials - ''23 ''24'!Z$2:Z$1577)</f>
        <v>0.96791771724878151</v>
      </c>
      <c r="O742" s="246">
        <f>_xlfn.XLOOKUP($C742,'Site Level Financials - ''23 ''24'!$C$2:$C$1577,'Site Level Financials - ''23 ''24'!AA$2:AA$1577)</f>
        <v>0.98535612491276614</v>
      </c>
      <c r="P742" s="246">
        <f>_xlfn.XLOOKUP($C742,'Site Level Financials - ''23 ''24'!$C$2:$C$1577,'Site Level Financials - ''23 ''24'!AB$2:AB$1577)</f>
        <v>0.97632691410526651</v>
      </c>
      <c r="Q742" s="246">
        <f>_xlfn.XLOOKUP($C742,'Site Level Financials - ''23 ''24'!$C$2:$C$1577,'Site Level Financials - ''23 ''24'!AC$2:AC$1577)</f>
        <v>0.99219932944661848</v>
      </c>
      <c r="R742" s="246">
        <f>_xlfn.XLOOKUP($C742,'Site Level Financials - ''23 ''24'!$C$2:$C$1577,'Site Level Financials - ''23 ''24'!AD$2:AD$1577)</f>
        <v>0.99455976763538578</v>
      </c>
      <c r="S742" s="148">
        <f>S712</f>
        <v>0.97873845376339741</v>
      </c>
      <c r="T742" s="149">
        <f t="shared" ref="T742:AD742" si="2112">T712</f>
        <v>0.97873845376339741</v>
      </c>
      <c r="U742" s="149">
        <f t="shared" si="2112"/>
        <v>0.97873845376339741</v>
      </c>
      <c r="V742" s="149">
        <f t="shared" si="2112"/>
        <v>0.97873845376339741</v>
      </c>
      <c r="W742" s="149">
        <f t="shared" si="2112"/>
        <v>0.97873845376339741</v>
      </c>
      <c r="X742" s="149">
        <f t="shared" si="2112"/>
        <v>0.97873845376339741</v>
      </c>
      <c r="Y742" s="149">
        <f t="shared" si="2112"/>
        <v>0.97873845376339741</v>
      </c>
      <c r="Z742" s="149">
        <f t="shared" si="2112"/>
        <v>0.97873845376339741</v>
      </c>
      <c r="AA742" s="149">
        <f t="shared" si="2112"/>
        <v>0.97873845376339741</v>
      </c>
      <c r="AB742" s="149">
        <f t="shared" si="2112"/>
        <v>0.97873845376339741</v>
      </c>
      <c r="AC742" s="149">
        <f t="shared" si="2112"/>
        <v>0.97873845376339741</v>
      </c>
      <c r="AD742" s="150">
        <f t="shared" si="2112"/>
        <v>0.97873845376339741</v>
      </c>
      <c r="AE742" s="15"/>
      <c r="AF742" s="232">
        <f>_xlfn.XLOOKUP($C742,'Site Level Financials - ''23 ''24'!$C$2:$C$1577,'Site Level Financials - ''23 ''24'!$AF$2:$AF$1577)</f>
        <v>0.98520340565346787</v>
      </c>
      <c r="AG742" s="97">
        <f t="shared" ref="AG742:AH742" si="2113">AG741/AG711</f>
        <v>0.97873845376339741</v>
      </c>
      <c r="AH742" s="97">
        <f t="shared" si="2113"/>
        <v>0.97873845376339741</v>
      </c>
    </row>
    <row r="743" spans="2:35" ht="6" customHeight="1" x14ac:dyDescent="0.2">
      <c r="B743" s="9">
        <f>G701</f>
        <v>15</v>
      </c>
      <c r="C743" s="9" t="str">
        <f t="shared" si="2000"/>
        <v xml:space="preserve">15 - </v>
      </c>
      <c r="D743" s="9" t="s">
        <v>56</v>
      </c>
      <c r="F743" s="27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81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81"/>
      <c r="AE743" s="15"/>
      <c r="AF743" s="11"/>
      <c r="AH743" s="224"/>
    </row>
    <row r="744" spans="2:35" s="24" customFormat="1" x14ac:dyDescent="0.2">
      <c r="B744" s="9">
        <f>G701</f>
        <v>15</v>
      </c>
      <c r="C744" s="9" t="str">
        <f t="shared" si="2000"/>
        <v>15 - Production per Vet Workday - YoY Change</v>
      </c>
      <c r="D744" s="9" t="s">
        <v>56</v>
      </c>
      <c r="E744" s="49"/>
      <c r="F744" s="24" t="s">
        <v>55</v>
      </c>
      <c r="G744" s="249">
        <f>_xlfn.XLOOKUP($C744,'Site Level Financials - ''23 ''24'!$C$2:$C$1577,'Site Level Financials - ''23 ''24'!S$2:S$1577)</f>
        <v>-1.5971683857110786E-2</v>
      </c>
      <c r="H744" s="250">
        <f>_xlfn.XLOOKUP($C744,'Site Level Financials - ''23 ''24'!$C$2:$C$1577,'Site Level Financials - ''23 ''24'!T$2:T$1577)</f>
        <v>-2.7461929519423833E-2</v>
      </c>
      <c r="I744" s="250">
        <f>_xlfn.XLOOKUP($C744,'Site Level Financials - ''23 ''24'!$C$2:$C$1577,'Site Level Financials - ''23 ''24'!U$2:U$1577)</f>
        <v>-0.1103455466066382</v>
      </c>
      <c r="J744" s="250">
        <f>_xlfn.XLOOKUP($C744,'Site Level Financials - ''23 ''24'!$C$2:$C$1577,'Site Level Financials - ''23 ''24'!V$2:V$1577)</f>
        <v>-6.5075176487735309E-2</v>
      </c>
      <c r="K744" s="250">
        <f>_xlfn.XLOOKUP($C744,'Site Level Financials - ''23 ''24'!$C$2:$C$1577,'Site Level Financials - ''23 ''24'!W$2:W$1577)</f>
        <v>-0.1491350850040557</v>
      </c>
      <c r="L744" s="250">
        <f>_xlfn.XLOOKUP($C744,'Site Level Financials - ''23 ''24'!$C$2:$C$1577,'Site Level Financials - ''23 ''24'!X$2:X$1577)</f>
        <v>-0.13071594278730958</v>
      </c>
      <c r="M744" s="250">
        <f>_xlfn.XLOOKUP($C744,'Site Level Financials - ''23 ''24'!$C$2:$C$1577,'Site Level Financials - ''23 ''24'!Y$2:Y$1577)</f>
        <v>-3.5674789758830983E-2</v>
      </c>
      <c r="N744" s="250">
        <f>_xlfn.XLOOKUP($C744,'Site Level Financials - ''23 ''24'!$C$2:$C$1577,'Site Level Financials - ''23 ''24'!Z$2:Z$1577)</f>
        <v>-0.17206803055365516</v>
      </c>
      <c r="O744" s="250">
        <f>_xlfn.XLOOKUP($C744,'Site Level Financials - ''23 ''24'!$C$2:$C$1577,'Site Level Financials - ''23 ''24'!AA$2:AA$1577)</f>
        <v>-0.15284896234061218</v>
      </c>
      <c r="P744" s="250">
        <f>_xlfn.XLOOKUP($C744,'Site Level Financials - ''23 ''24'!$C$2:$C$1577,'Site Level Financials - ''23 ''24'!AB$2:AB$1577)</f>
        <v>-0.21043669996525327</v>
      </c>
      <c r="Q744" s="250">
        <f>_xlfn.XLOOKUP($C744,'Site Level Financials - ''23 ''24'!$C$2:$C$1577,'Site Level Financials - ''23 ''24'!AC$2:AC$1577)</f>
        <v>-0.15974178180628029</v>
      </c>
      <c r="R744" s="251">
        <f>_xlfn.XLOOKUP($C744,'Site Level Financials - ''23 ''24'!$C$2:$C$1577,'Site Level Financials - ''23 ''24'!AD$2:AD$1577)</f>
        <v>-0.13983644440348586</v>
      </c>
      <c r="S744" s="151">
        <f>S710/G710-1</f>
        <v>-4.9975020381362922E-2</v>
      </c>
      <c r="T744" s="152">
        <f t="shared" ref="T744" si="2114">T710/H710-1</f>
        <v>9.51446897906294E-3</v>
      </c>
      <c r="U744" s="152">
        <f t="shared" ref="U744" si="2115">U710/I710-1</f>
        <v>7.3086356690297061E-2</v>
      </c>
      <c r="V744" s="152">
        <f t="shared" ref="V744" si="2116">V710/J710-1</f>
        <v>4.90072273554647E-2</v>
      </c>
      <c r="W744" s="152">
        <f t="shared" ref="W744" si="2117">W710/K710-1</f>
        <v>0.14036475694597872</v>
      </c>
      <c r="X744" s="152">
        <f t="shared" ref="X744" si="2118">X710/L710-1</f>
        <v>7.0921454991067501E-2</v>
      </c>
      <c r="Y744" s="152">
        <f t="shared" ref="Y744" si="2119">Y710/M710-1</f>
        <v>-2.3660843251910202E-2</v>
      </c>
      <c r="Z744" s="152">
        <f t="shared" ref="Z744" si="2120">Z710/N710-1</f>
        <v>9.5498234454963304E-2</v>
      </c>
      <c r="AA744" s="152">
        <f t="shared" ref="AA744" si="2121">AA710/O710-1</f>
        <v>0.10311681105599479</v>
      </c>
      <c r="AB744" s="152">
        <f t="shared" ref="AB744" si="2122">AB710/P710-1</f>
        <v>0.14689398998677317</v>
      </c>
      <c r="AC744" s="152">
        <f t="shared" ref="AC744" si="2123">AC710/Q710-1</f>
        <v>5.1583501662418207E-2</v>
      </c>
      <c r="AD744" s="153">
        <f t="shared" ref="AD744" si="2124">AD710/R710-1</f>
        <v>3.1874519628317444E-2</v>
      </c>
      <c r="AF744" s="43"/>
      <c r="AG744" s="177">
        <f>AG710/AF710-1</f>
        <v>-0.13726343743241698</v>
      </c>
      <c r="AH744" s="225">
        <f>AH710/AG710-1</f>
        <v>8.5864472708894191E-2</v>
      </c>
    </row>
    <row r="745" spans="2:35" s="24" customFormat="1" ht="6" customHeight="1" x14ac:dyDescent="0.2">
      <c r="D745" s="9" t="s">
        <v>56</v>
      </c>
      <c r="E745" s="49"/>
      <c r="G745" s="28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29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29"/>
      <c r="AE745" s="25"/>
      <c r="AF745" s="28"/>
      <c r="AG745" s="30"/>
      <c r="AH745" s="226"/>
    </row>
    <row r="746" spans="2:35" s="24" customFormat="1" ht="6" customHeight="1" x14ac:dyDescent="0.2">
      <c r="D746" s="9" t="s">
        <v>56</v>
      </c>
      <c r="E746" s="49"/>
    </row>
    <row r="747" spans="2:35" x14ac:dyDescent="0.2">
      <c r="D747" s="9" t="s">
        <v>56</v>
      </c>
      <c r="F747" s="16"/>
    </row>
    <row r="748" spans="2:35" ht="15.75" thickBot="1" x14ac:dyDescent="0.4">
      <c r="B748" s="35" t="s">
        <v>52</v>
      </c>
      <c r="C748" s="35"/>
      <c r="D748" s="9" t="s">
        <v>56</v>
      </c>
      <c r="E748" s="48" t="s">
        <v>0</v>
      </c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74"/>
      <c r="AH748" s="3">
        <f ca="1">TODAY()</f>
        <v>45999</v>
      </c>
      <c r="AI748" s="1"/>
    </row>
    <row r="749" spans="2:35" x14ac:dyDescent="0.2">
      <c r="B749" s="9">
        <f>G750</f>
        <v>16</v>
      </c>
      <c r="C749" s="9"/>
      <c r="D749" s="9" t="s">
        <v>56</v>
      </c>
      <c r="F749" t="s">
        <v>159</v>
      </c>
      <c r="AG749" s="6"/>
      <c r="AH749" s="6" t="s">
        <v>16</v>
      </c>
    </row>
    <row r="750" spans="2:35" x14ac:dyDescent="0.2">
      <c r="B750" s="9">
        <f>G750</f>
        <v>16</v>
      </c>
      <c r="C750" s="9"/>
      <c r="D750" s="9" t="s">
        <v>56</v>
      </c>
      <c r="F750" s="40" t="s">
        <v>53</v>
      </c>
      <c r="G750" s="42">
        <v>16</v>
      </c>
    </row>
    <row r="751" spans="2:35" x14ac:dyDescent="0.2">
      <c r="B751" s="9">
        <f>G750</f>
        <v>16</v>
      </c>
      <c r="C751" s="9"/>
      <c r="D751" s="9" t="s">
        <v>56</v>
      </c>
      <c r="F751" s="39" t="s">
        <v>33</v>
      </c>
      <c r="G751" s="41"/>
      <c r="H751" s="11"/>
    </row>
    <row r="752" spans="2:35" x14ac:dyDescent="0.2">
      <c r="B752" s="9">
        <f>G750</f>
        <v>16</v>
      </c>
      <c r="C752" s="9"/>
      <c r="D752" s="9" t="s">
        <v>56</v>
      </c>
      <c r="G752" s="23"/>
    </row>
    <row r="753" spans="2:34" x14ac:dyDescent="0.2">
      <c r="B753" s="9">
        <f>G750</f>
        <v>16</v>
      </c>
      <c r="C753" s="9"/>
      <c r="D753" s="9" t="s">
        <v>56</v>
      </c>
      <c r="G753" s="208" t="s">
        <v>229</v>
      </c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10"/>
      <c r="S753" s="266" t="s">
        <v>230</v>
      </c>
      <c r="T753" s="267"/>
      <c r="U753" s="267"/>
      <c r="V753" s="267"/>
      <c r="W753" s="267"/>
      <c r="X753" s="267"/>
      <c r="Y753" s="267"/>
      <c r="Z753" s="267"/>
      <c r="AA753" s="267"/>
      <c r="AB753" s="267"/>
      <c r="AC753" s="267"/>
      <c r="AD753" s="268"/>
      <c r="AF753" s="17" t="s">
        <v>231</v>
      </c>
      <c r="AG753" s="50"/>
      <c r="AH753" s="269" t="s">
        <v>232</v>
      </c>
    </row>
    <row r="754" spans="2:34" ht="15" customHeight="1" x14ac:dyDescent="0.35">
      <c r="B754" s="9">
        <f>G750</f>
        <v>16</v>
      </c>
      <c r="C754" s="9"/>
      <c r="D754" s="9" t="s">
        <v>56</v>
      </c>
      <c r="G754" s="211">
        <v>44957</v>
      </c>
      <c r="H754" s="212">
        <f>EOMONTH(G754,1)</f>
        <v>44985</v>
      </c>
      <c r="I754" s="212">
        <f t="shared" ref="I754" si="2125">EOMONTH(H754,1)</f>
        <v>45016</v>
      </c>
      <c r="J754" s="212">
        <f t="shared" ref="J754" si="2126">EOMONTH(I754,1)</f>
        <v>45046</v>
      </c>
      <c r="K754" s="212">
        <f t="shared" ref="K754" si="2127">EOMONTH(J754,1)</f>
        <v>45077</v>
      </c>
      <c r="L754" s="212">
        <f t="shared" ref="L754" si="2128">EOMONTH(K754,1)</f>
        <v>45107</v>
      </c>
      <c r="M754" s="212">
        <f t="shared" ref="M754" si="2129">EOMONTH(L754,1)</f>
        <v>45138</v>
      </c>
      <c r="N754" s="212">
        <f t="shared" ref="N754" si="2130">EOMONTH(M754,1)</f>
        <v>45169</v>
      </c>
      <c r="O754" s="212">
        <f t="shared" ref="O754" si="2131">EOMONTH(N754,1)</f>
        <v>45199</v>
      </c>
      <c r="P754" s="212">
        <f t="shared" ref="P754" si="2132">EOMONTH(O754,1)</f>
        <v>45230</v>
      </c>
      <c r="Q754" s="212">
        <f t="shared" ref="Q754" si="2133">EOMONTH(P754,1)</f>
        <v>45260</v>
      </c>
      <c r="R754" s="213">
        <f t="shared" ref="R754" si="2134">EOMONTH(Q754,1)</f>
        <v>45291</v>
      </c>
      <c r="S754" s="4">
        <f t="shared" ref="S754" si="2135">EOMONTH(R754,1)</f>
        <v>45322</v>
      </c>
      <c r="T754" s="19">
        <f t="shared" ref="T754" si="2136">EOMONTH(S754,1)</f>
        <v>45351</v>
      </c>
      <c r="U754" s="19">
        <f t="shared" ref="U754" si="2137">EOMONTH(T754,1)</f>
        <v>45382</v>
      </c>
      <c r="V754" s="19">
        <f t="shared" ref="V754" si="2138">EOMONTH(U754,1)</f>
        <v>45412</v>
      </c>
      <c r="W754" s="19">
        <f t="shared" ref="W754" si="2139">EOMONTH(V754,1)</f>
        <v>45443</v>
      </c>
      <c r="X754" s="19">
        <f t="shared" ref="X754" si="2140">EOMONTH(W754,1)</f>
        <v>45473</v>
      </c>
      <c r="Y754" s="19">
        <f t="shared" ref="Y754" si="2141">EOMONTH(X754,1)</f>
        <v>45504</v>
      </c>
      <c r="Z754" s="19">
        <f t="shared" ref="Z754" si="2142">EOMONTH(Y754,1)</f>
        <v>45535</v>
      </c>
      <c r="AA754" s="19">
        <f t="shared" ref="AA754" si="2143">EOMONTH(Z754,1)</f>
        <v>45565</v>
      </c>
      <c r="AB754" s="19">
        <f t="shared" ref="AB754" si="2144">EOMONTH(AA754,1)</f>
        <v>45596</v>
      </c>
      <c r="AC754" s="19">
        <f t="shared" ref="AC754" si="2145">EOMONTH(AB754,1)</f>
        <v>45626</v>
      </c>
      <c r="AD754" s="5">
        <f t="shared" ref="AD754" si="2146">EOMONTH(AC754,1)</f>
        <v>45657</v>
      </c>
      <c r="AE754" s="168"/>
      <c r="AF754" s="13">
        <v>45291</v>
      </c>
      <c r="AG754" s="14">
        <v>45657</v>
      </c>
      <c r="AH754" s="14">
        <v>46022</v>
      </c>
    </row>
    <row r="755" spans="2:34" ht="0.95" customHeight="1" x14ac:dyDescent="0.2">
      <c r="B755" s="9">
        <f>G750</f>
        <v>16</v>
      </c>
      <c r="C755" s="9"/>
      <c r="D755" s="9" t="s">
        <v>56</v>
      </c>
      <c r="G755" s="11"/>
      <c r="S755" s="11"/>
      <c r="AD755" s="15"/>
      <c r="AE755" s="15"/>
      <c r="AF755" s="11"/>
      <c r="AG755" s="15"/>
      <c r="AH755" s="15"/>
    </row>
    <row r="756" spans="2:34" x14ac:dyDescent="0.2">
      <c r="B756" s="9">
        <f>G750</f>
        <v>16</v>
      </c>
      <c r="C756" s="9" t="str">
        <f>B756&amp;" - "&amp;F756</f>
        <v>16 - Employed Vets</v>
      </c>
      <c r="D756" s="9" t="s">
        <v>56</v>
      </c>
      <c r="F756" s="7" t="s">
        <v>160</v>
      </c>
      <c r="G756" s="178">
        <f>_xlfn.XLOOKUP($C756,'Site Level Financials - ''23 ''24'!$C$2:$C$1577,'Site Level Financials - ''23 ''24'!S$2:S$1577)</f>
        <v>2</v>
      </c>
      <c r="H756" s="179">
        <f>_xlfn.XLOOKUP($C756,'Site Level Financials - ''23 ''24'!$C$2:$C$1577,'Site Level Financials - ''23 ''24'!T$2:T$1577)</f>
        <v>2</v>
      </c>
      <c r="I756" s="179">
        <f>_xlfn.XLOOKUP($C756,'Site Level Financials - ''23 ''24'!$C$2:$C$1577,'Site Level Financials - ''23 ''24'!U$2:U$1577)</f>
        <v>2</v>
      </c>
      <c r="J756" s="179">
        <f>_xlfn.XLOOKUP($C756,'Site Level Financials - ''23 ''24'!$C$2:$C$1577,'Site Level Financials - ''23 ''24'!V$2:V$1577)</f>
        <v>2</v>
      </c>
      <c r="K756" s="179">
        <f>_xlfn.XLOOKUP($C756,'Site Level Financials - ''23 ''24'!$C$2:$C$1577,'Site Level Financials - ''23 ''24'!W$2:W$1577)</f>
        <v>2</v>
      </c>
      <c r="L756" s="179">
        <f>_xlfn.XLOOKUP($C756,'Site Level Financials - ''23 ''24'!$C$2:$C$1577,'Site Level Financials - ''23 ''24'!X$2:X$1577)</f>
        <v>2</v>
      </c>
      <c r="M756" s="179">
        <f>_xlfn.XLOOKUP($C756,'Site Level Financials - ''23 ''24'!$C$2:$C$1577,'Site Level Financials - ''23 ''24'!Y$2:Y$1577)</f>
        <v>3</v>
      </c>
      <c r="N756" s="179">
        <f>_xlfn.XLOOKUP($C756,'Site Level Financials - ''23 ''24'!$C$2:$C$1577,'Site Level Financials - ''23 ''24'!Z$2:Z$1577)</f>
        <v>3</v>
      </c>
      <c r="O756" s="179">
        <f>_xlfn.XLOOKUP($C756,'Site Level Financials - ''23 ''24'!$C$2:$C$1577,'Site Level Financials - ''23 ''24'!AA$2:AA$1577)</f>
        <v>3</v>
      </c>
      <c r="P756" s="179">
        <f>_xlfn.XLOOKUP($C756,'Site Level Financials - ''23 ''24'!$C$2:$C$1577,'Site Level Financials - ''23 ''24'!AB$2:AB$1577)</f>
        <v>3</v>
      </c>
      <c r="Q756" s="179">
        <f>_xlfn.XLOOKUP($C756,'Site Level Financials - ''23 ''24'!$C$2:$C$1577,'Site Level Financials - ''23 ''24'!AC$2:AC$1577)</f>
        <v>4</v>
      </c>
      <c r="R756" s="179">
        <f>_xlfn.XLOOKUP($C756,'Site Level Financials - ''23 ''24'!$C$2:$C$1577,'Site Level Financials - ''23 ''24'!AD$2:AD$1577)</f>
        <v>5</v>
      </c>
      <c r="S756" s="178">
        <f>R756+_xlfn.XLOOKUP($R756,'Budget Assumption Driver'!$A$7:$A$11,'Budget Assumption Driver'!E$7:E$11)</f>
        <v>5</v>
      </c>
      <c r="T756" s="179">
        <f>S756+_xlfn.XLOOKUP($R756,'Budget Assumption Driver'!$A$7:$A$11,'Budget Assumption Driver'!F$7:F$11)</f>
        <v>5</v>
      </c>
      <c r="U756" s="179">
        <f>T756+_xlfn.XLOOKUP($R756,'Budget Assumption Driver'!$A$7:$A$11,'Budget Assumption Driver'!G$7:G$11)</f>
        <v>5</v>
      </c>
      <c r="V756" s="179">
        <f>U756+_xlfn.XLOOKUP($R756,'Budget Assumption Driver'!$A$7:$A$11,'Budget Assumption Driver'!H$7:H$11)</f>
        <v>5</v>
      </c>
      <c r="W756" s="179">
        <f>V756+_xlfn.XLOOKUP($R756,'Budget Assumption Driver'!$A$7:$A$11,'Budget Assumption Driver'!I$7:I$11)</f>
        <v>5</v>
      </c>
      <c r="X756" s="179">
        <f>W756+_xlfn.XLOOKUP($R756,'Budget Assumption Driver'!$A$7:$A$11,'Budget Assumption Driver'!J$7:J$11)</f>
        <v>5</v>
      </c>
      <c r="Y756" s="179">
        <f>X756+_xlfn.XLOOKUP($R756,'Budget Assumption Driver'!$A$7:$A$11,'Budget Assumption Driver'!K$7:K$11)</f>
        <v>5</v>
      </c>
      <c r="Z756" s="179">
        <f>Y756+_xlfn.XLOOKUP($R756,'Budget Assumption Driver'!$A$7:$A$11,'Budget Assumption Driver'!L$7:L$11)</f>
        <v>5</v>
      </c>
      <c r="AA756" s="179">
        <f>Z756+_xlfn.XLOOKUP($R756,'Budget Assumption Driver'!$A$7:$A$11,'Budget Assumption Driver'!M$7:M$11)</f>
        <v>5</v>
      </c>
      <c r="AB756" s="179">
        <f>AA756+_xlfn.XLOOKUP($R756,'Budget Assumption Driver'!$A$7:$A$11,'Budget Assumption Driver'!N$7:N$11)</f>
        <v>5</v>
      </c>
      <c r="AC756" s="179">
        <f>AB756+_xlfn.XLOOKUP($R756,'Budget Assumption Driver'!$A$7:$A$11,'Budget Assumption Driver'!O$7:O$11)</f>
        <v>5</v>
      </c>
      <c r="AD756" s="290">
        <f>AC756+_xlfn.XLOOKUP($R756,'Budget Assumption Driver'!$A$7:$A$11,'Budget Assumption Driver'!P$7:P$11)</f>
        <v>5</v>
      </c>
      <c r="AE756" s="15"/>
      <c r="AF756" s="229">
        <f>_xlfn.XLOOKUP($C756,'Site Level Financials - ''23 ''24'!$C$2:$C$1577,'Site Level Financials - ''23 ''24'!$AF$2:$AF$1577)</f>
        <v>1.6666666666666667</v>
      </c>
      <c r="AG756" s="91">
        <f t="shared" ref="AG756:AH756" si="2147">AG758/AG757</f>
        <v>2.7472118959107807</v>
      </c>
      <c r="AH756" s="91">
        <f t="shared" si="2147"/>
        <v>5</v>
      </c>
    </row>
    <row r="757" spans="2:34" x14ac:dyDescent="0.2">
      <c r="B757" s="9">
        <f>G750</f>
        <v>16</v>
      </c>
      <c r="C757" s="9" t="str">
        <f t="shared" ref="C757:C793" si="2148">B757&amp;" - "&amp;F757</f>
        <v>16 - Workdays in Month / Year</v>
      </c>
      <c r="D757" s="9" t="s">
        <v>56</v>
      </c>
      <c r="F757" s="7" t="s">
        <v>54</v>
      </c>
      <c r="G757" s="178">
        <f>_xlfn.XLOOKUP($C757,'Site Level Financials - ''23 ''24'!$C$2:$C$1577,'Site Level Financials - ''23 ''24'!S$2:S$1577)</f>
        <v>23</v>
      </c>
      <c r="H757" s="235">
        <f>_xlfn.XLOOKUP($C757,'Site Level Financials - ''23 ''24'!$C$2:$C$1577,'Site Level Financials - ''23 ''24'!T$2:T$1577)</f>
        <v>22</v>
      </c>
      <c r="I757" s="235">
        <f>_xlfn.XLOOKUP($C757,'Site Level Financials - ''23 ''24'!$C$2:$C$1577,'Site Level Financials - ''23 ''24'!U$2:U$1577)</f>
        <v>22</v>
      </c>
      <c r="J757" s="179">
        <f>_xlfn.XLOOKUP($C757,'Site Level Financials - ''23 ''24'!$C$2:$C$1577,'Site Level Financials - ''23 ''24'!V$2:V$1577)</f>
        <v>22</v>
      </c>
      <c r="K757" s="179">
        <f>_xlfn.XLOOKUP($C757,'Site Level Financials - ''23 ''24'!$C$2:$C$1577,'Site Level Financials - ''23 ''24'!W$2:W$1577)</f>
        <v>24</v>
      </c>
      <c r="L757" s="179">
        <f>_xlfn.XLOOKUP($C757,'Site Level Financials - ''23 ''24'!$C$2:$C$1577,'Site Level Financials - ''23 ''24'!X$2:X$1577)</f>
        <v>21</v>
      </c>
      <c r="M757" s="179">
        <f>_xlfn.XLOOKUP($C757,'Site Level Financials - ''23 ''24'!$C$2:$C$1577,'Site Level Financials - ''23 ''24'!Y$2:Y$1577)</f>
        <v>23</v>
      </c>
      <c r="N757" s="179">
        <f>_xlfn.XLOOKUP($C757,'Site Level Financials - ''23 ''24'!$C$2:$C$1577,'Site Level Financials - ''23 ''24'!Z$2:Z$1577)</f>
        <v>23</v>
      </c>
      <c r="O757" s="179">
        <f>_xlfn.XLOOKUP($C757,'Site Level Financials - ''23 ''24'!$C$2:$C$1577,'Site Level Financials - ''23 ''24'!AA$2:AA$1577)</f>
        <v>21</v>
      </c>
      <c r="P757" s="179">
        <f>_xlfn.XLOOKUP($C757,'Site Level Financials - ''23 ''24'!$C$2:$C$1577,'Site Level Financials - ''23 ''24'!AB$2:AB$1577)</f>
        <v>24</v>
      </c>
      <c r="Q757" s="179">
        <f>_xlfn.XLOOKUP($C757,'Site Level Financials - ''23 ''24'!$C$2:$C$1577,'Site Level Financials - ''23 ''24'!AC$2:AC$1577)</f>
        <v>22</v>
      </c>
      <c r="R757" s="179">
        <f>_xlfn.XLOOKUP($C757,'Site Level Financials - ''23 ''24'!$C$2:$C$1577,'Site Level Financials - ''23 ''24'!AD$2:AD$1577)</f>
        <v>22</v>
      </c>
      <c r="S757" s="155">
        <f>NETWORKDAYS(R754,S754)</f>
        <v>23</v>
      </c>
      <c r="T757" s="154">
        <f t="shared" ref="T757:AD757" si="2149">NETWORKDAYS(S754,T754)</f>
        <v>22</v>
      </c>
      <c r="U757" s="154">
        <f t="shared" si="2149"/>
        <v>22</v>
      </c>
      <c r="V757" s="154">
        <f t="shared" si="2149"/>
        <v>22</v>
      </c>
      <c r="W757" s="154">
        <f t="shared" si="2149"/>
        <v>24</v>
      </c>
      <c r="X757" s="154">
        <f t="shared" si="2149"/>
        <v>21</v>
      </c>
      <c r="Y757" s="154">
        <f t="shared" si="2149"/>
        <v>23</v>
      </c>
      <c r="Z757" s="154">
        <f t="shared" si="2149"/>
        <v>23</v>
      </c>
      <c r="AA757" s="154">
        <f t="shared" si="2149"/>
        <v>21</v>
      </c>
      <c r="AB757" s="154">
        <f t="shared" si="2149"/>
        <v>24</v>
      </c>
      <c r="AC757" s="154">
        <f t="shared" si="2149"/>
        <v>22</v>
      </c>
      <c r="AD757" s="156">
        <f t="shared" si="2149"/>
        <v>22</v>
      </c>
      <c r="AE757" s="15"/>
      <c r="AF757" s="115">
        <f>_xlfn.XLOOKUP($C757,'Site Level Financials - ''23 ''24'!$C$2:$C$1577,'Site Level Financials - ''23 ''24'!$AF$2:$AF$1577)</f>
        <v>269</v>
      </c>
      <c r="AG757" s="93">
        <f>SUM(G757:R757)</f>
        <v>269</v>
      </c>
      <c r="AH757" s="93">
        <f>SUM(S757:AD757)</f>
        <v>269</v>
      </c>
    </row>
    <row r="758" spans="2:34" x14ac:dyDescent="0.2">
      <c r="B758" s="9">
        <f>G750</f>
        <v>16</v>
      </c>
      <c r="C758" s="9" t="str">
        <f t="shared" si="2148"/>
        <v>16 - Total Vet Days</v>
      </c>
      <c r="D758" s="9" t="s">
        <v>56</v>
      </c>
      <c r="F758" s="8" t="s">
        <v>51</v>
      </c>
      <c r="G758" s="236">
        <f>_xlfn.XLOOKUP($C758,'Site Level Financials - ''23 ''24'!$C$2:$C$1577,'Site Level Financials - ''23 ''24'!S$2:S$1577)</f>
        <v>46</v>
      </c>
      <c r="H758" s="237">
        <f>_xlfn.XLOOKUP($C758,'Site Level Financials - ''23 ''24'!$C$2:$C$1577,'Site Level Financials - ''23 ''24'!T$2:T$1577)</f>
        <v>44</v>
      </c>
      <c r="I758" s="237">
        <f>_xlfn.XLOOKUP($C758,'Site Level Financials - ''23 ''24'!$C$2:$C$1577,'Site Level Financials - ''23 ''24'!U$2:U$1577)</f>
        <v>44</v>
      </c>
      <c r="J758" s="238">
        <f>_xlfn.XLOOKUP($C758,'Site Level Financials - ''23 ''24'!$C$2:$C$1577,'Site Level Financials - ''23 ''24'!V$2:V$1577)</f>
        <v>44</v>
      </c>
      <c r="K758" s="238">
        <f>_xlfn.XLOOKUP($C758,'Site Level Financials - ''23 ''24'!$C$2:$C$1577,'Site Level Financials - ''23 ''24'!W$2:W$1577)</f>
        <v>48</v>
      </c>
      <c r="L758" s="238">
        <f>_xlfn.XLOOKUP($C758,'Site Level Financials - ''23 ''24'!$C$2:$C$1577,'Site Level Financials - ''23 ''24'!X$2:X$1577)</f>
        <v>42</v>
      </c>
      <c r="M758" s="238">
        <f>_xlfn.XLOOKUP($C758,'Site Level Financials - ''23 ''24'!$C$2:$C$1577,'Site Level Financials - ''23 ''24'!Y$2:Y$1577)</f>
        <v>69</v>
      </c>
      <c r="N758" s="238">
        <f>_xlfn.XLOOKUP($C758,'Site Level Financials - ''23 ''24'!$C$2:$C$1577,'Site Level Financials - ''23 ''24'!Z$2:Z$1577)</f>
        <v>69</v>
      </c>
      <c r="O758" s="238">
        <f>_xlfn.XLOOKUP($C758,'Site Level Financials - ''23 ''24'!$C$2:$C$1577,'Site Level Financials - ''23 ''24'!AA$2:AA$1577)</f>
        <v>63</v>
      </c>
      <c r="P758" s="238">
        <f>_xlfn.XLOOKUP($C758,'Site Level Financials - ''23 ''24'!$C$2:$C$1577,'Site Level Financials - ''23 ''24'!AB$2:AB$1577)</f>
        <v>72</v>
      </c>
      <c r="Q758" s="238">
        <f>_xlfn.XLOOKUP($C758,'Site Level Financials - ''23 ''24'!$C$2:$C$1577,'Site Level Financials - ''23 ''24'!AC$2:AC$1577)</f>
        <v>88</v>
      </c>
      <c r="R758" s="238">
        <f>_xlfn.XLOOKUP($C758,'Site Level Financials - ''23 ''24'!$C$2:$C$1577,'Site Level Financials - ''23 ''24'!AD$2:AD$1577)</f>
        <v>110</v>
      </c>
      <c r="S758" s="125">
        <f t="shared" ref="S758:AD758" si="2150">S756*S757</f>
        <v>115</v>
      </c>
      <c r="T758" s="127">
        <f t="shared" si="2150"/>
        <v>110</v>
      </c>
      <c r="U758" s="127">
        <f t="shared" si="2150"/>
        <v>110</v>
      </c>
      <c r="V758" s="127">
        <f t="shared" si="2150"/>
        <v>110</v>
      </c>
      <c r="W758" s="127">
        <f t="shared" si="2150"/>
        <v>120</v>
      </c>
      <c r="X758" s="127">
        <f t="shared" si="2150"/>
        <v>105</v>
      </c>
      <c r="Y758" s="127">
        <f t="shared" si="2150"/>
        <v>115</v>
      </c>
      <c r="Z758" s="127">
        <f t="shared" si="2150"/>
        <v>115</v>
      </c>
      <c r="AA758" s="127">
        <f t="shared" si="2150"/>
        <v>105</v>
      </c>
      <c r="AB758" s="127">
        <f t="shared" si="2150"/>
        <v>120</v>
      </c>
      <c r="AC758" s="127">
        <f t="shared" si="2150"/>
        <v>110</v>
      </c>
      <c r="AD758" s="128">
        <f t="shared" si="2150"/>
        <v>110</v>
      </c>
      <c r="AF758" s="112">
        <f>_xlfn.XLOOKUP($C758,'Site Level Financials - ''23 ''24'!$C$2:$C$1577,'Site Level Financials - ''23 ''24'!$AF$2:$AF$1577)</f>
        <v>447</v>
      </c>
      <c r="AG758" s="120">
        <f>SUM(G758:R758)</f>
        <v>739</v>
      </c>
      <c r="AH758" s="120">
        <f t="shared" ref="AH758" si="2151">SUM(S758:AD758)</f>
        <v>1345</v>
      </c>
    </row>
    <row r="759" spans="2:34" x14ac:dyDescent="0.2">
      <c r="B759" s="9">
        <f>G750</f>
        <v>16</v>
      </c>
      <c r="C759" s="9" t="str">
        <f t="shared" si="2148"/>
        <v>16 - Production per Vet Workday</v>
      </c>
      <c r="D759" s="9" t="s">
        <v>56</v>
      </c>
      <c r="F759" s="7" t="s">
        <v>50</v>
      </c>
      <c r="G759" s="239">
        <f>_xlfn.XLOOKUP($C759,'Site Level Financials - ''23 ''24'!$C$2:$C$1577,'Site Level Financials - ''23 ''24'!S$2:S$1577)</f>
        <v>5.3004516154583738</v>
      </c>
      <c r="H759" s="240">
        <f>_xlfn.XLOOKUP($C759,'Site Level Financials - ''23 ''24'!$C$2:$C$1577,'Site Level Financials - ''23 ''24'!T$2:T$1577)</f>
        <v>5.7952348194244196</v>
      </c>
      <c r="I759" s="240">
        <f>_xlfn.XLOOKUP($C759,'Site Level Financials - ''23 ''24'!$C$2:$C$1577,'Site Level Financials - ''23 ''24'!U$2:U$1577)</f>
        <v>6.1744807988372017</v>
      </c>
      <c r="J759" s="240">
        <f>_xlfn.XLOOKUP($C759,'Site Level Financials - ''23 ''24'!$C$2:$C$1577,'Site Level Financials - ''23 ''24'!V$2:V$1577)</f>
        <v>6.6036753470765523</v>
      </c>
      <c r="K759" s="240">
        <f>_xlfn.XLOOKUP($C759,'Site Level Financials - ''23 ''24'!$C$2:$C$1577,'Site Level Financials - ''23 ''24'!W$2:W$1577)</f>
        <v>6.5458579206463634</v>
      </c>
      <c r="L759" s="240">
        <f>_xlfn.XLOOKUP($C759,'Site Level Financials - ''23 ''24'!$C$2:$C$1577,'Site Level Financials - ''23 ''24'!X$2:X$1577)</f>
        <v>7.1205552169644966</v>
      </c>
      <c r="M759" s="240">
        <f>_xlfn.XLOOKUP($C759,'Site Level Financials - ''23 ''24'!$C$2:$C$1577,'Site Level Financials - ''23 ''24'!Y$2:Y$1577)</f>
        <v>5.9084631353928172</v>
      </c>
      <c r="N759" s="240">
        <f>_xlfn.XLOOKUP($C759,'Site Level Financials - ''23 ''24'!$C$2:$C$1577,'Site Level Financials - ''23 ''24'!Z$2:Z$1577)</f>
        <v>5.4902467142473466</v>
      </c>
      <c r="O759" s="240">
        <f>_xlfn.XLOOKUP($C759,'Site Level Financials - ''23 ''24'!$C$2:$C$1577,'Site Level Financials - ''23 ''24'!AA$2:AA$1577)</f>
        <v>5.8736186513363515</v>
      </c>
      <c r="P759" s="240">
        <f>_xlfn.XLOOKUP($C759,'Site Level Financials - ''23 ''24'!$C$2:$C$1577,'Site Level Financials - ''23 ''24'!AB$2:AB$1577)</f>
        <v>5.8708757864960379</v>
      </c>
      <c r="Q759" s="240">
        <f>_xlfn.XLOOKUP($C759,'Site Level Financials - ''23 ''24'!$C$2:$C$1577,'Site Level Financials - ''23 ''24'!AC$2:AC$1577)</f>
        <v>4.763702980321459</v>
      </c>
      <c r="R759" s="240">
        <f>_xlfn.XLOOKUP($C759,'Site Level Financials - ''23 ''24'!$C$2:$C$1577,'Site Level Financials - ''23 ''24'!AD$2:AD$1577)</f>
        <v>3.4449905956882891</v>
      </c>
      <c r="S759" s="239">
        <f>R759*(1+_xlfn.XLOOKUP($R756,'Budget Assumption Driver'!$A$15:$A$19,'Budget Assumption Driver'!E$15:E$19))</f>
        <v>4.8740028347190316</v>
      </c>
      <c r="T759" s="240">
        <f>S759*(1+_xlfn.XLOOKUP($R756,'Budget Assumption Driver'!$A$15:$A$19,'Budget Assumption Driver'!F$15:F$19))</f>
        <v>5.2763324226932724</v>
      </c>
      <c r="U759" s="240">
        <f>T759*(1+_xlfn.XLOOKUP($R756,'Budget Assumption Driver'!$A$15:$A$19,'Budget Assumption Driver'!G$15:G$19))</f>
        <v>5.6656689515141867</v>
      </c>
      <c r="V759" s="240">
        <f>U759*(1+_xlfn.XLOOKUP($R756,'Budget Assumption Driver'!$A$15:$A$19,'Budget Assumption Driver'!H$15:H$19))</f>
        <v>6.0688466919217721</v>
      </c>
      <c r="W759" s="240">
        <f>V759*(1+_xlfn.XLOOKUP($R756,'Budget Assumption Driver'!$A$15:$A$19,'Budget Assumption Driver'!I$15:I$19))</f>
        <v>6.6118206147620162</v>
      </c>
      <c r="X759" s="240">
        <f>W759*(1+_xlfn.XLOOKUP($R756,'Budget Assumption Driver'!$A$15:$A$19,'Budget Assumption Driver'!J$15:J$19))</f>
        <v>6.3454492233961899</v>
      </c>
      <c r="Y759" s="240">
        <f>X759*(1+_xlfn.XLOOKUP($R756,'Budget Assumption Driver'!$A$15:$A$19,'Budget Assumption Driver'!K$15:K$19))</f>
        <v>5.8367594445096289</v>
      </c>
      <c r="Z759" s="240">
        <f>Y759*(1+_xlfn.XLOOKUP($R756,'Budget Assumption Driver'!$A$15:$A$19,'Budget Assumption Driver'!L$15:L$19))</f>
        <v>5.0049677066768252</v>
      </c>
      <c r="AA759" s="240">
        <f>Z759*(1+_xlfn.XLOOKUP($R756,'Budget Assumption Driver'!$A$15:$A$19,'Budget Assumption Driver'!M$15:M$19))</f>
        <v>5.0257625972014948</v>
      </c>
      <c r="AB759" s="240">
        <f>AA759*(1+_xlfn.XLOOKUP($R756,'Budget Assumption Driver'!$A$15:$A$19,'Budget Assumption Driver'!N$15:N$19))</f>
        <v>5.0505453788395354</v>
      </c>
      <c r="AC759" s="240">
        <f>AB759*(1+_xlfn.XLOOKUP($R756,'Budget Assumption Driver'!$A$15:$A$19,'Budget Assumption Driver'!O$15:O$19))</f>
        <v>4.3552356605767466</v>
      </c>
      <c r="AD759" s="291">
        <f>AC759*(1+_xlfn.XLOOKUP($R756,'Budget Assumption Driver'!$A$15:$A$19,'Budget Assumption Driver'!P$15:P$19))</f>
        <v>3.5547980160499248</v>
      </c>
      <c r="AE759" s="15"/>
      <c r="AF759" s="230">
        <f>_xlfn.XLOOKUP($C759,'Site Level Financials - ''23 ''24'!$C$2:$C$1577,'Site Level Financials - ''23 ''24'!$AF$2:$AF$1577)</f>
        <v>5.3753652393483451</v>
      </c>
      <c r="AG759" s="101">
        <f>AG760/AG758</f>
        <v>5.4827081396083575</v>
      </c>
      <c r="AH759" s="101">
        <f>AH760/AH758</f>
        <v>5.3100870635518387</v>
      </c>
    </row>
    <row r="760" spans="2:34" x14ac:dyDescent="0.2">
      <c r="B760" s="9">
        <f>G750</f>
        <v>16</v>
      </c>
      <c r="C760" s="9" t="str">
        <f t="shared" si="2148"/>
        <v>16 - Total Production</v>
      </c>
      <c r="D760" s="9" t="s">
        <v>56</v>
      </c>
      <c r="F760" s="8" t="s">
        <v>1</v>
      </c>
      <c r="G760" s="241">
        <f>_xlfn.XLOOKUP($C760,'Site Level Financials - ''23 ''24'!$C$2:$C$1577,'Site Level Financials - ''23 ''24'!S$2:S$1577)</f>
        <v>243.82077431108519</v>
      </c>
      <c r="H760" s="242">
        <f>_xlfn.XLOOKUP($C760,'Site Level Financials - ''23 ''24'!$C$2:$C$1577,'Site Level Financials - ''23 ''24'!T$2:T$1577)</f>
        <v>254.99033205467447</v>
      </c>
      <c r="I760" s="242">
        <f>_xlfn.XLOOKUP($C760,'Site Level Financials - ''23 ''24'!$C$2:$C$1577,'Site Level Financials - ''23 ''24'!U$2:U$1577)</f>
        <v>271.67715514883685</v>
      </c>
      <c r="J760" s="242">
        <f>_xlfn.XLOOKUP($C760,'Site Level Financials - ''23 ''24'!$C$2:$C$1577,'Site Level Financials - ''23 ''24'!V$2:V$1577)</f>
        <v>290.56171527136831</v>
      </c>
      <c r="K760" s="242">
        <f>_xlfn.XLOOKUP($C760,'Site Level Financials - ''23 ''24'!$C$2:$C$1577,'Site Level Financials - ''23 ''24'!W$2:W$1577)</f>
        <v>314.20118019102546</v>
      </c>
      <c r="L760" s="242">
        <f>_xlfn.XLOOKUP($C760,'Site Level Financials - ''23 ''24'!$C$2:$C$1577,'Site Level Financials - ''23 ''24'!X$2:X$1577)</f>
        <v>299.06331911250885</v>
      </c>
      <c r="M760" s="242">
        <f>_xlfn.XLOOKUP($C760,'Site Level Financials - ''23 ''24'!$C$2:$C$1577,'Site Level Financials - ''23 ''24'!Y$2:Y$1577)</f>
        <v>407.68395634210441</v>
      </c>
      <c r="N760" s="242">
        <f>_xlfn.XLOOKUP($C760,'Site Level Financials - ''23 ''24'!$C$2:$C$1577,'Site Level Financials - ''23 ''24'!Z$2:Z$1577)</f>
        <v>378.82702328306692</v>
      </c>
      <c r="O760" s="242">
        <f>_xlfn.XLOOKUP($C760,'Site Level Financials - ''23 ''24'!$C$2:$C$1577,'Site Level Financials - ''23 ''24'!AA$2:AA$1577)</f>
        <v>370.03797503419014</v>
      </c>
      <c r="P760" s="242">
        <f>_xlfn.XLOOKUP($C760,'Site Level Financials - ''23 ''24'!$C$2:$C$1577,'Site Level Financials - ''23 ''24'!AB$2:AB$1577)</f>
        <v>422.70305662771472</v>
      </c>
      <c r="Q760" s="242">
        <f>_xlfn.XLOOKUP($C760,'Site Level Financials - ''23 ''24'!$C$2:$C$1577,'Site Level Financials - ''23 ''24'!AC$2:AC$1577)</f>
        <v>419.2058622682884</v>
      </c>
      <c r="R760" s="242">
        <f>_xlfn.XLOOKUP($C760,'Site Level Financials - ''23 ''24'!$C$2:$C$1577,'Site Level Financials - ''23 ''24'!AD$2:AD$1577)</f>
        <v>378.9489655257118</v>
      </c>
      <c r="S760" s="134">
        <f t="shared" ref="S760:AD760" si="2152">S759*S758</f>
        <v>560.51032599268865</v>
      </c>
      <c r="T760" s="135">
        <f t="shared" si="2152"/>
        <v>580.39656649625999</v>
      </c>
      <c r="U760" s="135">
        <f t="shared" si="2152"/>
        <v>623.22358466656055</v>
      </c>
      <c r="V760" s="135">
        <f t="shared" si="2152"/>
        <v>667.57313611139489</v>
      </c>
      <c r="W760" s="135">
        <f t="shared" si="2152"/>
        <v>793.418473771442</v>
      </c>
      <c r="X760" s="135">
        <f t="shared" si="2152"/>
        <v>666.27216845659996</v>
      </c>
      <c r="Y760" s="135">
        <f t="shared" si="2152"/>
        <v>671.22733611860735</v>
      </c>
      <c r="Z760" s="135">
        <f t="shared" si="2152"/>
        <v>575.57128626783492</v>
      </c>
      <c r="AA760" s="135">
        <f t="shared" si="2152"/>
        <v>527.7050727061569</v>
      </c>
      <c r="AB760" s="135">
        <f t="shared" si="2152"/>
        <v>606.06544546074429</v>
      </c>
      <c r="AC760" s="135">
        <f t="shared" si="2152"/>
        <v>479.0759226634421</v>
      </c>
      <c r="AD760" s="136">
        <f t="shared" si="2152"/>
        <v>391.02778176549174</v>
      </c>
      <c r="AE760" s="15"/>
      <c r="AF760" s="113">
        <f>_xlfn.XLOOKUP($C760,'Site Level Financials - ''23 ''24'!$C$2:$C$1577,'Site Level Financials - ''23 ''24'!$AF$2:$AF$1577)</f>
        <v>2255.5975680111897</v>
      </c>
      <c r="AG760" s="95">
        <f>SUM(G760:R760)</f>
        <v>4051.721315170576</v>
      </c>
      <c r="AH760" s="95">
        <f t="shared" ref="AH760" si="2153">SUM(S760:AD760)</f>
        <v>7142.067100477223</v>
      </c>
    </row>
    <row r="761" spans="2:34" x14ac:dyDescent="0.2">
      <c r="B761" s="9">
        <f>G750</f>
        <v>16</v>
      </c>
      <c r="C761" s="9" t="str">
        <f t="shared" si="2148"/>
        <v>16 - Revenue as a % of Production</v>
      </c>
      <c r="D761" s="9" t="s">
        <v>56</v>
      </c>
      <c r="F761" s="7" t="s">
        <v>2</v>
      </c>
      <c r="G761" s="243">
        <f>_xlfn.XLOOKUP($C761,'Site Level Financials - ''23 ''24'!$C$2:$C$1577,'Site Level Financials - ''23 ''24'!S$2:S$1577)</f>
        <v>0.97587855295503212</v>
      </c>
      <c r="H761" s="244">
        <f>_xlfn.XLOOKUP($C761,'Site Level Financials - ''23 ''24'!$C$2:$C$1577,'Site Level Financials - ''23 ''24'!T$2:T$1577)</f>
        <v>0.97587855295503212</v>
      </c>
      <c r="I761" s="244">
        <f>_xlfn.XLOOKUP($C761,'Site Level Financials - ''23 ''24'!$C$2:$C$1577,'Site Level Financials - ''23 ''24'!U$2:U$1577)</f>
        <v>0.97587855295503212</v>
      </c>
      <c r="J761" s="244">
        <f>_xlfn.XLOOKUP($C761,'Site Level Financials - ''23 ''24'!$C$2:$C$1577,'Site Level Financials - ''23 ''24'!V$2:V$1577)</f>
        <v>0.97587855295503212</v>
      </c>
      <c r="K761" s="244">
        <f>_xlfn.XLOOKUP($C761,'Site Level Financials - ''23 ''24'!$C$2:$C$1577,'Site Level Financials - ''23 ''24'!W$2:W$1577)</f>
        <v>0.97587855295503212</v>
      </c>
      <c r="L761" s="244">
        <f>_xlfn.XLOOKUP($C761,'Site Level Financials - ''23 ''24'!$C$2:$C$1577,'Site Level Financials - ''23 ''24'!X$2:X$1577)</f>
        <v>0.97587855295503212</v>
      </c>
      <c r="M761" s="244">
        <f>_xlfn.XLOOKUP($C761,'Site Level Financials - ''23 ''24'!$C$2:$C$1577,'Site Level Financials - ''23 ''24'!Y$2:Y$1577)</f>
        <v>0.97587855295503212</v>
      </c>
      <c r="N761" s="244">
        <f>_xlfn.XLOOKUP($C761,'Site Level Financials - ''23 ''24'!$C$2:$C$1577,'Site Level Financials - ''23 ''24'!Z$2:Z$1577)</f>
        <v>0.97587855295503212</v>
      </c>
      <c r="O761" s="244">
        <f>_xlfn.XLOOKUP($C761,'Site Level Financials - ''23 ''24'!$C$2:$C$1577,'Site Level Financials - ''23 ''24'!AA$2:AA$1577)</f>
        <v>0.97587855295503212</v>
      </c>
      <c r="P761" s="244">
        <f>_xlfn.XLOOKUP($C761,'Site Level Financials - ''23 ''24'!$C$2:$C$1577,'Site Level Financials - ''23 ''24'!AB$2:AB$1577)</f>
        <v>0.97587855295503212</v>
      </c>
      <c r="Q761" s="244">
        <f>_xlfn.XLOOKUP($C761,'Site Level Financials - ''23 ''24'!$C$2:$C$1577,'Site Level Financials - ''23 ''24'!AC$2:AC$1577)</f>
        <v>0.97587855295503212</v>
      </c>
      <c r="R761" s="244">
        <f>_xlfn.XLOOKUP($C761,'Site Level Financials - ''23 ''24'!$C$2:$C$1577,'Site Level Financials - ''23 ''24'!AD$2:AD$1577)</f>
        <v>0.97587855295503212</v>
      </c>
      <c r="S761" s="292">
        <f>SUM(G790:R790)/SUM(G760:R760)</f>
        <v>0.98045603185023178</v>
      </c>
      <c r="T761" s="203">
        <f>S761</f>
        <v>0.98045603185023178</v>
      </c>
      <c r="U761" s="203">
        <f t="shared" ref="U761:AD761" si="2154">T761</f>
        <v>0.98045603185023178</v>
      </c>
      <c r="V761" s="203">
        <f t="shared" si="2154"/>
        <v>0.98045603185023178</v>
      </c>
      <c r="W761" s="203">
        <f t="shared" si="2154"/>
        <v>0.98045603185023178</v>
      </c>
      <c r="X761" s="203">
        <f t="shared" si="2154"/>
        <v>0.98045603185023178</v>
      </c>
      <c r="Y761" s="203">
        <f t="shared" si="2154"/>
        <v>0.98045603185023178</v>
      </c>
      <c r="Z761" s="203">
        <f t="shared" si="2154"/>
        <v>0.98045603185023178</v>
      </c>
      <c r="AA761" s="203">
        <f t="shared" si="2154"/>
        <v>0.98045603185023178</v>
      </c>
      <c r="AB761" s="203">
        <f t="shared" si="2154"/>
        <v>0.98045603185023178</v>
      </c>
      <c r="AC761" s="203">
        <f t="shared" si="2154"/>
        <v>0.98045603185023178</v>
      </c>
      <c r="AD761" s="204">
        <f t="shared" si="2154"/>
        <v>0.98045603185023178</v>
      </c>
      <c r="AE761" s="15"/>
      <c r="AF761" s="231">
        <f>_xlfn.XLOOKUP($C761,'Site Level Financials - ''23 ''24'!$C$2:$C$1577,'Site Level Financials - ''23 ''24'!$AF$2:$AF$1577)</f>
        <v>0.98479532546424753</v>
      </c>
      <c r="AG761" s="103">
        <f>AG762/AG760</f>
        <v>0.97587855295503212</v>
      </c>
      <c r="AH761" s="103">
        <f>AH762/AH760</f>
        <v>0.98045603185023189</v>
      </c>
    </row>
    <row r="762" spans="2:34" x14ac:dyDescent="0.2">
      <c r="B762" s="9">
        <f>G750</f>
        <v>16</v>
      </c>
      <c r="C762" s="9" t="str">
        <f t="shared" si="2148"/>
        <v>16 - Total Revenue</v>
      </c>
      <c r="D762" s="9" t="s">
        <v>56</v>
      </c>
      <c r="F762" s="8" t="s">
        <v>3</v>
      </c>
      <c r="G762" s="241">
        <f>_xlfn.XLOOKUP($C762,'Site Level Financials - ''23 ''24'!$C$2:$C$1577,'Site Level Financials - ''23 ''24'!S$2:S$1577)</f>
        <v>237.93946441507728</v>
      </c>
      <c r="H762" s="242">
        <f>_xlfn.XLOOKUP($C762,'Site Level Financials - ''23 ''24'!$C$2:$C$1577,'Site Level Financials - ''23 ''24'!T$2:T$1577)</f>
        <v>248.83959626303886</v>
      </c>
      <c r="I762" s="242">
        <f>_xlfn.XLOOKUP($C762,'Site Level Financials - ''23 ''24'!$C$2:$C$1577,'Site Level Financials - ''23 ''24'!U$2:U$1577)</f>
        <v>265.12390903758666</v>
      </c>
      <c r="J762" s="242">
        <f>_xlfn.XLOOKUP($C762,'Site Level Financials - ''23 ''24'!$C$2:$C$1577,'Site Level Financials - ''23 ''24'!V$2:V$1577)</f>
        <v>283.55294624315496</v>
      </c>
      <c r="K762" s="242">
        <f>_xlfn.XLOOKUP($C762,'Site Level Financials - ''23 ''24'!$C$2:$C$1577,'Site Level Financials - ''23 ''24'!W$2:W$1577)</f>
        <v>306.62219306158124</v>
      </c>
      <c r="L762" s="242">
        <f>_xlfn.XLOOKUP($C762,'Site Level Financials - ''23 ''24'!$C$2:$C$1577,'Site Level Financials - ''23 ''24'!X$2:X$1577)</f>
        <v>291.84947909744415</v>
      </c>
      <c r="M762" s="242">
        <f>_xlfn.XLOOKUP($C762,'Site Level Financials - ''23 ''24'!$C$2:$C$1577,'Site Level Financials - ''23 ''24'!Y$2:Y$1577)</f>
        <v>397.85002937811532</v>
      </c>
      <c r="N762" s="242">
        <f>_xlfn.XLOOKUP($C762,'Site Level Financials - ''23 ''24'!$C$2:$C$1577,'Site Level Financials - ''23 ''24'!Z$2:Z$1577)</f>
        <v>369.68916730174163</v>
      </c>
      <c r="O762" s="242">
        <f>_xlfn.XLOOKUP($C762,'Site Level Financials - ''23 ''24'!$C$2:$C$1577,'Site Level Financials - ''23 ''24'!AA$2:AA$1577)</f>
        <v>361.11212361477578</v>
      </c>
      <c r="P762" s="242">
        <f>_xlfn.XLOOKUP($C762,'Site Level Financials - ''23 ''24'!$C$2:$C$1577,'Site Level Financials - ''23 ''24'!AB$2:AB$1577)</f>
        <v>412.50684723152324</v>
      </c>
      <c r="Q762" s="242">
        <f>_xlfn.XLOOKUP($C762,'Site Level Financials - ''23 ''24'!$C$2:$C$1577,'Site Level Financials - ''23 ''24'!AC$2:AC$1577)</f>
        <v>409.09401026064376</v>
      </c>
      <c r="R762" s="242">
        <f>_xlfn.XLOOKUP($C762,'Site Level Financials - ''23 ''24'!$C$2:$C$1577,'Site Level Financials - ''23 ''24'!AD$2:AD$1577)</f>
        <v>369.80816812103797</v>
      </c>
      <c r="S762" s="134">
        <f t="shared" ref="S762:AD762" si="2155">S761*S760</f>
        <v>549.55573003387133</v>
      </c>
      <c r="T762" s="135">
        <f t="shared" si="2155"/>
        <v>569.05331448642221</v>
      </c>
      <c r="U762" s="135">
        <f t="shared" si="2155"/>
        <v>611.04332277765286</v>
      </c>
      <c r="V762" s="135">
        <f t="shared" si="2155"/>
        <v>654.52610800159289</v>
      </c>
      <c r="W762" s="135">
        <f t="shared" si="2155"/>
        <v>777.91192839061523</v>
      </c>
      <c r="X762" s="135">
        <f t="shared" si="2155"/>
        <v>653.25056641720721</v>
      </c>
      <c r="Y762" s="135">
        <f t="shared" si="2155"/>
        <v>658.10889044025157</v>
      </c>
      <c r="Z762" s="135">
        <f t="shared" si="2155"/>
        <v>564.32233938109528</v>
      </c>
      <c r="AA762" s="135">
        <f t="shared" si="2155"/>
        <v>517.39162157271664</v>
      </c>
      <c r="AB762" s="135">
        <f t="shared" si="2155"/>
        <v>594.2205216979844</v>
      </c>
      <c r="AC762" s="135">
        <f t="shared" si="2155"/>
        <v>469.71287808958698</v>
      </c>
      <c r="AD762" s="136">
        <f t="shared" si="2155"/>
        <v>383.38554725299247</v>
      </c>
      <c r="AE762" s="15"/>
      <c r="AF762" s="113">
        <f>_xlfn.XLOOKUP($C762,'Site Level Financials - ''23 ''24'!$C$2:$C$1577,'Site Level Financials - ''23 ''24'!$AF$2:$AF$1577)</f>
        <v>2221.3019411059449</v>
      </c>
      <c r="AG762" s="95">
        <f>SUM(G762:R762)</f>
        <v>3953.9879340257212</v>
      </c>
      <c r="AH762" s="95">
        <f t="shared" ref="AH762" si="2156">SUM(S762:AD762)</f>
        <v>7002.4827685419896</v>
      </c>
    </row>
    <row r="763" spans="2:34" x14ac:dyDescent="0.2">
      <c r="B763" s="9">
        <f>G750</f>
        <v>16</v>
      </c>
      <c r="C763" s="9" t="str">
        <f t="shared" si="2148"/>
        <v>16 - % YoY Revenue Growth</v>
      </c>
      <c r="D763" s="9" t="s">
        <v>56</v>
      </c>
      <c r="F763" s="16" t="s">
        <v>174</v>
      </c>
      <c r="G763" s="245">
        <f>_xlfn.XLOOKUP($C763,'Site Level Financials - ''23 ''24'!$C$2:$C$1577,'Site Level Financials - ''23 ''24'!S$2:S$1577)</f>
        <v>-0.21602530830483846</v>
      </c>
      <c r="H763" s="246">
        <f>_xlfn.XLOOKUP($C763,'Site Level Financials - ''23 ''24'!$C$2:$C$1577,'Site Level Financials - ''23 ''24'!T$2:T$1577)</f>
        <v>0.16862543489123416</v>
      </c>
      <c r="I763" s="246">
        <f>_xlfn.XLOOKUP($C763,'Site Level Financials - ''23 ''24'!$C$2:$C$1577,'Site Level Financials - ''23 ''24'!U$2:U$1577)</f>
        <v>0.92676683043916896</v>
      </c>
      <c r="J763" s="246">
        <f>_xlfn.XLOOKUP($C763,'Site Level Financials - ''23 ''24'!$C$2:$C$1577,'Site Level Financials - ''23 ''24'!V$2:V$1577)</f>
        <v>1.2599184219071793</v>
      </c>
      <c r="K763" s="246">
        <f>_xlfn.XLOOKUP($C763,'Site Level Financials - ''23 ''24'!$C$2:$C$1577,'Site Level Financials - ''23 ''24'!W$2:W$1577)</f>
        <v>1.1097093510682385</v>
      </c>
      <c r="L763" s="246">
        <f>_xlfn.XLOOKUP($C763,'Site Level Financials - ''23 ''24'!$C$2:$C$1577,'Site Level Financials - ''23 ''24'!X$2:X$1577)</f>
        <v>1.0448065498168218</v>
      </c>
      <c r="M763" s="246">
        <f>_xlfn.XLOOKUP($C763,'Site Level Financials - ''23 ''24'!$C$2:$C$1577,'Site Level Financials - ''23 ''24'!Y$2:Y$1577)</f>
        <v>0.6890902958718077</v>
      </c>
      <c r="N763" s="246">
        <f>_xlfn.XLOOKUP($C763,'Site Level Financials - ''23 ''24'!$C$2:$C$1577,'Site Level Financials - ''23 ''24'!Z$2:Z$1577)</f>
        <v>0.50706426109377167</v>
      </c>
      <c r="O763" s="246">
        <f>_xlfn.XLOOKUP($C763,'Site Level Financials - ''23 ''24'!$C$2:$C$1577,'Site Level Financials - ''23 ''24'!AA$2:AA$1577)</f>
        <v>1.8904010085181548</v>
      </c>
      <c r="P763" s="246">
        <f>_xlfn.XLOOKUP($C763,'Site Level Financials - ''23 ''24'!$C$2:$C$1577,'Site Level Financials - ''23 ''24'!AB$2:AB$1577)</f>
        <v>2.2678320066142179</v>
      </c>
      <c r="Q763" s="246">
        <f>_xlfn.XLOOKUP($C763,'Site Level Financials - ''23 ''24'!$C$2:$C$1577,'Site Level Financials - ''23 ''24'!AC$2:AC$1577)</f>
        <v>1.0627256954377744</v>
      </c>
      <c r="R763" s="246">
        <f>_xlfn.XLOOKUP($C763,'Site Level Financials - ''23 ''24'!$C$2:$C$1577,'Site Level Financials - ''23 ''24'!AD$2:AD$1577)</f>
        <v>0.65545154128131666</v>
      </c>
      <c r="S763" s="148">
        <f>S762/G762-1</f>
        <v>1.3096451502269084</v>
      </c>
      <c r="T763" s="149">
        <f t="shared" ref="T763" si="2157">T762/H762-1</f>
        <v>1.2868278321947511</v>
      </c>
      <c r="U763" s="149">
        <f t="shared" ref="U763" si="2158">U762/I762-1</f>
        <v>1.3047462033724959</v>
      </c>
      <c r="V763" s="149">
        <f t="shared" ref="V763" si="2159">V762/J762-1</f>
        <v>1.3083029701279054</v>
      </c>
      <c r="W763" s="149">
        <f t="shared" ref="W763" si="2160">W762/K762-1</f>
        <v>1.5370372595123318</v>
      </c>
      <c r="X763" s="149">
        <f t="shared" ref="X763" si="2161">X762/L762-1</f>
        <v>1.238313285455948</v>
      </c>
      <c r="Y763" s="149">
        <f t="shared" ref="Y763" si="2162">Y762/M762-1</f>
        <v>0.65416323198203696</v>
      </c>
      <c r="Z763" s="149">
        <f t="shared" ref="Z763" si="2163">Z762/N762-1</f>
        <v>0.52647788816731356</v>
      </c>
      <c r="AA763" s="149">
        <f t="shared" ref="AA763" si="2164">AA762/O762-1</f>
        <v>0.43277278091237781</v>
      </c>
      <c r="AB763" s="149">
        <f t="shared" ref="AB763" si="2165">AB762/P762-1</f>
        <v>0.44051068651588388</v>
      </c>
      <c r="AC763" s="149">
        <f t="shared" ref="AC763" si="2166">AC762/Q762-1</f>
        <v>0.14817833140681147</v>
      </c>
      <c r="AD763" s="150">
        <f t="shared" ref="AD763" si="2167">AD762/R762-1</f>
        <v>3.6714654521937451E-2</v>
      </c>
      <c r="AE763" s="15"/>
      <c r="AF763" s="11"/>
      <c r="AG763" s="97">
        <f>AG762/AF762-1</f>
        <v>0.78003172862537729</v>
      </c>
      <c r="AH763" s="97">
        <f>AH762/AG762-1</f>
        <v>0.77099244746871753</v>
      </c>
    </row>
    <row r="764" spans="2:34" ht="6" customHeight="1" x14ac:dyDescent="0.2">
      <c r="B764" s="9">
        <f>G750</f>
        <v>16</v>
      </c>
      <c r="C764" s="9" t="str">
        <f t="shared" si="2148"/>
        <v xml:space="preserve">16 - </v>
      </c>
      <c r="D764" s="9" t="s">
        <v>56</v>
      </c>
      <c r="G764" s="80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80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81"/>
      <c r="AE764" s="15"/>
      <c r="AF764" s="11"/>
      <c r="AG764" s="15"/>
      <c r="AH764" s="15"/>
    </row>
    <row r="765" spans="2:34" x14ac:dyDescent="0.2">
      <c r="B765" s="9">
        <f>G750</f>
        <v>16</v>
      </c>
      <c r="C765" s="9" t="str">
        <f t="shared" si="2148"/>
        <v>16 - Doctor Compensation</v>
      </c>
      <c r="D765" s="9" t="s">
        <v>56</v>
      </c>
      <c r="F765" t="s">
        <v>4</v>
      </c>
      <c r="G765" s="178">
        <f>_xlfn.XLOOKUP($C765,'Site Level Financials - ''23 ''24'!$C$2:$C$1577,'Site Level Financials - ''23 ''24'!S$2:S$1577)</f>
        <v>-113.5037961897516</v>
      </c>
      <c r="H765" s="179">
        <f>_xlfn.XLOOKUP($C765,'Site Level Financials - ''23 ''24'!$C$2:$C$1577,'Site Level Financials - ''23 ''24'!T$2:T$1577)</f>
        <v>-120.41690825382389</v>
      </c>
      <c r="I765" s="179">
        <f>_xlfn.XLOOKUP($C765,'Site Level Financials - ''23 ''24'!$C$2:$C$1577,'Site Level Financials - ''23 ''24'!U$2:U$1577)</f>
        <v>-127.3690914773973</v>
      </c>
      <c r="J765" s="179">
        <f>_xlfn.XLOOKUP($C765,'Site Level Financials - ''23 ''24'!$C$2:$C$1577,'Site Level Financials - ''23 ''24'!V$2:V$1577)</f>
        <v>-91.686023179780818</v>
      </c>
      <c r="K765" s="179">
        <f>_xlfn.XLOOKUP($C765,'Site Level Financials - ''23 ''24'!$C$2:$C$1577,'Site Level Financials - ''23 ''24'!W$2:W$1577)</f>
        <v>-98.547526609144839</v>
      </c>
      <c r="L765" s="179">
        <f>_xlfn.XLOOKUP($C765,'Site Level Financials - ''23 ''24'!$C$2:$C$1577,'Site Level Financials - ''23 ''24'!X$2:X$1577)</f>
        <v>-95.666538411333875</v>
      </c>
      <c r="M765" s="179">
        <f>_xlfn.XLOOKUP($C765,'Site Level Financials - ''23 ''24'!$C$2:$C$1577,'Site Level Financials - ''23 ''24'!Y$2:Y$1577)</f>
        <v>-133.57696214992768</v>
      </c>
      <c r="N765" s="179">
        <f>_xlfn.XLOOKUP($C765,'Site Level Financials - ''23 ''24'!$C$2:$C$1577,'Site Level Financials - ''23 ''24'!Z$2:Z$1577)</f>
        <v>-120.86734967112537</v>
      </c>
      <c r="O765" s="179">
        <f>_xlfn.XLOOKUP($C765,'Site Level Financials - ''23 ''24'!$C$2:$C$1577,'Site Level Financials - ''23 ''24'!AA$2:AA$1577)</f>
        <v>-118.21548716398567</v>
      </c>
      <c r="P765" s="179">
        <f>_xlfn.XLOOKUP($C765,'Site Level Financials - ''23 ''24'!$C$2:$C$1577,'Site Level Financials - ''23 ''24'!AB$2:AB$1577)</f>
        <v>-133.19099036336186</v>
      </c>
      <c r="Q765" s="179">
        <f>_xlfn.XLOOKUP($C765,'Site Level Financials - ''23 ''24'!$C$2:$C$1577,'Site Level Financials - ''23 ''24'!AC$2:AC$1577)</f>
        <v>-96.628943959029257</v>
      </c>
      <c r="R765" s="179">
        <f>_xlfn.XLOOKUP($C765,'Site Level Financials - ''23 ''24'!$C$2:$C$1577,'Site Level Financials - ''23 ''24'!AD$2:AD$1577)</f>
        <v>-71.607413078689518</v>
      </c>
      <c r="S765" s="155">
        <f>S766*S762</f>
        <v>-262.15349240200322</v>
      </c>
      <c r="T765" s="154">
        <f t="shared" ref="T765" si="2168">T766*T762</f>
        <v>-275.37273726168627</v>
      </c>
      <c r="U765" s="154">
        <f t="shared" ref="U765" si="2169">U766*U762</f>
        <v>-293.55343000953559</v>
      </c>
      <c r="V765" s="154">
        <f t="shared" ref="V765" si="2170">V766*V762</f>
        <v>-211.63911962510403</v>
      </c>
      <c r="W765" s="154">
        <f t="shared" ref="W765" si="2171">W766*W762</f>
        <v>-250.01874684018341</v>
      </c>
      <c r="X765" s="154">
        <f t="shared" ref="X765" si="2172">X766*X762</f>
        <v>-214.13168389967038</v>
      </c>
      <c r="Y765" s="154">
        <f t="shared" ref="Y765" si="2173">Y766*Y762</f>
        <v>-220.95809942826659</v>
      </c>
      <c r="Z765" s="154">
        <f t="shared" ref="Z765" si="2174">Z766*Z762</f>
        <v>-184.50133667435969</v>
      </c>
      <c r="AA765" s="154">
        <f t="shared" ref="AA765" si="2175">AA766*AA762</f>
        <v>-169.37593229085525</v>
      </c>
      <c r="AB765" s="154">
        <f t="shared" ref="AB765" si="2176">AB766*AB762</f>
        <v>-191.86304496605689</v>
      </c>
      <c r="AC765" s="154">
        <f t="shared" ref="AC765" si="2177">AC766*AC762</f>
        <v>-110.94725964048051</v>
      </c>
      <c r="AD765" s="156">
        <f t="shared" ref="AD765" si="2178">AD766*AD762</f>
        <v>-74.236454511083281</v>
      </c>
      <c r="AE765" s="15"/>
      <c r="AF765" s="115">
        <f>_xlfn.XLOOKUP($C765,'Site Level Financials - ''23 ''24'!$C$2:$C$1577,'Site Level Financials - ''23 ''24'!$AF$2:$AF$1577)</f>
        <v>-740.2959224270993</v>
      </c>
      <c r="AG765" s="93">
        <f>SUM(G765:R765)</f>
        <v>-1321.2770305073518</v>
      </c>
      <c r="AH765" s="93">
        <f t="shared" ref="AH765" si="2179">SUM(S765:AD765)</f>
        <v>-2458.7513375492849</v>
      </c>
    </row>
    <row r="766" spans="2:34" x14ac:dyDescent="0.2">
      <c r="B766" s="9">
        <f>G750</f>
        <v>16</v>
      </c>
      <c r="C766" s="9" t="str">
        <f t="shared" si="2148"/>
        <v>16 - % of Revenue - Doctor Compensation</v>
      </c>
      <c r="D766" s="9" t="s">
        <v>56</v>
      </c>
      <c r="F766" s="16" t="str">
        <f>"% of Revenue - "&amp;F765</f>
        <v>% of Revenue - Doctor Compensation</v>
      </c>
      <c r="G766" s="148">
        <f>G765/G762</f>
        <v>-0.47702803933250892</v>
      </c>
      <c r="H766" s="149">
        <f t="shared" ref="H766:R766" si="2180">H765/H762</f>
        <v>-0.48391377442413047</v>
      </c>
      <c r="I766" s="149">
        <f t="shared" si="2180"/>
        <v>-0.48041344871442798</v>
      </c>
      <c r="J766" s="149">
        <f t="shared" si="2180"/>
        <v>-0.32334710111302234</v>
      </c>
      <c r="K766" s="149">
        <f t="shared" si="2180"/>
        <v>-0.32139724011873072</v>
      </c>
      <c r="L766" s="149">
        <f t="shared" si="2180"/>
        <v>-0.32779410368381112</v>
      </c>
      <c r="M766" s="149">
        <f t="shared" si="2180"/>
        <v>-0.33574702095340703</v>
      </c>
      <c r="N766" s="149">
        <f t="shared" si="2180"/>
        <v>-0.3269431737838101</v>
      </c>
      <c r="O766" s="149">
        <f t="shared" si="2180"/>
        <v>-0.32736504656956522</v>
      </c>
      <c r="P766" s="149">
        <f t="shared" si="2180"/>
        <v>-0.32288188973650467</v>
      </c>
      <c r="Q766" s="149">
        <f t="shared" si="2180"/>
        <v>-0.23620229466929765</v>
      </c>
      <c r="R766" s="149">
        <f t="shared" si="2180"/>
        <v>-0.19363394119313357</v>
      </c>
      <c r="S766" s="245">
        <f>_xlfn.XLOOKUP($F766,'Budget Assumption Driver'!$A$33:$A$39,'Budget Assumption Driver'!E$33:E$39)+G766</f>
        <v>-0.47702803933250892</v>
      </c>
      <c r="T766" s="246">
        <f>_xlfn.XLOOKUP($F766,'Budget Assumption Driver'!$A$33:$A$39,'Budget Assumption Driver'!F$33:F$39)+H766</f>
        <v>-0.48391377442413047</v>
      </c>
      <c r="U766" s="246">
        <f>_xlfn.XLOOKUP($F766,'Budget Assumption Driver'!$A$33:$A$39,'Budget Assumption Driver'!G$33:G$39)+I766</f>
        <v>-0.48041344871442798</v>
      </c>
      <c r="V766" s="246">
        <f>_xlfn.XLOOKUP($F766,'Budget Assumption Driver'!$A$33:$A$39,'Budget Assumption Driver'!H$33:H$39)+J766</f>
        <v>-0.32334710111302234</v>
      </c>
      <c r="W766" s="246">
        <f>_xlfn.XLOOKUP($F766,'Budget Assumption Driver'!$A$33:$A$39,'Budget Assumption Driver'!I$33:I$39)+K766</f>
        <v>-0.32139724011873072</v>
      </c>
      <c r="X766" s="246">
        <f>_xlfn.XLOOKUP($F766,'Budget Assumption Driver'!$A$33:$A$39,'Budget Assumption Driver'!J$33:J$39)+L766</f>
        <v>-0.32779410368381112</v>
      </c>
      <c r="Y766" s="246">
        <f>_xlfn.XLOOKUP($F766,'Budget Assumption Driver'!$A$33:$A$39,'Budget Assumption Driver'!K$33:K$39)+M766</f>
        <v>-0.33574702095340703</v>
      </c>
      <c r="Z766" s="246">
        <f>_xlfn.XLOOKUP($F766,'Budget Assumption Driver'!$A$33:$A$39,'Budget Assumption Driver'!L$33:L$39)+N766</f>
        <v>-0.3269431737838101</v>
      </c>
      <c r="AA766" s="246">
        <f>_xlfn.XLOOKUP($F766,'Budget Assumption Driver'!$A$33:$A$39,'Budget Assumption Driver'!M$33:M$39)+O766</f>
        <v>-0.32736504656956522</v>
      </c>
      <c r="AB766" s="246">
        <f>_xlfn.XLOOKUP($F766,'Budget Assumption Driver'!$A$33:$A$39,'Budget Assumption Driver'!N$33:N$39)+P766</f>
        <v>-0.32288188973650467</v>
      </c>
      <c r="AC766" s="246">
        <f>_xlfn.XLOOKUP($F766,'Budget Assumption Driver'!$A$33:$A$39,'Budget Assumption Driver'!O$33:O$39)+Q766</f>
        <v>-0.23620229466929765</v>
      </c>
      <c r="AD766" s="296">
        <f>_xlfn.XLOOKUP($F766,'Budget Assumption Driver'!$A$33:$A$39,'Budget Assumption Driver'!P$33:P$39)+R766</f>
        <v>-0.19363394119313357</v>
      </c>
      <c r="AE766" s="15"/>
      <c r="AF766" s="232">
        <f>_xlfn.XLOOKUP($C766,'Site Level Financials - ''23 ''24'!$C$2:$C$1577,'Site Level Financials - ''23 ''24'!$AF$2:$AF$1577)</f>
        <v>-0.33327118152092361</v>
      </c>
      <c r="AG766" s="97">
        <f t="shared" ref="AG766:AH766" si="2181">AG765/AG762</f>
        <v>-0.33416314175802359</v>
      </c>
      <c r="AH766" s="97">
        <f t="shared" si="2181"/>
        <v>-0.35112565340324714</v>
      </c>
    </row>
    <row r="767" spans="2:34" ht="3" customHeight="1" x14ac:dyDescent="0.2">
      <c r="B767" s="9">
        <f>G750</f>
        <v>16</v>
      </c>
      <c r="C767" s="9" t="str">
        <f t="shared" si="2148"/>
        <v xml:space="preserve">16 - </v>
      </c>
      <c r="D767" s="9" t="s">
        <v>56</v>
      </c>
      <c r="F767" s="16"/>
      <c r="G767" s="84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4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6"/>
      <c r="AE767" s="15"/>
      <c r="AF767" s="36"/>
      <c r="AG767" s="38"/>
      <c r="AH767" s="38"/>
    </row>
    <row r="768" spans="2:34" x14ac:dyDescent="0.2">
      <c r="B768" s="9">
        <f>G750</f>
        <v>16</v>
      </c>
      <c r="C768" s="9" t="str">
        <f t="shared" si="2148"/>
        <v>16 - Administrative Staff Compensation</v>
      </c>
      <c r="D768" s="9" t="s">
        <v>56</v>
      </c>
      <c r="F768" t="s">
        <v>5</v>
      </c>
      <c r="G768" s="178">
        <f>_xlfn.XLOOKUP($C768,'Site Level Financials - ''23 ''24'!$C$2:$C$1577,'Site Level Financials - ''23 ''24'!S$2:S$1577)</f>
        <v>-77.79790660568834</v>
      </c>
      <c r="H768" s="179">
        <f>_xlfn.XLOOKUP($C768,'Site Level Financials - ''23 ''24'!$C$2:$C$1577,'Site Level Financials - ''23 ''24'!T$2:T$1577)</f>
        <v>-80.122577965110239</v>
      </c>
      <c r="I768" s="179">
        <f>_xlfn.XLOOKUP($C768,'Site Level Financials - ''23 ''24'!$C$2:$C$1577,'Site Level Financials - ''23 ''24'!U$2:U$1577)</f>
        <v>-86.218473189953144</v>
      </c>
      <c r="J768" s="179">
        <f>_xlfn.XLOOKUP($C768,'Site Level Financials - ''23 ''24'!$C$2:$C$1577,'Site Level Financials - ''23 ''24'!V$2:V$1577)</f>
        <v>-95.733820528198763</v>
      </c>
      <c r="K768" s="179">
        <f>_xlfn.XLOOKUP($C768,'Site Level Financials - ''23 ''24'!$C$2:$C$1577,'Site Level Financials - ''23 ''24'!W$2:W$1577)</f>
        <v>-99.488731159980773</v>
      </c>
      <c r="L768" s="179">
        <f>_xlfn.XLOOKUP($C768,'Site Level Financials - ''23 ''24'!$C$2:$C$1577,'Site Level Financials - ''23 ''24'!X$2:X$1577)</f>
        <v>-94.651337088319551</v>
      </c>
      <c r="M768" s="179">
        <f>_xlfn.XLOOKUP($C768,'Site Level Financials - ''23 ''24'!$C$2:$C$1577,'Site Level Financials - ''23 ''24'!Y$2:Y$1577)</f>
        <v>-86.266159553558296</v>
      </c>
      <c r="N768" s="179">
        <f>_xlfn.XLOOKUP($C768,'Site Level Financials - ''23 ''24'!$C$2:$C$1577,'Site Level Financials - ''23 ''24'!Z$2:Z$1577)</f>
        <v>-78.882970942334012</v>
      </c>
      <c r="O768" s="179">
        <f>_xlfn.XLOOKUP($C768,'Site Level Financials - ''23 ''24'!$C$2:$C$1577,'Site Level Financials - ''23 ''24'!AA$2:AA$1577)</f>
        <v>-79.151224535060834</v>
      </c>
      <c r="P768" s="179">
        <f>_xlfn.XLOOKUP($C768,'Site Level Financials - ''23 ''24'!$C$2:$C$1577,'Site Level Financials - ''23 ''24'!AB$2:AB$1577)</f>
        <v>-88.178471855406855</v>
      </c>
      <c r="Q768" s="179">
        <f>_xlfn.XLOOKUP($C768,'Site Level Financials - ''23 ''24'!$C$2:$C$1577,'Site Level Financials - ''23 ''24'!AC$2:AC$1577)</f>
        <v>-67.092823490341004</v>
      </c>
      <c r="R768" s="179">
        <f>_xlfn.XLOOKUP($C768,'Site Level Financials - ''23 ''24'!$C$2:$C$1577,'Site Level Financials - ''23 ''24'!AD$2:AD$1577)</f>
        <v>-48.469147315932346</v>
      </c>
      <c r="S768" s="155">
        <f>S769*S762</f>
        <v>-179.68555768963404</v>
      </c>
      <c r="T768" s="154">
        <f t="shared" ref="T768" si="2182">T769*T762</f>
        <v>-183.226541277808</v>
      </c>
      <c r="U768" s="154">
        <f t="shared" ref="U768" si="2183">U769*U762</f>
        <v>-198.71169874511784</v>
      </c>
      <c r="V768" s="154">
        <f t="shared" ref="V768" si="2184">V769*V762</f>
        <v>-220.98266226693303</v>
      </c>
      <c r="W768" s="154">
        <f t="shared" ref="W768" si="2185">W769*W762</f>
        <v>-252.40661785447676</v>
      </c>
      <c r="X768" s="154">
        <f t="shared" ref="X768" si="2186">X769*X762</f>
        <v>-211.85934529095496</v>
      </c>
      <c r="Y768" s="154">
        <f t="shared" ref="Y768" si="2187">Y769*Y762</f>
        <v>-142.69830929779206</v>
      </c>
      <c r="Z768" s="154">
        <f t="shared" ref="Z768" si="2188">Z769*Z762</f>
        <v>-120.41311089641759</v>
      </c>
      <c r="AA768" s="154">
        <f t="shared" ref="AA768" si="2189">AA769*AA762</f>
        <v>-113.40572008971914</v>
      </c>
      <c r="AB768" s="154">
        <f t="shared" ref="AB768" si="2190">AB769*AB762</f>
        <v>-127.02203102835368</v>
      </c>
      <c r="AC768" s="154">
        <f t="shared" ref="AC768" si="2191">AC769*AC762</f>
        <v>-77.034526124511459</v>
      </c>
      <c r="AD768" s="156">
        <f t="shared" ref="AD768" si="2192">AD769*AD762</f>
        <v>-50.248675314609699</v>
      </c>
      <c r="AE768" s="15"/>
      <c r="AF768" s="115">
        <f>_xlfn.XLOOKUP($C768,'Site Level Financials - ''23 ''24'!$C$2:$C$1577,'Site Level Financials - ''23 ''24'!$AF$2:$AF$1577)</f>
        <v>-674.50387120770085</v>
      </c>
      <c r="AG768" s="93">
        <f>SUM(G768:R768)</f>
        <v>-982.05364422988418</v>
      </c>
      <c r="AH768" s="93">
        <f t="shared" ref="AH768" si="2193">SUM(S768:AD768)</f>
        <v>-1877.6947958763283</v>
      </c>
    </row>
    <row r="769" spans="2:34" x14ac:dyDescent="0.2">
      <c r="B769" s="9">
        <f>G750</f>
        <v>16</v>
      </c>
      <c r="C769" s="9" t="str">
        <f t="shared" si="2148"/>
        <v>16 - % of Revenue - Administrative Staff Compensation</v>
      </c>
      <c r="D769" s="9" t="s">
        <v>56</v>
      </c>
      <c r="F769" s="16" t="str">
        <f>"% of Revenue - "&amp;F768</f>
        <v>% of Revenue - Administrative Staff Compensation</v>
      </c>
      <c r="G769" s="148">
        <f>G768/G762</f>
        <v>-0.32696512449894627</v>
      </c>
      <c r="H769" s="149">
        <f t="shared" ref="H769:R769" si="2194">H768/H762</f>
        <v>-0.32198484151379075</v>
      </c>
      <c r="I769" s="149">
        <f t="shared" si="2194"/>
        <v>-0.32520067127453955</v>
      </c>
      <c r="J769" s="149">
        <f t="shared" si="2194"/>
        <v>-0.33762237986447935</v>
      </c>
      <c r="K769" s="149">
        <f t="shared" si="2194"/>
        <v>-0.32446683055325909</v>
      </c>
      <c r="L769" s="149">
        <f t="shared" si="2194"/>
        <v>-0.32431559371300744</v>
      </c>
      <c r="M769" s="149">
        <f t="shared" si="2194"/>
        <v>-0.21683084877083478</v>
      </c>
      <c r="N769" s="149">
        <f t="shared" si="2194"/>
        <v>-0.21337647385796796</v>
      </c>
      <c r="O769" s="149">
        <f t="shared" si="2194"/>
        <v>-0.21918739183483391</v>
      </c>
      <c r="P769" s="149">
        <f t="shared" si="2194"/>
        <v>-0.21376244405930039</v>
      </c>
      <c r="Q769" s="149">
        <f t="shared" si="2194"/>
        <v>-0.16400343639251655</v>
      </c>
      <c r="R769" s="149">
        <f t="shared" si="2194"/>
        <v>-0.13106564833924497</v>
      </c>
      <c r="S769" s="245">
        <f>_xlfn.XLOOKUP($F769,'Budget Assumption Driver'!$A$33:$A$39,'Budget Assumption Driver'!E$33:E$39)+G769</f>
        <v>-0.32696512449894627</v>
      </c>
      <c r="T769" s="246">
        <f>_xlfn.XLOOKUP($F769,'Budget Assumption Driver'!$A$33:$A$39,'Budget Assumption Driver'!F$33:F$39)+H769</f>
        <v>-0.32198484151379075</v>
      </c>
      <c r="U769" s="246">
        <f>_xlfn.XLOOKUP($F769,'Budget Assumption Driver'!$A$33:$A$39,'Budget Assumption Driver'!G$33:G$39)+I769</f>
        <v>-0.32520067127453955</v>
      </c>
      <c r="V769" s="246">
        <f>_xlfn.XLOOKUP($F769,'Budget Assumption Driver'!$A$33:$A$39,'Budget Assumption Driver'!H$33:H$39)+J769</f>
        <v>-0.33762237986447935</v>
      </c>
      <c r="W769" s="246">
        <f>_xlfn.XLOOKUP($F769,'Budget Assumption Driver'!$A$33:$A$39,'Budget Assumption Driver'!I$33:I$39)+K769</f>
        <v>-0.32446683055325909</v>
      </c>
      <c r="X769" s="246">
        <f>_xlfn.XLOOKUP($F769,'Budget Assumption Driver'!$A$33:$A$39,'Budget Assumption Driver'!J$33:J$39)+L769</f>
        <v>-0.32431559371300744</v>
      </c>
      <c r="Y769" s="246">
        <f>_xlfn.XLOOKUP($F769,'Budget Assumption Driver'!$A$33:$A$39,'Budget Assumption Driver'!K$33:K$39)+M769</f>
        <v>-0.21683084877083478</v>
      </c>
      <c r="Z769" s="246">
        <f>_xlfn.XLOOKUP($F769,'Budget Assumption Driver'!$A$33:$A$39,'Budget Assumption Driver'!L$33:L$39)+N769</f>
        <v>-0.21337647385796796</v>
      </c>
      <c r="AA769" s="246">
        <f>_xlfn.XLOOKUP($F769,'Budget Assumption Driver'!$A$33:$A$39,'Budget Assumption Driver'!M$33:M$39)+O769</f>
        <v>-0.21918739183483391</v>
      </c>
      <c r="AB769" s="246">
        <f>_xlfn.XLOOKUP($F769,'Budget Assumption Driver'!$A$33:$A$39,'Budget Assumption Driver'!N$33:N$39)+P769</f>
        <v>-0.21376244405930039</v>
      </c>
      <c r="AC769" s="246">
        <f>_xlfn.XLOOKUP($F769,'Budget Assumption Driver'!$A$33:$A$39,'Budget Assumption Driver'!O$33:O$39)+Q769</f>
        <v>-0.16400343639251655</v>
      </c>
      <c r="AD769" s="296">
        <f>_xlfn.XLOOKUP($F769,'Budget Assumption Driver'!$A$33:$A$39,'Budget Assumption Driver'!P$33:P$39)+R769</f>
        <v>-0.13106564833924497</v>
      </c>
      <c r="AE769" s="15"/>
      <c r="AF769" s="232">
        <f>_xlfn.XLOOKUP($C769,'Site Level Financials - ''23 ''24'!$C$2:$C$1577,'Site Level Financials - ''23 ''24'!$AF$2:$AF$1577)</f>
        <v>-0.30365249258814309</v>
      </c>
      <c r="AG769" s="97">
        <f t="shared" ref="AG769:AH769" si="2195">AG768/AG762</f>
        <v>-0.24837042009635424</v>
      </c>
      <c r="AH769" s="97">
        <f t="shared" si="2195"/>
        <v>-0.26814700698896393</v>
      </c>
    </row>
    <row r="770" spans="2:34" ht="3" customHeight="1" x14ac:dyDescent="0.2">
      <c r="B770" s="9">
        <f>G750</f>
        <v>16</v>
      </c>
      <c r="C770" s="9" t="str">
        <f t="shared" si="2148"/>
        <v xml:space="preserve">16 - </v>
      </c>
      <c r="D770" s="9" t="s">
        <v>56</v>
      </c>
      <c r="F770" s="16"/>
      <c r="G770" s="84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4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6"/>
      <c r="AE770" s="15"/>
      <c r="AF770" s="36"/>
      <c r="AG770" s="38"/>
      <c r="AH770" s="38"/>
    </row>
    <row r="771" spans="2:34" x14ac:dyDescent="0.2">
      <c r="B771" s="9">
        <f>G750</f>
        <v>16</v>
      </c>
      <c r="C771" s="9" t="str">
        <f t="shared" si="2148"/>
        <v>16 - Office Supplies</v>
      </c>
      <c r="D771" s="9" t="s">
        <v>56</v>
      </c>
      <c r="F771" t="s">
        <v>6</v>
      </c>
      <c r="G771" s="178">
        <f>_xlfn.XLOOKUP($C771,'Site Level Financials - ''23 ''24'!$C$2:$C$1577,'Site Level Financials - ''23 ''24'!S$2:S$1577)</f>
        <v>-20.799561647921053</v>
      </c>
      <c r="H771" s="179">
        <f>_xlfn.XLOOKUP($C771,'Site Level Financials - ''23 ''24'!$C$2:$C$1577,'Site Level Financials - ''23 ''24'!T$2:T$1577)</f>
        <v>-21.742418966951732</v>
      </c>
      <c r="I771" s="179">
        <f>_xlfn.XLOOKUP($C771,'Site Level Financials - ''23 ''24'!$C$2:$C$1577,'Site Level Financials - ''23 ''24'!U$2:U$1577)</f>
        <v>-21.254002355251277</v>
      </c>
      <c r="J771" s="179">
        <f>_xlfn.XLOOKUP($C771,'Site Level Financials - ''23 ''24'!$C$2:$C$1577,'Site Level Financials - ''23 ''24'!V$2:V$1577)</f>
        <v>-20.989396122129889</v>
      </c>
      <c r="K771" s="179">
        <f>_xlfn.XLOOKUP($C771,'Site Level Financials - ''23 ''24'!$C$2:$C$1577,'Site Level Financials - ''23 ''24'!W$2:W$1577)</f>
        <v>-20.539527811989366</v>
      </c>
      <c r="L771" s="179">
        <f>_xlfn.XLOOKUP($C771,'Site Level Financials - ''23 ''24'!$C$2:$C$1577,'Site Level Financials - ''23 ''24'!X$2:X$1577)</f>
        <v>-17.751536043804197</v>
      </c>
      <c r="M771" s="179">
        <f>_xlfn.XLOOKUP($C771,'Site Level Financials - ''23 ''24'!$C$2:$C$1577,'Site Level Financials - ''23 ''24'!Y$2:Y$1577)</f>
        <v>-16.136258435113408</v>
      </c>
      <c r="N771" s="179">
        <f>_xlfn.XLOOKUP($C771,'Site Level Financials - ''23 ''24'!$C$2:$C$1577,'Site Level Financials - ''23 ''24'!Z$2:Z$1577)</f>
        <v>-16.701815616003469</v>
      </c>
      <c r="O771" s="179">
        <f>_xlfn.XLOOKUP($C771,'Site Level Financials - ''23 ''24'!$C$2:$C$1577,'Site Level Financials - ''23 ''24'!AA$2:AA$1577)</f>
        <v>-15.436756203231912</v>
      </c>
      <c r="P771" s="179">
        <f>_xlfn.XLOOKUP($C771,'Site Level Financials - ''23 ''24'!$C$2:$C$1577,'Site Level Financials - ''23 ''24'!AB$2:AB$1577)</f>
        <v>-16.985613778811508</v>
      </c>
      <c r="Q771" s="179">
        <f>_xlfn.XLOOKUP($C771,'Site Level Financials - ''23 ''24'!$C$2:$C$1577,'Site Level Financials - ''23 ''24'!AC$2:AC$1577)</f>
        <v>-13.342941751275475</v>
      </c>
      <c r="R771" s="179">
        <f>_xlfn.XLOOKUP($C771,'Site Level Financials - ''23 ''24'!$C$2:$C$1577,'Site Level Financials - ''23 ''24'!AD$2:AD$1577)</f>
        <v>-9.9472184806906352</v>
      </c>
      <c r="S771" s="155">
        <f>S772*S762</f>
        <v>-48.039606686966458</v>
      </c>
      <c r="T771" s="154">
        <f t="shared" ref="T771" si="2196">T772*T762</f>
        <v>-49.721168832864265</v>
      </c>
      <c r="U771" s="154">
        <f t="shared" ref="U771" si="2197">U772*U762</f>
        <v>-48.985081234735475</v>
      </c>
      <c r="V771" s="154">
        <f t="shared" ref="V771" si="2198">V772*V762</f>
        <v>-48.449885409903558</v>
      </c>
      <c r="W771" s="154">
        <f t="shared" ref="W771" si="2199">W772*W762</f>
        <v>-52.109547351806825</v>
      </c>
      <c r="X771" s="154">
        <f t="shared" ref="X771" si="2200">X772*X762</f>
        <v>-39.733498964097052</v>
      </c>
      <c r="Y771" s="154">
        <f t="shared" ref="Y771" si="2201">Y772*Y762</f>
        <v>-26.692005405124597</v>
      </c>
      <c r="Z771" s="154">
        <f t="shared" ref="Z771" si="2202">Z772*Z762</f>
        <v>-25.494952230076834</v>
      </c>
      <c r="AA771" s="154">
        <f t="shared" ref="AA771" si="2203">AA772*AA762</f>
        <v>-22.117364113570986</v>
      </c>
      <c r="AB771" s="154">
        <f t="shared" ref="AB771" si="2204">AB772*AB762</f>
        <v>-24.467958165409421</v>
      </c>
      <c r="AC771" s="154">
        <f t="shared" ref="AC771" si="2205">AC772*AC762</f>
        <v>-15.320076596037755</v>
      </c>
      <c r="AD771" s="156">
        <f t="shared" ref="AD771" si="2206">AD772*AD762</f>
        <v>-10.312427170663424</v>
      </c>
      <c r="AE771" s="15"/>
      <c r="AF771" s="115">
        <f>_xlfn.XLOOKUP($C771,'Site Level Financials - ''23 ''24'!$C$2:$C$1577,'Site Level Financials - ''23 ''24'!$AF$2:$AF$1577)</f>
        <v>-265.61991120628261</v>
      </c>
      <c r="AG771" s="93">
        <f>SUM(G771:R771)</f>
        <v>-211.62704721317391</v>
      </c>
      <c r="AH771" s="93">
        <f t="shared" ref="AH771" si="2207">SUM(S771:AD771)</f>
        <v>-411.44357216125667</v>
      </c>
    </row>
    <row r="772" spans="2:34" x14ac:dyDescent="0.2">
      <c r="B772" s="9">
        <f>G750</f>
        <v>16</v>
      </c>
      <c r="C772" s="9" t="str">
        <f t="shared" si="2148"/>
        <v>16 - % of Revenue - Office Supplies</v>
      </c>
      <c r="D772" s="9" t="s">
        <v>56</v>
      </c>
      <c r="F772" s="16" t="str">
        <f>"% of Revenue - "&amp;F771</f>
        <v>% of Revenue - Office Supplies</v>
      </c>
      <c r="G772" s="148">
        <f>G771/G762</f>
        <v>-8.7415350366750952E-2</v>
      </c>
      <c r="H772" s="149">
        <f t="shared" ref="H772:R772" si="2208">H771/H762</f>
        <v>-8.7375238078945636E-2</v>
      </c>
      <c r="I772" s="149">
        <f t="shared" si="2208"/>
        <v>-8.0166298212803189E-2</v>
      </c>
      <c r="J772" s="149">
        <f t="shared" si="2208"/>
        <v>-7.4022846174664203E-2</v>
      </c>
      <c r="K772" s="149">
        <f t="shared" si="2208"/>
        <v>-6.6986435674811898E-2</v>
      </c>
      <c r="L772" s="149">
        <f t="shared" si="2208"/>
        <v>-6.0824285514236694E-2</v>
      </c>
      <c r="M772" s="149">
        <f t="shared" si="2208"/>
        <v>-4.0558645830279835E-2</v>
      </c>
      <c r="N772" s="149">
        <f t="shared" si="2208"/>
        <v>-4.5177995714360181E-2</v>
      </c>
      <c r="O772" s="149">
        <f t="shared" si="2208"/>
        <v>-4.2747820396358133E-2</v>
      </c>
      <c r="P772" s="149">
        <f t="shared" si="2208"/>
        <v>-4.1176562020261875E-2</v>
      </c>
      <c r="Q772" s="149">
        <f t="shared" si="2208"/>
        <v>-3.2615832587659647E-2</v>
      </c>
      <c r="R772" s="149">
        <f t="shared" si="2208"/>
        <v>-2.6898320097231917E-2</v>
      </c>
      <c r="S772" s="245">
        <f>_xlfn.XLOOKUP($F772,'Budget Assumption Driver'!$A$33:$A$39,'Budget Assumption Driver'!E$33:E$39)+G772</f>
        <v>-8.7415350366750952E-2</v>
      </c>
      <c r="T772" s="246">
        <f>_xlfn.XLOOKUP($F772,'Budget Assumption Driver'!$A$33:$A$39,'Budget Assumption Driver'!F$33:F$39)+H772</f>
        <v>-8.7375238078945636E-2</v>
      </c>
      <c r="U772" s="246">
        <f>_xlfn.XLOOKUP($F772,'Budget Assumption Driver'!$A$33:$A$39,'Budget Assumption Driver'!G$33:G$39)+I772</f>
        <v>-8.0166298212803189E-2</v>
      </c>
      <c r="V772" s="246">
        <f>_xlfn.XLOOKUP($F772,'Budget Assumption Driver'!$A$33:$A$39,'Budget Assumption Driver'!H$33:H$39)+J772</f>
        <v>-7.4022846174664203E-2</v>
      </c>
      <c r="W772" s="246">
        <f>_xlfn.XLOOKUP($F772,'Budget Assumption Driver'!$A$33:$A$39,'Budget Assumption Driver'!I$33:I$39)+K772</f>
        <v>-6.6986435674811898E-2</v>
      </c>
      <c r="X772" s="246">
        <f>_xlfn.XLOOKUP($F772,'Budget Assumption Driver'!$A$33:$A$39,'Budget Assumption Driver'!J$33:J$39)+L772</f>
        <v>-6.0824285514236694E-2</v>
      </c>
      <c r="Y772" s="246">
        <f>_xlfn.XLOOKUP($F772,'Budget Assumption Driver'!$A$33:$A$39,'Budget Assumption Driver'!K$33:K$39)+M772</f>
        <v>-4.0558645830279835E-2</v>
      </c>
      <c r="Z772" s="246">
        <f>_xlfn.XLOOKUP($F772,'Budget Assumption Driver'!$A$33:$A$39,'Budget Assumption Driver'!L$33:L$39)+N772</f>
        <v>-4.5177995714360181E-2</v>
      </c>
      <c r="AA772" s="246">
        <f>_xlfn.XLOOKUP($F772,'Budget Assumption Driver'!$A$33:$A$39,'Budget Assumption Driver'!M$33:M$39)+O772</f>
        <v>-4.2747820396358133E-2</v>
      </c>
      <c r="AB772" s="246">
        <f>_xlfn.XLOOKUP($F772,'Budget Assumption Driver'!$A$33:$A$39,'Budget Assumption Driver'!N$33:N$39)+P772</f>
        <v>-4.1176562020261875E-2</v>
      </c>
      <c r="AC772" s="246">
        <f>_xlfn.XLOOKUP($F772,'Budget Assumption Driver'!$A$33:$A$39,'Budget Assumption Driver'!O$33:O$39)+Q772</f>
        <v>-3.2615832587659647E-2</v>
      </c>
      <c r="AD772" s="296">
        <f>_xlfn.XLOOKUP($F772,'Budget Assumption Driver'!$A$33:$A$39,'Budget Assumption Driver'!P$33:P$39)+R772</f>
        <v>-2.6898320097231917E-2</v>
      </c>
      <c r="AE772" s="15"/>
      <c r="AF772" s="232">
        <f>_xlfn.XLOOKUP($C772,'Site Level Financials - ''23 ''24'!$C$2:$C$1577,'Site Level Financials - ''23 ''24'!$AF$2:$AF$1577)</f>
        <v>-0.11957848066077653</v>
      </c>
      <c r="AG772" s="97">
        <f t="shared" ref="AG772:AH772" si="2209">AG771/AG762</f>
        <v>-5.3522431212304565E-2</v>
      </c>
      <c r="AH772" s="97">
        <f t="shared" si="2209"/>
        <v>-5.8756813227678208E-2</v>
      </c>
    </row>
    <row r="773" spans="2:34" ht="6" customHeight="1" x14ac:dyDescent="0.2">
      <c r="B773" s="9">
        <f>G750</f>
        <v>16</v>
      </c>
      <c r="C773" s="9" t="str">
        <f t="shared" si="2148"/>
        <v xml:space="preserve">16 - </v>
      </c>
      <c r="D773" s="9" t="s">
        <v>56</v>
      </c>
      <c r="F773" s="16"/>
      <c r="G773" s="80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80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81"/>
      <c r="AE773" s="15"/>
      <c r="AF773" s="11"/>
      <c r="AG773" s="15"/>
      <c r="AH773" s="15"/>
    </row>
    <row r="774" spans="2:34" x14ac:dyDescent="0.2">
      <c r="B774" s="9">
        <f>G750</f>
        <v>16</v>
      </c>
      <c r="C774" s="9" t="str">
        <f t="shared" si="2148"/>
        <v>16 - Office Gross Profit</v>
      </c>
      <c r="D774" s="9" t="s">
        <v>56</v>
      </c>
      <c r="F774" s="8" t="s">
        <v>11</v>
      </c>
      <c r="G774" s="241">
        <f>_xlfn.XLOOKUP($C774,'Site Level Financials - ''23 ''24'!$C$2:$C$1577,'Site Level Financials - ''23 ''24'!S$2:S$1577)</f>
        <v>25.838199971716293</v>
      </c>
      <c r="H774" s="242">
        <f>_xlfn.XLOOKUP($C774,'Site Level Financials - ''23 ''24'!$C$2:$C$1577,'Site Level Financials - ''23 ''24'!T$2:T$1577)</f>
        <v>26.557691077152995</v>
      </c>
      <c r="I774" s="242">
        <f>_xlfn.XLOOKUP($C774,'Site Level Financials - ''23 ''24'!$C$2:$C$1577,'Site Level Financials - ''23 ''24'!U$2:U$1577)</f>
        <v>30.282342014984916</v>
      </c>
      <c r="J774" s="242">
        <f>_xlfn.XLOOKUP($C774,'Site Level Financials - ''23 ''24'!$C$2:$C$1577,'Site Level Financials - ''23 ''24'!V$2:V$1577)</f>
        <v>75.143706413045493</v>
      </c>
      <c r="K774" s="242">
        <f>_xlfn.XLOOKUP($C774,'Site Level Financials - ''23 ''24'!$C$2:$C$1577,'Site Level Financials - ''23 ''24'!W$2:W$1577)</f>
        <v>88.046407480466286</v>
      </c>
      <c r="L774" s="242">
        <f>_xlfn.XLOOKUP($C774,'Site Level Financials - ''23 ''24'!$C$2:$C$1577,'Site Level Financials - ''23 ''24'!X$2:X$1577)</f>
        <v>83.780067553986527</v>
      </c>
      <c r="M774" s="242">
        <f>_xlfn.XLOOKUP($C774,'Site Level Financials - ''23 ''24'!$C$2:$C$1577,'Site Level Financials - ''23 ''24'!Y$2:Y$1577)</f>
        <v>161.87064923951596</v>
      </c>
      <c r="N774" s="242">
        <f>_xlfn.XLOOKUP($C774,'Site Level Financials - ''23 ''24'!$C$2:$C$1577,'Site Level Financials - ''23 ''24'!Z$2:Z$1577)</f>
        <v>153.23703107227877</v>
      </c>
      <c r="O774" s="242">
        <f>_xlfn.XLOOKUP($C774,'Site Level Financials - ''23 ''24'!$C$2:$C$1577,'Site Level Financials - ''23 ''24'!AA$2:AA$1577)</f>
        <v>148.30865571249737</v>
      </c>
      <c r="P774" s="242">
        <f>_xlfn.XLOOKUP($C774,'Site Level Financials - ''23 ''24'!$C$2:$C$1577,'Site Level Financials - ''23 ''24'!AB$2:AB$1577)</f>
        <v>174.15177123394304</v>
      </c>
      <c r="Q774" s="242">
        <f>_xlfn.XLOOKUP($C774,'Site Level Financials - ''23 ''24'!$C$2:$C$1577,'Site Level Financials - ''23 ''24'!AC$2:AC$1577)</f>
        <v>232.02930105999803</v>
      </c>
      <c r="R774" s="242">
        <f>_xlfn.XLOOKUP($C774,'Site Level Financials - ''23 ''24'!$C$2:$C$1577,'Site Level Financials - ''23 ''24'!AD$2:AD$1577)</f>
        <v>239.78438924572546</v>
      </c>
      <c r="S774" s="134">
        <f t="shared" ref="S774:AD774" si="2210">S762+S765+S768+S771</f>
        <v>59.677073255267608</v>
      </c>
      <c r="T774" s="135">
        <f t="shared" si="2210"/>
        <v>60.73286711406368</v>
      </c>
      <c r="U774" s="135">
        <f t="shared" si="2210"/>
        <v>69.793112788263954</v>
      </c>
      <c r="V774" s="135">
        <f t="shared" si="2210"/>
        <v>173.45444069965225</v>
      </c>
      <c r="W774" s="135">
        <f t="shared" si="2210"/>
        <v>223.37701634414822</v>
      </c>
      <c r="X774" s="135">
        <f t="shared" si="2210"/>
        <v>187.5260382624848</v>
      </c>
      <c r="Y774" s="135">
        <f t="shared" si="2210"/>
        <v>267.76047630906834</v>
      </c>
      <c r="Z774" s="135">
        <f t="shared" si="2210"/>
        <v>233.91293958024119</v>
      </c>
      <c r="AA774" s="135">
        <f t="shared" si="2210"/>
        <v>212.49260507857127</v>
      </c>
      <c r="AB774" s="135">
        <f t="shared" si="2210"/>
        <v>250.86748753816437</v>
      </c>
      <c r="AC774" s="135">
        <f t="shared" si="2210"/>
        <v>266.41101572855723</v>
      </c>
      <c r="AD774" s="136">
        <f t="shared" si="2210"/>
        <v>248.587990256636</v>
      </c>
      <c r="AE774" s="15"/>
      <c r="AF774" s="114">
        <f>_xlfn.XLOOKUP($C774,'Site Level Financials - ''23 ''24'!$C$2:$C$1577,'Site Level Financials - ''23 ''24'!$AF$2:$AF$1577)</f>
        <v>540.88223626486172</v>
      </c>
      <c r="AG774" s="95">
        <f>SUM(G774:R774)</f>
        <v>1439.0302120753111</v>
      </c>
      <c r="AH774" s="95">
        <f t="shared" ref="AH774" si="2211">SUM(S774:AD774)</f>
        <v>2254.593062955119</v>
      </c>
    </row>
    <row r="775" spans="2:34" x14ac:dyDescent="0.2">
      <c r="B775" s="9">
        <f>G750</f>
        <v>16</v>
      </c>
      <c r="C775" s="9" t="str">
        <f t="shared" si="2148"/>
        <v>16 - % of Revenue - Office Gross Profit</v>
      </c>
      <c r="D775" s="9" t="s">
        <v>56</v>
      </c>
      <c r="F775" s="16" t="str">
        <f>"% of Revenue - "&amp;F774</f>
        <v>% of Revenue - Office Gross Profit</v>
      </c>
      <c r="G775" s="148">
        <f>G774/G762</f>
        <v>0.10859148580179383</v>
      </c>
      <c r="H775" s="149">
        <f t="shared" ref="H775:AD775" si="2212">H774/H762</f>
        <v>0.10672614598313314</v>
      </c>
      <c r="I775" s="149">
        <f t="shared" si="2212"/>
        <v>0.11421958179822923</v>
      </c>
      <c r="J775" s="149">
        <f t="shared" si="2212"/>
        <v>0.26500767284783405</v>
      </c>
      <c r="K775" s="149">
        <f t="shared" si="2212"/>
        <v>0.28714949365319836</v>
      </c>
      <c r="L775" s="149">
        <f t="shared" si="2212"/>
        <v>0.28706601708894475</v>
      </c>
      <c r="M775" s="149">
        <f t="shared" si="2212"/>
        <v>0.40686348444547843</v>
      </c>
      <c r="N775" s="149">
        <f t="shared" si="2212"/>
        <v>0.4145023566438617</v>
      </c>
      <c r="O775" s="149">
        <f t="shared" si="2212"/>
        <v>0.41069974119924274</v>
      </c>
      <c r="P775" s="149">
        <f t="shared" si="2212"/>
        <v>0.42217910418393312</v>
      </c>
      <c r="Q775" s="149">
        <f t="shared" si="2212"/>
        <v>0.56717843635052612</v>
      </c>
      <c r="R775" s="149">
        <f t="shared" si="2212"/>
        <v>0.64840209037038954</v>
      </c>
      <c r="S775" s="148">
        <f t="shared" si="2212"/>
        <v>0.10859148580179388</v>
      </c>
      <c r="T775" s="149">
        <f t="shared" si="2212"/>
        <v>0.10672614598313315</v>
      </c>
      <c r="U775" s="149">
        <f t="shared" si="2212"/>
        <v>0.1142195817982293</v>
      </c>
      <c r="V775" s="149">
        <f t="shared" si="2212"/>
        <v>0.26500767284783411</v>
      </c>
      <c r="W775" s="149">
        <f t="shared" si="2212"/>
        <v>0.28714949365319831</v>
      </c>
      <c r="X775" s="149">
        <f t="shared" si="2212"/>
        <v>0.28706601708894469</v>
      </c>
      <c r="Y775" s="149">
        <f t="shared" si="2212"/>
        <v>0.40686348444547837</v>
      </c>
      <c r="Z775" s="149">
        <f t="shared" si="2212"/>
        <v>0.41450235664386181</v>
      </c>
      <c r="AA775" s="149">
        <f t="shared" si="2212"/>
        <v>0.41069974119924274</v>
      </c>
      <c r="AB775" s="149">
        <f t="shared" si="2212"/>
        <v>0.42217910418393301</v>
      </c>
      <c r="AC775" s="149">
        <f t="shared" si="2212"/>
        <v>0.56717843635052612</v>
      </c>
      <c r="AD775" s="150">
        <f t="shared" si="2212"/>
        <v>0.64840209037038932</v>
      </c>
      <c r="AE775" s="15"/>
      <c r="AF775" s="233">
        <f>_xlfn.XLOOKUP($C775,'Site Level Financials - ''23 ''24'!$C$2:$C$1577,'Site Level Financials - ''23 ''24'!$AF$2:$AF$1577)</f>
        <v>0.24349784523015655</v>
      </c>
      <c r="AG775" s="97">
        <f t="shared" ref="AG775:AH775" si="2213">AG774/AG762</f>
        <v>0.36394400693331758</v>
      </c>
      <c r="AH775" s="97">
        <f t="shared" si="2213"/>
        <v>0.32197052638011064</v>
      </c>
    </row>
    <row r="776" spans="2:34" ht="6" customHeight="1" x14ac:dyDescent="0.2">
      <c r="B776" s="9">
        <f>G750</f>
        <v>16</v>
      </c>
      <c r="C776" s="9" t="str">
        <f t="shared" si="2148"/>
        <v xml:space="preserve">16 - </v>
      </c>
      <c r="D776" s="9" t="s">
        <v>56</v>
      </c>
      <c r="F776" s="16"/>
      <c r="G776" s="80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80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81"/>
      <c r="AE776" s="15"/>
      <c r="AF776" s="11"/>
      <c r="AG776" s="15"/>
      <c r="AH776" s="15"/>
    </row>
    <row r="777" spans="2:34" x14ac:dyDescent="0.2">
      <c r="B777" s="9">
        <f>G750</f>
        <v>16</v>
      </c>
      <c r="C777" s="9" t="str">
        <f t="shared" si="2148"/>
        <v>16 - General and Administrative Expense</v>
      </c>
      <c r="D777" s="9" t="s">
        <v>56</v>
      </c>
      <c r="F777" t="s">
        <v>10</v>
      </c>
      <c r="G777" s="178">
        <f>_xlfn.XLOOKUP($C777,'Site Level Financials - ''23 ''24'!$C$2:$C$1577,'Site Level Financials - ''23 ''24'!S$2:S$1577)</f>
        <v>-18.265483465906705</v>
      </c>
      <c r="H777" s="179">
        <f>_xlfn.XLOOKUP($C777,'Site Level Financials - ''23 ''24'!$C$2:$C$1577,'Site Level Financials - ''23 ''24'!T$2:T$1577)</f>
        <v>-17.283704117614686</v>
      </c>
      <c r="I777" s="179">
        <f>_xlfn.XLOOKUP($C777,'Site Level Financials - ''23 ''24'!$C$2:$C$1577,'Site Level Financials - ''23 ''24'!U$2:U$1577)</f>
        <v>-17.452829894069783</v>
      </c>
      <c r="J777" s="179">
        <f>_xlfn.XLOOKUP($C777,'Site Level Financials - ''23 ''24'!$C$2:$C$1577,'Site Level Financials - ''23 ''24'!V$2:V$1577)</f>
        <v>-18.608884012586721</v>
      </c>
      <c r="K777" s="179">
        <f>_xlfn.XLOOKUP($C777,'Site Level Financials - ''23 ''24'!$C$2:$C$1577,'Site Level Financials - ''23 ''24'!W$2:W$1577)</f>
        <v>-18.117707061672895</v>
      </c>
      <c r="L777" s="179">
        <f>_xlfn.XLOOKUP($C777,'Site Level Financials - ''23 ''24'!$C$2:$C$1577,'Site Level Financials - ''23 ''24'!X$2:X$1577)</f>
        <v>-17.648878525146909</v>
      </c>
      <c r="M777" s="179">
        <f>_xlfn.XLOOKUP($C777,'Site Level Financials - ''23 ''24'!$C$2:$C$1577,'Site Level Financials - ''23 ''24'!Y$2:Y$1577)</f>
        <v>-16.001416448837997</v>
      </c>
      <c r="N777" s="179">
        <f>_xlfn.XLOOKUP($C777,'Site Level Financials - ''23 ''24'!$C$2:$C$1577,'Site Level Financials - ''23 ''24'!Z$2:Z$1577)</f>
        <v>-13.412082394715094</v>
      </c>
      <c r="O777" s="179">
        <f>_xlfn.XLOOKUP($C777,'Site Level Financials - ''23 ''24'!$C$2:$C$1577,'Site Level Financials - ''23 ''24'!AA$2:AA$1577)</f>
        <v>-12.096365358182069</v>
      </c>
      <c r="P777" s="179">
        <f>_xlfn.XLOOKUP($C777,'Site Level Financials - ''23 ''24'!$C$2:$C$1577,'Site Level Financials - ''23 ''24'!AB$2:AB$1577)</f>
        <v>-12.423115916419377</v>
      </c>
      <c r="Q777" s="179">
        <f>_xlfn.XLOOKUP($C777,'Site Level Financials - ''23 ''24'!$C$2:$C$1577,'Site Level Financials - ''23 ''24'!AC$2:AC$1577)</f>
        <v>-7.7803271046670357</v>
      </c>
      <c r="R777" s="179">
        <f>_xlfn.XLOOKUP($C777,'Site Level Financials - ''23 ''24'!$C$2:$C$1577,'Site Level Financials - ''23 ''24'!AD$2:AD$1577)</f>
        <v>-6.2847195884023099</v>
      </c>
      <c r="S777" s="155">
        <f>S778*S762</f>
        <v>-42.186785303581203</v>
      </c>
      <c r="T777" s="154">
        <f t="shared" ref="T777" si="2214">T778*T762</f>
        <v>-39.524855619580286</v>
      </c>
      <c r="U777" s="154">
        <f t="shared" ref="U777" si="2215">U778*U762</f>
        <v>-40.224343436463336</v>
      </c>
      <c r="V777" s="154">
        <f t="shared" ref="V777" si="2216">V778*V762</f>
        <v>-42.954942237019623</v>
      </c>
      <c r="W777" s="154">
        <f t="shared" ref="W777" si="2217">W778*W762</f>
        <v>-45.965297872393826</v>
      </c>
      <c r="X777" s="154">
        <f t="shared" ref="X777" si="2218">X778*X762</f>
        <v>-39.503719276234506</v>
      </c>
      <c r="Y777" s="154">
        <f t="shared" ref="Y777" si="2219">Y778*Y762</f>
        <v>-26.468954749300391</v>
      </c>
      <c r="Z777" s="154">
        <f t="shared" ref="Z777" si="2220">Z778*Z762</f>
        <v>-20.473247209810705</v>
      </c>
      <c r="AA777" s="154">
        <f t="shared" ref="AA777" si="2221">AA778*AA762</f>
        <v>-17.331343033174676</v>
      </c>
      <c r="AB777" s="154">
        <f t="shared" ref="AB777" si="2222">AB778*AB762</f>
        <v>-17.895631237427683</v>
      </c>
      <c r="AC777" s="154">
        <f t="shared" ref="AC777" si="2223">AC778*AC762</f>
        <v>-8.9332029928357866</v>
      </c>
      <c r="AD777" s="156">
        <f t="shared" ref="AD777" si="2224">AD778*AD762</f>
        <v>-6.5154608968577543</v>
      </c>
      <c r="AE777" s="15"/>
      <c r="AF777" s="115">
        <f>_xlfn.XLOOKUP($C777,'Site Level Financials - ''23 ''24'!$C$2:$C$1577,'Site Level Financials - ''23 ''24'!$AF$2:$AF$1577)</f>
        <v>-226.74928557118795</v>
      </c>
      <c r="AG777" s="93">
        <f>SUM(G777:R777)</f>
        <v>-175.37551388822158</v>
      </c>
      <c r="AH777" s="93">
        <f t="shared" ref="AH777" si="2225">SUM(S777:AD777)</f>
        <v>-347.97778386467974</v>
      </c>
    </row>
    <row r="778" spans="2:34" x14ac:dyDescent="0.2">
      <c r="B778" s="9">
        <f>G750</f>
        <v>16</v>
      </c>
      <c r="C778" s="9" t="str">
        <f t="shared" si="2148"/>
        <v>16 - % of Revenue - General and Administrative Expense</v>
      </c>
      <c r="D778" s="9" t="s">
        <v>56</v>
      </c>
      <c r="F778" s="16" t="str">
        <f>"% of Revenue - "&amp;F777</f>
        <v>% of Revenue - General and Administrative Expense</v>
      </c>
      <c r="G778" s="148">
        <f>G777/G762</f>
        <v>-7.6765254182648707E-2</v>
      </c>
      <c r="H778" s="149">
        <f t="shared" ref="H778:R778" si="2226">H777/H762</f>
        <v>-6.9457210095071609E-2</v>
      </c>
      <c r="I778" s="149">
        <f t="shared" si="2226"/>
        <v>-6.5828955062651448E-2</v>
      </c>
      <c r="J778" s="149">
        <f t="shared" si="2226"/>
        <v>-6.5627545963246867E-2</v>
      </c>
      <c r="K778" s="149">
        <f t="shared" si="2226"/>
        <v>-5.908804865287158E-2</v>
      </c>
      <c r="L778" s="149">
        <f t="shared" si="2226"/>
        <v>-6.0472537349481492E-2</v>
      </c>
      <c r="M778" s="149">
        <f t="shared" si="2226"/>
        <v>-4.0219719158623726E-2</v>
      </c>
      <c r="N778" s="149">
        <f t="shared" si="2226"/>
        <v>-3.6279349196532189E-2</v>
      </c>
      <c r="O778" s="149">
        <f t="shared" si="2226"/>
        <v>-3.3497533223465326E-2</v>
      </c>
      <c r="P778" s="149">
        <f t="shared" si="2226"/>
        <v>-3.0116144737463692E-2</v>
      </c>
      <c r="Q778" s="149">
        <f t="shared" si="2226"/>
        <v>-1.9018433195123047E-2</v>
      </c>
      <c r="R778" s="149">
        <f t="shared" si="2226"/>
        <v>-1.6994539683464552E-2</v>
      </c>
      <c r="S778" s="245">
        <f>_xlfn.XLOOKUP($F778,'Budget Assumption Driver'!$A$33:$A$39,'Budget Assumption Driver'!E$33:E$39)+G778</f>
        <v>-7.6765254182648707E-2</v>
      </c>
      <c r="T778" s="246">
        <f>_xlfn.XLOOKUP($F778,'Budget Assumption Driver'!$A$33:$A$39,'Budget Assumption Driver'!F$33:F$39)+H778</f>
        <v>-6.9457210095071609E-2</v>
      </c>
      <c r="U778" s="246">
        <f>_xlfn.XLOOKUP($F778,'Budget Assumption Driver'!$A$33:$A$39,'Budget Assumption Driver'!G$33:G$39)+I778</f>
        <v>-6.5828955062651448E-2</v>
      </c>
      <c r="V778" s="246">
        <f>_xlfn.XLOOKUP($F778,'Budget Assumption Driver'!$A$33:$A$39,'Budget Assumption Driver'!H$33:H$39)+J778</f>
        <v>-6.5627545963246867E-2</v>
      </c>
      <c r="W778" s="246">
        <f>_xlfn.XLOOKUP($F778,'Budget Assumption Driver'!$A$33:$A$39,'Budget Assumption Driver'!I$33:I$39)+K778</f>
        <v>-5.908804865287158E-2</v>
      </c>
      <c r="X778" s="246">
        <f>_xlfn.XLOOKUP($F778,'Budget Assumption Driver'!$A$33:$A$39,'Budget Assumption Driver'!J$33:J$39)+L778</f>
        <v>-6.0472537349481492E-2</v>
      </c>
      <c r="Y778" s="246">
        <f>_xlfn.XLOOKUP($F778,'Budget Assumption Driver'!$A$33:$A$39,'Budget Assumption Driver'!K$33:K$39)+M778</f>
        <v>-4.0219719158623726E-2</v>
      </c>
      <c r="Z778" s="246">
        <f>_xlfn.XLOOKUP($F778,'Budget Assumption Driver'!$A$33:$A$39,'Budget Assumption Driver'!L$33:L$39)+N778</f>
        <v>-3.6279349196532189E-2</v>
      </c>
      <c r="AA778" s="246">
        <f>_xlfn.XLOOKUP($F778,'Budget Assumption Driver'!$A$33:$A$39,'Budget Assumption Driver'!M$33:M$39)+O778</f>
        <v>-3.3497533223465326E-2</v>
      </c>
      <c r="AB778" s="246">
        <f>_xlfn.XLOOKUP($F778,'Budget Assumption Driver'!$A$33:$A$39,'Budget Assumption Driver'!N$33:N$39)+P778</f>
        <v>-3.0116144737463692E-2</v>
      </c>
      <c r="AC778" s="246">
        <f>_xlfn.XLOOKUP($F778,'Budget Assumption Driver'!$A$33:$A$39,'Budget Assumption Driver'!O$33:O$39)+Q778</f>
        <v>-1.9018433195123047E-2</v>
      </c>
      <c r="AD778" s="296">
        <f>_xlfn.XLOOKUP($F778,'Budget Assumption Driver'!$A$33:$A$39,'Budget Assumption Driver'!P$33:P$39)+R778</f>
        <v>-1.6994539683464552E-2</v>
      </c>
      <c r="AE778" s="15"/>
      <c r="AF778" s="232">
        <f>_xlfn.XLOOKUP($C778,'Site Level Financials - ''23 ''24'!$C$2:$C$1577,'Site Level Financials - ''23 ''24'!$AF$2:$AF$1577)</f>
        <v>-0.10207945231358043</v>
      </c>
      <c r="AG778" s="97">
        <f t="shared" ref="AG778:AH778" si="2227">AG777/AG762</f>
        <v>-4.4354084234562746E-2</v>
      </c>
      <c r="AH778" s="97">
        <f t="shared" si="2227"/>
        <v>-4.9693486634188939E-2</v>
      </c>
    </row>
    <row r="779" spans="2:34" ht="3" customHeight="1" x14ac:dyDescent="0.2">
      <c r="B779" s="9">
        <f>G750</f>
        <v>16</v>
      </c>
      <c r="C779" s="9" t="str">
        <f t="shared" si="2148"/>
        <v xml:space="preserve">16 - </v>
      </c>
      <c r="D779" s="9" t="s">
        <v>56</v>
      </c>
      <c r="F779" s="16"/>
      <c r="G779" s="84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4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6"/>
      <c r="AE779" s="15"/>
      <c r="AF779" s="36"/>
      <c r="AG779" s="38"/>
      <c r="AH779" s="38"/>
    </row>
    <row r="780" spans="2:34" x14ac:dyDescent="0.2">
      <c r="B780" s="9">
        <f>G750</f>
        <v>16</v>
      </c>
      <c r="C780" s="9" t="str">
        <f t="shared" si="2148"/>
        <v>16 - Marketing</v>
      </c>
      <c r="D780" s="9" t="s">
        <v>56</v>
      </c>
      <c r="F780" t="s">
        <v>7</v>
      </c>
      <c r="G780" s="178">
        <f>_xlfn.XLOOKUP($C780,'Site Level Financials - ''23 ''24'!$C$2:$C$1577,'Site Level Financials - ''23 ''24'!S$2:S$1577)</f>
        <v>-7.726289130675287</v>
      </c>
      <c r="H780" s="179">
        <f>_xlfn.XLOOKUP($C780,'Site Level Financials - ''23 ''24'!$C$2:$C$1577,'Site Level Financials - ''23 ''24'!T$2:T$1577)</f>
        <v>-8.2184024671034717</v>
      </c>
      <c r="I780" s="179">
        <f>_xlfn.XLOOKUP($C780,'Site Level Financials - ''23 ''24'!$C$2:$C$1577,'Site Level Financials - ''23 ''24'!U$2:U$1577)</f>
        <v>-7.9583336990948936</v>
      </c>
      <c r="J780" s="179">
        <f>_xlfn.XLOOKUP($C780,'Site Level Financials - ''23 ''24'!$C$2:$C$1577,'Site Level Financials - ''23 ''24'!V$2:V$1577)</f>
        <v>-6.6568957249133822</v>
      </c>
      <c r="K780" s="179">
        <f>_xlfn.XLOOKUP($C780,'Site Level Financials - ''23 ''24'!$C$2:$C$1577,'Site Level Financials - ''23 ''24'!W$2:W$1577)</f>
        <v>-8.7216518843827533</v>
      </c>
      <c r="L780" s="179">
        <f>_xlfn.XLOOKUP($C780,'Site Level Financials - ''23 ''24'!$C$2:$C$1577,'Site Level Financials - ''23 ''24'!X$2:X$1577)</f>
        <v>-8.6782847645541352</v>
      </c>
      <c r="M780" s="179">
        <f>_xlfn.XLOOKUP($C780,'Site Level Financials - ''23 ''24'!$C$2:$C$1577,'Site Level Financials - ''23 ''24'!Y$2:Y$1577)</f>
        <v>-7.5017863011087123</v>
      </c>
      <c r="N780" s="179">
        <f>_xlfn.XLOOKUP($C780,'Site Level Financials - ''23 ''24'!$C$2:$C$1577,'Site Level Financials - ''23 ''24'!Z$2:Z$1577)</f>
        <v>-7.0692625942803602</v>
      </c>
      <c r="O780" s="179">
        <f>_xlfn.XLOOKUP($C780,'Site Level Financials - ''23 ''24'!$C$2:$C$1577,'Site Level Financials - ''23 ''24'!AA$2:AA$1577)</f>
        <v>-8.1881100186058724</v>
      </c>
      <c r="P780" s="179">
        <f>_xlfn.XLOOKUP($C780,'Site Level Financials - ''23 ''24'!$C$2:$C$1577,'Site Level Financials - ''23 ''24'!AB$2:AB$1577)</f>
        <v>-8.8632019512480547</v>
      </c>
      <c r="Q780" s="179">
        <f>_xlfn.XLOOKUP($C780,'Site Level Financials - ''23 ''24'!$C$2:$C$1577,'Site Level Financials - ''23 ''24'!AC$2:AC$1577)</f>
        <v>-6.6128151255494068</v>
      </c>
      <c r="R780" s="179">
        <f>_xlfn.XLOOKUP($C780,'Site Level Financials - ''23 ''24'!$C$2:$C$1577,'Site Level Financials - ''23 ''24'!AD$2:AD$1577)</f>
        <v>-5.8556022888580932</v>
      </c>
      <c r="S780" s="155">
        <f>S781*S762</f>
        <v>-17.844986219915054</v>
      </c>
      <c r="T780" s="154">
        <f t="shared" ref="T780" si="2228">T781*T762</f>
        <v>-18.794071497950227</v>
      </c>
      <c r="U780" s="154">
        <f t="shared" ref="U780" si="2229">U781*U762</f>
        <v>-18.341939378160351</v>
      </c>
      <c r="V780" s="154">
        <f t="shared" ref="V780" si="2230">V781*V762</f>
        <v>-15.366132173649316</v>
      </c>
      <c r="W780" s="154">
        <f t="shared" ref="W780" si="2231">W781*W762</f>
        <v>-22.127155795174986</v>
      </c>
      <c r="X780" s="154">
        <f t="shared" ref="X780" si="2232">X781*X762</f>
        <v>-19.424720083471463</v>
      </c>
      <c r="Y780" s="154">
        <f t="shared" ref="Y780" si="2233">Y781*Y762</f>
        <v>-12.409179073480557</v>
      </c>
      <c r="Z780" s="154">
        <f t="shared" ref="Z780" si="2234">Z781*Z762</f>
        <v>-10.791073035817268</v>
      </c>
      <c r="AA780" s="154">
        <f t="shared" ref="AA780" si="2235">AA781*AA762</f>
        <v>-11.731701161774437</v>
      </c>
      <c r="AB780" s="154">
        <f t="shared" ref="AB780" si="2236">AB781*AB762</f>
        <v>-12.767537127521257</v>
      </c>
      <c r="AC780" s="154">
        <f t="shared" ref="AC780" si="2237">AC781*AC762</f>
        <v>-7.5926910367550429</v>
      </c>
      <c r="AD780" s="156">
        <f t="shared" ref="AD780" si="2238">AD781*AD762</f>
        <v>-6.0705887039113842</v>
      </c>
      <c r="AE780" s="15"/>
      <c r="AF780" s="115">
        <f>_xlfn.XLOOKUP($C780,'Site Level Financials - ''23 ''24'!$C$2:$C$1577,'Site Level Financials - ''23 ''24'!$AF$2:$AF$1577)</f>
        <v>-60.804981486941102</v>
      </c>
      <c r="AG780" s="93">
        <f>SUM(G780:R780)</f>
        <v>-92.050635950374414</v>
      </c>
      <c r="AH780" s="93">
        <f t="shared" ref="AH780" si="2239">SUM(S780:AD780)</f>
        <v>-173.26177528758134</v>
      </c>
    </row>
    <row r="781" spans="2:34" x14ac:dyDescent="0.2">
      <c r="B781" s="9">
        <f>G750</f>
        <v>16</v>
      </c>
      <c r="C781" s="9" t="str">
        <f t="shared" si="2148"/>
        <v>16 - % of Revenue - Marketing</v>
      </c>
      <c r="D781" s="9" t="s">
        <v>56</v>
      </c>
      <c r="F781" s="16" t="str">
        <f>"% of Revenue - "&amp;F780</f>
        <v>% of Revenue - Marketing</v>
      </c>
      <c r="G781" s="148">
        <f>G780/G762</f>
        <v>-3.2471658914038061E-2</v>
      </c>
      <c r="H781" s="149">
        <f t="shared" ref="H781:R781" si="2240">H780/H762</f>
        <v>-3.3026908058539493E-2</v>
      </c>
      <c r="I781" s="149">
        <f t="shared" si="2240"/>
        <v>-3.0017412341210765E-2</v>
      </c>
      <c r="J781" s="149">
        <f t="shared" si="2240"/>
        <v>-2.3476729172141626E-2</v>
      </c>
      <c r="K781" s="149">
        <f t="shared" si="2240"/>
        <v>-2.8444294254431603E-2</v>
      </c>
      <c r="L781" s="149">
        <f t="shared" si="2240"/>
        <v>-2.9735481424849781E-2</v>
      </c>
      <c r="M781" s="149">
        <f t="shared" si="2240"/>
        <v>-1.8855814370140563E-2</v>
      </c>
      <c r="N781" s="149">
        <f t="shared" si="2240"/>
        <v>-1.9122179440303703E-2</v>
      </c>
      <c r="O781" s="149">
        <f t="shared" si="2240"/>
        <v>-2.2674702628762242E-2</v>
      </c>
      <c r="P781" s="149">
        <f t="shared" si="2240"/>
        <v>-2.1486193528015552E-2</v>
      </c>
      <c r="Q781" s="149">
        <f t="shared" si="2240"/>
        <v>-1.6164536658300671E-2</v>
      </c>
      <c r="R781" s="149">
        <f t="shared" si="2240"/>
        <v>-1.5834161583314618E-2</v>
      </c>
      <c r="S781" s="245">
        <f>_xlfn.XLOOKUP($F781,'Budget Assumption Driver'!$A$33:$A$39,'Budget Assumption Driver'!E$33:E$39)+G781</f>
        <v>-3.2471658914038061E-2</v>
      </c>
      <c r="T781" s="246">
        <f>_xlfn.XLOOKUP($F781,'Budget Assumption Driver'!$A$33:$A$39,'Budget Assumption Driver'!F$33:F$39)+H781</f>
        <v>-3.3026908058539493E-2</v>
      </c>
      <c r="U781" s="246">
        <f>_xlfn.XLOOKUP($F781,'Budget Assumption Driver'!$A$33:$A$39,'Budget Assumption Driver'!G$33:G$39)+I781</f>
        <v>-3.0017412341210765E-2</v>
      </c>
      <c r="V781" s="246">
        <f>_xlfn.XLOOKUP($F781,'Budget Assumption Driver'!$A$33:$A$39,'Budget Assumption Driver'!H$33:H$39)+J781</f>
        <v>-2.3476729172141626E-2</v>
      </c>
      <c r="W781" s="246">
        <f>_xlfn.XLOOKUP($F781,'Budget Assumption Driver'!$A$33:$A$39,'Budget Assumption Driver'!I$33:I$39)+K781</f>
        <v>-2.8444294254431603E-2</v>
      </c>
      <c r="X781" s="246">
        <f>_xlfn.XLOOKUP($F781,'Budget Assumption Driver'!$A$33:$A$39,'Budget Assumption Driver'!J$33:J$39)+L781</f>
        <v>-2.9735481424849781E-2</v>
      </c>
      <c r="Y781" s="246">
        <f>_xlfn.XLOOKUP($F781,'Budget Assumption Driver'!$A$33:$A$39,'Budget Assumption Driver'!K$33:K$39)+M781</f>
        <v>-1.8855814370140563E-2</v>
      </c>
      <c r="Z781" s="246">
        <f>_xlfn.XLOOKUP($F781,'Budget Assumption Driver'!$A$33:$A$39,'Budget Assumption Driver'!L$33:L$39)+N781</f>
        <v>-1.9122179440303703E-2</v>
      </c>
      <c r="AA781" s="246">
        <f>_xlfn.XLOOKUP($F781,'Budget Assumption Driver'!$A$33:$A$39,'Budget Assumption Driver'!M$33:M$39)+O781</f>
        <v>-2.2674702628762242E-2</v>
      </c>
      <c r="AB781" s="246">
        <f>_xlfn.XLOOKUP($F781,'Budget Assumption Driver'!$A$33:$A$39,'Budget Assumption Driver'!N$33:N$39)+P781</f>
        <v>-2.1486193528015552E-2</v>
      </c>
      <c r="AC781" s="246">
        <f>_xlfn.XLOOKUP($F781,'Budget Assumption Driver'!$A$33:$A$39,'Budget Assumption Driver'!O$33:O$39)+Q781</f>
        <v>-1.6164536658300671E-2</v>
      </c>
      <c r="AD781" s="296">
        <f>_xlfn.XLOOKUP($F781,'Budget Assumption Driver'!$A$33:$A$39,'Budget Assumption Driver'!P$33:P$39)+R781</f>
        <v>-1.5834161583314618E-2</v>
      </c>
      <c r="AE781" s="15"/>
      <c r="AF781" s="232">
        <f>_xlfn.XLOOKUP($C781,'Site Level Financials - ''23 ''24'!$C$2:$C$1577,'Site Level Financials - ''23 ''24'!$AF$2:$AF$1577)</f>
        <v>-2.737357779315109E-2</v>
      </c>
      <c r="AG781" s="97">
        <f t="shared" ref="AG781:AH781" si="2241">AG780/AG762</f>
        <v>-2.3280454438983023E-2</v>
      </c>
      <c r="AH781" s="97">
        <f t="shared" si="2241"/>
        <v>-2.4742906339726239E-2</v>
      </c>
    </row>
    <row r="782" spans="2:34" ht="3" customHeight="1" x14ac:dyDescent="0.2">
      <c r="B782" s="9">
        <f>G750</f>
        <v>16</v>
      </c>
      <c r="C782" s="9" t="str">
        <f t="shared" si="2148"/>
        <v xml:space="preserve">16 - </v>
      </c>
      <c r="D782" s="9" t="s">
        <v>56</v>
      </c>
      <c r="F782" s="16"/>
      <c r="G782" s="84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4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6"/>
      <c r="AE782" s="15"/>
      <c r="AF782" s="36"/>
      <c r="AG782" s="38"/>
      <c r="AH782" s="38"/>
    </row>
    <row r="783" spans="2:34" x14ac:dyDescent="0.2">
      <c r="B783" s="9">
        <f>G750</f>
        <v>16</v>
      </c>
      <c r="C783" s="9" t="str">
        <f t="shared" si="2148"/>
        <v>16 - Office Rent</v>
      </c>
      <c r="D783" s="9" t="s">
        <v>56</v>
      </c>
      <c r="F783" t="s">
        <v>162</v>
      </c>
      <c r="G783" s="178">
        <f>_xlfn.XLOOKUP($C783,'Site Level Financials - ''23 ''24'!$C$2:$C$1577,'Site Level Financials - ''23 ''24'!S$2:S$1577)</f>
        <v>-26.423709888577655</v>
      </c>
      <c r="H783" s="179">
        <f>_xlfn.XLOOKUP($C783,'Site Level Financials - ''23 ''24'!$C$2:$C$1577,'Site Level Financials - ''23 ''24'!T$2:T$1577)</f>
        <v>-26.423709888577655</v>
      </c>
      <c r="I783" s="179">
        <f>_xlfn.XLOOKUP($C783,'Site Level Financials - ''23 ''24'!$C$2:$C$1577,'Site Level Financials - ''23 ''24'!U$2:U$1577)</f>
        <v>-26.423709888577655</v>
      </c>
      <c r="J783" s="179">
        <f>_xlfn.XLOOKUP($C783,'Site Level Financials - ''23 ''24'!$C$2:$C$1577,'Site Level Financials - ''23 ''24'!V$2:V$1577)</f>
        <v>-26.423709888577655</v>
      </c>
      <c r="K783" s="179">
        <f>_xlfn.XLOOKUP($C783,'Site Level Financials - ''23 ''24'!$C$2:$C$1577,'Site Level Financials - ''23 ''24'!W$2:W$1577)</f>
        <v>-26.423709888577655</v>
      </c>
      <c r="L783" s="179">
        <f>_xlfn.XLOOKUP($C783,'Site Level Financials - ''23 ''24'!$C$2:$C$1577,'Site Level Financials - ''23 ''24'!X$2:X$1577)</f>
        <v>-26.423709888577655</v>
      </c>
      <c r="M783" s="179">
        <f>_xlfn.XLOOKUP($C783,'Site Level Financials - ''23 ''24'!$C$2:$C$1577,'Site Level Financials - ''23 ''24'!Y$2:Y$1577)</f>
        <v>-26.423709888577655</v>
      </c>
      <c r="N783" s="179">
        <f>_xlfn.XLOOKUP($C783,'Site Level Financials - ''23 ''24'!$C$2:$C$1577,'Site Level Financials - ''23 ''24'!Z$2:Z$1577)</f>
        <v>-26.423709888577655</v>
      </c>
      <c r="O783" s="179">
        <f>_xlfn.XLOOKUP($C783,'Site Level Financials - ''23 ''24'!$C$2:$C$1577,'Site Level Financials - ''23 ''24'!AA$2:AA$1577)</f>
        <v>-26.423709888577655</v>
      </c>
      <c r="P783" s="179">
        <f>_xlfn.XLOOKUP($C783,'Site Level Financials - ''23 ''24'!$C$2:$C$1577,'Site Level Financials - ''23 ''24'!AB$2:AB$1577)</f>
        <v>-27.216421185234985</v>
      </c>
      <c r="Q783" s="179">
        <f>_xlfn.XLOOKUP($C783,'Site Level Financials - ''23 ''24'!$C$2:$C$1577,'Site Level Financials - ''23 ''24'!AC$2:AC$1577)</f>
        <v>-27.216421185234985</v>
      </c>
      <c r="R783" s="179">
        <f>_xlfn.XLOOKUP($C783,'Site Level Financials - ''23 ''24'!$C$2:$C$1577,'Site Level Financials - ''23 ''24'!AD$2:AD$1577)</f>
        <v>-27.216421185234985</v>
      </c>
      <c r="S783" s="155">
        <f>G783*(1+S784)</f>
        <v>-27.216421185234985</v>
      </c>
      <c r="T783" s="154">
        <f t="shared" ref="T783" si="2242">H783*(1+T784)</f>
        <v>-27.216421185234985</v>
      </c>
      <c r="U783" s="154">
        <f t="shared" ref="U783" si="2243">I783*(1+U784)</f>
        <v>-27.216421185234985</v>
      </c>
      <c r="V783" s="154">
        <f t="shared" ref="V783" si="2244">J783*(1+V784)</f>
        <v>-27.216421185234985</v>
      </c>
      <c r="W783" s="154">
        <f t="shared" ref="W783" si="2245">K783*(1+W784)</f>
        <v>-27.216421185234985</v>
      </c>
      <c r="X783" s="154">
        <f t="shared" ref="X783" si="2246">L783*(1+X784)</f>
        <v>-27.216421185234985</v>
      </c>
      <c r="Y783" s="154">
        <f t="shared" ref="Y783" si="2247">M783*(1+Y784)</f>
        <v>-27.216421185234985</v>
      </c>
      <c r="Z783" s="154">
        <f t="shared" ref="Z783" si="2248">N783*(1+Z784)</f>
        <v>-27.216421185234985</v>
      </c>
      <c r="AA783" s="154">
        <f t="shared" ref="AA783" si="2249">O783*(1+AA784)</f>
        <v>-27.216421185234985</v>
      </c>
      <c r="AB783" s="154">
        <f t="shared" ref="AB783" si="2250">P783*(1+AB784)</f>
        <v>-28.032913820792036</v>
      </c>
      <c r="AC783" s="154">
        <f t="shared" ref="AC783" si="2251">Q783*(1+AC784)</f>
        <v>-28.032913820792036</v>
      </c>
      <c r="AD783" s="156">
        <f t="shared" ref="AD783" si="2252">R783*(1+AD784)</f>
        <v>-28.032913820792036</v>
      </c>
      <c r="AE783" s="15"/>
      <c r="AF783" s="115">
        <f>_xlfn.XLOOKUP($C783,'Site Level Financials - ''23 ''24'!$C$2:$C$1577,'Site Level Financials - ''23 ''24'!$AF$2:$AF$1577)</f>
        <v>-310.15326679133523</v>
      </c>
      <c r="AG783" s="93">
        <f>SUM(G783:R783)</f>
        <v>-319.46265255290388</v>
      </c>
      <c r="AH783" s="93">
        <f t="shared" ref="AH783" si="2253">SUM(S783:AD783)</f>
        <v>-329.04653212949103</v>
      </c>
    </row>
    <row r="784" spans="2:34" x14ac:dyDescent="0.2">
      <c r="B784" s="9">
        <f>G750</f>
        <v>16</v>
      </c>
      <c r="C784" s="9" t="str">
        <f t="shared" si="2148"/>
        <v>16 - % YoY Growth</v>
      </c>
      <c r="D784" s="9" t="s">
        <v>56</v>
      </c>
      <c r="F784" s="16" t="s">
        <v>8</v>
      </c>
      <c r="G784" s="245">
        <f>_xlfn.XLOOKUP($C784,'Site Level Financials - ''23 ''24'!$C$2:$C$1577,'Site Level Financials - ''23 ''24'!S$2:S$1577)</f>
        <v>3.0015436748024982E-2</v>
      </c>
      <c r="H784" s="246">
        <f>_xlfn.XLOOKUP($C784,'Site Level Financials - ''23 ''24'!$C$2:$C$1577,'Site Level Financials - ''23 ''24'!T$2:T$1577)</f>
        <v>3.0015436748024982E-2</v>
      </c>
      <c r="I784" s="246">
        <f>_xlfn.XLOOKUP($C784,'Site Level Financials - ''23 ''24'!$C$2:$C$1577,'Site Level Financials - ''23 ''24'!U$2:U$1577)</f>
        <v>3.0015436748024982E-2</v>
      </c>
      <c r="J784" s="246">
        <f>_xlfn.XLOOKUP($C784,'Site Level Financials - ''23 ''24'!$C$2:$C$1577,'Site Level Financials - ''23 ''24'!V$2:V$1577)</f>
        <v>3.0015436748024982E-2</v>
      </c>
      <c r="K784" s="246">
        <f>_xlfn.XLOOKUP($C784,'Site Level Financials - ''23 ''24'!$C$2:$C$1577,'Site Level Financials - ''23 ''24'!W$2:W$1577)</f>
        <v>3.0015436748024982E-2</v>
      </c>
      <c r="L784" s="246">
        <f>_xlfn.XLOOKUP($C784,'Site Level Financials - ''23 ''24'!$C$2:$C$1577,'Site Level Financials - ''23 ''24'!X$2:X$1577)</f>
        <v>3.0015436748024982E-2</v>
      </c>
      <c r="M784" s="246">
        <f>_xlfn.XLOOKUP($C784,'Site Level Financials - ''23 ''24'!$C$2:$C$1577,'Site Level Financials - ''23 ''24'!Y$2:Y$1577)</f>
        <v>3.0015436748024982E-2</v>
      </c>
      <c r="N784" s="246">
        <f>_xlfn.XLOOKUP($C784,'Site Level Financials - ''23 ''24'!$C$2:$C$1577,'Site Level Financials - ''23 ''24'!Z$2:Z$1577)</f>
        <v>3.0015436748024982E-2</v>
      </c>
      <c r="O784" s="246">
        <f>_xlfn.XLOOKUP($C784,'Site Level Financials - ''23 ''24'!$C$2:$C$1577,'Site Level Financials - ''23 ''24'!AA$2:AA$1577)</f>
        <v>3.0015436748024982E-2</v>
      </c>
      <c r="P784" s="246">
        <f>_xlfn.XLOOKUP($C784,'Site Level Financials - ''23 ''24'!$C$2:$C$1577,'Site Level Financials - ''23 ''24'!AB$2:AB$1577)</f>
        <v>3.0015436748024982E-2</v>
      </c>
      <c r="Q784" s="246">
        <f>_xlfn.XLOOKUP($C784,'Site Level Financials - ''23 ''24'!$C$2:$C$1577,'Site Level Financials - ''23 ''24'!AC$2:AC$1577)</f>
        <v>3.0015436748024982E-2</v>
      </c>
      <c r="R784" s="246">
        <f>_xlfn.XLOOKUP($C784,'Site Level Financials - ''23 ''24'!$C$2:$C$1577,'Site Level Financials - ''23 ''24'!AD$2:AD$1577)</f>
        <v>3.0015436748024982E-2</v>
      </c>
      <c r="S784" s="245">
        <f>_xlfn.XLOOKUP($F784,'Budget Assumption Driver'!$A$33:$A$39,'Budget Assumption Driver'!E$33:E$39)</f>
        <v>0.03</v>
      </c>
      <c r="T784" s="246">
        <f>_xlfn.XLOOKUP($F784,'Budget Assumption Driver'!$A$33:$A$39,'Budget Assumption Driver'!F$33:F$39)</f>
        <v>0.03</v>
      </c>
      <c r="U784" s="246">
        <f>_xlfn.XLOOKUP($F784,'Budget Assumption Driver'!$A$33:$A$39,'Budget Assumption Driver'!G$33:G$39)</f>
        <v>0.03</v>
      </c>
      <c r="V784" s="246">
        <f>_xlfn.XLOOKUP($F784,'Budget Assumption Driver'!$A$33:$A$39,'Budget Assumption Driver'!H$33:H$39)</f>
        <v>0.03</v>
      </c>
      <c r="W784" s="246">
        <f>_xlfn.XLOOKUP($F784,'Budget Assumption Driver'!$A$33:$A$39,'Budget Assumption Driver'!I$33:I$39)</f>
        <v>0.03</v>
      </c>
      <c r="X784" s="246">
        <f>_xlfn.XLOOKUP($F784,'Budget Assumption Driver'!$A$33:$A$39,'Budget Assumption Driver'!J$33:J$39)</f>
        <v>0.03</v>
      </c>
      <c r="Y784" s="246">
        <f>_xlfn.XLOOKUP($F784,'Budget Assumption Driver'!$A$33:$A$39,'Budget Assumption Driver'!K$33:K$39)</f>
        <v>0.03</v>
      </c>
      <c r="Z784" s="246">
        <f>_xlfn.XLOOKUP($F784,'Budget Assumption Driver'!$A$33:$A$39,'Budget Assumption Driver'!L$33:L$39)</f>
        <v>0.03</v>
      </c>
      <c r="AA784" s="246">
        <f>_xlfn.XLOOKUP($F784,'Budget Assumption Driver'!$A$33:$A$39,'Budget Assumption Driver'!M$33:M$39)</f>
        <v>0.03</v>
      </c>
      <c r="AB784" s="246">
        <f>_xlfn.XLOOKUP($F784,'Budget Assumption Driver'!$A$33:$A$39,'Budget Assumption Driver'!N$33:N$39)</f>
        <v>0.03</v>
      </c>
      <c r="AC784" s="246">
        <f>_xlfn.XLOOKUP($F784,'Budget Assumption Driver'!$A$33:$A$39,'Budget Assumption Driver'!O$33:O$39)</f>
        <v>0.03</v>
      </c>
      <c r="AD784" s="296">
        <f>_xlfn.XLOOKUP($F784,'Budget Assumption Driver'!$A$33:$A$39,'Budget Assumption Driver'!P$33:P$39)</f>
        <v>0.03</v>
      </c>
      <c r="AE784" s="15"/>
      <c r="AF784" s="11"/>
      <c r="AG784" s="97">
        <f>AG783/AF783-1</f>
        <v>3.0015436748024982E-2</v>
      </c>
      <c r="AH784" s="97">
        <f>AH783/AG783-1</f>
        <v>3.0000000000000027E-2</v>
      </c>
    </row>
    <row r="785" spans="2:35" ht="6" customHeight="1" x14ac:dyDescent="0.2">
      <c r="B785" s="9">
        <f>G750</f>
        <v>16</v>
      </c>
      <c r="C785" s="9" t="str">
        <f t="shared" si="2148"/>
        <v xml:space="preserve">16 - </v>
      </c>
      <c r="D785" s="9" t="s">
        <v>56</v>
      </c>
      <c r="F785" s="16"/>
      <c r="G785" s="80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80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81"/>
      <c r="AE785" s="15"/>
      <c r="AF785" s="11"/>
      <c r="AG785" s="15"/>
      <c r="AH785" s="15"/>
    </row>
    <row r="786" spans="2:35" x14ac:dyDescent="0.2">
      <c r="B786" s="9">
        <f>G750</f>
        <v>16</v>
      </c>
      <c r="C786" s="9" t="str">
        <f t="shared" si="2148"/>
        <v>16 - Office EBITDA</v>
      </c>
      <c r="D786" s="9" t="s">
        <v>56</v>
      </c>
      <c r="F786" s="8" t="s">
        <v>12</v>
      </c>
      <c r="G786" s="241">
        <f>_xlfn.XLOOKUP($C786,'Site Level Financials - ''23 ''24'!$C$2:$C$1577,'Site Level Financials - ''23 ''24'!S$2:S$1577)</f>
        <v>-26.577282513443354</v>
      </c>
      <c r="H786" s="242">
        <f>_xlfn.XLOOKUP($C786,'Site Level Financials - ''23 ''24'!$C$2:$C$1577,'Site Level Financials - ''23 ''24'!T$2:T$1577)</f>
        <v>-25.368125396142815</v>
      </c>
      <c r="I786" s="242">
        <f>_xlfn.XLOOKUP($C786,'Site Level Financials - ''23 ''24'!$C$2:$C$1577,'Site Level Financials - ''23 ''24'!U$2:U$1577)</f>
        <v>-21.552531466757415</v>
      </c>
      <c r="J786" s="242">
        <f>_xlfn.XLOOKUP($C786,'Site Level Financials - ''23 ''24'!$C$2:$C$1577,'Site Level Financials - ''23 ''24'!V$2:V$1577)</f>
        <v>23.454216786967734</v>
      </c>
      <c r="K786" s="242">
        <f>_xlfn.XLOOKUP($C786,'Site Level Financials - ''23 ''24'!$C$2:$C$1577,'Site Level Financials - ''23 ''24'!W$2:W$1577)</f>
        <v>34.783338645832991</v>
      </c>
      <c r="L786" s="242">
        <f>_xlfn.XLOOKUP($C786,'Site Level Financials - ''23 ''24'!$C$2:$C$1577,'Site Level Financials - ''23 ''24'!X$2:X$1577)</f>
        <v>31.029194375707824</v>
      </c>
      <c r="M786" s="242">
        <f>_xlfn.XLOOKUP($C786,'Site Level Financials - ''23 ''24'!$C$2:$C$1577,'Site Level Financials - ''23 ''24'!Y$2:Y$1577)</f>
        <v>111.94373660099157</v>
      </c>
      <c r="N786" s="242">
        <f>_xlfn.XLOOKUP($C786,'Site Level Financials - ''23 ''24'!$C$2:$C$1577,'Site Level Financials - ''23 ''24'!Z$2:Z$1577)</f>
        <v>106.33197619470565</v>
      </c>
      <c r="O786" s="242">
        <f>_xlfn.XLOOKUP($C786,'Site Level Financials - ''23 ''24'!$C$2:$C$1577,'Site Level Financials - ''23 ''24'!AA$2:AA$1577)</f>
        <v>101.60047044713178</v>
      </c>
      <c r="P786" s="242">
        <f>_xlfn.XLOOKUP($C786,'Site Level Financials - ''23 ''24'!$C$2:$C$1577,'Site Level Financials - ''23 ''24'!AB$2:AB$1577)</f>
        <v>125.64903218104061</v>
      </c>
      <c r="Q786" s="242">
        <f>_xlfn.XLOOKUP($C786,'Site Level Financials - ''23 ''24'!$C$2:$C$1577,'Site Level Financials - ''23 ''24'!AC$2:AC$1577)</f>
        <v>190.41973764454659</v>
      </c>
      <c r="R786" s="242">
        <f>_xlfn.XLOOKUP($C786,'Site Level Financials - ''23 ''24'!$C$2:$C$1577,'Site Level Financials - ''23 ''24'!AD$2:AD$1577)</f>
        <v>200.42764618323008</v>
      </c>
      <c r="S786" s="134">
        <f t="shared" ref="S786:AD786" si="2254">S774+S777+S780+S783</f>
        <v>-27.571119453463634</v>
      </c>
      <c r="T786" s="135">
        <f t="shared" si="2254"/>
        <v>-24.802481188701819</v>
      </c>
      <c r="U786" s="135">
        <f t="shared" si="2254"/>
        <v>-15.989591211594718</v>
      </c>
      <c r="V786" s="135">
        <f t="shared" si="2254"/>
        <v>87.916945103748333</v>
      </c>
      <c r="W786" s="135">
        <f t="shared" si="2254"/>
        <v>128.06814149134442</v>
      </c>
      <c r="X786" s="135">
        <f t="shared" si="2254"/>
        <v>101.38117771754384</v>
      </c>
      <c r="Y786" s="135">
        <f t="shared" si="2254"/>
        <v>201.66592130105241</v>
      </c>
      <c r="Z786" s="135">
        <f t="shared" si="2254"/>
        <v>175.43219814937822</v>
      </c>
      <c r="AA786" s="135">
        <f t="shared" si="2254"/>
        <v>156.21313969838718</v>
      </c>
      <c r="AB786" s="135">
        <f t="shared" si="2254"/>
        <v>192.17140535242339</v>
      </c>
      <c r="AC786" s="135">
        <f t="shared" si="2254"/>
        <v>221.85220787817437</v>
      </c>
      <c r="AD786" s="136">
        <f t="shared" si="2254"/>
        <v>207.96902683507483</v>
      </c>
      <c r="AE786" s="15"/>
      <c r="AF786" s="113">
        <f>_xlfn.XLOOKUP($C786,'Site Level Financials - ''23 ''24'!$C$2:$C$1577,'Site Level Financials - ''23 ''24'!$AF$2:$AF$1577)</f>
        <v>-56.825297584602595</v>
      </c>
      <c r="AG786" s="95">
        <f>SUM(G786:R786)</f>
        <v>852.14140968381128</v>
      </c>
      <c r="AH786" s="95">
        <f t="shared" ref="AH786" si="2255">SUM(S786:AD786)</f>
        <v>1404.3069716733669</v>
      </c>
    </row>
    <row r="787" spans="2:35" x14ac:dyDescent="0.2">
      <c r="B787" s="9">
        <f>G750</f>
        <v>16</v>
      </c>
      <c r="C787" s="9" t="str">
        <f t="shared" si="2148"/>
        <v>16 - % of Revenue - Office EBITDA</v>
      </c>
      <c r="D787" s="9" t="s">
        <v>56</v>
      </c>
      <c r="F787" s="16" t="str">
        <f>"% of Revenue - "&amp;F786</f>
        <v>% of Revenue - Office EBITDA</v>
      </c>
      <c r="G787" s="148">
        <f>G786/G762</f>
        <v>-0.11169766469289932</v>
      </c>
      <c r="H787" s="149">
        <f t="shared" ref="H787:AD787" si="2256">H786/H762</f>
        <v>-0.10194569424283721</v>
      </c>
      <c r="I787" s="149">
        <f t="shared" si="2256"/>
        <v>-8.1292296666091737E-2</v>
      </c>
      <c r="J787" s="149">
        <f t="shared" si="2256"/>
        <v>8.2715475531878468E-2</v>
      </c>
      <c r="K787" s="149">
        <f t="shared" si="2256"/>
        <v>0.11344038178882633</v>
      </c>
      <c r="L787" s="149">
        <f t="shared" si="2256"/>
        <v>0.10631916997647833</v>
      </c>
      <c r="M787" s="149">
        <f t="shared" si="2256"/>
        <v>0.28137169369064097</v>
      </c>
      <c r="N787" s="149">
        <f t="shared" si="2256"/>
        <v>0.28762535015779106</v>
      </c>
      <c r="O787" s="149">
        <f t="shared" si="2256"/>
        <v>0.2813543600533232</v>
      </c>
      <c r="P787" s="149">
        <f t="shared" si="2256"/>
        <v>0.30459865823880239</v>
      </c>
      <c r="Q787" s="149">
        <f t="shared" si="2256"/>
        <v>0.46546694126180321</v>
      </c>
      <c r="R787" s="149">
        <f t="shared" si="2256"/>
        <v>0.54197733706528151</v>
      </c>
      <c r="S787" s="148">
        <f t="shared" si="2256"/>
        <v>-5.0169833461229336E-2</v>
      </c>
      <c r="T787" s="149">
        <f t="shared" si="2256"/>
        <v>-4.3585513970841858E-2</v>
      </c>
      <c r="U787" s="149">
        <f t="shared" si="2256"/>
        <v>-2.6167688305487019E-2</v>
      </c>
      <c r="V787" s="149">
        <f t="shared" si="2256"/>
        <v>0.1343215251904579</v>
      </c>
      <c r="W787" s="149">
        <f t="shared" si="2256"/>
        <v>0.16463064367234795</v>
      </c>
      <c r="X787" s="149">
        <f t="shared" si="2256"/>
        <v>0.1551949327400895</v>
      </c>
      <c r="Y787" s="149">
        <f t="shared" si="2256"/>
        <v>0.30643245248692058</v>
      </c>
      <c r="Z787" s="149">
        <f t="shared" si="2256"/>
        <v>0.31087232580900231</v>
      </c>
      <c r="AA787" s="149">
        <f t="shared" si="2256"/>
        <v>0.30192437060257316</v>
      </c>
      <c r="AB787" s="149">
        <f t="shared" si="2256"/>
        <v>0.32340082231305955</v>
      </c>
      <c r="AC787" s="149">
        <f t="shared" si="2256"/>
        <v>0.47231451004811736</v>
      </c>
      <c r="AD787" s="150">
        <f t="shared" si="2256"/>
        <v>0.54245400830886836</v>
      </c>
      <c r="AE787" s="15"/>
      <c r="AF787" s="232">
        <f>_xlfn.XLOOKUP($C787,'Site Level Financials - ''23 ''24'!$C$2:$C$1577,'Site Level Financials - ''23 ''24'!$AF$2:$AF$1577)</f>
        <v>-2.5581978088179375E-2</v>
      </c>
      <c r="AG787" s="97">
        <f t="shared" ref="AG787:AH787" si="2257">AG786/AG762</f>
        <v>0.2155144183296003</v>
      </c>
      <c r="AH787" s="97">
        <f t="shared" si="2257"/>
        <v>0.20054415242292162</v>
      </c>
    </row>
    <row r="788" spans="2:35" ht="6" customHeight="1" x14ac:dyDescent="0.2">
      <c r="B788" s="9">
        <f>G750</f>
        <v>16</v>
      </c>
      <c r="C788" s="9" t="str">
        <f t="shared" si="2148"/>
        <v xml:space="preserve">16 - </v>
      </c>
      <c r="D788" s="9" t="s">
        <v>56</v>
      </c>
      <c r="G788" s="80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80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81"/>
      <c r="AE788" s="15"/>
      <c r="AF788" s="11"/>
      <c r="AG788" s="15"/>
      <c r="AH788" s="15"/>
    </row>
    <row r="789" spans="2:35" x14ac:dyDescent="0.2">
      <c r="B789" s="9">
        <f>G750</f>
        <v>16</v>
      </c>
      <c r="C789" s="9" t="str">
        <f t="shared" si="2148"/>
        <v>16 - Memo:</v>
      </c>
      <c r="D789" s="9" t="s">
        <v>56</v>
      </c>
      <c r="F789" s="6" t="s">
        <v>13</v>
      </c>
      <c r="G789" s="80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80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81"/>
      <c r="AE789" s="15"/>
      <c r="AF789" s="11"/>
      <c r="AG789" s="15"/>
      <c r="AH789" s="15"/>
    </row>
    <row r="790" spans="2:35" s="24" customFormat="1" x14ac:dyDescent="0.2">
      <c r="B790" s="9">
        <f>G750</f>
        <v>16</v>
      </c>
      <c r="C790" s="9" t="str">
        <f t="shared" si="2148"/>
        <v>16 - Collections</v>
      </c>
      <c r="D790" s="9" t="s">
        <v>56</v>
      </c>
      <c r="E790" s="49"/>
      <c r="F790" s="24" t="s">
        <v>15</v>
      </c>
      <c r="G790" s="247">
        <f>_xlfn.XLOOKUP($C790,'Site Level Financials - ''23 ''24'!$C$2:$C$1577,'Site Level Financials - ''23 ''24'!S$2:S$1577)</f>
        <v>240.35615696639832</v>
      </c>
      <c r="H790" s="248">
        <f>_xlfn.XLOOKUP($C790,'Site Level Financials - ''23 ''24'!$C$2:$C$1577,'Site Level Financials - ''23 ''24'!T$2:T$1577)</f>
        <v>248.44996702888005</v>
      </c>
      <c r="I790" s="248">
        <f>_xlfn.XLOOKUP($C790,'Site Level Financials - ''23 ''24'!$C$2:$C$1577,'Site Level Financials - ''23 ''24'!U$2:U$1577)</f>
        <v>266.65332858242601</v>
      </c>
      <c r="J790" s="248">
        <f>_xlfn.XLOOKUP($C790,'Site Level Financials - ''23 ''24'!$C$2:$C$1577,'Site Level Financials - ''23 ''24'!V$2:V$1577)</f>
        <v>282.58843067557893</v>
      </c>
      <c r="K790" s="248">
        <f>_xlfn.XLOOKUP($C790,'Site Level Financials - ''23 ''24'!$C$2:$C$1577,'Site Level Financials - ''23 ''24'!W$2:W$1577)</f>
        <v>308.98673267467098</v>
      </c>
      <c r="L790" s="248">
        <f>_xlfn.XLOOKUP($C790,'Site Level Financials - ''23 ''24'!$C$2:$C$1577,'Site Level Financials - ''23 ''24'!X$2:X$1577)</f>
        <v>294.37338049722911</v>
      </c>
      <c r="M790" s="248">
        <f>_xlfn.XLOOKUP($C790,'Site Level Financials - ''23 ''24'!$C$2:$C$1577,'Site Level Financials - ''23 ''24'!Y$2:Y$1577)</f>
        <v>398.97737194627882</v>
      </c>
      <c r="N790" s="248">
        <f>_xlfn.XLOOKUP($C790,'Site Level Financials - ''23 ''24'!$C$2:$C$1577,'Site Level Financials - ''23 ''24'!Z$2:Z$1577)</f>
        <v>366.70882341501914</v>
      </c>
      <c r="O790" s="248">
        <f>_xlfn.XLOOKUP($C790,'Site Level Financials - ''23 ''24'!$C$2:$C$1577,'Site Level Financials - ''23 ''24'!AA$2:AA$1577)</f>
        <v>358.8627511509282</v>
      </c>
      <c r="P790" s="248">
        <f>_xlfn.XLOOKUP($C790,'Site Level Financials - ''23 ''24'!$C$2:$C$1577,'Site Level Financials - ''23 ''24'!AB$2:AB$1577)</f>
        <v>416.50002972863416</v>
      </c>
      <c r="Q790" s="248">
        <f>_xlfn.XLOOKUP($C790,'Site Level Financials - ''23 ''24'!$C$2:$C$1577,'Site Level Financials - ''23 ''24'!AC$2:AC$1577)</f>
        <v>418.01474542970561</v>
      </c>
      <c r="R790" s="248">
        <f>_xlfn.XLOOKUP($C790,'Site Level Financials - ''23 ''24'!$C$2:$C$1577,'Site Level Financials - ''23 ''24'!AD$2:AD$1577)</f>
        <v>372.06288473939537</v>
      </c>
      <c r="S790" s="169">
        <f t="shared" ref="S790:AD790" si="2258">S791*S760</f>
        <v>549.55573003387133</v>
      </c>
      <c r="T790" s="170">
        <f t="shared" si="2258"/>
        <v>569.05331448642221</v>
      </c>
      <c r="U790" s="170">
        <f t="shared" si="2258"/>
        <v>611.04332277765286</v>
      </c>
      <c r="V790" s="170">
        <f t="shared" si="2258"/>
        <v>654.52610800159289</v>
      </c>
      <c r="W790" s="170">
        <f t="shared" si="2258"/>
        <v>777.91192839061523</v>
      </c>
      <c r="X790" s="170">
        <f t="shared" si="2258"/>
        <v>653.25056641720721</v>
      </c>
      <c r="Y790" s="170">
        <f t="shared" si="2258"/>
        <v>658.10889044025157</v>
      </c>
      <c r="Z790" s="170">
        <f t="shared" si="2258"/>
        <v>564.32233938109528</v>
      </c>
      <c r="AA790" s="170">
        <f t="shared" si="2258"/>
        <v>517.39162157271664</v>
      </c>
      <c r="AB790" s="170">
        <f t="shared" si="2258"/>
        <v>594.2205216979844</v>
      </c>
      <c r="AC790" s="170">
        <f t="shared" si="2258"/>
        <v>469.71287808958698</v>
      </c>
      <c r="AD790" s="171">
        <f t="shared" si="2258"/>
        <v>383.38554725299247</v>
      </c>
      <c r="AE790" s="26"/>
      <c r="AF790" s="234">
        <f>_xlfn.XLOOKUP($C790,'Site Level Financials - ''23 ''24'!$C$2:$C$1577,'Site Level Financials - ''23 ''24'!$AF$2:$AF$1577)</f>
        <v>2215.1955773081645</v>
      </c>
      <c r="AG790" s="99">
        <f>SUM(G790:R790)</f>
        <v>3972.5346028351451</v>
      </c>
      <c r="AH790" s="99">
        <f t="shared" ref="AH790" si="2259">SUM(S790:AD790)</f>
        <v>7002.4827685419896</v>
      </c>
    </row>
    <row r="791" spans="2:35" x14ac:dyDescent="0.2">
      <c r="B791" s="9">
        <f>G750</f>
        <v>16</v>
      </c>
      <c r="C791" s="9" t="str">
        <f t="shared" si="2148"/>
        <v>16 - Collections as a % of Production</v>
      </c>
      <c r="D791" s="9" t="s">
        <v>56</v>
      </c>
      <c r="F791" s="16" t="s">
        <v>17</v>
      </c>
      <c r="G791" s="245">
        <f>_xlfn.XLOOKUP($C791,'Site Level Financials - ''23 ''24'!$C$2:$C$1577,'Site Level Financials - ''23 ''24'!S$2:S$1577)</f>
        <v>0.9857903111230939</v>
      </c>
      <c r="H791" s="246">
        <f>_xlfn.XLOOKUP($C791,'Site Level Financials - ''23 ''24'!$C$2:$C$1577,'Site Level Financials - ''23 ''24'!T$2:T$1577)</f>
        <v>0.9743505372415765</v>
      </c>
      <c r="I791" s="246">
        <f>_xlfn.XLOOKUP($C791,'Site Level Financials - ''23 ''24'!$C$2:$C$1577,'Site Level Financials - ''23 ''24'!U$2:U$1577)</f>
        <v>0.98150810080568407</v>
      </c>
      <c r="J791" s="246">
        <f>_xlfn.XLOOKUP($C791,'Site Level Financials - ''23 ''24'!$C$2:$C$1577,'Site Level Financials - ''23 ''24'!V$2:V$1577)</f>
        <v>0.97255906688070448</v>
      </c>
      <c r="K791" s="246">
        <f>_xlfn.XLOOKUP($C791,'Site Level Financials - ''23 ''24'!$C$2:$C$1577,'Site Level Financials - ''23 ''24'!W$2:W$1577)</f>
        <v>0.98340411225322499</v>
      </c>
      <c r="L791" s="246">
        <f>_xlfn.XLOOKUP($C791,'Site Level Financials - ''23 ''24'!$C$2:$C$1577,'Site Level Financials - ''23 ''24'!X$2:X$1577)</f>
        <v>0.98431790756152426</v>
      </c>
      <c r="M791" s="246">
        <f>_xlfn.XLOOKUP($C791,'Site Level Financials - ''23 ''24'!$C$2:$C$1577,'Site Level Financials - ''23 ''24'!Y$2:Y$1577)</f>
        <v>0.97864378948353925</v>
      </c>
      <c r="N791" s="246">
        <f>_xlfn.XLOOKUP($C791,'Site Level Financials - ''23 ''24'!$C$2:$C$1577,'Site Level Financials - ''23 ''24'!Z$2:Z$1577)</f>
        <v>0.9680112581118776</v>
      </c>
      <c r="O791" s="246">
        <f>_xlfn.XLOOKUP($C791,'Site Level Financials - ''23 ''24'!$C$2:$C$1577,'Site Level Financials - ''23 ''24'!AA$2:AA$1577)</f>
        <v>0.96979979181263931</v>
      </c>
      <c r="P791" s="246">
        <f>_xlfn.XLOOKUP($C791,'Site Level Financials - ''23 ''24'!$C$2:$C$1577,'Site Level Financials - ''23 ''24'!AB$2:AB$1577)</f>
        <v>0.9853253322827431</v>
      </c>
      <c r="Q791" s="246">
        <f>_xlfn.XLOOKUP($C791,'Site Level Financials - ''23 ''24'!$C$2:$C$1577,'Site Level Financials - ''23 ''24'!AC$2:AC$1577)</f>
        <v>0.99715863506264502</v>
      </c>
      <c r="R791" s="246">
        <f>_xlfn.XLOOKUP($C791,'Site Level Financials - ''23 ''24'!$C$2:$C$1577,'Site Level Financials - ''23 ''24'!AD$2:AD$1577)</f>
        <v>0.9818284745103778</v>
      </c>
      <c r="S791" s="148">
        <f>S761</f>
        <v>0.98045603185023178</v>
      </c>
      <c r="T791" s="149">
        <f t="shared" ref="T791:AD791" si="2260">T761</f>
        <v>0.98045603185023178</v>
      </c>
      <c r="U791" s="149">
        <f t="shared" si="2260"/>
        <v>0.98045603185023178</v>
      </c>
      <c r="V791" s="149">
        <f t="shared" si="2260"/>
        <v>0.98045603185023178</v>
      </c>
      <c r="W791" s="149">
        <f t="shared" si="2260"/>
        <v>0.98045603185023178</v>
      </c>
      <c r="X791" s="149">
        <f t="shared" si="2260"/>
        <v>0.98045603185023178</v>
      </c>
      <c r="Y791" s="149">
        <f t="shared" si="2260"/>
        <v>0.98045603185023178</v>
      </c>
      <c r="Z791" s="149">
        <f t="shared" si="2260"/>
        <v>0.98045603185023178</v>
      </c>
      <c r="AA791" s="149">
        <f t="shared" si="2260"/>
        <v>0.98045603185023178</v>
      </c>
      <c r="AB791" s="149">
        <f t="shared" si="2260"/>
        <v>0.98045603185023178</v>
      </c>
      <c r="AC791" s="149">
        <f t="shared" si="2260"/>
        <v>0.98045603185023178</v>
      </c>
      <c r="AD791" s="150">
        <f t="shared" si="2260"/>
        <v>0.98045603185023178</v>
      </c>
      <c r="AE791" s="15"/>
      <c r="AF791" s="232">
        <f>_xlfn.XLOOKUP($C791,'Site Level Financials - ''23 ''24'!$C$2:$C$1577,'Site Level Financials - ''23 ''24'!$AF$2:$AF$1577)</f>
        <v>0.98208812100349596</v>
      </c>
      <c r="AG791" s="97">
        <f t="shared" ref="AG791:AH791" si="2261">AG790/AG760</f>
        <v>0.98045603185023178</v>
      </c>
      <c r="AH791" s="97">
        <f t="shared" si="2261"/>
        <v>0.98045603185023189</v>
      </c>
    </row>
    <row r="792" spans="2:35" ht="6" customHeight="1" x14ac:dyDescent="0.2">
      <c r="B792" s="9">
        <f>G750</f>
        <v>16</v>
      </c>
      <c r="C792" s="9" t="str">
        <f t="shared" si="2148"/>
        <v xml:space="preserve">16 - </v>
      </c>
      <c r="D792" s="9" t="s">
        <v>56</v>
      </c>
      <c r="F792" s="27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81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81"/>
      <c r="AE792" s="15"/>
      <c r="AF792" s="11"/>
      <c r="AH792" s="224"/>
    </row>
    <row r="793" spans="2:35" s="24" customFormat="1" x14ac:dyDescent="0.2">
      <c r="B793" s="9">
        <f>G750</f>
        <v>16</v>
      </c>
      <c r="C793" s="9" t="str">
        <f t="shared" si="2148"/>
        <v>16 - Production per Vet Workday - YoY Change</v>
      </c>
      <c r="D793" s="9" t="s">
        <v>56</v>
      </c>
      <c r="E793" s="49"/>
      <c r="F793" s="24" t="s">
        <v>55</v>
      </c>
      <c r="G793" s="249">
        <f>_xlfn.XLOOKUP($C793,'Site Level Financials - ''23 ''24'!$C$2:$C$1577,'Site Level Financials - ''23 ''24'!S$2:S$1577)</f>
        <v>0.13511105088232456</v>
      </c>
      <c r="H793" s="250">
        <f>_xlfn.XLOOKUP($C793,'Site Level Financials - ''23 ''24'!$C$2:$C$1577,'Site Level Financials - ''23 ''24'!T$2:T$1577)</f>
        <v>0.12569867066809892</v>
      </c>
      <c r="I793" s="250">
        <f>_xlfn.XLOOKUP($C793,'Site Level Financials - ''23 ''24'!$C$2:$C$1577,'Site Level Financials - ''23 ''24'!U$2:U$1577)</f>
        <v>6.0566564519758614E-2</v>
      </c>
      <c r="J793" s="250">
        <f>_xlfn.XLOOKUP($C793,'Site Level Financials - ''23 ''24'!$C$2:$C$1577,'Site Level Financials - ''23 ''24'!V$2:V$1577)</f>
        <v>8.8452761425662496E-2</v>
      </c>
      <c r="K793" s="250">
        <f>_xlfn.XLOOKUP($C793,'Site Level Financials - ''23 ''24'!$C$2:$C$1577,'Site Level Financials - ''23 ''24'!W$2:W$1577)</f>
        <v>2.0139188870009317E-2</v>
      </c>
      <c r="L793" s="250">
        <f>_xlfn.XLOOKUP($C793,'Site Level Financials - ''23 ''24'!$C$2:$C$1577,'Site Level Financials - ''23 ''24'!X$2:X$1577)</f>
        <v>0.13000659495447997</v>
      </c>
      <c r="M793" s="250">
        <f>_xlfn.XLOOKUP($C793,'Site Level Financials - ''23 ''24'!$C$2:$C$1577,'Site Level Financials - ''23 ''24'!Y$2:Y$1577)</f>
        <v>8.6942718427958754E-2</v>
      </c>
      <c r="N793" s="250">
        <f>_xlfn.XLOOKUP($C793,'Site Level Financials - ''23 ''24'!$C$2:$C$1577,'Site Level Financials - ''23 ''24'!Z$2:Z$1577)</f>
        <v>5.7971874813822932E-2</v>
      </c>
      <c r="O793" s="250">
        <f>_xlfn.XLOOKUP($C793,'Site Level Financials - ''23 ''24'!$C$2:$C$1577,'Site Level Financials - ''23 ''24'!AA$2:AA$1577)</f>
        <v>1.8568957843803968E-2</v>
      </c>
      <c r="P793" s="250">
        <f>_xlfn.XLOOKUP($C793,'Site Level Financials - ''23 ''24'!$C$2:$C$1577,'Site Level Financials - ''23 ''24'!AB$2:AB$1577)</f>
        <v>7.6277314564079379E-3</v>
      </c>
      <c r="Q793" s="250">
        <f>_xlfn.XLOOKUP($C793,'Site Level Financials - ''23 ''24'!$C$2:$C$1577,'Site Level Financials - ''23 ''24'!AC$2:AC$1577)</f>
        <v>8.8095071263847746E-2</v>
      </c>
      <c r="R793" s="251">
        <f>_xlfn.XLOOKUP($C793,'Site Level Financials - ''23 ''24'!$C$2:$C$1577,'Site Level Financials - ''23 ''24'!AD$2:AD$1577)</f>
        <v>2.3466144120991572E-3</v>
      </c>
      <c r="S793" s="151">
        <f>S759/G759-1</f>
        <v>-8.0455178478685885E-2</v>
      </c>
      <c r="T793" s="152">
        <f t="shared" ref="T793" si="2262">T759/H759-1</f>
        <v>-8.9539494584739643E-2</v>
      </c>
      <c r="U793" s="152">
        <f t="shared" ref="U793" si="2263">U759/I759-1</f>
        <v>-8.2405608487572946E-2</v>
      </c>
      <c r="V793" s="152">
        <f t="shared" ref="V793" si="2264">V759/J759-1</f>
        <v>-8.0989544010752867E-2</v>
      </c>
      <c r="W793" s="152">
        <f t="shared" ref="W793" si="2265">W759/K759-1</f>
        <v>1.0077012809520225E-2</v>
      </c>
      <c r="X793" s="152">
        <f t="shared" ref="X793" si="2266">X759/L759-1</f>
        <v>-0.10885471286307014</v>
      </c>
      <c r="Y793" s="152">
        <f t="shared" ref="Y793" si="2267">Y759/M759-1</f>
        <v>-1.2135760051318556E-2</v>
      </c>
      <c r="Z793" s="152">
        <f t="shared" ref="Z793" si="2268">Z759/N759-1</f>
        <v>-8.8389289740151145E-2</v>
      </c>
      <c r="AA793" s="152">
        <f t="shared" ref="AA793" si="2269">AA759/O759-1</f>
        <v>-0.14434986410667883</v>
      </c>
      <c r="AB793" s="152">
        <f t="shared" ref="AB793" si="2270">AB759/P759-1</f>
        <v>-0.13972879643330127</v>
      </c>
      <c r="AC793" s="152">
        <f t="shared" ref="AC793" si="2271">AC759/Q759-1</f>
        <v>-8.5745757330392691E-2</v>
      </c>
      <c r="AD793" s="153">
        <f t="shared" ref="AD793" si="2272">AD759/R759-1</f>
        <v>3.1874519628317444E-2</v>
      </c>
      <c r="AF793" s="43"/>
      <c r="AG793" s="177">
        <f>AG759/AF759-1</f>
        <v>1.9969415189548201E-2</v>
      </c>
      <c r="AH793" s="225">
        <f>AH759/AG759-1</f>
        <v>-3.1484637091926171E-2</v>
      </c>
    </row>
    <row r="794" spans="2:35" s="24" customFormat="1" ht="6" customHeight="1" x14ac:dyDescent="0.2">
      <c r="D794" s="9" t="s">
        <v>56</v>
      </c>
      <c r="E794" s="49"/>
      <c r="G794" s="28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29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29"/>
      <c r="AE794" s="25"/>
      <c r="AF794" s="28"/>
      <c r="AG794" s="30"/>
      <c r="AH794" s="226"/>
    </row>
    <row r="795" spans="2:35" s="24" customFormat="1" ht="6" customHeight="1" x14ac:dyDescent="0.2">
      <c r="D795" s="9" t="s">
        <v>56</v>
      </c>
      <c r="E795" s="49"/>
    </row>
    <row r="796" spans="2:35" x14ac:dyDescent="0.2">
      <c r="D796" s="9" t="s">
        <v>56</v>
      </c>
      <c r="F796" s="16"/>
    </row>
    <row r="797" spans="2:35" ht="15.75" thickBot="1" x14ac:dyDescent="0.4">
      <c r="B797" s="35" t="s">
        <v>52</v>
      </c>
      <c r="C797" s="35"/>
      <c r="D797" s="9" t="s">
        <v>56</v>
      </c>
      <c r="E797" s="48" t="s">
        <v>0</v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74"/>
      <c r="AH797" s="3">
        <f ca="1">TODAY()</f>
        <v>45999</v>
      </c>
      <c r="AI797" s="1"/>
    </row>
    <row r="798" spans="2:35" x14ac:dyDescent="0.2">
      <c r="B798" s="9">
        <f>G799</f>
        <v>17</v>
      </c>
      <c r="C798" s="9"/>
      <c r="D798" s="9" t="s">
        <v>56</v>
      </c>
      <c r="F798" t="s">
        <v>159</v>
      </c>
      <c r="AG798" s="6"/>
      <c r="AH798" s="6" t="s">
        <v>16</v>
      </c>
    </row>
    <row r="799" spans="2:35" x14ac:dyDescent="0.2">
      <c r="B799" s="9">
        <f>G799</f>
        <v>17</v>
      </c>
      <c r="C799" s="9"/>
      <c r="D799" s="9" t="s">
        <v>56</v>
      </c>
      <c r="F799" s="40" t="s">
        <v>53</v>
      </c>
      <c r="G799" s="42">
        <v>17</v>
      </c>
    </row>
    <row r="800" spans="2:35" x14ac:dyDescent="0.2">
      <c r="B800" s="9">
        <f>G799</f>
        <v>17</v>
      </c>
      <c r="C800" s="9"/>
      <c r="D800" s="9" t="s">
        <v>56</v>
      </c>
      <c r="F800" s="39" t="s">
        <v>34</v>
      </c>
      <c r="G800" s="41"/>
      <c r="H800" s="11"/>
    </row>
    <row r="801" spans="2:34" x14ac:dyDescent="0.2">
      <c r="B801" s="9">
        <f>G799</f>
        <v>17</v>
      </c>
      <c r="C801" s="9"/>
      <c r="D801" s="9" t="s">
        <v>56</v>
      </c>
      <c r="G801" s="23"/>
    </row>
    <row r="802" spans="2:34" x14ac:dyDescent="0.2">
      <c r="B802" s="9">
        <f>G799</f>
        <v>17</v>
      </c>
      <c r="C802" s="9"/>
      <c r="D802" s="9" t="s">
        <v>56</v>
      </c>
      <c r="G802" s="208" t="s">
        <v>229</v>
      </c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10"/>
      <c r="S802" s="266" t="s">
        <v>230</v>
      </c>
      <c r="T802" s="267"/>
      <c r="U802" s="267"/>
      <c r="V802" s="267"/>
      <c r="W802" s="267"/>
      <c r="X802" s="267"/>
      <c r="Y802" s="267"/>
      <c r="Z802" s="267"/>
      <c r="AA802" s="267"/>
      <c r="AB802" s="267"/>
      <c r="AC802" s="267"/>
      <c r="AD802" s="268"/>
      <c r="AF802" s="17" t="s">
        <v>231</v>
      </c>
      <c r="AG802" s="50"/>
      <c r="AH802" s="269" t="s">
        <v>232</v>
      </c>
    </row>
    <row r="803" spans="2:34" ht="15" customHeight="1" x14ac:dyDescent="0.35">
      <c r="B803" s="9">
        <f>G799</f>
        <v>17</v>
      </c>
      <c r="C803" s="9"/>
      <c r="D803" s="9" t="s">
        <v>56</v>
      </c>
      <c r="G803" s="211">
        <v>44957</v>
      </c>
      <c r="H803" s="212">
        <f>EOMONTH(G803,1)</f>
        <v>44985</v>
      </c>
      <c r="I803" s="212">
        <f t="shared" ref="I803" si="2273">EOMONTH(H803,1)</f>
        <v>45016</v>
      </c>
      <c r="J803" s="212">
        <f t="shared" ref="J803" si="2274">EOMONTH(I803,1)</f>
        <v>45046</v>
      </c>
      <c r="K803" s="212">
        <f t="shared" ref="K803" si="2275">EOMONTH(J803,1)</f>
        <v>45077</v>
      </c>
      <c r="L803" s="212">
        <f t="shared" ref="L803" si="2276">EOMONTH(K803,1)</f>
        <v>45107</v>
      </c>
      <c r="M803" s="212">
        <f t="shared" ref="M803" si="2277">EOMONTH(L803,1)</f>
        <v>45138</v>
      </c>
      <c r="N803" s="212">
        <f t="shared" ref="N803" si="2278">EOMONTH(M803,1)</f>
        <v>45169</v>
      </c>
      <c r="O803" s="212">
        <f t="shared" ref="O803" si="2279">EOMONTH(N803,1)</f>
        <v>45199</v>
      </c>
      <c r="P803" s="212">
        <f t="shared" ref="P803" si="2280">EOMONTH(O803,1)</f>
        <v>45230</v>
      </c>
      <c r="Q803" s="212">
        <f t="shared" ref="Q803" si="2281">EOMONTH(P803,1)</f>
        <v>45260</v>
      </c>
      <c r="R803" s="213">
        <f t="shared" ref="R803" si="2282">EOMONTH(Q803,1)</f>
        <v>45291</v>
      </c>
      <c r="S803" s="4">
        <f t="shared" ref="S803" si="2283">EOMONTH(R803,1)</f>
        <v>45322</v>
      </c>
      <c r="T803" s="19">
        <f t="shared" ref="T803" si="2284">EOMONTH(S803,1)</f>
        <v>45351</v>
      </c>
      <c r="U803" s="19">
        <f t="shared" ref="U803" si="2285">EOMONTH(T803,1)</f>
        <v>45382</v>
      </c>
      <c r="V803" s="19">
        <f t="shared" ref="V803" si="2286">EOMONTH(U803,1)</f>
        <v>45412</v>
      </c>
      <c r="W803" s="19">
        <f t="shared" ref="W803" si="2287">EOMONTH(V803,1)</f>
        <v>45443</v>
      </c>
      <c r="X803" s="19">
        <f t="shared" ref="X803" si="2288">EOMONTH(W803,1)</f>
        <v>45473</v>
      </c>
      <c r="Y803" s="19">
        <f t="shared" ref="Y803" si="2289">EOMONTH(X803,1)</f>
        <v>45504</v>
      </c>
      <c r="Z803" s="19">
        <f t="shared" ref="Z803" si="2290">EOMONTH(Y803,1)</f>
        <v>45535</v>
      </c>
      <c r="AA803" s="19">
        <f t="shared" ref="AA803" si="2291">EOMONTH(Z803,1)</f>
        <v>45565</v>
      </c>
      <c r="AB803" s="19">
        <f t="shared" ref="AB803" si="2292">EOMONTH(AA803,1)</f>
        <v>45596</v>
      </c>
      <c r="AC803" s="19">
        <f t="shared" ref="AC803" si="2293">EOMONTH(AB803,1)</f>
        <v>45626</v>
      </c>
      <c r="AD803" s="5">
        <f t="shared" ref="AD803" si="2294">EOMONTH(AC803,1)</f>
        <v>45657</v>
      </c>
      <c r="AE803" s="168"/>
      <c r="AF803" s="13">
        <v>45291</v>
      </c>
      <c r="AG803" s="14">
        <v>45657</v>
      </c>
      <c r="AH803" s="14">
        <v>46022</v>
      </c>
    </row>
    <row r="804" spans="2:34" ht="0.95" customHeight="1" x14ac:dyDescent="0.2">
      <c r="B804" s="9">
        <f>G799</f>
        <v>17</v>
      </c>
      <c r="C804" s="9"/>
      <c r="D804" s="9" t="s">
        <v>56</v>
      </c>
      <c r="G804" s="11"/>
      <c r="S804" s="11"/>
      <c r="AD804" s="15"/>
      <c r="AE804" s="15"/>
      <c r="AF804" s="11"/>
      <c r="AG804" s="15"/>
      <c r="AH804" s="15"/>
    </row>
    <row r="805" spans="2:34" x14ac:dyDescent="0.2">
      <c r="B805" s="9">
        <f>G799</f>
        <v>17</v>
      </c>
      <c r="C805" s="9" t="str">
        <f>B805&amp;" - "&amp;F805</f>
        <v>17 - Employed Vets</v>
      </c>
      <c r="D805" s="9" t="s">
        <v>56</v>
      </c>
      <c r="F805" s="7" t="s">
        <v>160</v>
      </c>
      <c r="G805" s="178">
        <f>_xlfn.XLOOKUP($C805,'Site Level Financials - ''23 ''24'!$C$2:$C$1577,'Site Level Financials - ''23 ''24'!S$2:S$1577)</f>
        <v>4</v>
      </c>
      <c r="H805" s="179">
        <f>_xlfn.XLOOKUP($C805,'Site Level Financials - ''23 ''24'!$C$2:$C$1577,'Site Level Financials - ''23 ''24'!T$2:T$1577)</f>
        <v>3</v>
      </c>
      <c r="I805" s="179">
        <f>_xlfn.XLOOKUP($C805,'Site Level Financials - ''23 ''24'!$C$2:$C$1577,'Site Level Financials - ''23 ''24'!U$2:U$1577)</f>
        <v>3</v>
      </c>
      <c r="J805" s="179">
        <f>_xlfn.XLOOKUP($C805,'Site Level Financials - ''23 ''24'!$C$2:$C$1577,'Site Level Financials - ''23 ''24'!V$2:V$1577)</f>
        <v>3</v>
      </c>
      <c r="K805" s="179">
        <f>_xlfn.XLOOKUP($C805,'Site Level Financials - ''23 ''24'!$C$2:$C$1577,'Site Level Financials - ''23 ''24'!W$2:W$1577)</f>
        <v>2</v>
      </c>
      <c r="L805" s="179">
        <f>_xlfn.XLOOKUP($C805,'Site Level Financials - ''23 ''24'!$C$2:$C$1577,'Site Level Financials - ''23 ''24'!X$2:X$1577)</f>
        <v>2</v>
      </c>
      <c r="M805" s="179">
        <f>_xlfn.XLOOKUP($C805,'Site Level Financials - ''23 ''24'!$C$2:$C$1577,'Site Level Financials - ''23 ''24'!Y$2:Y$1577)</f>
        <v>2</v>
      </c>
      <c r="N805" s="179">
        <f>_xlfn.XLOOKUP($C805,'Site Level Financials - ''23 ''24'!$C$2:$C$1577,'Site Level Financials - ''23 ''24'!Z$2:Z$1577)</f>
        <v>3</v>
      </c>
      <c r="O805" s="179">
        <f>_xlfn.XLOOKUP($C805,'Site Level Financials - ''23 ''24'!$C$2:$C$1577,'Site Level Financials - ''23 ''24'!AA$2:AA$1577)</f>
        <v>3</v>
      </c>
      <c r="P805" s="179">
        <f>_xlfn.XLOOKUP($C805,'Site Level Financials - ''23 ''24'!$C$2:$C$1577,'Site Level Financials - ''23 ''24'!AB$2:AB$1577)</f>
        <v>3</v>
      </c>
      <c r="Q805" s="179">
        <f>_xlfn.XLOOKUP($C805,'Site Level Financials - ''23 ''24'!$C$2:$C$1577,'Site Level Financials - ''23 ''24'!AC$2:AC$1577)</f>
        <v>3</v>
      </c>
      <c r="R805" s="179">
        <f>_xlfn.XLOOKUP($C805,'Site Level Financials - ''23 ''24'!$C$2:$C$1577,'Site Level Financials - ''23 ''24'!AD$2:AD$1577)</f>
        <v>3</v>
      </c>
      <c r="S805" s="178">
        <f>R805+_xlfn.XLOOKUP($R805,'Budget Assumption Driver'!$A$7:$A$11,'Budget Assumption Driver'!E$7:E$11)</f>
        <v>3</v>
      </c>
      <c r="T805" s="179">
        <f>S805+_xlfn.XLOOKUP($R805,'Budget Assumption Driver'!$A$7:$A$11,'Budget Assumption Driver'!F$7:F$11)</f>
        <v>3</v>
      </c>
      <c r="U805" s="179">
        <f>T805+_xlfn.XLOOKUP($R805,'Budget Assumption Driver'!$A$7:$A$11,'Budget Assumption Driver'!G$7:G$11)</f>
        <v>3</v>
      </c>
      <c r="V805" s="179">
        <f>U805+_xlfn.XLOOKUP($R805,'Budget Assumption Driver'!$A$7:$A$11,'Budget Assumption Driver'!H$7:H$11)</f>
        <v>3</v>
      </c>
      <c r="W805" s="179">
        <f>V805+_xlfn.XLOOKUP($R805,'Budget Assumption Driver'!$A$7:$A$11,'Budget Assumption Driver'!I$7:I$11)</f>
        <v>3</v>
      </c>
      <c r="X805" s="179">
        <f>W805+_xlfn.XLOOKUP($R805,'Budget Assumption Driver'!$A$7:$A$11,'Budget Assumption Driver'!J$7:J$11)</f>
        <v>3</v>
      </c>
      <c r="Y805" s="179">
        <f>X805+_xlfn.XLOOKUP($R805,'Budget Assumption Driver'!$A$7:$A$11,'Budget Assumption Driver'!K$7:K$11)</f>
        <v>4</v>
      </c>
      <c r="Z805" s="179">
        <f>Y805+_xlfn.XLOOKUP($R805,'Budget Assumption Driver'!$A$7:$A$11,'Budget Assumption Driver'!L$7:L$11)</f>
        <v>4</v>
      </c>
      <c r="AA805" s="179">
        <f>Z805+_xlfn.XLOOKUP($R805,'Budget Assumption Driver'!$A$7:$A$11,'Budget Assumption Driver'!M$7:M$11)</f>
        <v>4</v>
      </c>
      <c r="AB805" s="179">
        <f>AA805+_xlfn.XLOOKUP($R805,'Budget Assumption Driver'!$A$7:$A$11,'Budget Assumption Driver'!N$7:N$11)</f>
        <v>4</v>
      </c>
      <c r="AC805" s="179">
        <f>AB805+_xlfn.XLOOKUP($R805,'Budget Assumption Driver'!$A$7:$A$11,'Budget Assumption Driver'!O$7:O$11)</f>
        <v>4</v>
      </c>
      <c r="AD805" s="290">
        <f>AC805+_xlfn.XLOOKUP($R805,'Budget Assumption Driver'!$A$7:$A$11,'Budget Assumption Driver'!P$7:P$11)</f>
        <v>4</v>
      </c>
      <c r="AE805" s="15"/>
      <c r="AF805" s="229">
        <f>_xlfn.XLOOKUP($C805,'Site Level Financials - ''23 ''24'!$C$2:$C$1577,'Site Level Financials - ''23 ''24'!$AF$2:$AF$1577)</f>
        <v>3.9166666666666665</v>
      </c>
      <c r="AG805" s="91">
        <f t="shared" ref="AG805:AH805" si="2295">AG807/AG806</f>
        <v>2.8327137546468402</v>
      </c>
      <c r="AH805" s="91">
        <f t="shared" si="2295"/>
        <v>3.5018587360594795</v>
      </c>
    </row>
    <row r="806" spans="2:34" x14ac:dyDescent="0.2">
      <c r="B806" s="9">
        <f>G799</f>
        <v>17</v>
      </c>
      <c r="C806" s="9" t="str">
        <f t="shared" ref="C806:C842" si="2296">B806&amp;" - "&amp;F806</f>
        <v>17 - Workdays in Month / Year</v>
      </c>
      <c r="D806" s="9" t="s">
        <v>56</v>
      </c>
      <c r="F806" s="7" t="s">
        <v>54</v>
      </c>
      <c r="G806" s="178">
        <f>_xlfn.XLOOKUP($C806,'Site Level Financials - ''23 ''24'!$C$2:$C$1577,'Site Level Financials - ''23 ''24'!S$2:S$1577)</f>
        <v>23</v>
      </c>
      <c r="H806" s="235">
        <f>_xlfn.XLOOKUP($C806,'Site Level Financials - ''23 ''24'!$C$2:$C$1577,'Site Level Financials - ''23 ''24'!T$2:T$1577)</f>
        <v>22</v>
      </c>
      <c r="I806" s="235">
        <f>_xlfn.XLOOKUP($C806,'Site Level Financials - ''23 ''24'!$C$2:$C$1577,'Site Level Financials - ''23 ''24'!U$2:U$1577)</f>
        <v>22</v>
      </c>
      <c r="J806" s="179">
        <f>_xlfn.XLOOKUP($C806,'Site Level Financials - ''23 ''24'!$C$2:$C$1577,'Site Level Financials - ''23 ''24'!V$2:V$1577)</f>
        <v>22</v>
      </c>
      <c r="K806" s="179">
        <f>_xlfn.XLOOKUP($C806,'Site Level Financials - ''23 ''24'!$C$2:$C$1577,'Site Level Financials - ''23 ''24'!W$2:W$1577)</f>
        <v>24</v>
      </c>
      <c r="L806" s="179">
        <f>_xlfn.XLOOKUP($C806,'Site Level Financials - ''23 ''24'!$C$2:$C$1577,'Site Level Financials - ''23 ''24'!X$2:X$1577)</f>
        <v>21</v>
      </c>
      <c r="M806" s="179">
        <f>_xlfn.XLOOKUP($C806,'Site Level Financials - ''23 ''24'!$C$2:$C$1577,'Site Level Financials - ''23 ''24'!Y$2:Y$1577)</f>
        <v>23</v>
      </c>
      <c r="N806" s="179">
        <f>_xlfn.XLOOKUP($C806,'Site Level Financials - ''23 ''24'!$C$2:$C$1577,'Site Level Financials - ''23 ''24'!Z$2:Z$1577)</f>
        <v>23</v>
      </c>
      <c r="O806" s="179">
        <f>_xlfn.XLOOKUP($C806,'Site Level Financials - ''23 ''24'!$C$2:$C$1577,'Site Level Financials - ''23 ''24'!AA$2:AA$1577)</f>
        <v>21</v>
      </c>
      <c r="P806" s="179">
        <f>_xlfn.XLOOKUP($C806,'Site Level Financials - ''23 ''24'!$C$2:$C$1577,'Site Level Financials - ''23 ''24'!AB$2:AB$1577)</f>
        <v>24</v>
      </c>
      <c r="Q806" s="179">
        <f>_xlfn.XLOOKUP($C806,'Site Level Financials - ''23 ''24'!$C$2:$C$1577,'Site Level Financials - ''23 ''24'!AC$2:AC$1577)</f>
        <v>22</v>
      </c>
      <c r="R806" s="179">
        <f>_xlfn.XLOOKUP($C806,'Site Level Financials - ''23 ''24'!$C$2:$C$1577,'Site Level Financials - ''23 ''24'!AD$2:AD$1577)</f>
        <v>22</v>
      </c>
      <c r="S806" s="155">
        <f>NETWORKDAYS(R803,S803)</f>
        <v>23</v>
      </c>
      <c r="T806" s="154">
        <f t="shared" ref="T806:AD806" si="2297">NETWORKDAYS(S803,T803)</f>
        <v>22</v>
      </c>
      <c r="U806" s="154">
        <f t="shared" si="2297"/>
        <v>22</v>
      </c>
      <c r="V806" s="154">
        <f t="shared" si="2297"/>
        <v>22</v>
      </c>
      <c r="W806" s="154">
        <f t="shared" si="2297"/>
        <v>24</v>
      </c>
      <c r="X806" s="154">
        <f t="shared" si="2297"/>
        <v>21</v>
      </c>
      <c r="Y806" s="154">
        <f t="shared" si="2297"/>
        <v>23</v>
      </c>
      <c r="Z806" s="154">
        <f t="shared" si="2297"/>
        <v>23</v>
      </c>
      <c r="AA806" s="154">
        <f t="shared" si="2297"/>
        <v>21</v>
      </c>
      <c r="AB806" s="154">
        <f t="shared" si="2297"/>
        <v>24</v>
      </c>
      <c r="AC806" s="154">
        <f t="shared" si="2297"/>
        <v>22</v>
      </c>
      <c r="AD806" s="156">
        <f t="shared" si="2297"/>
        <v>22</v>
      </c>
      <c r="AE806" s="15"/>
      <c r="AF806" s="115">
        <f>_xlfn.XLOOKUP($C806,'Site Level Financials - ''23 ''24'!$C$2:$C$1577,'Site Level Financials - ''23 ''24'!$AF$2:$AF$1577)</f>
        <v>269</v>
      </c>
      <c r="AG806" s="93">
        <f>SUM(G806:R806)</f>
        <v>269</v>
      </c>
      <c r="AH806" s="93">
        <f>SUM(S806:AD806)</f>
        <v>269</v>
      </c>
    </row>
    <row r="807" spans="2:34" x14ac:dyDescent="0.2">
      <c r="B807" s="9">
        <f>G799</f>
        <v>17</v>
      </c>
      <c r="C807" s="9" t="str">
        <f t="shared" si="2296"/>
        <v>17 - Total Vet Days</v>
      </c>
      <c r="D807" s="9" t="s">
        <v>56</v>
      </c>
      <c r="F807" s="8" t="s">
        <v>51</v>
      </c>
      <c r="G807" s="236">
        <f>_xlfn.XLOOKUP($C807,'Site Level Financials - ''23 ''24'!$C$2:$C$1577,'Site Level Financials - ''23 ''24'!S$2:S$1577)</f>
        <v>92</v>
      </c>
      <c r="H807" s="237">
        <f>_xlfn.XLOOKUP($C807,'Site Level Financials - ''23 ''24'!$C$2:$C$1577,'Site Level Financials - ''23 ''24'!T$2:T$1577)</f>
        <v>66</v>
      </c>
      <c r="I807" s="237">
        <f>_xlfn.XLOOKUP($C807,'Site Level Financials - ''23 ''24'!$C$2:$C$1577,'Site Level Financials - ''23 ''24'!U$2:U$1577)</f>
        <v>66</v>
      </c>
      <c r="J807" s="238">
        <f>_xlfn.XLOOKUP($C807,'Site Level Financials - ''23 ''24'!$C$2:$C$1577,'Site Level Financials - ''23 ''24'!V$2:V$1577)</f>
        <v>66</v>
      </c>
      <c r="K807" s="238">
        <f>_xlfn.XLOOKUP($C807,'Site Level Financials - ''23 ''24'!$C$2:$C$1577,'Site Level Financials - ''23 ''24'!W$2:W$1577)</f>
        <v>48</v>
      </c>
      <c r="L807" s="238">
        <f>_xlfn.XLOOKUP($C807,'Site Level Financials - ''23 ''24'!$C$2:$C$1577,'Site Level Financials - ''23 ''24'!X$2:X$1577)</f>
        <v>42</v>
      </c>
      <c r="M807" s="238">
        <f>_xlfn.XLOOKUP($C807,'Site Level Financials - ''23 ''24'!$C$2:$C$1577,'Site Level Financials - ''23 ''24'!Y$2:Y$1577)</f>
        <v>46</v>
      </c>
      <c r="N807" s="238">
        <f>_xlfn.XLOOKUP($C807,'Site Level Financials - ''23 ''24'!$C$2:$C$1577,'Site Level Financials - ''23 ''24'!Z$2:Z$1577)</f>
        <v>69</v>
      </c>
      <c r="O807" s="238">
        <f>_xlfn.XLOOKUP($C807,'Site Level Financials - ''23 ''24'!$C$2:$C$1577,'Site Level Financials - ''23 ''24'!AA$2:AA$1577)</f>
        <v>63</v>
      </c>
      <c r="P807" s="238">
        <f>_xlfn.XLOOKUP($C807,'Site Level Financials - ''23 ''24'!$C$2:$C$1577,'Site Level Financials - ''23 ''24'!AB$2:AB$1577)</f>
        <v>72</v>
      </c>
      <c r="Q807" s="238">
        <f>_xlfn.XLOOKUP($C807,'Site Level Financials - ''23 ''24'!$C$2:$C$1577,'Site Level Financials - ''23 ''24'!AC$2:AC$1577)</f>
        <v>66</v>
      </c>
      <c r="R807" s="238">
        <f>_xlfn.XLOOKUP($C807,'Site Level Financials - ''23 ''24'!$C$2:$C$1577,'Site Level Financials - ''23 ''24'!AD$2:AD$1577)</f>
        <v>66</v>
      </c>
      <c r="S807" s="125">
        <f t="shared" ref="S807:AD807" si="2298">S805*S806</f>
        <v>69</v>
      </c>
      <c r="T807" s="127">
        <f t="shared" si="2298"/>
        <v>66</v>
      </c>
      <c r="U807" s="127">
        <f t="shared" si="2298"/>
        <v>66</v>
      </c>
      <c r="V807" s="127">
        <f t="shared" si="2298"/>
        <v>66</v>
      </c>
      <c r="W807" s="127">
        <f t="shared" si="2298"/>
        <v>72</v>
      </c>
      <c r="X807" s="127">
        <f t="shared" si="2298"/>
        <v>63</v>
      </c>
      <c r="Y807" s="127">
        <f t="shared" si="2298"/>
        <v>92</v>
      </c>
      <c r="Z807" s="127">
        <f t="shared" si="2298"/>
        <v>92</v>
      </c>
      <c r="AA807" s="127">
        <f t="shared" si="2298"/>
        <v>84</v>
      </c>
      <c r="AB807" s="127">
        <f t="shared" si="2298"/>
        <v>96</v>
      </c>
      <c r="AC807" s="127">
        <f t="shared" si="2298"/>
        <v>88</v>
      </c>
      <c r="AD807" s="128">
        <f t="shared" si="2298"/>
        <v>88</v>
      </c>
      <c r="AF807" s="112">
        <f>_xlfn.XLOOKUP($C807,'Site Level Financials - ''23 ''24'!$C$2:$C$1577,'Site Level Financials - ''23 ''24'!$AF$2:$AF$1577)</f>
        <v>1053</v>
      </c>
      <c r="AG807" s="120">
        <f>SUM(G807:R807)</f>
        <v>762</v>
      </c>
      <c r="AH807" s="120">
        <f t="shared" ref="AH807" si="2299">SUM(S807:AD807)</f>
        <v>942</v>
      </c>
    </row>
    <row r="808" spans="2:34" x14ac:dyDescent="0.2">
      <c r="B808" s="9">
        <f>G799</f>
        <v>17</v>
      </c>
      <c r="C808" s="9" t="str">
        <f t="shared" si="2296"/>
        <v>17 - Production per Vet Workday</v>
      </c>
      <c r="D808" s="9" t="s">
        <v>56</v>
      </c>
      <c r="F808" s="7" t="s">
        <v>50</v>
      </c>
      <c r="G808" s="239">
        <f>_xlfn.XLOOKUP($C808,'Site Level Financials - ''23 ''24'!$C$2:$C$1577,'Site Level Financials - ''23 ''24'!S$2:S$1577)</f>
        <v>4.5359979038486653</v>
      </c>
      <c r="H808" s="240">
        <f>_xlfn.XLOOKUP($C808,'Site Level Financials - ''23 ''24'!$C$2:$C$1577,'Site Level Financials - ''23 ''24'!T$2:T$1577)</f>
        <v>5.5065304488119855</v>
      </c>
      <c r="I808" s="240">
        <f>_xlfn.XLOOKUP($C808,'Site Level Financials - ''23 ''24'!$C$2:$C$1577,'Site Level Financials - ''23 ''24'!U$2:U$1577)</f>
        <v>5.404718502459481</v>
      </c>
      <c r="J808" s="240">
        <f>_xlfn.XLOOKUP($C808,'Site Level Financials - ''23 ''24'!$C$2:$C$1577,'Site Level Financials - ''23 ''24'!V$2:V$1577)</f>
        <v>5.8793046172183026</v>
      </c>
      <c r="K808" s="240">
        <f>_xlfn.XLOOKUP($C808,'Site Level Financials - ''23 ''24'!$C$2:$C$1577,'Site Level Financials - ''23 ''24'!W$2:W$1577)</f>
        <v>6.93633780917924</v>
      </c>
      <c r="L808" s="240">
        <f>_xlfn.XLOOKUP($C808,'Site Level Financials - ''23 ''24'!$C$2:$C$1577,'Site Level Financials - ''23 ''24'!X$2:X$1577)</f>
        <v>6.7995537496633922</v>
      </c>
      <c r="M808" s="240">
        <f>_xlfn.XLOOKUP($C808,'Site Level Financials - ''23 ''24'!$C$2:$C$1577,'Site Level Financials - ''23 ''24'!Y$2:Y$1577)</f>
        <v>6.2807196730763621</v>
      </c>
      <c r="N808" s="240">
        <f>_xlfn.XLOOKUP($C808,'Site Level Financials - ''23 ''24'!$C$2:$C$1577,'Site Level Financials - ''23 ''24'!Z$2:Z$1577)</f>
        <v>5.2122780266932436</v>
      </c>
      <c r="O808" s="240">
        <f>_xlfn.XLOOKUP($C808,'Site Level Financials - ''23 ''24'!$C$2:$C$1577,'Site Level Financials - ''23 ''24'!AA$2:AA$1577)</f>
        <v>4.7709263105989601</v>
      </c>
      <c r="P808" s="240">
        <f>_xlfn.XLOOKUP($C808,'Site Level Financials - ''23 ''24'!$C$2:$C$1577,'Site Level Financials - ''23 ''24'!AB$2:AB$1577)</f>
        <v>5.0333334284712148</v>
      </c>
      <c r="Q808" s="240">
        <f>_xlfn.XLOOKUP($C808,'Site Level Financials - ''23 ''24'!$C$2:$C$1577,'Site Level Financials - ''23 ''24'!AC$2:AC$1577)</f>
        <v>4.2830390113795094</v>
      </c>
      <c r="R808" s="240">
        <f>_xlfn.XLOOKUP($C808,'Site Level Financials - ''23 ''24'!$C$2:$C$1577,'Site Level Financials - ''23 ''24'!AD$2:AD$1577)</f>
        <v>3.5750766107080545</v>
      </c>
      <c r="S808" s="239">
        <f>R808*(1+_xlfn.XLOOKUP($R805,'Budget Assumption Driver'!$A$15:$A$19,'Budget Assumption Driver'!E$15:E$19))</f>
        <v>5.0580496668808363</v>
      </c>
      <c r="T808" s="240">
        <f>S808*(1+_xlfn.XLOOKUP($R805,'Budget Assumption Driver'!$A$15:$A$19,'Budget Assumption Driver'!F$15:F$19))</f>
        <v>5.4755715903260702</v>
      </c>
      <c r="U808" s="240">
        <f>T808*(1+_xlfn.XLOOKUP($R805,'Budget Assumption Driver'!$A$15:$A$19,'Budget Assumption Driver'!G$15:G$19))</f>
        <v>5.8796098247479609</v>
      </c>
      <c r="V808" s="240">
        <f>U808*(1+_xlfn.XLOOKUP($R805,'Budget Assumption Driver'!$A$15:$A$19,'Budget Assumption Driver'!H$15:H$19))</f>
        <v>6.2980119276429036</v>
      </c>
      <c r="W808" s="240">
        <f>V808*(1+_xlfn.XLOOKUP($R805,'Budget Assumption Driver'!$A$15:$A$19,'Budget Assumption Driver'!I$15:I$19))</f>
        <v>6.8614890454614859</v>
      </c>
      <c r="X808" s="240">
        <f>W808*(1+_xlfn.XLOOKUP($R805,'Budget Assumption Driver'!$A$15:$A$19,'Budget Assumption Driver'!J$15:J$19))</f>
        <v>6.5850592252391573</v>
      </c>
      <c r="Y808" s="240">
        <f>X808*(1+_xlfn.XLOOKUP($R805,'Budget Assumption Driver'!$A$15:$A$19,'Budget Assumption Driver'!K$15:K$19))</f>
        <v>5.3986549296747635</v>
      </c>
      <c r="Z808" s="240">
        <f>Y808*(1+_xlfn.XLOOKUP($R805,'Budget Assumption Driver'!$A$15:$A$19,'Budget Assumption Driver'!L$15:L$19))</f>
        <v>4.6292971021669214</v>
      </c>
      <c r="AA808" s="240">
        <f>Z808*(1+_xlfn.XLOOKUP($R805,'Budget Assumption Driver'!$A$15:$A$19,'Budget Assumption Driver'!M$15:M$19))</f>
        <v>4.6485311376467724</v>
      </c>
      <c r="AB808" s="240">
        <f>AA808*(1+_xlfn.XLOOKUP($R805,'Budget Assumption Driver'!$A$15:$A$19,'Budget Assumption Driver'!N$15:N$19))</f>
        <v>4.6714537349429683</v>
      </c>
      <c r="AC808" s="240">
        <f>AB808*(1+_xlfn.XLOOKUP($R805,'Budget Assumption Driver'!$A$15:$A$19,'Budget Assumption Driver'!O$15:O$19))</f>
        <v>4.0283336485599079</v>
      </c>
      <c r="AD808" s="291">
        <f>AC808*(1+_xlfn.XLOOKUP($R805,'Budget Assumption Driver'!$A$15:$A$19,'Budget Assumption Driver'!P$15:P$19))</f>
        <v>3.2879764903448616</v>
      </c>
      <c r="AE808" s="15"/>
      <c r="AF808" s="230">
        <f>_xlfn.XLOOKUP($C808,'Site Level Financials - ''23 ''24'!$C$2:$C$1577,'Site Level Financials - ''23 ''24'!$AF$2:$AF$1577)</f>
        <v>5.2817722512612164</v>
      </c>
      <c r="AG808" s="101">
        <f>AG809/AG807</f>
        <v>5.2154568232016469</v>
      </c>
      <c r="AH808" s="101">
        <f>AH809/AH807</f>
        <v>5.1256318294769612</v>
      </c>
    </row>
    <row r="809" spans="2:34" x14ac:dyDescent="0.2">
      <c r="B809" s="9">
        <f>G799</f>
        <v>17</v>
      </c>
      <c r="C809" s="9" t="str">
        <f t="shared" si="2296"/>
        <v>17 - Total Production</v>
      </c>
      <c r="D809" s="9" t="s">
        <v>56</v>
      </c>
      <c r="F809" s="8" t="s">
        <v>1</v>
      </c>
      <c r="G809" s="241">
        <f>_xlfn.XLOOKUP($C809,'Site Level Financials - ''23 ''24'!$C$2:$C$1577,'Site Level Financials - ''23 ''24'!S$2:S$1577)</f>
        <v>417.3118071540772</v>
      </c>
      <c r="H809" s="242">
        <f>_xlfn.XLOOKUP($C809,'Site Level Financials - ''23 ''24'!$C$2:$C$1577,'Site Level Financials - ''23 ''24'!T$2:T$1577)</f>
        <v>363.43100962159104</v>
      </c>
      <c r="I809" s="242">
        <f>_xlfn.XLOOKUP($C809,'Site Level Financials - ''23 ''24'!$C$2:$C$1577,'Site Level Financials - ''23 ''24'!U$2:U$1577)</f>
        <v>356.71142116232573</v>
      </c>
      <c r="J809" s="242">
        <f>_xlfn.XLOOKUP($C809,'Site Level Financials - ''23 ''24'!$C$2:$C$1577,'Site Level Financials - ''23 ''24'!V$2:V$1577)</f>
        <v>388.03410473640798</v>
      </c>
      <c r="K809" s="242">
        <f>_xlfn.XLOOKUP($C809,'Site Level Financials - ''23 ''24'!$C$2:$C$1577,'Site Level Financials - ''23 ''24'!W$2:W$1577)</f>
        <v>332.94421484060354</v>
      </c>
      <c r="L809" s="242">
        <f>_xlfn.XLOOKUP($C809,'Site Level Financials - ''23 ''24'!$C$2:$C$1577,'Site Level Financials - ''23 ''24'!X$2:X$1577)</f>
        <v>285.58125748586247</v>
      </c>
      <c r="M809" s="242">
        <f>_xlfn.XLOOKUP($C809,'Site Level Financials - ''23 ''24'!$C$2:$C$1577,'Site Level Financials - ''23 ''24'!Y$2:Y$1577)</f>
        <v>288.91310496151266</v>
      </c>
      <c r="N809" s="242">
        <f>_xlfn.XLOOKUP($C809,'Site Level Financials - ''23 ''24'!$C$2:$C$1577,'Site Level Financials - ''23 ''24'!Z$2:Z$1577)</f>
        <v>359.64718384183379</v>
      </c>
      <c r="O809" s="242">
        <f>_xlfn.XLOOKUP($C809,'Site Level Financials - ''23 ''24'!$C$2:$C$1577,'Site Level Financials - ''23 ''24'!AA$2:AA$1577)</f>
        <v>300.56835756773449</v>
      </c>
      <c r="P809" s="242">
        <f>_xlfn.XLOOKUP($C809,'Site Level Financials - ''23 ''24'!$C$2:$C$1577,'Site Level Financials - ''23 ''24'!AB$2:AB$1577)</f>
        <v>362.40000684992748</v>
      </c>
      <c r="Q809" s="242">
        <f>_xlfn.XLOOKUP($C809,'Site Level Financials - ''23 ''24'!$C$2:$C$1577,'Site Level Financials - ''23 ''24'!AC$2:AC$1577)</f>
        <v>282.68057475104763</v>
      </c>
      <c r="R809" s="242">
        <f>_xlfn.XLOOKUP($C809,'Site Level Financials - ''23 ''24'!$C$2:$C$1577,'Site Level Financials - ''23 ''24'!AD$2:AD$1577)</f>
        <v>235.95505630673159</v>
      </c>
      <c r="S809" s="134">
        <f t="shared" ref="S809:AD809" si="2300">S808*S807</f>
        <v>349.00542701477769</v>
      </c>
      <c r="T809" s="135">
        <f t="shared" si="2300"/>
        <v>361.38772496152063</v>
      </c>
      <c r="U809" s="135">
        <f t="shared" si="2300"/>
        <v>388.05424843336544</v>
      </c>
      <c r="V809" s="135">
        <f t="shared" si="2300"/>
        <v>415.66878722443164</v>
      </c>
      <c r="W809" s="135">
        <f t="shared" si="2300"/>
        <v>494.02721127322695</v>
      </c>
      <c r="X809" s="135">
        <f t="shared" si="2300"/>
        <v>414.85873119006692</v>
      </c>
      <c r="Y809" s="135">
        <f t="shared" si="2300"/>
        <v>496.67625353007821</v>
      </c>
      <c r="Z809" s="135">
        <f t="shared" si="2300"/>
        <v>425.89533339935679</v>
      </c>
      <c r="AA809" s="135">
        <f t="shared" si="2300"/>
        <v>390.4766155623289</v>
      </c>
      <c r="AB809" s="135">
        <f t="shared" si="2300"/>
        <v>448.45955855452496</v>
      </c>
      <c r="AC809" s="135">
        <f t="shared" si="2300"/>
        <v>354.4933610732719</v>
      </c>
      <c r="AD809" s="136">
        <f t="shared" si="2300"/>
        <v>289.34193115034782</v>
      </c>
      <c r="AE809" s="15"/>
      <c r="AF809" s="113">
        <f>_xlfn.XLOOKUP($C809,'Site Level Financials - ''23 ''24'!$C$2:$C$1577,'Site Level Financials - ''23 ''24'!$AF$2:$AF$1577)</f>
        <v>5422.4063447867102</v>
      </c>
      <c r="AG809" s="95">
        <f>SUM(G809:R809)</f>
        <v>3974.1780992796553</v>
      </c>
      <c r="AH809" s="95">
        <f t="shared" ref="AH809" si="2301">SUM(S809:AD809)</f>
        <v>4828.3451833672971</v>
      </c>
    </row>
    <row r="810" spans="2:34" x14ac:dyDescent="0.2">
      <c r="B810" s="9">
        <f>G799</f>
        <v>17</v>
      </c>
      <c r="C810" s="9" t="str">
        <f t="shared" si="2296"/>
        <v>17 - Revenue as a % of Production</v>
      </c>
      <c r="D810" s="9" t="s">
        <v>56</v>
      </c>
      <c r="F810" s="7" t="s">
        <v>2</v>
      </c>
      <c r="G810" s="243">
        <f>_xlfn.XLOOKUP($C810,'Site Level Financials - ''23 ''24'!$C$2:$C$1577,'Site Level Financials - ''23 ''24'!S$2:S$1577)</f>
        <v>0.97912524622520225</v>
      </c>
      <c r="H810" s="244">
        <f>_xlfn.XLOOKUP($C810,'Site Level Financials - ''23 ''24'!$C$2:$C$1577,'Site Level Financials - ''23 ''24'!T$2:T$1577)</f>
        <v>0.97912524622520225</v>
      </c>
      <c r="I810" s="244">
        <f>_xlfn.XLOOKUP($C810,'Site Level Financials - ''23 ''24'!$C$2:$C$1577,'Site Level Financials - ''23 ''24'!U$2:U$1577)</f>
        <v>0.97912524622520225</v>
      </c>
      <c r="J810" s="244">
        <f>_xlfn.XLOOKUP($C810,'Site Level Financials - ''23 ''24'!$C$2:$C$1577,'Site Level Financials - ''23 ''24'!V$2:V$1577)</f>
        <v>0.97912524622520225</v>
      </c>
      <c r="K810" s="244">
        <f>_xlfn.XLOOKUP($C810,'Site Level Financials - ''23 ''24'!$C$2:$C$1577,'Site Level Financials - ''23 ''24'!W$2:W$1577)</f>
        <v>0.97912524622520225</v>
      </c>
      <c r="L810" s="244">
        <f>_xlfn.XLOOKUP($C810,'Site Level Financials - ''23 ''24'!$C$2:$C$1577,'Site Level Financials - ''23 ''24'!X$2:X$1577)</f>
        <v>0.97912524622520225</v>
      </c>
      <c r="M810" s="244">
        <f>_xlfn.XLOOKUP($C810,'Site Level Financials - ''23 ''24'!$C$2:$C$1577,'Site Level Financials - ''23 ''24'!Y$2:Y$1577)</f>
        <v>0.97912524622520225</v>
      </c>
      <c r="N810" s="244">
        <f>_xlfn.XLOOKUP($C810,'Site Level Financials - ''23 ''24'!$C$2:$C$1577,'Site Level Financials - ''23 ''24'!Z$2:Z$1577)</f>
        <v>0.97912524622520225</v>
      </c>
      <c r="O810" s="244">
        <f>_xlfn.XLOOKUP($C810,'Site Level Financials - ''23 ''24'!$C$2:$C$1577,'Site Level Financials - ''23 ''24'!AA$2:AA$1577)</f>
        <v>0.97912524622520225</v>
      </c>
      <c r="P810" s="244">
        <f>_xlfn.XLOOKUP($C810,'Site Level Financials - ''23 ''24'!$C$2:$C$1577,'Site Level Financials - ''23 ''24'!AB$2:AB$1577)</f>
        <v>0.97912524622520225</v>
      </c>
      <c r="Q810" s="244">
        <f>_xlfn.XLOOKUP($C810,'Site Level Financials - ''23 ''24'!$C$2:$C$1577,'Site Level Financials - ''23 ''24'!AC$2:AC$1577)</f>
        <v>0.97912524622520225</v>
      </c>
      <c r="R810" s="244">
        <f>_xlfn.XLOOKUP($C810,'Site Level Financials - ''23 ''24'!$C$2:$C$1577,'Site Level Financials - ''23 ''24'!AD$2:AD$1577)</f>
        <v>0.97912524622520225</v>
      </c>
      <c r="S810" s="292">
        <f>SUM(G839:R839)/SUM(G809:R809)</f>
        <v>0.9783045451060659</v>
      </c>
      <c r="T810" s="203">
        <f>S810</f>
        <v>0.9783045451060659</v>
      </c>
      <c r="U810" s="203">
        <f t="shared" ref="U810:AD810" si="2302">T810</f>
        <v>0.9783045451060659</v>
      </c>
      <c r="V810" s="203">
        <f t="shared" si="2302"/>
        <v>0.9783045451060659</v>
      </c>
      <c r="W810" s="203">
        <f t="shared" si="2302"/>
        <v>0.9783045451060659</v>
      </c>
      <c r="X810" s="203">
        <f t="shared" si="2302"/>
        <v>0.9783045451060659</v>
      </c>
      <c r="Y810" s="203">
        <f t="shared" si="2302"/>
        <v>0.9783045451060659</v>
      </c>
      <c r="Z810" s="203">
        <f t="shared" si="2302"/>
        <v>0.9783045451060659</v>
      </c>
      <c r="AA810" s="203">
        <f t="shared" si="2302"/>
        <v>0.9783045451060659</v>
      </c>
      <c r="AB810" s="203">
        <f t="shared" si="2302"/>
        <v>0.9783045451060659</v>
      </c>
      <c r="AC810" s="203">
        <f t="shared" si="2302"/>
        <v>0.9783045451060659</v>
      </c>
      <c r="AD810" s="204">
        <f t="shared" si="2302"/>
        <v>0.9783045451060659</v>
      </c>
      <c r="AE810" s="15"/>
      <c r="AF810" s="231">
        <f>_xlfn.XLOOKUP($C810,'Site Level Financials - ''23 ''24'!$C$2:$C$1577,'Site Level Financials - ''23 ''24'!$AF$2:$AF$1577)</f>
        <v>0.97589117783581203</v>
      </c>
      <c r="AG810" s="103">
        <f>AG811/AG809</f>
        <v>0.97912524622520236</v>
      </c>
      <c r="AH810" s="103">
        <f>AH811/AH809</f>
        <v>0.97830454510606624</v>
      </c>
    </row>
    <row r="811" spans="2:34" x14ac:dyDescent="0.2">
      <c r="B811" s="9">
        <f>G799</f>
        <v>17</v>
      </c>
      <c r="C811" s="9" t="str">
        <f t="shared" si="2296"/>
        <v>17 - Total Revenue</v>
      </c>
      <c r="D811" s="9" t="s">
        <v>56</v>
      </c>
      <c r="F811" s="8" t="s">
        <v>3</v>
      </c>
      <c r="G811" s="241">
        <f>_xlfn.XLOOKUP($C811,'Site Level Financials - ''23 ''24'!$C$2:$C$1577,'Site Level Financials - ''23 ''24'!S$2:S$1577)</f>
        <v>408.60052593241994</v>
      </c>
      <c r="H811" s="242">
        <f>_xlfn.XLOOKUP($C811,'Site Level Financials - ''23 ''24'!$C$2:$C$1577,'Site Level Financials - ''23 ''24'!T$2:T$1577)</f>
        <v>355.84447678161416</v>
      </c>
      <c r="I811" s="242">
        <f>_xlfn.XLOOKUP($C811,'Site Level Financials - ''23 ''24'!$C$2:$C$1577,'Site Level Financials - ''23 ''24'!U$2:U$1577)</f>
        <v>349.26515807690402</v>
      </c>
      <c r="J811" s="242">
        <f>_xlfn.XLOOKUP($C811,'Site Level Financials - ''23 ''24'!$C$2:$C$1577,'Site Level Financials - ''23 ''24'!V$2:V$1577)</f>
        <v>379.93398834381139</v>
      </c>
      <c r="K811" s="242">
        <f>_xlfn.XLOOKUP($C811,'Site Level Financials - ''23 ''24'!$C$2:$C$1577,'Site Level Financials - ''23 ''24'!W$2:W$1577)</f>
        <v>325.99408633506255</v>
      </c>
      <c r="L811" s="242">
        <f>_xlfn.XLOOKUP($C811,'Site Level Financials - ''23 ''24'!$C$2:$C$1577,'Site Level Financials - ''23 ''24'!X$2:X$1577)</f>
        <v>279.61981905314798</v>
      </c>
      <c r="M811" s="242">
        <f>_xlfn.XLOOKUP($C811,'Site Level Financials - ''23 ''24'!$C$2:$C$1577,'Site Level Financials - ''23 ''24'!Y$2:Y$1577)</f>
        <v>282.8821150331288</v>
      </c>
      <c r="N811" s="242">
        <f>_xlfn.XLOOKUP($C811,'Site Level Financials - ''23 ''24'!$C$2:$C$1577,'Site Level Financials - ''23 ''24'!Z$2:Z$1577)</f>
        <v>352.13963743333608</v>
      </c>
      <c r="O811" s="242">
        <f>_xlfn.XLOOKUP($C811,'Site Level Financials - ''23 ''24'!$C$2:$C$1577,'Site Level Financials - ''23 ''24'!AA$2:AA$1577)</f>
        <v>294.29406711101268</v>
      </c>
      <c r="P811" s="242">
        <f>_xlfn.XLOOKUP($C811,'Site Level Financials - ''23 ''24'!$C$2:$C$1577,'Site Level Financials - ''23 ''24'!AB$2:AB$1577)</f>
        <v>354.83499593895021</v>
      </c>
      <c r="Q811" s="242">
        <f>_xlfn.XLOOKUP($C811,'Site Level Financials - ''23 ''24'!$C$2:$C$1577,'Site Level Financials - ''23 ''24'!AC$2:AC$1577)</f>
        <v>276.77968735620118</v>
      </c>
      <c r="R811" s="242">
        <f>_xlfn.XLOOKUP($C811,'Site Level Financials - ''23 ''24'!$C$2:$C$1577,'Site Level Financials - ''23 ''24'!AD$2:AD$1577)</f>
        <v>231.02955260441004</v>
      </c>
      <c r="S811" s="134">
        <f t="shared" ref="S811:AD811" si="2303">S810*S809</f>
        <v>341.43359551524037</v>
      </c>
      <c r="T811" s="135">
        <f t="shared" si="2303"/>
        <v>353.54725387539651</v>
      </c>
      <c r="U811" s="135">
        <f t="shared" si="2303"/>
        <v>379.63523499007988</v>
      </c>
      <c r="V811" s="135">
        <f t="shared" si="2303"/>
        <v>406.65066380038769</v>
      </c>
      <c r="W811" s="135">
        <f t="shared" si="2303"/>
        <v>483.3090661946726</v>
      </c>
      <c r="X811" s="135">
        <f t="shared" si="2303"/>
        <v>405.8581823001781</v>
      </c>
      <c r="Y811" s="135">
        <f t="shared" si="2303"/>
        <v>485.90063627472824</v>
      </c>
      <c r="Z811" s="135">
        <f t="shared" si="2303"/>
        <v>416.65534040405402</v>
      </c>
      <c r="AA811" s="135">
        <f t="shared" si="2303"/>
        <v>382.00504776226035</v>
      </c>
      <c r="AB811" s="135">
        <f t="shared" si="2303"/>
        <v>438.73002443015167</v>
      </c>
      <c r="AC811" s="135">
        <f t="shared" si="2303"/>
        <v>346.80246634790763</v>
      </c>
      <c r="AD811" s="136">
        <f t="shared" si="2303"/>
        <v>283.06452633415165</v>
      </c>
      <c r="AE811" s="15"/>
      <c r="AF811" s="113">
        <f>_xlfn.XLOOKUP($C811,'Site Level Financials - ''23 ''24'!$C$2:$C$1577,'Site Level Financials - ''23 ''24'!$AF$2:$AF$1577)</f>
        <v>5291.6785145182821</v>
      </c>
      <c r="AG811" s="95">
        <f>SUM(G811:R811)</f>
        <v>3891.2181099999993</v>
      </c>
      <c r="AH811" s="95">
        <f t="shared" ref="AH811" si="2304">SUM(S811:AD811)</f>
        <v>4723.5920382292097</v>
      </c>
    </row>
    <row r="812" spans="2:34" x14ac:dyDescent="0.2">
      <c r="B812" s="9">
        <f>G799</f>
        <v>17</v>
      </c>
      <c r="C812" s="9" t="str">
        <f t="shared" si="2296"/>
        <v>17 - % YoY Revenue Growth</v>
      </c>
      <c r="D812" s="9" t="s">
        <v>56</v>
      </c>
      <c r="F812" s="16" t="s">
        <v>174</v>
      </c>
      <c r="G812" s="245">
        <f>_xlfn.XLOOKUP($C812,'Site Level Financials - ''23 ''24'!$C$2:$C$1577,'Site Level Financials - ''23 ''24'!S$2:S$1577)</f>
        <v>-3.0815396607976386E-2</v>
      </c>
      <c r="H812" s="246">
        <f>_xlfn.XLOOKUP($C812,'Site Level Financials - ''23 ''24'!$C$2:$C$1577,'Site Level Financials - ''23 ''24'!T$2:T$1577)</f>
        <v>-0.18043995345815522</v>
      </c>
      <c r="I812" s="246">
        <f>_xlfn.XLOOKUP($C812,'Site Level Financials - ''23 ''24'!$C$2:$C$1577,'Site Level Financials - ''23 ''24'!U$2:U$1577)</f>
        <v>-0.31487111707739424</v>
      </c>
      <c r="J812" s="246">
        <f>_xlfn.XLOOKUP($C812,'Site Level Financials - ''23 ''24'!$C$2:$C$1577,'Site Level Financials - ''23 ''24'!V$2:V$1577)</f>
        <v>-0.21797551027300166</v>
      </c>
      <c r="K812" s="246">
        <f>_xlfn.XLOOKUP($C812,'Site Level Financials - ''23 ''24'!$C$2:$C$1577,'Site Level Financials - ''23 ''24'!W$2:W$1577)</f>
        <v>-0.29449780604311215</v>
      </c>
      <c r="L812" s="246">
        <f>_xlfn.XLOOKUP($C812,'Site Level Financials - ''23 ''24'!$C$2:$C$1577,'Site Level Financials - ''23 ''24'!X$2:X$1577)</f>
        <v>-0.35154153673911581</v>
      </c>
      <c r="M812" s="246">
        <f>_xlfn.XLOOKUP($C812,'Site Level Financials - ''23 ''24'!$C$2:$C$1577,'Site Level Financials - ''23 ''24'!Y$2:Y$1577)</f>
        <v>-0.26078725982783679</v>
      </c>
      <c r="N812" s="246">
        <f>_xlfn.XLOOKUP($C812,'Site Level Financials - ''23 ''24'!$C$2:$C$1577,'Site Level Financials - ''23 ''24'!Z$2:Z$1577)</f>
        <v>-0.23689580015471878</v>
      </c>
      <c r="O812" s="246">
        <f>_xlfn.XLOOKUP($C812,'Site Level Financials - ''23 ''24'!$C$2:$C$1577,'Site Level Financials - ''23 ''24'!AA$2:AA$1577)</f>
        <v>-0.29167786176704036</v>
      </c>
      <c r="P812" s="246">
        <f>_xlfn.XLOOKUP($C812,'Site Level Financials - ''23 ''24'!$C$2:$C$1577,'Site Level Financials - ''23 ''24'!AB$2:AB$1577)</f>
        <v>-0.18099251181097864</v>
      </c>
      <c r="Q812" s="246">
        <f>_xlfn.XLOOKUP($C812,'Site Level Financials - ''23 ''24'!$C$2:$C$1577,'Site Level Financials - ''23 ''24'!AC$2:AC$1577)</f>
        <v>-0.4217298876603951</v>
      </c>
      <c r="R812" s="246">
        <f>_xlfn.XLOOKUP($C812,'Site Level Financials - ''23 ''24'!$C$2:$C$1577,'Site Level Financials - ''23 ''24'!AD$2:AD$1577)</f>
        <v>-0.38474219601652759</v>
      </c>
      <c r="S812" s="148">
        <f>S811/G811-1</f>
        <v>-0.16438287802960039</v>
      </c>
      <c r="T812" s="149">
        <f t="shared" ref="T812" si="2305">T811/H811-1</f>
        <v>-6.4556935855646369E-3</v>
      </c>
      <c r="U812" s="149">
        <f t="shared" ref="U812" si="2306">U811/I811-1</f>
        <v>8.6954212897722538E-2</v>
      </c>
      <c r="V812" s="149">
        <f t="shared" ref="V812" si="2307">V811/J811-1</f>
        <v>7.0319256176680112E-2</v>
      </c>
      <c r="W812" s="149">
        <f t="shared" ref="W812" si="2308">W811/K811-1</f>
        <v>0.4825700417703862</v>
      </c>
      <c r="X812" s="149">
        <f t="shared" ref="X812" si="2309">X811/L811-1</f>
        <v>0.45146429060178916</v>
      </c>
      <c r="Y812" s="149">
        <f t="shared" ref="Y812" si="2310">Y811/M811-1</f>
        <v>0.71767888619548681</v>
      </c>
      <c r="Z812" s="149">
        <f t="shared" ref="Z812" si="2311">Z811/N811-1</f>
        <v>0.18321056794673241</v>
      </c>
      <c r="AA812" s="149">
        <f t="shared" ref="AA812" si="2312">AA811/O811-1</f>
        <v>0.29803856228661796</v>
      </c>
      <c r="AB812" s="149">
        <f t="shared" ref="AB812" si="2313">AB811/P811-1</f>
        <v>0.2364339184448303</v>
      </c>
      <c r="AC812" s="149">
        <f t="shared" ref="AC812" si="2314">AC811/Q811-1</f>
        <v>0.25299103290622171</v>
      </c>
      <c r="AD812" s="150">
        <f t="shared" ref="AD812" si="2315">AD811/R811-1</f>
        <v>0.22523081200282924</v>
      </c>
      <c r="AE812" s="15"/>
      <c r="AF812" s="11"/>
      <c r="AG812" s="97">
        <f>AG811/AF811-1</f>
        <v>-0.26465334216278835</v>
      </c>
      <c r="AH812" s="97">
        <f>AH811/AG811-1</f>
        <v>0.21391088977770267</v>
      </c>
    </row>
    <row r="813" spans="2:34" ht="6" customHeight="1" x14ac:dyDescent="0.2">
      <c r="B813" s="9">
        <f>G799</f>
        <v>17</v>
      </c>
      <c r="C813" s="9" t="str">
        <f t="shared" si="2296"/>
        <v xml:space="preserve">17 - </v>
      </c>
      <c r="D813" s="9" t="s">
        <v>56</v>
      </c>
      <c r="G813" s="80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80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81"/>
      <c r="AE813" s="15"/>
      <c r="AF813" s="11"/>
      <c r="AG813" s="15"/>
      <c r="AH813" s="15"/>
    </row>
    <row r="814" spans="2:34" x14ac:dyDescent="0.2">
      <c r="B814" s="9">
        <f>G799</f>
        <v>17</v>
      </c>
      <c r="C814" s="9" t="str">
        <f t="shared" si="2296"/>
        <v>17 - Doctor Compensation</v>
      </c>
      <c r="D814" s="9" t="s">
        <v>56</v>
      </c>
      <c r="F814" t="s">
        <v>4</v>
      </c>
      <c r="G814" s="178">
        <f>_xlfn.XLOOKUP($C814,'Site Level Financials - ''23 ''24'!$C$2:$C$1577,'Site Level Financials - ''23 ''24'!S$2:S$1577)</f>
        <v>-115.68913030448464</v>
      </c>
      <c r="H814" s="179">
        <f>_xlfn.XLOOKUP($C814,'Site Level Financials - ''23 ''24'!$C$2:$C$1577,'Site Level Financials - ''23 ''24'!T$2:T$1577)</f>
        <v>-131.62712898128308</v>
      </c>
      <c r="I814" s="179">
        <f>_xlfn.XLOOKUP($C814,'Site Level Financials - ''23 ''24'!$C$2:$C$1577,'Site Level Financials - ''23 ''24'!U$2:U$1577)</f>
        <v>-127.68888694632984</v>
      </c>
      <c r="J814" s="179">
        <f>_xlfn.XLOOKUP($C814,'Site Level Financials - ''23 ''24'!$C$2:$C$1577,'Site Level Financials - ''23 ''24'!V$2:V$1577)</f>
        <v>-142.04352884552773</v>
      </c>
      <c r="K814" s="179">
        <f>_xlfn.XLOOKUP($C814,'Site Level Financials - ''23 ''24'!$C$2:$C$1577,'Site Level Financials - ''23 ''24'!W$2:W$1577)</f>
        <v>-121.7821562173031</v>
      </c>
      <c r="L814" s="179">
        <f>_xlfn.XLOOKUP($C814,'Site Level Financials - ''23 ''24'!$C$2:$C$1577,'Site Level Financials - ''23 ''24'!X$2:X$1577)</f>
        <v>-102.40739505072872</v>
      </c>
      <c r="M814" s="179">
        <f>_xlfn.XLOOKUP($C814,'Site Level Financials - ''23 ''24'!$C$2:$C$1577,'Site Level Financials - ''23 ''24'!Y$2:Y$1577)</f>
        <v>-103.33093215107704</v>
      </c>
      <c r="N814" s="179">
        <f>_xlfn.XLOOKUP($C814,'Site Level Financials - ''23 ''24'!$C$2:$C$1577,'Site Level Financials - ''23 ''24'!Z$2:Z$1577)</f>
        <v>-126.82587863808712</v>
      </c>
      <c r="O814" s="179">
        <f>_xlfn.XLOOKUP($C814,'Site Level Financials - ''23 ''24'!$C$2:$C$1577,'Site Level Financials - ''23 ''24'!AA$2:AA$1577)</f>
        <v>-103.67853350538356</v>
      </c>
      <c r="P814" s="179">
        <f>_xlfn.XLOOKUP($C814,'Site Level Financials - ''23 ''24'!$C$2:$C$1577,'Site Level Financials - ''23 ''24'!AB$2:AB$1577)</f>
        <v>-127.50894056266075</v>
      </c>
      <c r="Q814" s="179">
        <f>_xlfn.XLOOKUP($C814,'Site Level Financials - ''23 ''24'!$C$2:$C$1577,'Site Level Financials - ''23 ''24'!AC$2:AC$1577)</f>
        <v>-102.0799709696546</v>
      </c>
      <c r="R814" s="179">
        <f>_xlfn.XLOOKUP($C814,'Site Level Financials - ''23 ''24'!$C$2:$C$1577,'Site Level Financials - ''23 ''24'!AD$2:AD$1577)</f>
        <v>-86.597874690489604</v>
      </c>
      <c r="S814" s="155">
        <f>S815*S811</f>
        <v>-96.671818108291987</v>
      </c>
      <c r="T814" s="154">
        <f t="shared" ref="T814" si="2316">T815*T811</f>
        <v>-130.77738456903234</v>
      </c>
      <c r="U814" s="154">
        <f t="shared" ref="U814" si="2317">U815*U811</f>
        <v>-138.79197360653424</v>
      </c>
      <c r="V814" s="154">
        <f t="shared" ref="V814" si="2318">V815*V811</f>
        <v>-152.03192413865608</v>
      </c>
      <c r="W814" s="154">
        <f t="shared" ref="W814" si="2319">W815*W811</f>
        <v>-180.55057642997477</v>
      </c>
      <c r="X814" s="154">
        <f t="shared" ref="X814" si="2320">X815*X811</f>
        <v>-148.64067700968315</v>
      </c>
      <c r="Y814" s="154">
        <f t="shared" ref="Y814" si="2321">Y815*Y811</f>
        <v>-177.48936044680343</v>
      </c>
      <c r="Z814" s="154">
        <f t="shared" ref="Z814" si="2322">Z815*Z811</f>
        <v>-150.06171989371441</v>
      </c>
      <c r="AA814" s="154">
        <f t="shared" ref="AA814" si="2323">AA815*AA811</f>
        <v>-134.57873457131302</v>
      </c>
      <c r="AB814" s="154">
        <f t="shared" ref="AB814" si="2324">AB815*AB811</f>
        <v>-157.65637901663959</v>
      </c>
      <c r="AC814" s="154">
        <f t="shared" ref="AC814" si="2325">AC815*AC811</f>
        <v>-127.90528826430463</v>
      </c>
      <c r="AD814" s="156">
        <f t="shared" ref="AD814" si="2326">AD815*AD811</f>
        <v>-106.10238432474783</v>
      </c>
      <c r="AE814" s="15"/>
      <c r="AF814" s="115">
        <f>_xlfn.XLOOKUP($C814,'Site Level Financials - ''23 ''24'!$C$2:$C$1577,'Site Level Financials - ''23 ''24'!$AF$2:$AF$1577)</f>
        <v>-1771.7443718396746</v>
      </c>
      <c r="AG814" s="93">
        <f>SUM(G814:R814)</f>
        <v>-1391.2603568630095</v>
      </c>
      <c r="AH814" s="93">
        <f t="shared" ref="AH814" si="2327">SUM(S814:AD814)</f>
        <v>-1701.2582203796953</v>
      </c>
    </row>
    <row r="815" spans="2:34" x14ac:dyDescent="0.2">
      <c r="B815" s="9">
        <f>G799</f>
        <v>17</v>
      </c>
      <c r="C815" s="9" t="str">
        <f t="shared" si="2296"/>
        <v>17 - % of Revenue - Doctor Compensation</v>
      </c>
      <c r="D815" s="9" t="s">
        <v>56</v>
      </c>
      <c r="F815" s="16" t="str">
        <f>"% of Revenue - "&amp;F814</f>
        <v>% of Revenue - Doctor Compensation</v>
      </c>
      <c r="G815" s="148">
        <f>G814/G811</f>
        <v>-0.28313504991332028</v>
      </c>
      <c r="H815" s="149">
        <f t="shared" ref="H815:R815" si="2328">H814/H811</f>
        <v>-0.3699007222811671</v>
      </c>
      <c r="I815" s="149">
        <f t="shared" si="2328"/>
        <v>-0.36559297139571612</v>
      </c>
      <c r="J815" s="149">
        <f t="shared" si="2328"/>
        <v>-0.37386370581036077</v>
      </c>
      <c r="K815" s="149">
        <f t="shared" si="2328"/>
        <v>-0.37357167299081989</v>
      </c>
      <c r="L815" s="149">
        <f t="shared" si="2328"/>
        <v>-0.36623797053263923</v>
      </c>
      <c r="M815" s="149">
        <f t="shared" si="2328"/>
        <v>-0.36527912745199809</v>
      </c>
      <c r="N815" s="149">
        <f t="shared" si="2328"/>
        <v>-0.36015791792849977</v>
      </c>
      <c r="O815" s="149">
        <f t="shared" si="2328"/>
        <v>-0.35229569703243208</v>
      </c>
      <c r="P815" s="149">
        <f t="shared" si="2328"/>
        <v>-0.35934713887296171</v>
      </c>
      <c r="Q815" s="149">
        <f t="shared" si="2328"/>
        <v>-0.36881308720564793</v>
      </c>
      <c r="R815" s="149">
        <f t="shared" si="2328"/>
        <v>-0.37483462056808992</v>
      </c>
      <c r="S815" s="245">
        <f>_xlfn.XLOOKUP($F815,'Budget Assumption Driver'!$A$33:$A$39,'Budget Assumption Driver'!E$33:E$39)+G815</f>
        <v>-0.28313504991332028</v>
      </c>
      <c r="T815" s="246">
        <f>_xlfn.XLOOKUP($F815,'Budget Assumption Driver'!$A$33:$A$39,'Budget Assumption Driver'!F$33:F$39)+H815</f>
        <v>-0.3699007222811671</v>
      </c>
      <c r="U815" s="246">
        <f>_xlfn.XLOOKUP($F815,'Budget Assumption Driver'!$A$33:$A$39,'Budget Assumption Driver'!G$33:G$39)+I815</f>
        <v>-0.36559297139571612</v>
      </c>
      <c r="V815" s="246">
        <f>_xlfn.XLOOKUP($F815,'Budget Assumption Driver'!$A$33:$A$39,'Budget Assumption Driver'!H$33:H$39)+J815</f>
        <v>-0.37386370581036077</v>
      </c>
      <c r="W815" s="246">
        <f>_xlfn.XLOOKUP($F815,'Budget Assumption Driver'!$A$33:$A$39,'Budget Assumption Driver'!I$33:I$39)+K815</f>
        <v>-0.37357167299081989</v>
      </c>
      <c r="X815" s="246">
        <f>_xlfn.XLOOKUP($F815,'Budget Assumption Driver'!$A$33:$A$39,'Budget Assumption Driver'!J$33:J$39)+L815</f>
        <v>-0.36623797053263923</v>
      </c>
      <c r="Y815" s="246">
        <f>_xlfn.XLOOKUP($F815,'Budget Assumption Driver'!$A$33:$A$39,'Budget Assumption Driver'!K$33:K$39)+M815</f>
        <v>-0.36527912745199809</v>
      </c>
      <c r="Z815" s="246">
        <f>_xlfn.XLOOKUP($F815,'Budget Assumption Driver'!$A$33:$A$39,'Budget Assumption Driver'!L$33:L$39)+N815</f>
        <v>-0.36015791792849977</v>
      </c>
      <c r="AA815" s="246">
        <f>_xlfn.XLOOKUP($F815,'Budget Assumption Driver'!$A$33:$A$39,'Budget Assumption Driver'!M$33:M$39)+O815</f>
        <v>-0.35229569703243208</v>
      </c>
      <c r="AB815" s="246">
        <f>_xlfn.XLOOKUP($F815,'Budget Assumption Driver'!$A$33:$A$39,'Budget Assumption Driver'!N$33:N$39)+P815</f>
        <v>-0.35934713887296171</v>
      </c>
      <c r="AC815" s="246">
        <f>_xlfn.XLOOKUP($F815,'Budget Assumption Driver'!$A$33:$A$39,'Budget Assumption Driver'!O$33:O$39)+Q815</f>
        <v>-0.36881308720564793</v>
      </c>
      <c r="AD815" s="296">
        <f>_xlfn.XLOOKUP($F815,'Budget Assumption Driver'!$A$33:$A$39,'Budget Assumption Driver'!P$33:P$39)+R815</f>
        <v>-0.37483462056808992</v>
      </c>
      <c r="AE815" s="15"/>
      <c r="AF815" s="232">
        <f>_xlfn.XLOOKUP($C815,'Site Level Financials - ''23 ''24'!$C$2:$C$1577,'Site Level Financials - ''23 ''24'!$AF$2:$AF$1577)</f>
        <v>-0.33481708440501551</v>
      </c>
      <c r="AG815" s="97">
        <f t="shared" ref="AG815:AH815" si="2329">AG814/AG811</f>
        <v>-0.35753851815389753</v>
      </c>
      <c r="AH815" s="97">
        <f t="shared" si="2329"/>
        <v>-0.36016197135802325</v>
      </c>
    </row>
    <row r="816" spans="2:34" ht="3" customHeight="1" x14ac:dyDescent="0.2">
      <c r="B816" s="9">
        <f>G799</f>
        <v>17</v>
      </c>
      <c r="C816" s="9" t="str">
        <f t="shared" si="2296"/>
        <v xml:space="preserve">17 - </v>
      </c>
      <c r="D816" s="9" t="s">
        <v>56</v>
      </c>
      <c r="F816" s="16"/>
      <c r="G816" s="84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4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6"/>
      <c r="AE816" s="15"/>
      <c r="AF816" s="36"/>
      <c r="AG816" s="38"/>
      <c r="AH816" s="38"/>
    </row>
    <row r="817" spans="2:34" x14ac:dyDescent="0.2">
      <c r="B817" s="9">
        <f>G799</f>
        <v>17</v>
      </c>
      <c r="C817" s="9" t="str">
        <f t="shared" si="2296"/>
        <v>17 - Administrative Staff Compensation</v>
      </c>
      <c r="D817" s="9" t="s">
        <v>56</v>
      </c>
      <c r="F817" t="s">
        <v>5</v>
      </c>
      <c r="G817" s="178">
        <f>_xlfn.XLOOKUP($C817,'Site Level Financials - ''23 ''24'!$C$2:$C$1577,'Site Level Financials - ''23 ''24'!S$2:S$1577)</f>
        <v>-75.303770087988099</v>
      </c>
      <c r="H817" s="179">
        <f>_xlfn.XLOOKUP($C817,'Site Level Financials - ''23 ''24'!$C$2:$C$1577,'Site Level Financials - ''23 ''24'!T$2:T$1577)</f>
        <v>-88.664963144480751</v>
      </c>
      <c r="I817" s="179">
        <f>_xlfn.XLOOKUP($C817,'Site Level Financials - ''23 ''24'!$C$2:$C$1577,'Site Level Financials - ''23 ''24'!U$2:U$1577)</f>
        <v>-86.922321384075502</v>
      </c>
      <c r="J817" s="179">
        <f>_xlfn.XLOOKUP($C817,'Site Level Financials - ''23 ''24'!$C$2:$C$1577,'Site Level Financials - ''23 ''24'!V$2:V$1577)</f>
        <v>-98.773337484831231</v>
      </c>
      <c r="K817" s="179">
        <f>_xlfn.XLOOKUP($C817,'Site Level Financials - ''23 ''24'!$C$2:$C$1577,'Site Level Financials - ''23 ''24'!W$2:W$1577)</f>
        <v>-89.377742722541882</v>
      </c>
      <c r="L817" s="179">
        <f>_xlfn.XLOOKUP($C817,'Site Level Financials - ''23 ''24'!$C$2:$C$1577,'Site Level Financials - ''23 ''24'!X$2:X$1577)</f>
        <v>-109.24900218161417</v>
      </c>
      <c r="M817" s="179">
        <f>_xlfn.XLOOKUP($C817,'Site Level Financials - ''23 ''24'!$C$2:$C$1577,'Site Level Financials - ''23 ''24'!Y$2:Y$1577)</f>
        <v>-111.25232930408544</v>
      </c>
      <c r="N817" s="179">
        <f>_xlfn.XLOOKUP($C817,'Site Level Financials - ''23 ''24'!$C$2:$C$1577,'Site Level Financials - ''23 ''24'!Z$2:Z$1577)</f>
        <v>-92.436897687508306</v>
      </c>
      <c r="O817" s="179">
        <f>_xlfn.XLOOKUP($C817,'Site Level Financials - ''23 ''24'!$C$2:$C$1577,'Site Level Financials - ''23 ''24'!AA$2:AA$1577)</f>
        <v>-76.104866213249622</v>
      </c>
      <c r="P817" s="179">
        <f>_xlfn.XLOOKUP($C817,'Site Level Financials - ''23 ''24'!$C$2:$C$1577,'Site Level Financials - ''23 ''24'!AB$2:AB$1577)</f>
        <v>-91.598493125331402</v>
      </c>
      <c r="Q817" s="179">
        <f>_xlfn.XLOOKUP($C817,'Site Level Financials - ''23 ''24'!$C$2:$C$1577,'Site Level Financials - ''23 ''24'!AC$2:AC$1577)</f>
        <v>-73.748806764214038</v>
      </c>
      <c r="R817" s="179">
        <f>_xlfn.XLOOKUP($C817,'Site Level Financials - ''23 ''24'!$C$2:$C$1577,'Site Level Financials - ''23 ''24'!AD$2:AD$1577)</f>
        <v>-60.333012881986683</v>
      </c>
      <c r="S817" s="155">
        <f>S818*S811</f>
        <v>-62.925119634445274</v>
      </c>
      <c r="T817" s="154">
        <f t="shared" ref="T817" si="2330">T818*T811</f>
        <v>-88.092569310644606</v>
      </c>
      <c r="U817" s="154">
        <f t="shared" ref="U817" si="2331">U818*U811</f>
        <v>-94.480583423270673</v>
      </c>
      <c r="V817" s="154">
        <f t="shared" ref="V817" si="2332">V818*V811</f>
        <v>-105.71900510685278</v>
      </c>
      <c r="W817" s="154">
        <f t="shared" ref="W817" si="2333">W818*W811</f>
        <v>-132.50876376150177</v>
      </c>
      <c r="X817" s="154">
        <f t="shared" ref="X817" si="2334">X818*X811</f>
        <v>-158.57102545048994</v>
      </c>
      <c r="Y817" s="154">
        <f t="shared" ref="Y817" si="2335">Y818*Y811</f>
        <v>-191.095777085695</v>
      </c>
      <c r="Z817" s="154">
        <f t="shared" ref="Z817" si="2336">Z818*Z811</f>
        <v>-109.37231421207069</v>
      </c>
      <c r="AA817" s="154">
        <f t="shared" ref="AA817" si="2337">AA818*AA811</f>
        <v>-98.787051122461946</v>
      </c>
      <c r="AB817" s="154">
        <f t="shared" ref="AB817" si="2338">AB818*AB811</f>
        <v>-113.25548377859535</v>
      </c>
      <c r="AC817" s="154">
        <f t="shared" ref="AC817" si="2339">AC818*AC811</f>
        <v>-92.406593563093907</v>
      </c>
      <c r="AD817" s="156">
        <f t="shared" ref="AD817" si="2340">AD818*AD811</f>
        <v>-73.921866363973692</v>
      </c>
      <c r="AE817" s="15"/>
      <c r="AF817" s="115">
        <f>_xlfn.XLOOKUP($C817,'Site Level Financials - ''23 ''24'!$C$2:$C$1577,'Site Level Financials - ''23 ''24'!$AF$2:$AF$1577)</f>
        <v>-1193.0555930845239</v>
      </c>
      <c r="AG817" s="93">
        <f>SUM(G817:R817)</f>
        <v>-1053.7655429819072</v>
      </c>
      <c r="AH817" s="93">
        <f t="shared" ref="AH817" si="2341">SUM(S817:AD817)</f>
        <v>-1321.1361528130958</v>
      </c>
    </row>
    <row r="818" spans="2:34" x14ac:dyDescent="0.2">
      <c r="B818" s="9">
        <f>G799</f>
        <v>17</v>
      </c>
      <c r="C818" s="9" t="str">
        <f t="shared" si="2296"/>
        <v>17 - % of Revenue - Administrative Staff Compensation</v>
      </c>
      <c r="D818" s="9" t="s">
        <v>56</v>
      </c>
      <c r="F818" s="16" t="str">
        <f>"% of Revenue - "&amp;F817</f>
        <v>% of Revenue - Administrative Staff Compensation</v>
      </c>
      <c r="G818" s="148">
        <f>G817/G811</f>
        <v>-0.18429680166501519</v>
      </c>
      <c r="H818" s="149">
        <f t="shared" ref="H818:R818" si="2342">H817/H811</f>
        <v>-0.24916773739583839</v>
      </c>
      <c r="I818" s="149">
        <f t="shared" si="2342"/>
        <v>-0.24887200848398466</v>
      </c>
      <c r="J818" s="149">
        <f t="shared" si="2342"/>
        <v>-0.25997499701303078</v>
      </c>
      <c r="K818" s="149">
        <f t="shared" si="2342"/>
        <v>-0.2741698284387829</v>
      </c>
      <c r="L818" s="149">
        <f t="shared" si="2342"/>
        <v>-0.39070550346379046</v>
      </c>
      <c r="M818" s="149">
        <f t="shared" si="2342"/>
        <v>-0.39328159467082779</v>
      </c>
      <c r="N818" s="149">
        <f t="shared" si="2342"/>
        <v>-0.26250068967316303</v>
      </c>
      <c r="O818" s="149">
        <f t="shared" si="2342"/>
        <v>-0.25860142870138658</v>
      </c>
      <c r="P818" s="149">
        <f t="shared" si="2342"/>
        <v>-0.25814390963029765</v>
      </c>
      <c r="Q818" s="149">
        <f t="shared" si="2342"/>
        <v>-0.26645310379768994</v>
      </c>
      <c r="R818" s="149">
        <f t="shared" si="2342"/>
        <v>-0.26114846434946959</v>
      </c>
      <c r="S818" s="245">
        <f>_xlfn.XLOOKUP($F818,'Budget Assumption Driver'!$A$33:$A$39,'Budget Assumption Driver'!E$33:E$39)+G818</f>
        <v>-0.18429680166501519</v>
      </c>
      <c r="T818" s="246">
        <f>_xlfn.XLOOKUP($F818,'Budget Assumption Driver'!$A$33:$A$39,'Budget Assumption Driver'!F$33:F$39)+H818</f>
        <v>-0.24916773739583839</v>
      </c>
      <c r="U818" s="246">
        <f>_xlfn.XLOOKUP($F818,'Budget Assumption Driver'!$A$33:$A$39,'Budget Assumption Driver'!G$33:G$39)+I818</f>
        <v>-0.24887200848398466</v>
      </c>
      <c r="V818" s="246">
        <f>_xlfn.XLOOKUP($F818,'Budget Assumption Driver'!$A$33:$A$39,'Budget Assumption Driver'!H$33:H$39)+J818</f>
        <v>-0.25997499701303078</v>
      </c>
      <c r="W818" s="246">
        <f>_xlfn.XLOOKUP($F818,'Budget Assumption Driver'!$A$33:$A$39,'Budget Assumption Driver'!I$33:I$39)+K818</f>
        <v>-0.2741698284387829</v>
      </c>
      <c r="X818" s="246">
        <f>_xlfn.XLOOKUP($F818,'Budget Assumption Driver'!$A$33:$A$39,'Budget Assumption Driver'!J$33:J$39)+L818</f>
        <v>-0.39070550346379046</v>
      </c>
      <c r="Y818" s="246">
        <f>_xlfn.XLOOKUP($F818,'Budget Assumption Driver'!$A$33:$A$39,'Budget Assumption Driver'!K$33:K$39)+M818</f>
        <v>-0.39328159467082779</v>
      </c>
      <c r="Z818" s="246">
        <f>_xlfn.XLOOKUP($F818,'Budget Assumption Driver'!$A$33:$A$39,'Budget Assumption Driver'!L$33:L$39)+N818</f>
        <v>-0.26250068967316303</v>
      </c>
      <c r="AA818" s="246">
        <f>_xlfn.XLOOKUP($F818,'Budget Assumption Driver'!$A$33:$A$39,'Budget Assumption Driver'!M$33:M$39)+O818</f>
        <v>-0.25860142870138658</v>
      </c>
      <c r="AB818" s="246">
        <f>_xlfn.XLOOKUP($F818,'Budget Assumption Driver'!$A$33:$A$39,'Budget Assumption Driver'!N$33:N$39)+P818</f>
        <v>-0.25814390963029765</v>
      </c>
      <c r="AC818" s="246">
        <f>_xlfn.XLOOKUP($F818,'Budget Assumption Driver'!$A$33:$A$39,'Budget Assumption Driver'!O$33:O$39)+Q818</f>
        <v>-0.26645310379768994</v>
      </c>
      <c r="AD818" s="296">
        <f>_xlfn.XLOOKUP($F818,'Budget Assumption Driver'!$A$33:$A$39,'Budget Assumption Driver'!P$33:P$39)+R818</f>
        <v>-0.26114846434946959</v>
      </c>
      <c r="AE818" s="15"/>
      <c r="AF818" s="232">
        <f>_xlfn.XLOOKUP($C818,'Site Level Financials - ''23 ''24'!$C$2:$C$1577,'Site Level Financials - ''23 ''24'!$AF$2:$AF$1577)</f>
        <v>-0.22545881988319003</v>
      </c>
      <c r="AG818" s="97">
        <f t="shared" ref="AG818:AH818" si="2343">AG817/AG811</f>
        <v>-0.27080608518804083</v>
      </c>
      <c r="AH818" s="97">
        <f t="shared" si="2343"/>
        <v>-0.27968887704967133</v>
      </c>
    </row>
    <row r="819" spans="2:34" ht="3" customHeight="1" x14ac:dyDescent="0.2">
      <c r="B819" s="9">
        <f>G799</f>
        <v>17</v>
      </c>
      <c r="C819" s="9" t="str">
        <f t="shared" si="2296"/>
        <v xml:space="preserve">17 - </v>
      </c>
      <c r="D819" s="9" t="s">
        <v>56</v>
      </c>
      <c r="F819" s="16"/>
      <c r="G819" s="84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4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6"/>
      <c r="AE819" s="15"/>
      <c r="AF819" s="36"/>
      <c r="AG819" s="38"/>
      <c r="AH819" s="38"/>
    </row>
    <row r="820" spans="2:34" x14ac:dyDescent="0.2">
      <c r="B820" s="9">
        <f>G799</f>
        <v>17</v>
      </c>
      <c r="C820" s="9" t="str">
        <f t="shared" si="2296"/>
        <v>17 - Office Supplies</v>
      </c>
      <c r="D820" s="9" t="s">
        <v>56</v>
      </c>
      <c r="F820" t="s">
        <v>6</v>
      </c>
      <c r="G820" s="178">
        <f>_xlfn.XLOOKUP($C820,'Site Level Financials - ''23 ''24'!$C$2:$C$1577,'Site Level Financials - ''23 ''24'!S$2:S$1577)</f>
        <v>-21.353253709596121</v>
      </c>
      <c r="H820" s="179">
        <f>_xlfn.XLOOKUP($C820,'Site Level Financials - ''23 ''24'!$C$2:$C$1577,'Site Level Financials - ''23 ''24'!T$2:T$1577)</f>
        <v>-22.831700722196913</v>
      </c>
      <c r="I820" s="179">
        <f>_xlfn.XLOOKUP($C820,'Site Level Financials - ''23 ''24'!$C$2:$C$1577,'Site Level Financials - ''23 ''24'!U$2:U$1577)</f>
        <v>-22.223357966267425</v>
      </c>
      <c r="J820" s="179">
        <f>_xlfn.XLOOKUP($C820,'Site Level Financials - ''23 ''24'!$C$2:$C$1577,'Site Level Financials - ''23 ''24'!V$2:V$1577)</f>
        <v>-23.140321516121908</v>
      </c>
      <c r="K820" s="179">
        <f>_xlfn.XLOOKUP($C820,'Site Level Financials - ''23 ''24'!$C$2:$C$1577,'Site Level Financials - ''23 ''24'!W$2:W$1577)</f>
        <v>-31.983175041968249</v>
      </c>
      <c r="L820" s="179">
        <f>_xlfn.XLOOKUP($C820,'Site Level Financials - ''23 ''24'!$C$2:$C$1577,'Site Level Financials - ''23 ''24'!X$2:X$1577)</f>
        <v>-25.918133860741392</v>
      </c>
      <c r="M820" s="179">
        <f>_xlfn.XLOOKUP($C820,'Site Level Financials - ''23 ''24'!$C$2:$C$1577,'Site Level Financials - ''23 ''24'!Y$2:Y$1577)</f>
        <v>-26.556482442398504</v>
      </c>
      <c r="N820" s="179">
        <f>_xlfn.XLOOKUP($C820,'Site Level Financials - ''23 ''24'!$C$2:$C$1577,'Site Level Financials - ''23 ''24'!Z$2:Z$1577)</f>
        <v>-22.073653627574089</v>
      </c>
      <c r="O820" s="179">
        <f>_xlfn.XLOOKUP($C820,'Site Level Financials - ''23 ''24'!$C$2:$C$1577,'Site Level Financials - ''23 ''24'!AA$2:AA$1577)</f>
        <v>-19.087561038869531</v>
      </c>
      <c r="P820" s="179">
        <f>_xlfn.XLOOKUP($C820,'Site Level Financials - ''23 ''24'!$C$2:$C$1577,'Site Level Financials - ''23 ''24'!AB$2:AB$1577)</f>
        <v>-25.194378942433207</v>
      </c>
      <c r="Q820" s="179">
        <f>_xlfn.XLOOKUP($C820,'Site Level Financials - ''23 ''24'!$C$2:$C$1577,'Site Level Financials - ''23 ''24'!AC$2:AC$1577)</f>
        <v>-18.017093077424267</v>
      </c>
      <c r="R820" s="179">
        <f>_xlfn.XLOOKUP($C820,'Site Level Financials - ''23 ''24'!$C$2:$C$1577,'Site Level Financials - ''23 ''24'!AD$2:AD$1577)</f>
        <v>-16.419625523598</v>
      </c>
      <c r="S820" s="155">
        <f>S821*S811</f>
        <v>-17.843144409516469</v>
      </c>
      <c r="T820" s="154">
        <f t="shared" ref="T820" si="2344">T821*T811</f>
        <v>-22.684306258297095</v>
      </c>
      <c r="U820" s="154">
        <f t="shared" ref="U820" si="2345">U821*U811</f>
        <v>-24.155772566168547</v>
      </c>
      <c r="V820" s="154">
        <f t="shared" ref="V820" si="2346">V821*V811</f>
        <v>-24.767531712824827</v>
      </c>
      <c r="W820" s="154">
        <f t="shared" ref="W820" si="2347">W821*W811</f>
        <v>-47.417297157920444</v>
      </c>
      <c r="X820" s="154">
        <f t="shared" ref="X820" si="2348">X821*X811</f>
        <v>-37.619245777903217</v>
      </c>
      <c r="Y820" s="154">
        <f t="shared" ref="Y820" si="2349">Y821*Y811</f>
        <v>-45.61550918292906</v>
      </c>
      <c r="Z820" s="154">
        <f t="shared" ref="Z820" si="2350">Z821*Z811</f>
        <v>-26.11778024534139</v>
      </c>
      <c r="AA820" s="154">
        <f t="shared" ref="AA820" si="2351">AA821*AA811</f>
        <v>-24.776390288452269</v>
      </c>
      <c r="AB820" s="154">
        <f t="shared" ref="AB820" si="2352">AB821*AB811</f>
        <v>-31.151184678576612</v>
      </c>
      <c r="AC820" s="154">
        <f t="shared" ref="AC820" si="2353">AC821*AC811</f>
        <v>-22.57525606504937</v>
      </c>
      <c r="AD820" s="156">
        <f t="shared" ref="AD820" si="2354">AD821*AD811</f>
        <v>-20.117831113060358</v>
      </c>
      <c r="AE820" s="15"/>
      <c r="AF820" s="115">
        <f>_xlfn.XLOOKUP($C820,'Site Level Financials - ''23 ''24'!$C$2:$C$1577,'Site Level Financials - ''23 ''24'!$AF$2:$AF$1577)</f>
        <v>-328.50996810096143</v>
      </c>
      <c r="AG820" s="93">
        <f>SUM(G820:R820)</f>
        <v>-274.79873746918963</v>
      </c>
      <c r="AH820" s="93">
        <f t="shared" ref="AH820" si="2355">SUM(S820:AD820)</f>
        <v>-344.84124945603963</v>
      </c>
    </row>
    <row r="821" spans="2:34" x14ac:dyDescent="0.2">
      <c r="B821" s="9">
        <f>G799</f>
        <v>17</v>
      </c>
      <c r="C821" s="9" t="str">
        <f t="shared" si="2296"/>
        <v>17 - % of Revenue - Office Supplies</v>
      </c>
      <c r="D821" s="9" t="s">
        <v>56</v>
      </c>
      <c r="F821" s="16" t="str">
        <f>"% of Revenue - "&amp;F820</f>
        <v>% of Revenue - Office Supplies</v>
      </c>
      <c r="G821" s="148">
        <f>G820/G811</f>
        <v>-5.2259486599701095E-2</v>
      </c>
      <c r="H821" s="149">
        <f t="shared" ref="H821:R821" si="2356">H820/H811</f>
        <v>-6.4162020803849626E-2</v>
      </c>
      <c r="I821" s="149">
        <f t="shared" si="2356"/>
        <v>-6.3628900428064197E-2</v>
      </c>
      <c r="J821" s="149">
        <f t="shared" si="2356"/>
        <v>-6.0906163244288831E-2</v>
      </c>
      <c r="K821" s="149">
        <f t="shared" si="2356"/>
        <v>-9.8109678618818169E-2</v>
      </c>
      <c r="L821" s="149">
        <f t="shared" si="2356"/>
        <v>-9.269061809890905E-2</v>
      </c>
      <c r="M821" s="149">
        <f t="shared" si="2356"/>
        <v>-9.3878266002389119E-2</v>
      </c>
      <c r="N821" s="149">
        <f t="shared" si="2356"/>
        <v>-6.2684376540124306E-2</v>
      </c>
      <c r="O821" s="149">
        <f t="shared" si="2356"/>
        <v>-6.4858803394325246E-2</v>
      </c>
      <c r="P821" s="149">
        <f t="shared" si="2356"/>
        <v>-7.1003083773529291E-2</v>
      </c>
      <c r="Q821" s="149">
        <f t="shared" si="2356"/>
        <v>-6.5095431133416953E-2</v>
      </c>
      <c r="R821" s="149">
        <f t="shared" si="2356"/>
        <v>-7.1071537552224701E-2</v>
      </c>
      <c r="S821" s="245">
        <f>_xlfn.XLOOKUP($F821,'Budget Assumption Driver'!$A$33:$A$39,'Budget Assumption Driver'!E$33:E$39)+G821</f>
        <v>-5.2259486599701095E-2</v>
      </c>
      <c r="T821" s="246">
        <f>_xlfn.XLOOKUP($F821,'Budget Assumption Driver'!$A$33:$A$39,'Budget Assumption Driver'!F$33:F$39)+H821</f>
        <v>-6.4162020803849626E-2</v>
      </c>
      <c r="U821" s="246">
        <f>_xlfn.XLOOKUP($F821,'Budget Assumption Driver'!$A$33:$A$39,'Budget Assumption Driver'!G$33:G$39)+I821</f>
        <v>-6.3628900428064197E-2</v>
      </c>
      <c r="V821" s="246">
        <f>_xlfn.XLOOKUP($F821,'Budget Assumption Driver'!$A$33:$A$39,'Budget Assumption Driver'!H$33:H$39)+J821</f>
        <v>-6.0906163244288831E-2</v>
      </c>
      <c r="W821" s="246">
        <f>_xlfn.XLOOKUP($F821,'Budget Assumption Driver'!$A$33:$A$39,'Budget Assumption Driver'!I$33:I$39)+K821</f>
        <v>-9.8109678618818169E-2</v>
      </c>
      <c r="X821" s="246">
        <f>_xlfn.XLOOKUP($F821,'Budget Assumption Driver'!$A$33:$A$39,'Budget Assumption Driver'!J$33:J$39)+L821</f>
        <v>-9.269061809890905E-2</v>
      </c>
      <c r="Y821" s="246">
        <f>_xlfn.XLOOKUP($F821,'Budget Assumption Driver'!$A$33:$A$39,'Budget Assumption Driver'!K$33:K$39)+M821</f>
        <v>-9.3878266002389119E-2</v>
      </c>
      <c r="Z821" s="246">
        <f>_xlfn.XLOOKUP($F821,'Budget Assumption Driver'!$A$33:$A$39,'Budget Assumption Driver'!L$33:L$39)+N821</f>
        <v>-6.2684376540124306E-2</v>
      </c>
      <c r="AA821" s="246">
        <f>_xlfn.XLOOKUP($F821,'Budget Assumption Driver'!$A$33:$A$39,'Budget Assumption Driver'!M$33:M$39)+O821</f>
        <v>-6.4858803394325246E-2</v>
      </c>
      <c r="AB821" s="246">
        <f>_xlfn.XLOOKUP($F821,'Budget Assumption Driver'!$A$33:$A$39,'Budget Assumption Driver'!N$33:N$39)+P821</f>
        <v>-7.1003083773529291E-2</v>
      </c>
      <c r="AC821" s="246">
        <f>_xlfn.XLOOKUP($F821,'Budget Assumption Driver'!$A$33:$A$39,'Budget Assumption Driver'!O$33:O$39)+Q821</f>
        <v>-6.5095431133416953E-2</v>
      </c>
      <c r="AD821" s="296">
        <f>_xlfn.XLOOKUP($F821,'Budget Assumption Driver'!$A$33:$A$39,'Budget Assumption Driver'!P$33:P$39)+R821</f>
        <v>-7.1071537552224701E-2</v>
      </c>
      <c r="AE821" s="15"/>
      <c r="AF821" s="232">
        <f>_xlfn.XLOOKUP($C821,'Site Level Financials - ''23 ''24'!$C$2:$C$1577,'Site Level Financials - ''23 ''24'!$AF$2:$AF$1577)</f>
        <v>-6.2080484897119023E-2</v>
      </c>
      <c r="AG821" s="97">
        <f t="shared" ref="AG821:AH821" si="2357">AG820/AG811</f>
        <v>-7.0620235026915432E-2</v>
      </c>
      <c r="AH821" s="97">
        <f t="shared" si="2357"/>
        <v>-7.300402885455673E-2</v>
      </c>
    </row>
    <row r="822" spans="2:34" ht="6" customHeight="1" x14ac:dyDescent="0.2">
      <c r="B822" s="9">
        <f>G799</f>
        <v>17</v>
      </c>
      <c r="C822" s="9" t="str">
        <f t="shared" si="2296"/>
        <v xml:space="preserve">17 - </v>
      </c>
      <c r="D822" s="9" t="s">
        <v>56</v>
      </c>
      <c r="F822" s="16"/>
      <c r="G822" s="80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80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81"/>
      <c r="AE822" s="15"/>
      <c r="AF822" s="11"/>
      <c r="AG822" s="15"/>
      <c r="AH822" s="15"/>
    </row>
    <row r="823" spans="2:34" x14ac:dyDescent="0.2">
      <c r="B823" s="9">
        <f>G799</f>
        <v>17</v>
      </c>
      <c r="C823" s="9" t="str">
        <f t="shared" si="2296"/>
        <v>17 - Office Gross Profit</v>
      </c>
      <c r="D823" s="9" t="s">
        <v>56</v>
      </c>
      <c r="F823" s="8" t="s">
        <v>11</v>
      </c>
      <c r="G823" s="241">
        <f>_xlfn.XLOOKUP($C823,'Site Level Financials - ''23 ''24'!$C$2:$C$1577,'Site Level Financials - ''23 ''24'!S$2:S$1577)</f>
        <v>196.25437183035109</v>
      </c>
      <c r="H823" s="242">
        <f>_xlfn.XLOOKUP($C823,'Site Level Financials - ''23 ''24'!$C$2:$C$1577,'Site Level Financials - ''23 ''24'!T$2:T$1577)</f>
        <v>112.72068393365343</v>
      </c>
      <c r="I823" s="242">
        <f>_xlfn.XLOOKUP($C823,'Site Level Financials - ''23 ''24'!$C$2:$C$1577,'Site Level Financials - ''23 ''24'!U$2:U$1577)</f>
        <v>112.43059178023125</v>
      </c>
      <c r="J823" s="242">
        <f>_xlfn.XLOOKUP($C823,'Site Level Financials - ''23 ''24'!$C$2:$C$1577,'Site Level Financials - ''23 ''24'!V$2:V$1577)</f>
        <v>115.97680049733054</v>
      </c>
      <c r="K823" s="242">
        <f>_xlfn.XLOOKUP($C823,'Site Level Financials - ''23 ''24'!$C$2:$C$1577,'Site Level Financials - ''23 ''24'!W$2:W$1577)</f>
        <v>82.851012353249303</v>
      </c>
      <c r="L823" s="242">
        <f>_xlfn.XLOOKUP($C823,'Site Level Financials - ''23 ''24'!$C$2:$C$1577,'Site Level Financials - ''23 ''24'!X$2:X$1577)</f>
        <v>42.045287960063689</v>
      </c>
      <c r="M823" s="242">
        <f>_xlfn.XLOOKUP($C823,'Site Level Financials - ''23 ''24'!$C$2:$C$1577,'Site Level Financials - ''23 ''24'!Y$2:Y$1577)</f>
        <v>41.742371135567822</v>
      </c>
      <c r="N823" s="242">
        <f>_xlfn.XLOOKUP($C823,'Site Level Financials - ''23 ''24'!$C$2:$C$1577,'Site Level Financials - ''23 ''24'!Z$2:Z$1577)</f>
        <v>110.80320748016655</v>
      </c>
      <c r="O823" s="242">
        <f>_xlfn.XLOOKUP($C823,'Site Level Financials - ''23 ''24'!$C$2:$C$1577,'Site Level Financials - ''23 ''24'!AA$2:AA$1577)</f>
        <v>95.423106353509979</v>
      </c>
      <c r="P823" s="242">
        <f>_xlfn.XLOOKUP($C823,'Site Level Financials - ''23 ''24'!$C$2:$C$1577,'Site Level Financials - ''23 ''24'!AB$2:AB$1577)</f>
        <v>110.53318330852484</v>
      </c>
      <c r="Q823" s="242">
        <f>_xlfn.XLOOKUP($C823,'Site Level Financials - ''23 ''24'!$C$2:$C$1577,'Site Level Financials - ''23 ''24'!AC$2:AC$1577)</f>
        <v>82.933816544908282</v>
      </c>
      <c r="R823" s="242">
        <f>_xlfn.XLOOKUP($C823,'Site Level Financials - ''23 ''24'!$C$2:$C$1577,'Site Level Financials - ''23 ''24'!AD$2:AD$1577)</f>
        <v>67.679039508335762</v>
      </c>
      <c r="S823" s="134">
        <f t="shared" ref="S823:AD823" si="2358">S811+S814+S817+S820</f>
        <v>163.99351336298665</v>
      </c>
      <c r="T823" s="135">
        <f t="shared" si="2358"/>
        <v>111.99299373742248</v>
      </c>
      <c r="U823" s="135">
        <f t="shared" si="2358"/>
        <v>122.20690539410641</v>
      </c>
      <c r="V823" s="135">
        <f t="shared" si="2358"/>
        <v>124.132202842054</v>
      </c>
      <c r="W823" s="135">
        <f t="shared" si="2358"/>
        <v>122.83242884527564</v>
      </c>
      <c r="X823" s="135">
        <f t="shared" si="2358"/>
        <v>61.027234062101797</v>
      </c>
      <c r="Y823" s="135">
        <f t="shared" si="2358"/>
        <v>71.699989559300718</v>
      </c>
      <c r="Z823" s="135">
        <f t="shared" si="2358"/>
        <v>131.10352605292755</v>
      </c>
      <c r="AA823" s="135">
        <f t="shared" si="2358"/>
        <v>123.86287178003312</v>
      </c>
      <c r="AB823" s="135">
        <f t="shared" si="2358"/>
        <v>136.66697695634008</v>
      </c>
      <c r="AC823" s="135">
        <f t="shared" si="2358"/>
        <v>103.91532845545971</v>
      </c>
      <c r="AD823" s="136">
        <f t="shared" si="2358"/>
        <v>82.922444532369752</v>
      </c>
      <c r="AE823" s="15"/>
      <c r="AF823" s="114">
        <f>_xlfn.XLOOKUP($C823,'Site Level Financials - ''23 ''24'!$C$2:$C$1577,'Site Level Financials - ''23 ''24'!$AF$2:$AF$1577)</f>
        <v>1998.3685814931227</v>
      </c>
      <c r="AG823" s="95">
        <f>SUM(G823:R823)</f>
        <v>1171.3934726858924</v>
      </c>
      <c r="AH823" s="95">
        <f t="shared" ref="AH823" si="2359">SUM(S823:AD823)</f>
        <v>1356.3564155803779</v>
      </c>
    </row>
    <row r="824" spans="2:34" x14ac:dyDescent="0.2">
      <c r="B824" s="9">
        <f>G799</f>
        <v>17</v>
      </c>
      <c r="C824" s="9" t="str">
        <f t="shared" si="2296"/>
        <v>17 - % of Revenue - Office Gross Profit</v>
      </c>
      <c r="D824" s="9" t="s">
        <v>56</v>
      </c>
      <c r="F824" s="16" t="str">
        <f>"% of Revenue - "&amp;F823</f>
        <v>% of Revenue - Office Gross Profit</v>
      </c>
      <c r="G824" s="148">
        <f>G823/G811</f>
        <v>0.48030866182196341</v>
      </c>
      <c r="H824" s="149">
        <f t="shared" ref="H824:AD824" si="2360">H823/H811</f>
        <v>0.31676951951914489</v>
      </c>
      <c r="I824" s="149">
        <f t="shared" si="2360"/>
        <v>0.32190611969223504</v>
      </c>
      <c r="J824" s="149">
        <f t="shared" si="2360"/>
        <v>0.30525513393231973</v>
      </c>
      <c r="K824" s="149">
        <f t="shared" si="2360"/>
        <v>0.25414881995157895</v>
      </c>
      <c r="L824" s="149">
        <f t="shared" si="2360"/>
        <v>0.15036590790466123</v>
      </c>
      <c r="M824" s="149">
        <f t="shared" si="2360"/>
        <v>0.14756101187478501</v>
      </c>
      <c r="N824" s="149">
        <f t="shared" si="2360"/>
        <v>0.31465701585821282</v>
      </c>
      <c r="O824" s="149">
        <f t="shared" si="2360"/>
        <v>0.32424407087185614</v>
      </c>
      <c r="P824" s="149">
        <f t="shared" si="2360"/>
        <v>0.31150586772321132</v>
      </c>
      <c r="Q824" s="149">
        <f t="shared" si="2360"/>
        <v>0.29963837786324521</v>
      </c>
      <c r="R824" s="149">
        <f t="shared" si="2360"/>
        <v>0.29294537753021582</v>
      </c>
      <c r="S824" s="148">
        <f t="shared" si="2360"/>
        <v>0.48030866182196347</v>
      </c>
      <c r="T824" s="149">
        <f t="shared" si="2360"/>
        <v>0.31676951951914489</v>
      </c>
      <c r="U824" s="149">
        <f t="shared" si="2360"/>
        <v>0.32190611969223498</v>
      </c>
      <c r="V824" s="149">
        <f t="shared" si="2360"/>
        <v>0.30525513393231957</v>
      </c>
      <c r="W824" s="149">
        <f t="shared" si="2360"/>
        <v>0.25414881995157906</v>
      </c>
      <c r="X824" s="149">
        <f t="shared" si="2360"/>
        <v>0.15036590790466126</v>
      </c>
      <c r="Y824" s="149">
        <f t="shared" si="2360"/>
        <v>0.1475610118747849</v>
      </c>
      <c r="Z824" s="149">
        <f t="shared" si="2360"/>
        <v>0.31465701585821299</v>
      </c>
      <c r="AA824" s="149">
        <f t="shared" si="2360"/>
        <v>0.32424407087185608</v>
      </c>
      <c r="AB824" s="149">
        <f t="shared" si="2360"/>
        <v>0.31150586772321126</v>
      </c>
      <c r="AC824" s="149">
        <f t="shared" si="2360"/>
        <v>0.29963837786324515</v>
      </c>
      <c r="AD824" s="150">
        <f t="shared" si="2360"/>
        <v>0.29294537753021577</v>
      </c>
      <c r="AE824" s="15"/>
      <c r="AF824" s="233">
        <f>_xlfn.XLOOKUP($C824,'Site Level Financials - ''23 ''24'!$C$2:$C$1577,'Site Level Financials - ''23 ''24'!$AF$2:$AF$1577)</f>
        <v>0.37764361081467557</v>
      </c>
      <c r="AG824" s="97">
        <f t="shared" ref="AG824:AH824" si="2361">AG823/AG811</f>
        <v>0.30103516163114608</v>
      </c>
      <c r="AH824" s="97">
        <f t="shared" si="2361"/>
        <v>0.28714512273774845</v>
      </c>
    </row>
    <row r="825" spans="2:34" ht="6" customHeight="1" x14ac:dyDescent="0.2">
      <c r="B825" s="9">
        <f>G799</f>
        <v>17</v>
      </c>
      <c r="C825" s="9" t="str">
        <f t="shared" si="2296"/>
        <v xml:space="preserve">17 - </v>
      </c>
      <c r="D825" s="9" t="s">
        <v>56</v>
      </c>
      <c r="F825" s="16"/>
      <c r="G825" s="80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80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81"/>
      <c r="AE825" s="15"/>
      <c r="AF825" s="11"/>
      <c r="AG825" s="15"/>
      <c r="AH825" s="15"/>
    </row>
    <row r="826" spans="2:34" x14ac:dyDescent="0.2">
      <c r="B826" s="9">
        <f>G799</f>
        <v>17</v>
      </c>
      <c r="C826" s="9" t="str">
        <f t="shared" si="2296"/>
        <v>17 - General and Administrative Expense</v>
      </c>
      <c r="D826" s="9" t="s">
        <v>56</v>
      </c>
      <c r="F826" t="s">
        <v>10</v>
      </c>
      <c r="G826" s="178">
        <f>_xlfn.XLOOKUP($C826,'Site Level Financials - ''23 ''24'!$C$2:$C$1577,'Site Level Financials - ''23 ''24'!S$2:S$1577)</f>
        <v>-13.655091489396618</v>
      </c>
      <c r="H826" s="179">
        <f>_xlfn.XLOOKUP($C826,'Site Level Financials - ''23 ''24'!$C$2:$C$1577,'Site Level Financials - ''23 ''24'!T$2:T$1577)</f>
        <v>-17.329037737390362</v>
      </c>
      <c r="I826" s="179">
        <f>_xlfn.XLOOKUP($C826,'Site Level Financials - ''23 ''24'!$C$2:$C$1577,'Site Level Financials - ''23 ''24'!U$2:U$1577)</f>
        <v>-17.961698020836966</v>
      </c>
      <c r="J826" s="179">
        <f>_xlfn.XLOOKUP($C826,'Site Level Financials - ''23 ''24'!$C$2:$C$1577,'Site Level Financials - ''23 ''24'!V$2:V$1577)</f>
        <v>-21.40867878598198</v>
      </c>
      <c r="K826" s="179">
        <f>_xlfn.XLOOKUP($C826,'Site Level Financials - ''23 ''24'!$C$2:$C$1577,'Site Level Financials - ''23 ''24'!W$2:W$1577)</f>
        <v>-30.098264788347983</v>
      </c>
      <c r="L826" s="179">
        <f>_xlfn.XLOOKUP($C826,'Site Level Financials - ''23 ''24'!$C$2:$C$1577,'Site Level Financials - ''23 ''24'!X$2:X$1577)</f>
        <v>-26.813760417536706</v>
      </c>
      <c r="M826" s="179">
        <f>_xlfn.XLOOKUP($C826,'Site Level Financials - ''23 ''24'!$C$2:$C$1577,'Site Level Financials - ''23 ''24'!Y$2:Y$1577)</f>
        <v>-29.812729791202159</v>
      </c>
      <c r="N826" s="179">
        <f>_xlfn.XLOOKUP($C826,'Site Level Financials - ''23 ''24'!$C$2:$C$1577,'Site Level Financials - ''23 ''24'!Z$2:Z$1577)</f>
        <v>-24.927392158789988</v>
      </c>
      <c r="O826" s="179">
        <f>_xlfn.XLOOKUP($C826,'Site Level Financials - ''23 ''24'!$C$2:$C$1577,'Site Level Financials - ''23 ''24'!AA$2:AA$1577)</f>
        <v>-19.24797663227368</v>
      </c>
      <c r="P826" s="179">
        <f>_xlfn.XLOOKUP($C826,'Site Level Financials - ''23 ''24'!$C$2:$C$1577,'Site Level Financials - ''23 ''24'!AB$2:AB$1577)</f>
        <v>-23.144145209714857</v>
      </c>
      <c r="Q826" s="179">
        <f>_xlfn.XLOOKUP($C826,'Site Level Financials - ''23 ''24'!$C$2:$C$1577,'Site Level Financials - ''23 ''24'!AC$2:AC$1577)</f>
        <v>-16.547863870379665</v>
      </c>
      <c r="R826" s="179">
        <f>_xlfn.XLOOKUP($C826,'Site Level Financials - ''23 ''24'!$C$2:$C$1577,'Site Level Financials - ''23 ''24'!AD$2:AD$1577)</f>
        <v>-13.983800888703218</v>
      </c>
      <c r="S826" s="155">
        <f>S827*S811</f>
        <v>-11.410428250612098</v>
      </c>
      <c r="T826" s="154">
        <f t="shared" ref="T826" si="2362">T827*T811</f>
        <v>-17.217166779625085</v>
      </c>
      <c r="U826" s="154">
        <f t="shared" ref="U826" si="2363">U827*U811</f>
        <v>-19.523543334545426</v>
      </c>
      <c r="V826" s="154">
        <f t="shared" ref="V826" si="2364">V827*V811</f>
        <v>-22.914121153937707</v>
      </c>
      <c r="W826" s="154">
        <f t="shared" ref="W826" si="2365">W827*W811</f>
        <v>-44.622785684477215</v>
      </c>
      <c r="X826" s="154">
        <f t="shared" ref="X826" si="2366">X827*X811</f>
        <v>-38.919215742806252</v>
      </c>
      <c r="Y826" s="154">
        <f t="shared" ref="Y826" si="2367">Y827*Y811</f>
        <v>-51.208696502199132</v>
      </c>
      <c r="Z826" s="154">
        <f t="shared" ref="Z826" si="2368">Z827*Z811</f>
        <v>-29.494353833632825</v>
      </c>
      <c r="AA826" s="154">
        <f t="shared" ref="AA826" si="2369">AA827*AA811</f>
        <v>-24.984615914682944</v>
      </c>
      <c r="AB826" s="154">
        <f t="shared" ref="AB826" si="2370">AB827*AB811</f>
        <v>-28.616206150703889</v>
      </c>
      <c r="AC826" s="154">
        <f t="shared" ref="AC826" si="2371">AC827*AC811</f>
        <v>-20.734325043338565</v>
      </c>
      <c r="AD826" s="156">
        <f t="shared" ref="AD826" si="2372">AD827*AD811</f>
        <v>-17.133383717751727</v>
      </c>
      <c r="AE826" s="15"/>
      <c r="AF826" s="115">
        <f>_xlfn.XLOOKUP($C826,'Site Level Financials - ''23 ''24'!$C$2:$C$1577,'Site Level Financials - ''23 ''24'!$AF$2:$AF$1577)</f>
        <v>-172.01726268360906</v>
      </c>
      <c r="AG826" s="93">
        <f>SUM(G826:R826)</f>
        <v>-254.93043979055423</v>
      </c>
      <c r="AH826" s="93">
        <f t="shared" ref="AH826" si="2373">SUM(S826:AD826)</f>
        <v>-326.77884210831286</v>
      </c>
    </row>
    <row r="827" spans="2:34" x14ac:dyDescent="0.2">
      <c r="B827" s="9">
        <f>G799</f>
        <v>17</v>
      </c>
      <c r="C827" s="9" t="str">
        <f t="shared" si="2296"/>
        <v>17 - % of Revenue - General and Administrative Expense</v>
      </c>
      <c r="D827" s="9" t="s">
        <v>56</v>
      </c>
      <c r="F827" s="16" t="str">
        <f>"% of Revenue - "&amp;F826</f>
        <v>% of Revenue - General and Administrative Expense</v>
      </c>
      <c r="G827" s="148">
        <f>G826/G811</f>
        <v>-3.3419172572614571E-2</v>
      </c>
      <c r="H827" s="149">
        <f t="shared" ref="H827:R827" si="2374">H826/H811</f>
        <v>-4.8698346800603545E-2</v>
      </c>
      <c r="I827" s="149">
        <f t="shared" si="2374"/>
        <v>-5.1427110908331755E-2</v>
      </c>
      <c r="J827" s="149">
        <f t="shared" si="2374"/>
        <v>-5.6348416942915758E-2</v>
      </c>
      <c r="K827" s="149">
        <f t="shared" si="2374"/>
        <v>-9.232764043888958E-2</v>
      </c>
      <c r="L827" s="149">
        <f t="shared" si="2374"/>
        <v>-9.5893633392417563E-2</v>
      </c>
      <c r="M827" s="149">
        <f t="shared" si="2374"/>
        <v>-0.10538923532762309</v>
      </c>
      <c r="N827" s="149">
        <f t="shared" si="2374"/>
        <v>-7.0788373443216882E-2</v>
      </c>
      <c r="O827" s="149">
        <f t="shared" si="2374"/>
        <v>-6.5403889453921671E-2</v>
      </c>
      <c r="P827" s="149">
        <f t="shared" si="2374"/>
        <v>-6.5225091872552599E-2</v>
      </c>
      <c r="Q827" s="149">
        <f t="shared" si="2374"/>
        <v>-5.9787132605159055E-2</v>
      </c>
      <c r="R827" s="149">
        <f t="shared" si="2374"/>
        <v>-6.052819100873888E-2</v>
      </c>
      <c r="S827" s="245">
        <f>_xlfn.XLOOKUP($F827,'Budget Assumption Driver'!$A$33:$A$39,'Budget Assumption Driver'!E$33:E$39)+G827</f>
        <v>-3.3419172572614571E-2</v>
      </c>
      <c r="T827" s="246">
        <f>_xlfn.XLOOKUP($F827,'Budget Assumption Driver'!$A$33:$A$39,'Budget Assumption Driver'!F$33:F$39)+H827</f>
        <v>-4.8698346800603545E-2</v>
      </c>
      <c r="U827" s="246">
        <f>_xlfn.XLOOKUP($F827,'Budget Assumption Driver'!$A$33:$A$39,'Budget Assumption Driver'!G$33:G$39)+I827</f>
        <v>-5.1427110908331755E-2</v>
      </c>
      <c r="V827" s="246">
        <f>_xlfn.XLOOKUP($F827,'Budget Assumption Driver'!$A$33:$A$39,'Budget Assumption Driver'!H$33:H$39)+J827</f>
        <v>-5.6348416942915758E-2</v>
      </c>
      <c r="W827" s="246">
        <f>_xlfn.XLOOKUP($F827,'Budget Assumption Driver'!$A$33:$A$39,'Budget Assumption Driver'!I$33:I$39)+K827</f>
        <v>-9.232764043888958E-2</v>
      </c>
      <c r="X827" s="246">
        <f>_xlfn.XLOOKUP($F827,'Budget Assumption Driver'!$A$33:$A$39,'Budget Assumption Driver'!J$33:J$39)+L827</f>
        <v>-9.5893633392417563E-2</v>
      </c>
      <c r="Y827" s="246">
        <f>_xlfn.XLOOKUP($F827,'Budget Assumption Driver'!$A$33:$A$39,'Budget Assumption Driver'!K$33:K$39)+M827</f>
        <v>-0.10538923532762309</v>
      </c>
      <c r="Z827" s="246">
        <f>_xlfn.XLOOKUP($F827,'Budget Assumption Driver'!$A$33:$A$39,'Budget Assumption Driver'!L$33:L$39)+N827</f>
        <v>-7.0788373443216882E-2</v>
      </c>
      <c r="AA827" s="246">
        <f>_xlfn.XLOOKUP($F827,'Budget Assumption Driver'!$A$33:$A$39,'Budget Assumption Driver'!M$33:M$39)+O827</f>
        <v>-6.5403889453921671E-2</v>
      </c>
      <c r="AB827" s="246">
        <f>_xlfn.XLOOKUP($F827,'Budget Assumption Driver'!$A$33:$A$39,'Budget Assumption Driver'!N$33:N$39)+P827</f>
        <v>-6.5225091872552599E-2</v>
      </c>
      <c r="AC827" s="246">
        <f>_xlfn.XLOOKUP($F827,'Budget Assumption Driver'!$A$33:$A$39,'Budget Assumption Driver'!O$33:O$39)+Q827</f>
        <v>-5.9787132605159055E-2</v>
      </c>
      <c r="AD827" s="296">
        <f>_xlfn.XLOOKUP($F827,'Budget Assumption Driver'!$A$33:$A$39,'Budget Assumption Driver'!P$33:P$39)+R827</f>
        <v>-6.052819100873888E-2</v>
      </c>
      <c r="AE827" s="15"/>
      <c r="AF827" s="232">
        <f>_xlfn.XLOOKUP($C827,'Site Level Financials - ''23 ''24'!$C$2:$C$1577,'Site Level Financials - ''23 ''24'!$AF$2:$AF$1577)</f>
        <v>-3.2507126465007544E-2</v>
      </c>
      <c r="AG827" s="97">
        <f t="shared" ref="AG827:AH827" si="2375">AG826/AG811</f>
        <v>-6.5514302355709958E-2</v>
      </c>
      <c r="AH827" s="97">
        <f t="shared" si="2375"/>
        <v>-6.9180157698550196E-2</v>
      </c>
    </row>
    <row r="828" spans="2:34" ht="3" customHeight="1" x14ac:dyDescent="0.2">
      <c r="B828" s="9">
        <f>G799</f>
        <v>17</v>
      </c>
      <c r="C828" s="9" t="str">
        <f t="shared" si="2296"/>
        <v xml:space="preserve">17 - </v>
      </c>
      <c r="D828" s="9" t="s">
        <v>56</v>
      </c>
      <c r="F828" s="16"/>
      <c r="G828" s="84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4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6"/>
      <c r="AE828" s="15"/>
      <c r="AF828" s="36"/>
      <c r="AG828" s="38"/>
      <c r="AH828" s="38"/>
    </row>
    <row r="829" spans="2:34" x14ac:dyDescent="0.2">
      <c r="B829" s="9">
        <f>G799</f>
        <v>17</v>
      </c>
      <c r="C829" s="9" t="str">
        <f t="shared" si="2296"/>
        <v>17 - Marketing</v>
      </c>
      <c r="D829" s="9" t="s">
        <v>56</v>
      </c>
      <c r="F829" t="s">
        <v>7</v>
      </c>
      <c r="G829" s="178">
        <f>_xlfn.XLOOKUP($C829,'Site Level Financials - ''23 ''24'!$C$2:$C$1577,'Site Level Financials - ''23 ''24'!S$2:S$1577)</f>
        <v>-18.034054252584522</v>
      </c>
      <c r="H829" s="179">
        <f>_xlfn.XLOOKUP($C829,'Site Level Financials - ''23 ''24'!$C$2:$C$1577,'Site Level Financials - ''23 ''24'!T$2:T$1577)</f>
        <v>-19.605695244393868</v>
      </c>
      <c r="I829" s="179">
        <f>_xlfn.XLOOKUP($C829,'Site Level Financials - ''23 ''24'!$C$2:$C$1577,'Site Level Financials - ''23 ''24'!U$2:U$1577)</f>
        <v>-17.204238757306317</v>
      </c>
      <c r="J829" s="179">
        <f>_xlfn.XLOOKUP($C829,'Site Level Financials - ''23 ''24'!$C$2:$C$1577,'Site Level Financials - ''23 ''24'!V$2:V$1577)</f>
        <v>-18.690378643497553</v>
      </c>
      <c r="K829" s="179">
        <f>_xlfn.XLOOKUP($C829,'Site Level Financials - ''23 ''24'!$C$2:$C$1577,'Site Level Financials - ''23 ''24'!W$2:W$1577)</f>
        <v>-25.843566501057012</v>
      </c>
      <c r="L829" s="179">
        <f>_xlfn.XLOOKUP($C829,'Site Level Financials - ''23 ''24'!$C$2:$C$1577,'Site Level Financials - ''23 ''24'!X$2:X$1577)</f>
        <v>-22.008595433221803</v>
      </c>
      <c r="M829" s="179">
        <f>_xlfn.XLOOKUP($C829,'Site Level Financials - ''23 ''24'!$C$2:$C$1577,'Site Level Financials - ''23 ''24'!Y$2:Y$1577)</f>
        <v>-22.976360267870934</v>
      </c>
      <c r="N829" s="179">
        <f>_xlfn.XLOOKUP($C829,'Site Level Financials - ''23 ''24'!$C$2:$C$1577,'Site Level Financials - ''23 ''24'!Z$2:Z$1577)</f>
        <v>-18.320215160404583</v>
      </c>
      <c r="O829" s="179">
        <f>_xlfn.XLOOKUP($C829,'Site Level Financials - ''23 ''24'!$C$2:$C$1577,'Site Level Financials - ''23 ''24'!AA$2:AA$1577)</f>
        <v>-13.350387564381364</v>
      </c>
      <c r="P829" s="179">
        <f>_xlfn.XLOOKUP($C829,'Site Level Financials - ''23 ''24'!$C$2:$C$1577,'Site Level Financials - ''23 ''24'!AB$2:AB$1577)</f>
        <v>-17.371480118197827</v>
      </c>
      <c r="Q829" s="179">
        <f>_xlfn.XLOOKUP($C829,'Site Level Financials - ''23 ''24'!$C$2:$C$1577,'Site Level Financials - ''23 ''24'!AC$2:AC$1577)</f>
        <v>-11.96355098900251</v>
      </c>
      <c r="R829" s="179">
        <f>_xlfn.XLOOKUP($C829,'Site Level Financials - ''23 ''24'!$C$2:$C$1577,'Site Level Financials - ''23 ''24'!AD$2:AD$1577)</f>
        <v>-11.250866295377534</v>
      </c>
      <c r="S829" s="155">
        <f>S830*S811</f>
        <v>-15.069564512002723</v>
      </c>
      <c r="T829" s="154">
        <f t="shared" ref="T829" si="2376">T830*T811</f>
        <v>-19.479126883364099</v>
      </c>
      <c r="U829" s="154">
        <f t="shared" ref="U829" si="2377">U830*U811</f>
        <v>-18.700219796952382</v>
      </c>
      <c r="V829" s="154">
        <f t="shared" ref="V829" si="2378">V830*V811</f>
        <v>-20.00467216736881</v>
      </c>
      <c r="W829" s="154">
        <f t="shared" ref="W829" si="2379">W830*W811</f>
        <v>-38.314897466967849</v>
      </c>
      <c r="X829" s="154">
        <f t="shared" ref="X829" si="2380">X830*X811</f>
        <v>-31.944690357623063</v>
      </c>
      <c r="Y829" s="154">
        <f t="shared" ref="Y829" si="2381">Y830*Y811</f>
        <v>-39.466008913742783</v>
      </c>
      <c r="Z829" s="154">
        <f t="shared" ref="Z829" si="2382">Z830*Z811</f>
        <v>-21.676672184848645</v>
      </c>
      <c r="AA829" s="154">
        <f t="shared" ref="AA829" si="2383">AA830*AA811</f>
        <v>-17.32931788003873</v>
      </c>
      <c r="AB829" s="154">
        <f t="shared" ref="AB829" si="2384">AB830*AB811</f>
        <v>-21.478687231729801</v>
      </c>
      <c r="AC829" s="154">
        <f t="shared" ref="AC829" si="2385">AC830*AC811</f>
        <v>-14.990222110936505</v>
      </c>
      <c r="AD829" s="156">
        <f t="shared" ref="AD829" si="2386">AD830*AD811</f>
        <v>-13.784908046820679</v>
      </c>
      <c r="AE829" s="15"/>
      <c r="AF829" s="115">
        <f>_xlfn.XLOOKUP($C829,'Site Level Financials - ''23 ''24'!$C$2:$C$1577,'Site Level Financials - ''23 ''24'!$AF$2:$AF$1577)</f>
        <v>-203.744463101771</v>
      </c>
      <c r="AG829" s="93">
        <f>SUM(G829:R829)</f>
        <v>-216.61938922729581</v>
      </c>
      <c r="AH829" s="93">
        <f t="shared" ref="AH829" si="2387">SUM(S829:AD829)</f>
        <v>-272.23898755239605</v>
      </c>
    </row>
    <row r="830" spans="2:34" x14ac:dyDescent="0.2">
      <c r="B830" s="9">
        <f>G799</f>
        <v>17</v>
      </c>
      <c r="C830" s="9" t="str">
        <f t="shared" si="2296"/>
        <v>17 - % of Revenue - Marketing</v>
      </c>
      <c r="D830" s="9" t="s">
        <v>56</v>
      </c>
      <c r="F830" s="16" t="str">
        <f>"% of Revenue - "&amp;F829</f>
        <v>% of Revenue - Marketing</v>
      </c>
      <c r="G830" s="148">
        <f>G829/G811</f>
        <v>-4.413615036699009E-2</v>
      </c>
      <c r="H830" s="149">
        <f t="shared" ref="H830:R830" si="2388">H829/H811</f>
        <v>-5.5096247163128255E-2</v>
      </c>
      <c r="I830" s="149">
        <f t="shared" si="2388"/>
        <v>-4.9258388245867195E-2</v>
      </c>
      <c r="J830" s="149">
        <f t="shared" si="2388"/>
        <v>-4.9193752643641293E-2</v>
      </c>
      <c r="K830" s="149">
        <f t="shared" si="2388"/>
        <v>-7.9276181944277768E-2</v>
      </c>
      <c r="L830" s="149">
        <f t="shared" si="2388"/>
        <v>-7.8708996764777175E-2</v>
      </c>
      <c r="M830" s="149">
        <f t="shared" si="2388"/>
        <v>-8.1222385746020503E-2</v>
      </c>
      <c r="N830" s="149">
        <f t="shared" si="2388"/>
        <v>-5.2025427452406015E-2</v>
      </c>
      <c r="O830" s="149">
        <f t="shared" si="2388"/>
        <v>-4.5364107049243957E-2</v>
      </c>
      <c r="P830" s="149">
        <f t="shared" si="2388"/>
        <v>-4.8956501802281671E-2</v>
      </c>
      <c r="Q830" s="149">
        <f t="shared" si="2388"/>
        <v>-4.3224093152493655E-2</v>
      </c>
      <c r="R830" s="149">
        <f t="shared" si="2388"/>
        <v>-4.8698818694603532E-2</v>
      </c>
      <c r="S830" s="245">
        <f>_xlfn.XLOOKUP($F830,'Budget Assumption Driver'!$A$33:$A$39,'Budget Assumption Driver'!E$33:E$39)+G830</f>
        <v>-4.413615036699009E-2</v>
      </c>
      <c r="T830" s="246">
        <f>_xlfn.XLOOKUP($F830,'Budget Assumption Driver'!$A$33:$A$39,'Budget Assumption Driver'!F$33:F$39)+H830</f>
        <v>-5.5096247163128255E-2</v>
      </c>
      <c r="U830" s="246">
        <f>_xlfn.XLOOKUP($F830,'Budget Assumption Driver'!$A$33:$A$39,'Budget Assumption Driver'!G$33:G$39)+I830</f>
        <v>-4.9258388245867195E-2</v>
      </c>
      <c r="V830" s="246">
        <f>_xlfn.XLOOKUP($F830,'Budget Assumption Driver'!$A$33:$A$39,'Budget Assumption Driver'!H$33:H$39)+J830</f>
        <v>-4.9193752643641293E-2</v>
      </c>
      <c r="W830" s="246">
        <f>_xlfn.XLOOKUP($F830,'Budget Assumption Driver'!$A$33:$A$39,'Budget Assumption Driver'!I$33:I$39)+K830</f>
        <v>-7.9276181944277768E-2</v>
      </c>
      <c r="X830" s="246">
        <f>_xlfn.XLOOKUP($F830,'Budget Assumption Driver'!$A$33:$A$39,'Budget Assumption Driver'!J$33:J$39)+L830</f>
        <v>-7.8708996764777175E-2</v>
      </c>
      <c r="Y830" s="246">
        <f>_xlfn.XLOOKUP($F830,'Budget Assumption Driver'!$A$33:$A$39,'Budget Assumption Driver'!K$33:K$39)+M830</f>
        <v>-8.1222385746020503E-2</v>
      </c>
      <c r="Z830" s="246">
        <f>_xlfn.XLOOKUP($F830,'Budget Assumption Driver'!$A$33:$A$39,'Budget Assumption Driver'!L$33:L$39)+N830</f>
        <v>-5.2025427452406015E-2</v>
      </c>
      <c r="AA830" s="246">
        <f>_xlfn.XLOOKUP($F830,'Budget Assumption Driver'!$A$33:$A$39,'Budget Assumption Driver'!M$33:M$39)+O830</f>
        <v>-4.5364107049243957E-2</v>
      </c>
      <c r="AB830" s="246">
        <f>_xlfn.XLOOKUP($F830,'Budget Assumption Driver'!$A$33:$A$39,'Budget Assumption Driver'!N$33:N$39)+P830</f>
        <v>-4.8956501802281671E-2</v>
      </c>
      <c r="AC830" s="246">
        <f>_xlfn.XLOOKUP($F830,'Budget Assumption Driver'!$A$33:$A$39,'Budget Assumption Driver'!O$33:O$39)+Q830</f>
        <v>-4.3224093152493655E-2</v>
      </c>
      <c r="AD830" s="296">
        <f>_xlfn.XLOOKUP($F830,'Budget Assumption Driver'!$A$33:$A$39,'Budget Assumption Driver'!P$33:P$39)+R830</f>
        <v>-4.8698818694603532E-2</v>
      </c>
      <c r="AE830" s="15"/>
      <c r="AF830" s="232">
        <f>_xlfn.XLOOKUP($C830,'Site Level Financials - ''23 ''24'!$C$2:$C$1577,'Site Level Financials - ''23 ''24'!$AF$2:$AF$1577)</f>
        <v>-3.8502804458505263E-2</v>
      </c>
      <c r="AG830" s="97">
        <f t="shared" ref="AG830:AH830" si="2389">AG829/AG811</f>
        <v>-5.5668786252461147E-2</v>
      </c>
      <c r="AH830" s="97">
        <f t="shared" si="2389"/>
        <v>-5.7633890765565264E-2</v>
      </c>
    </row>
    <row r="831" spans="2:34" ht="3" customHeight="1" x14ac:dyDescent="0.2">
      <c r="B831" s="9">
        <f>G799</f>
        <v>17</v>
      </c>
      <c r="C831" s="9" t="str">
        <f t="shared" si="2296"/>
        <v xml:space="preserve">17 - </v>
      </c>
      <c r="D831" s="9" t="s">
        <v>56</v>
      </c>
      <c r="F831" s="16"/>
      <c r="G831" s="84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4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6"/>
      <c r="AE831" s="15"/>
      <c r="AF831" s="36"/>
      <c r="AG831" s="38"/>
      <c r="AH831" s="38"/>
    </row>
    <row r="832" spans="2:34" x14ac:dyDescent="0.2">
      <c r="B832" s="9">
        <f>G799</f>
        <v>17</v>
      </c>
      <c r="C832" s="9" t="str">
        <f t="shared" si="2296"/>
        <v>17 - Office Rent</v>
      </c>
      <c r="D832" s="9" t="s">
        <v>56</v>
      </c>
      <c r="F832" t="s">
        <v>162</v>
      </c>
      <c r="G832" s="178">
        <f>_xlfn.XLOOKUP($C832,'Site Level Financials - ''23 ''24'!$C$2:$C$1577,'Site Level Financials - ''23 ''24'!S$2:S$1577)</f>
        <v>-31.751971629547036</v>
      </c>
      <c r="H832" s="179">
        <f>_xlfn.XLOOKUP($C832,'Site Level Financials - ''23 ''24'!$C$2:$C$1577,'Site Level Financials - ''23 ''24'!T$2:T$1577)</f>
        <v>-31.751971629547036</v>
      </c>
      <c r="I832" s="179">
        <f>_xlfn.XLOOKUP($C832,'Site Level Financials - ''23 ''24'!$C$2:$C$1577,'Site Level Financials - ''23 ''24'!U$2:U$1577)</f>
        <v>-31.751971629547036</v>
      </c>
      <c r="J832" s="179">
        <f>_xlfn.XLOOKUP($C832,'Site Level Financials - ''23 ''24'!$C$2:$C$1577,'Site Level Financials - ''23 ''24'!V$2:V$1577)</f>
        <v>-31.751971629547036</v>
      </c>
      <c r="K832" s="179">
        <f>_xlfn.XLOOKUP($C832,'Site Level Financials - ''23 ''24'!$C$2:$C$1577,'Site Level Financials - ''23 ''24'!W$2:W$1577)</f>
        <v>-31.751971629547036</v>
      </c>
      <c r="L832" s="179">
        <f>_xlfn.XLOOKUP($C832,'Site Level Financials - ''23 ''24'!$C$2:$C$1577,'Site Level Financials - ''23 ''24'!X$2:X$1577)</f>
        <v>-31.751971629547036</v>
      </c>
      <c r="M832" s="179">
        <f>_xlfn.XLOOKUP($C832,'Site Level Financials - ''23 ''24'!$C$2:$C$1577,'Site Level Financials - ''23 ''24'!Y$2:Y$1577)</f>
        <v>-32.704530778433444</v>
      </c>
      <c r="N832" s="179">
        <f>_xlfn.XLOOKUP($C832,'Site Level Financials - ''23 ''24'!$C$2:$C$1577,'Site Level Financials - ''23 ''24'!Z$2:Z$1577)</f>
        <v>-32.704530778433444</v>
      </c>
      <c r="O832" s="179">
        <f>_xlfn.XLOOKUP($C832,'Site Level Financials - ''23 ''24'!$C$2:$C$1577,'Site Level Financials - ''23 ''24'!AA$2:AA$1577)</f>
        <v>-32.704530778433444</v>
      </c>
      <c r="P832" s="179">
        <f>_xlfn.XLOOKUP($C832,'Site Level Financials - ''23 ''24'!$C$2:$C$1577,'Site Level Financials - ''23 ''24'!AB$2:AB$1577)</f>
        <v>-32.704530778433444</v>
      </c>
      <c r="Q832" s="179">
        <f>_xlfn.XLOOKUP($C832,'Site Level Financials - ''23 ''24'!$C$2:$C$1577,'Site Level Financials - ''23 ''24'!AC$2:AC$1577)</f>
        <v>-32.704530778433444</v>
      </c>
      <c r="R832" s="179">
        <f>_xlfn.XLOOKUP($C832,'Site Level Financials - ''23 ''24'!$C$2:$C$1577,'Site Level Financials - ''23 ''24'!AD$2:AD$1577)</f>
        <v>-32.704530778433444</v>
      </c>
      <c r="S832" s="155">
        <f>G832*(1+S833)</f>
        <v>-32.704530778433451</v>
      </c>
      <c r="T832" s="154">
        <f t="shared" ref="T832" si="2390">H832*(1+T833)</f>
        <v>-32.704530778433451</v>
      </c>
      <c r="U832" s="154">
        <f t="shared" ref="U832" si="2391">I832*(1+U833)</f>
        <v>-32.704530778433451</v>
      </c>
      <c r="V832" s="154">
        <f t="shared" ref="V832" si="2392">J832*(1+V833)</f>
        <v>-32.704530778433451</v>
      </c>
      <c r="W832" s="154">
        <f t="shared" ref="W832" si="2393">K832*(1+W833)</f>
        <v>-32.704530778433451</v>
      </c>
      <c r="X832" s="154">
        <f t="shared" ref="X832" si="2394">L832*(1+X833)</f>
        <v>-32.704530778433451</v>
      </c>
      <c r="Y832" s="154">
        <f t="shared" ref="Y832" si="2395">M832*(1+Y833)</f>
        <v>-33.685666701786445</v>
      </c>
      <c r="Z832" s="154">
        <f t="shared" ref="Z832" si="2396">N832*(1+Z833)</f>
        <v>-33.685666701786445</v>
      </c>
      <c r="AA832" s="154">
        <f t="shared" ref="AA832" si="2397">O832*(1+AA833)</f>
        <v>-33.685666701786445</v>
      </c>
      <c r="AB832" s="154">
        <f t="shared" ref="AB832" si="2398">P832*(1+AB833)</f>
        <v>-33.685666701786445</v>
      </c>
      <c r="AC832" s="154">
        <f t="shared" ref="AC832" si="2399">Q832*(1+AC833)</f>
        <v>-33.685666701786445</v>
      </c>
      <c r="AD832" s="156">
        <f t="shared" ref="AD832" si="2400">R832*(1+AD833)</f>
        <v>-33.685666701786445</v>
      </c>
      <c r="AE832" s="15"/>
      <c r="AF832" s="115">
        <f>_xlfn.XLOOKUP($C832,'Site Level Financials - ''23 ''24'!$C$2:$C$1577,'Site Level Financials - ''23 ''24'!$AF$2:$AF$1577)</f>
        <v>-375.47811233569394</v>
      </c>
      <c r="AG832" s="93">
        <f>SUM(G832:R832)</f>
        <v>-386.73901444788282</v>
      </c>
      <c r="AH832" s="93">
        <f t="shared" ref="AH832" si="2401">SUM(S832:AD832)</f>
        <v>-398.34118488131929</v>
      </c>
    </row>
    <row r="833" spans="2:35" x14ac:dyDescent="0.2">
      <c r="B833" s="9">
        <f>G799</f>
        <v>17</v>
      </c>
      <c r="C833" s="9" t="str">
        <f t="shared" si="2296"/>
        <v>17 - % YoY Growth</v>
      </c>
      <c r="D833" s="9" t="s">
        <v>56</v>
      </c>
      <c r="F833" s="16" t="s">
        <v>8</v>
      </c>
      <c r="G833" s="245">
        <f>_xlfn.XLOOKUP($C833,'Site Level Financials - ''23 ''24'!$C$2:$C$1577,'Site Level Financials - ''23 ''24'!S$2:S$1577)</f>
        <v>2.9990834997383864E-2</v>
      </c>
      <c r="H833" s="246">
        <f>_xlfn.XLOOKUP($C833,'Site Level Financials - ''23 ''24'!$C$2:$C$1577,'Site Level Financials - ''23 ''24'!T$2:T$1577)</f>
        <v>2.9990834997383864E-2</v>
      </c>
      <c r="I833" s="246">
        <f>_xlfn.XLOOKUP($C833,'Site Level Financials - ''23 ''24'!$C$2:$C$1577,'Site Level Financials - ''23 ''24'!U$2:U$1577)</f>
        <v>2.9990834997383864E-2</v>
      </c>
      <c r="J833" s="246">
        <f>_xlfn.XLOOKUP($C833,'Site Level Financials - ''23 ''24'!$C$2:$C$1577,'Site Level Financials - ''23 ''24'!V$2:V$1577)</f>
        <v>2.9990834997383864E-2</v>
      </c>
      <c r="K833" s="246">
        <f>_xlfn.XLOOKUP($C833,'Site Level Financials - ''23 ''24'!$C$2:$C$1577,'Site Level Financials - ''23 ''24'!W$2:W$1577)</f>
        <v>2.9990834997383864E-2</v>
      </c>
      <c r="L833" s="246">
        <f>_xlfn.XLOOKUP($C833,'Site Level Financials - ''23 ''24'!$C$2:$C$1577,'Site Level Financials - ''23 ''24'!X$2:X$1577)</f>
        <v>2.9990834997383864E-2</v>
      </c>
      <c r="M833" s="246">
        <f>_xlfn.XLOOKUP($C833,'Site Level Financials - ''23 ''24'!$C$2:$C$1577,'Site Level Financials - ''23 ''24'!Y$2:Y$1577)</f>
        <v>2.9990834997383864E-2</v>
      </c>
      <c r="N833" s="246">
        <f>_xlfn.XLOOKUP($C833,'Site Level Financials - ''23 ''24'!$C$2:$C$1577,'Site Level Financials - ''23 ''24'!Z$2:Z$1577)</f>
        <v>2.9990834997383864E-2</v>
      </c>
      <c r="O833" s="246">
        <f>_xlfn.XLOOKUP($C833,'Site Level Financials - ''23 ''24'!$C$2:$C$1577,'Site Level Financials - ''23 ''24'!AA$2:AA$1577)</f>
        <v>2.9990834997383864E-2</v>
      </c>
      <c r="P833" s="246">
        <f>_xlfn.XLOOKUP($C833,'Site Level Financials - ''23 ''24'!$C$2:$C$1577,'Site Level Financials - ''23 ''24'!AB$2:AB$1577)</f>
        <v>2.9990834997383864E-2</v>
      </c>
      <c r="Q833" s="246">
        <f>_xlfn.XLOOKUP($C833,'Site Level Financials - ''23 ''24'!$C$2:$C$1577,'Site Level Financials - ''23 ''24'!AC$2:AC$1577)</f>
        <v>2.9990834997383864E-2</v>
      </c>
      <c r="R833" s="246">
        <f>_xlfn.XLOOKUP($C833,'Site Level Financials - ''23 ''24'!$C$2:$C$1577,'Site Level Financials - ''23 ''24'!AD$2:AD$1577)</f>
        <v>2.9990834997383864E-2</v>
      </c>
      <c r="S833" s="245">
        <f>_xlfn.XLOOKUP($F833,'Budget Assumption Driver'!$A$33:$A$39,'Budget Assumption Driver'!E$33:E$39)</f>
        <v>0.03</v>
      </c>
      <c r="T833" s="246">
        <f>_xlfn.XLOOKUP($F833,'Budget Assumption Driver'!$A$33:$A$39,'Budget Assumption Driver'!F$33:F$39)</f>
        <v>0.03</v>
      </c>
      <c r="U833" s="246">
        <f>_xlfn.XLOOKUP($F833,'Budget Assumption Driver'!$A$33:$A$39,'Budget Assumption Driver'!G$33:G$39)</f>
        <v>0.03</v>
      </c>
      <c r="V833" s="246">
        <f>_xlfn.XLOOKUP($F833,'Budget Assumption Driver'!$A$33:$A$39,'Budget Assumption Driver'!H$33:H$39)</f>
        <v>0.03</v>
      </c>
      <c r="W833" s="246">
        <f>_xlfn.XLOOKUP($F833,'Budget Assumption Driver'!$A$33:$A$39,'Budget Assumption Driver'!I$33:I$39)</f>
        <v>0.03</v>
      </c>
      <c r="X833" s="246">
        <f>_xlfn.XLOOKUP($F833,'Budget Assumption Driver'!$A$33:$A$39,'Budget Assumption Driver'!J$33:J$39)</f>
        <v>0.03</v>
      </c>
      <c r="Y833" s="246">
        <f>_xlfn.XLOOKUP($F833,'Budget Assumption Driver'!$A$33:$A$39,'Budget Assumption Driver'!K$33:K$39)</f>
        <v>0.03</v>
      </c>
      <c r="Z833" s="246">
        <f>_xlfn.XLOOKUP($F833,'Budget Assumption Driver'!$A$33:$A$39,'Budget Assumption Driver'!L$33:L$39)</f>
        <v>0.03</v>
      </c>
      <c r="AA833" s="246">
        <f>_xlfn.XLOOKUP($F833,'Budget Assumption Driver'!$A$33:$A$39,'Budget Assumption Driver'!M$33:M$39)</f>
        <v>0.03</v>
      </c>
      <c r="AB833" s="246">
        <f>_xlfn.XLOOKUP($F833,'Budget Assumption Driver'!$A$33:$A$39,'Budget Assumption Driver'!N$33:N$39)</f>
        <v>0.03</v>
      </c>
      <c r="AC833" s="246">
        <f>_xlfn.XLOOKUP($F833,'Budget Assumption Driver'!$A$33:$A$39,'Budget Assumption Driver'!O$33:O$39)</f>
        <v>0.03</v>
      </c>
      <c r="AD833" s="296">
        <f>_xlfn.XLOOKUP($F833,'Budget Assumption Driver'!$A$33:$A$39,'Budget Assumption Driver'!P$33:P$39)</f>
        <v>0.03</v>
      </c>
      <c r="AE833" s="15"/>
      <c r="AF833" s="11"/>
      <c r="AG833" s="97">
        <f>AG832/AF832-1</f>
        <v>2.9990834997383642E-2</v>
      </c>
      <c r="AH833" s="97">
        <f>AH832/AG832-1</f>
        <v>3.0000000000000027E-2</v>
      </c>
    </row>
    <row r="834" spans="2:35" ht="6" customHeight="1" x14ac:dyDescent="0.2">
      <c r="B834" s="9">
        <f>G799</f>
        <v>17</v>
      </c>
      <c r="C834" s="9" t="str">
        <f t="shared" si="2296"/>
        <v xml:space="preserve">17 - </v>
      </c>
      <c r="D834" s="9" t="s">
        <v>56</v>
      </c>
      <c r="F834" s="16"/>
      <c r="G834" s="80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80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81"/>
      <c r="AE834" s="15"/>
      <c r="AF834" s="11"/>
      <c r="AG834" s="15"/>
      <c r="AH834" s="15"/>
    </row>
    <row r="835" spans="2:35" x14ac:dyDescent="0.2">
      <c r="B835" s="9">
        <f>G799</f>
        <v>17</v>
      </c>
      <c r="C835" s="9" t="str">
        <f t="shared" si="2296"/>
        <v>17 - Office EBITDA</v>
      </c>
      <c r="D835" s="9" t="s">
        <v>56</v>
      </c>
      <c r="F835" s="8" t="s">
        <v>12</v>
      </c>
      <c r="G835" s="241">
        <f>_xlfn.XLOOKUP($C835,'Site Level Financials - ''23 ''24'!$C$2:$C$1577,'Site Level Financials - ''23 ''24'!S$2:S$1577)</f>
        <v>132.81325445882291</v>
      </c>
      <c r="H835" s="242">
        <f>_xlfn.XLOOKUP($C835,'Site Level Financials - ''23 ''24'!$C$2:$C$1577,'Site Level Financials - ''23 ''24'!T$2:T$1577)</f>
        <v>44.03397932232216</v>
      </c>
      <c r="I835" s="242">
        <f>_xlfn.XLOOKUP($C835,'Site Level Financials - ''23 ''24'!$C$2:$C$1577,'Site Level Financials - ''23 ''24'!U$2:U$1577)</f>
        <v>45.512683372540941</v>
      </c>
      <c r="J835" s="242">
        <f>_xlfn.XLOOKUP($C835,'Site Level Financials - ''23 ''24'!$C$2:$C$1577,'Site Level Financials - ''23 ''24'!V$2:V$1577)</f>
        <v>44.125771438303978</v>
      </c>
      <c r="K835" s="242">
        <f>_xlfn.XLOOKUP($C835,'Site Level Financials - ''23 ''24'!$C$2:$C$1577,'Site Level Financials - ''23 ''24'!W$2:W$1577)</f>
        <v>-4.8427905657027281</v>
      </c>
      <c r="L835" s="242">
        <f>_xlfn.XLOOKUP($C835,'Site Level Financials - ''23 ''24'!$C$2:$C$1577,'Site Level Financials - ''23 ''24'!X$2:X$1577)</f>
        <v>-38.529039520241852</v>
      </c>
      <c r="M835" s="242">
        <f>_xlfn.XLOOKUP($C835,'Site Level Financials - ''23 ''24'!$C$2:$C$1577,'Site Level Financials - ''23 ''24'!Y$2:Y$1577)</f>
        <v>-43.751249701938718</v>
      </c>
      <c r="N835" s="242">
        <f>_xlfn.XLOOKUP($C835,'Site Level Financials - ''23 ''24'!$C$2:$C$1577,'Site Level Financials - ''23 ''24'!Z$2:Z$1577)</f>
        <v>34.851069382538533</v>
      </c>
      <c r="O835" s="242">
        <f>_xlfn.XLOOKUP($C835,'Site Level Financials - ''23 ''24'!$C$2:$C$1577,'Site Level Financials - ''23 ''24'!AA$2:AA$1577)</f>
        <v>30.120211378421494</v>
      </c>
      <c r="P835" s="242">
        <f>_xlfn.XLOOKUP($C835,'Site Level Financials - ''23 ''24'!$C$2:$C$1577,'Site Level Financials - ''23 ''24'!AB$2:AB$1577)</f>
        <v>37.313027202178709</v>
      </c>
      <c r="Q835" s="242">
        <f>_xlfn.XLOOKUP($C835,'Site Level Financials - ''23 ''24'!$C$2:$C$1577,'Site Level Financials - ''23 ''24'!AC$2:AC$1577)</f>
        <v>21.717870907092667</v>
      </c>
      <c r="R835" s="242">
        <f>_xlfn.XLOOKUP($C835,'Site Level Financials - ''23 ''24'!$C$2:$C$1577,'Site Level Financials - ''23 ''24'!AD$2:AD$1577)</f>
        <v>9.7398415458215695</v>
      </c>
      <c r="S835" s="134">
        <f t="shared" ref="S835:AD835" si="2402">S823+S826+S829+S832</f>
        <v>104.80898982193838</v>
      </c>
      <c r="T835" s="135">
        <f t="shared" si="2402"/>
        <v>42.592169295999838</v>
      </c>
      <c r="U835" s="135">
        <f t="shared" si="2402"/>
        <v>51.278611484175158</v>
      </c>
      <c r="V835" s="135">
        <f t="shared" si="2402"/>
        <v>48.508878742314025</v>
      </c>
      <c r="W835" s="135">
        <f t="shared" si="2402"/>
        <v>7.1902149153971351</v>
      </c>
      <c r="X835" s="135">
        <f t="shared" si="2402"/>
        <v>-42.541202816760972</v>
      </c>
      <c r="Y835" s="135">
        <f t="shared" si="2402"/>
        <v>-52.660382558427642</v>
      </c>
      <c r="Z835" s="135">
        <f t="shared" si="2402"/>
        <v>46.246833332659634</v>
      </c>
      <c r="AA835" s="135">
        <f t="shared" si="2402"/>
        <v>47.863271283524995</v>
      </c>
      <c r="AB835" s="135">
        <f t="shared" si="2402"/>
        <v>52.886416872119938</v>
      </c>
      <c r="AC835" s="135">
        <f t="shared" si="2402"/>
        <v>34.505114599398212</v>
      </c>
      <c r="AD835" s="136">
        <f t="shared" si="2402"/>
        <v>18.318486066010905</v>
      </c>
      <c r="AE835" s="15"/>
      <c r="AF835" s="113">
        <f>_xlfn.XLOOKUP($C835,'Site Level Financials - ''23 ''24'!$C$2:$C$1577,'Site Level Financials - ''23 ''24'!$AF$2:$AF$1577)</f>
        <v>1247.1287433720488</v>
      </c>
      <c r="AG835" s="95">
        <f>SUM(G835:R835)</f>
        <v>313.10462922015961</v>
      </c>
      <c r="AH835" s="95">
        <f t="shared" ref="AH835" si="2403">SUM(S835:AD835)</f>
        <v>358.99740103834961</v>
      </c>
    </row>
    <row r="836" spans="2:35" x14ac:dyDescent="0.2">
      <c r="B836" s="9">
        <f>G799</f>
        <v>17</v>
      </c>
      <c r="C836" s="9" t="str">
        <f t="shared" si="2296"/>
        <v>17 - % of Revenue - Office EBITDA</v>
      </c>
      <c r="D836" s="9" t="s">
        <v>56</v>
      </c>
      <c r="F836" s="16" t="str">
        <f>"% of Revenue - "&amp;F835</f>
        <v>% of Revenue - Office EBITDA</v>
      </c>
      <c r="G836" s="148">
        <f>G835/G811</f>
        <v>0.32504425723815494</v>
      </c>
      <c r="H836" s="149">
        <f t="shared" ref="H836:AD836" si="2404">H835/H811</f>
        <v>0.1237450127667608</v>
      </c>
      <c r="I836" s="149">
        <f t="shared" si="2404"/>
        <v>0.13030982999603868</v>
      </c>
      <c r="J836" s="149">
        <f t="shared" si="2404"/>
        <v>0.11614062650897532</v>
      </c>
      <c r="K836" s="149">
        <f t="shared" si="2404"/>
        <v>-1.4855455263459048E-2</v>
      </c>
      <c r="L836" s="149">
        <f t="shared" si="2404"/>
        <v>-0.13779080342269498</v>
      </c>
      <c r="M836" s="149">
        <f t="shared" si="2404"/>
        <v>-0.15466248085996859</v>
      </c>
      <c r="N836" s="149">
        <f t="shared" si="2404"/>
        <v>9.896945892419233E-2</v>
      </c>
      <c r="O836" s="149">
        <f t="shared" si="2404"/>
        <v>0.10234732787548735</v>
      </c>
      <c r="P836" s="149">
        <f t="shared" si="2404"/>
        <v>0.10515599540412429</v>
      </c>
      <c r="Q836" s="149">
        <f t="shared" si="2404"/>
        <v>7.8466274438495506E-2</v>
      </c>
      <c r="R836" s="149">
        <f t="shared" si="2404"/>
        <v>4.2158422747322802E-2</v>
      </c>
      <c r="S836" s="148">
        <f t="shared" si="2404"/>
        <v>0.30696741972264441</v>
      </c>
      <c r="T836" s="149">
        <f t="shared" si="2404"/>
        <v>0.12047093798389659</v>
      </c>
      <c r="U836" s="149">
        <f t="shared" si="2404"/>
        <v>0.13507337243213238</v>
      </c>
      <c r="V836" s="149">
        <f t="shared" si="2404"/>
        <v>0.1192888222263558</v>
      </c>
      <c r="W836" s="149">
        <f t="shared" si="2404"/>
        <v>1.4877053666733784E-2</v>
      </c>
      <c r="X836" s="149">
        <f t="shared" si="2404"/>
        <v>-0.10481790110935088</v>
      </c>
      <c r="Y836" s="149">
        <f t="shared" si="2404"/>
        <v>-0.10837685449881457</v>
      </c>
      <c r="Z836" s="149">
        <f t="shared" si="2404"/>
        <v>0.11099541719016848</v>
      </c>
      <c r="AA836" s="149">
        <f t="shared" si="2404"/>
        <v>0.12529486603358328</v>
      </c>
      <c r="AB836" s="149">
        <f t="shared" si="2404"/>
        <v>0.12054433005995412</v>
      </c>
      <c r="AC836" s="149">
        <f t="shared" si="2404"/>
        <v>9.9495009256315783E-2</v>
      </c>
      <c r="AD836" s="150">
        <f t="shared" si="2404"/>
        <v>6.471487721632177E-2</v>
      </c>
      <c r="AE836" s="15"/>
      <c r="AF836" s="232">
        <f>_xlfn.XLOOKUP($C836,'Site Level Financials - ''23 ''24'!$C$2:$C$1577,'Site Level Financials - ''23 ''24'!$AF$2:$AF$1577)</f>
        <v>0.23567734509011057</v>
      </c>
      <c r="AG836" s="97">
        <f t="shared" ref="AG836:AH836" si="2405">AG835/AG811</f>
        <v>8.0464425372485646E-2</v>
      </c>
      <c r="AH836" s="97">
        <f t="shared" si="2405"/>
        <v>7.6000932792860604E-2</v>
      </c>
    </row>
    <row r="837" spans="2:35" ht="6" customHeight="1" x14ac:dyDescent="0.2">
      <c r="B837" s="9">
        <f>G799</f>
        <v>17</v>
      </c>
      <c r="C837" s="9" t="str">
        <f t="shared" si="2296"/>
        <v xml:space="preserve">17 - </v>
      </c>
      <c r="D837" s="9" t="s">
        <v>56</v>
      </c>
      <c r="G837" s="80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80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81"/>
      <c r="AE837" s="15"/>
      <c r="AF837" s="11"/>
      <c r="AG837" s="15"/>
      <c r="AH837" s="15"/>
    </row>
    <row r="838" spans="2:35" x14ac:dyDescent="0.2">
      <c r="B838" s="9">
        <f>G799</f>
        <v>17</v>
      </c>
      <c r="C838" s="9" t="str">
        <f t="shared" si="2296"/>
        <v>17 - Memo:</v>
      </c>
      <c r="D838" s="9" t="s">
        <v>56</v>
      </c>
      <c r="F838" s="6" t="s">
        <v>13</v>
      </c>
      <c r="G838" s="80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80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81"/>
      <c r="AE838" s="15"/>
      <c r="AF838" s="11"/>
      <c r="AG838" s="15"/>
      <c r="AH838" s="15"/>
    </row>
    <row r="839" spans="2:35" s="24" customFormat="1" x14ac:dyDescent="0.2">
      <c r="B839" s="9">
        <f>G799</f>
        <v>17</v>
      </c>
      <c r="C839" s="9" t="str">
        <f t="shared" si="2296"/>
        <v>17 - Collections</v>
      </c>
      <c r="D839" s="9" t="s">
        <v>56</v>
      </c>
      <c r="E839" s="49"/>
      <c r="F839" s="24" t="s">
        <v>15</v>
      </c>
      <c r="G839" s="247">
        <f>_xlfn.XLOOKUP($C839,'Site Level Financials - ''23 ''24'!$C$2:$C$1577,'Site Level Financials - ''23 ''24'!S$2:S$1577)</f>
        <v>401.4357683902582</v>
      </c>
      <c r="H839" s="248">
        <f>_xlfn.XLOOKUP($C839,'Site Level Financials - ''23 ''24'!$C$2:$C$1577,'Site Level Financials - ''23 ''24'!T$2:T$1577)</f>
        <v>354.92504521387428</v>
      </c>
      <c r="I839" s="248">
        <f>_xlfn.XLOOKUP($C839,'Site Level Financials - ''23 ''24'!$C$2:$C$1577,'Site Level Financials - ''23 ''24'!U$2:U$1577)</f>
        <v>349.04834817743154</v>
      </c>
      <c r="J839" s="248">
        <f>_xlfn.XLOOKUP($C839,'Site Level Financials - ''23 ''24'!$C$2:$C$1577,'Site Level Financials - ''23 ''24'!V$2:V$1577)</f>
        <v>380.33923207409538</v>
      </c>
      <c r="K839" s="248">
        <f>_xlfn.XLOOKUP($C839,'Site Level Financials - ''23 ''24'!$C$2:$C$1577,'Site Level Financials - ''23 ''24'!W$2:W$1577)</f>
        <v>326.390442448432</v>
      </c>
      <c r="L839" s="248">
        <f>_xlfn.XLOOKUP($C839,'Site Level Financials - ''23 ''24'!$C$2:$C$1577,'Site Level Financials - ''23 ''24'!X$2:X$1577)</f>
        <v>275.90460420497595</v>
      </c>
      <c r="M839" s="248">
        <f>_xlfn.XLOOKUP($C839,'Site Level Financials - ''23 ''24'!$C$2:$C$1577,'Site Level Financials - ''23 ''24'!Y$2:Y$1577)</f>
        <v>279.55267062963776</v>
      </c>
      <c r="N839" s="248">
        <f>_xlfn.XLOOKUP($C839,'Site Level Financials - ''23 ''24'!$C$2:$C$1577,'Site Level Financials - ''23 ''24'!Z$2:Z$1577)</f>
        <v>357.53202334056436</v>
      </c>
      <c r="O839" s="248">
        <f>_xlfn.XLOOKUP($C839,'Site Level Financials - ''23 ''24'!$C$2:$C$1577,'Site Level Financials - ''23 ''24'!AA$2:AA$1577)</f>
        <v>292.8650859743625</v>
      </c>
      <c r="P839" s="248">
        <f>_xlfn.XLOOKUP($C839,'Site Level Financials - ''23 ''24'!$C$2:$C$1577,'Site Level Financials - ''23 ''24'!AB$2:AB$1577)</f>
        <v>355.64252595983345</v>
      </c>
      <c r="Q839" s="248">
        <f>_xlfn.XLOOKUP($C839,'Site Level Financials - ''23 ''24'!$C$2:$C$1577,'Site Level Financials - ''23 ''24'!AC$2:AC$1577)</f>
        <v>282.38332158461219</v>
      </c>
      <c r="R839" s="248">
        <f>_xlfn.XLOOKUP($C839,'Site Level Financials - ''23 ''24'!$C$2:$C$1577,'Site Level Financials - ''23 ''24'!AD$2:AD$1577)</f>
        <v>231.93742958819482</v>
      </c>
      <c r="S839" s="169">
        <f t="shared" ref="S839:AD839" si="2406">S840*S809</f>
        <v>341.43359551524037</v>
      </c>
      <c r="T839" s="170">
        <f t="shared" si="2406"/>
        <v>353.54725387539651</v>
      </c>
      <c r="U839" s="170">
        <f t="shared" si="2406"/>
        <v>379.63523499007988</v>
      </c>
      <c r="V839" s="170">
        <f t="shared" si="2406"/>
        <v>406.65066380038769</v>
      </c>
      <c r="W839" s="170">
        <f t="shared" si="2406"/>
        <v>483.3090661946726</v>
      </c>
      <c r="X839" s="170">
        <f t="shared" si="2406"/>
        <v>405.8581823001781</v>
      </c>
      <c r="Y839" s="170">
        <f t="shared" si="2406"/>
        <v>485.90063627472824</v>
      </c>
      <c r="Z839" s="170">
        <f t="shared" si="2406"/>
        <v>416.65534040405402</v>
      </c>
      <c r="AA839" s="170">
        <f t="shared" si="2406"/>
        <v>382.00504776226035</v>
      </c>
      <c r="AB839" s="170">
        <f t="shared" si="2406"/>
        <v>438.73002443015167</v>
      </c>
      <c r="AC839" s="170">
        <f t="shared" si="2406"/>
        <v>346.80246634790763</v>
      </c>
      <c r="AD839" s="171">
        <f t="shared" si="2406"/>
        <v>283.06452633415165</v>
      </c>
      <c r="AE839" s="26"/>
      <c r="AF839" s="234">
        <f>_xlfn.XLOOKUP($C839,'Site Level Financials - ''23 ''24'!$C$2:$C$1577,'Site Level Financials - ''23 ''24'!$AF$2:$AF$1577)</f>
        <v>5309.1837560933418</v>
      </c>
      <c r="AG839" s="99">
        <f>SUM(G839:R839)</f>
        <v>3887.9564975862727</v>
      </c>
      <c r="AH839" s="99">
        <f t="shared" ref="AH839" si="2407">SUM(S839:AD839)</f>
        <v>4723.5920382292097</v>
      </c>
    </row>
    <row r="840" spans="2:35" x14ac:dyDescent="0.2">
      <c r="B840" s="9">
        <f>G799</f>
        <v>17</v>
      </c>
      <c r="C840" s="9" t="str">
        <f t="shared" si="2296"/>
        <v>17 - Collections as a % of Production</v>
      </c>
      <c r="D840" s="9" t="s">
        <v>56</v>
      </c>
      <c r="F840" s="16" t="s">
        <v>17</v>
      </c>
      <c r="G840" s="245">
        <f>_xlfn.XLOOKUP($C840,'Site Level Financials - ''23 ''24'!$C$2:$C$1577,'Site Level Financials - ''23 ''24'!S$2:S$1577)</f>
        <v>0.96195641126933817</v>
      </c>
      <c r="H840" s="246">
        <f>_xlfn.XLOOKUP($C840,'Site Level Financials - ''23 ''24'!$C$2:$C$1577,'Site Level Financials - ''23 ''24'!T$2:T$1577)</f>
        <v>0.97659538073932306</v>
      </c>
      <c r="I840" s="246">
        <f>_xlfn.XLOOKUP($C840,'Site Level Financials - ''23 ''24'!$C$2:$C$1577,'Site Level Financials - ''23 ''24'!U$2:U$1577)</f>
        <v>0.97851744426930742</v>
      </c>
      <c r="J840" s="246">
        <f>_xlfn.XLOOKUP($C840,'Site Level Financials - ''23 ''24'!$C$2:$C$1577,'Site Level Financials - ''23 ''24'!V$2:V$1577)</f>
        <v>0.98016959703183892</v>
      </c>
      <c r="K840" s="246">
        <f>_xlfn.XLOOKUP($C840,'Site Level Financials - ''23 ''24'!$C$2:$C$1577,'Site Level Financials - ''23 ''24'!W$2:W$1577)</f>
        <v>0.98031570425301084</v>
      </c>
      <c r="L840" s="246">
        <f>_xlfn.XLOOKUP($C840,'Site Level Financials - ''23 ''24'!$C$2:$C$1577,'Site Level Financials - ''23 ''24'!X$2:X$1577)</f>
        <v>0.96611593713790711</v>
      </c>
      <c r="M840" s="246">
        <f>_xlfn.XLOOKUP($C840,'Site Level Financials - ''23 ''24'!$C$2:$C$1577,'Site Level Financials - ''23 ''24'!Y$2:Y$1577)</f>
        <v>0.96760121236756691</v>
      </c>
      <c r="N840" s="246">
        <f>_xlfn.XLOOKUP($C840,'Site Level Financials - ''23 ''24'!$C$2:$C$1577,'Site Level Financials - ''23 ''24'!Z$2:Z$1577)</f>
        <v>0.99411879031367689</v>
      </c>
      <c r="O840" s="246">
        <f>_xlfn.XLOOKUP($C840,'Site Level Financials - ''23 ''24'!$C$2:$C$1577,'Site Level Financials - ''23 ''24'!AA$2:AA$1577)</f>
        <v>0.97437098284161183</v>
      </c>
      <c r="P840" s="246">
        <f>_xlfn.XLOOKUP($C840,'Site Level Financials - ''23 ''24'!$C$2:$C$1577,'Site Level Financials - ''23 ''24'!AB$2:AB$1577)</f>
        <v>0.98135352990516822</v>
      </c>
      <c r="Q840" s="246">
        <f>_xlfn.XLOOKUP($C840,'Site Level Financials - ''23 ''24'!$C$2:$C$1577,'Site Level Financials - ''23 ''24'!AC$2:AC$1577)</f>
        <v>0.99894844855647669</v>
      </c>
      <c r="R840" s="246">
        <f>_xlfn.XLOOKUP($C840,'Site Level Financials - ''23 ''24'!$C$2:$C$1577,'Site Level Financials - ''23 ''24'!AD$2:AD$1577)</f>
        <v>0.98297291534488651</v>
      </c>
      <c r="S840" s="148">
        <f>S810</f>
        <v>0.9783045451060659</v>
      </c>
      <c r="T840" s="149">
        <f t="shared" ref="T840:AD840" si="2408">T810</f>
        <v>0.9783045451060659</v>
      </c>
      <c r="U840" s="149">
        <f t="shared" si="2408"/>
        <v>0.9783045451060659</v>
      </c>
      <c r="V840" s="149">
        <f t="shared" si="2408"/>
        <v>0.9783045451060659</v>
      </c>
      <c r="W840" s="149">
        <f t="shared" si="2408"/>
        <v>0.9783045451060659</v>
      </c>
      <c r="X840" s="149">
        <f t="shared" si="2408"/>
        <v>0.9783045451060659</v>
      </c>
      <c r="Y840" s="149">
        <f t="shared" si="2408"/>
        <v>0.9783045451060659</v>
      </c>
      <c r="Z840" s="149">
        <f t="shared" si="2408"/>
        <v>0.9783045451060659</v>
      </c>
      <c r="AA840" s="149">
        <f t="shared" si="2408"/>
        <v>0.9783045451060659</v>
      </c>
      <c r="AB840" s="149">
        <f t="shared" si="2408"/>
        <v>0.9783045451060659</v>
      </c>
      <c r="AC840" s="149">
        <f t="shared" si="2408"/>
        <v>0.9783045451060659</v>
      </c>
      <c r="AD840" s="150">
        <f t="shared" si="2408"/>
        <v>0.9783045451060659</v>
      </c>
      <c r="AE840" s="15"/>
      <c r="AF840" s="232">
        <f>_xlfn.XLOOKUP($C840,'Site Level Financials - ''23 ''24'!$C$2:$C$1577,'Site Level Financials - ''23 ''24'!$AF$2:$AF$1577)</f>
        <v>0.97911949391210329</v>
      </c>
      <c r="AG840" s="97">
        <f t="shared" ref="AG840:AH840" si="2409">AG839/AG809</f>
        <v>0.9783045451060659</v>
      </c>
      <c r="AH840" s="97">
        <f t="shared" si="2409"/>
        <v>0.97830454510606624</v>
      </c>
    </row>
    <row r="841" spans="2:35" ht="6" customHeight="1" x14ac:dyDescent="0.2">
      <c r="B841" s="9">
        <f>G799</f>
        <v>17</v>
      </c>
      <c r="C841" s="9" t="str">
        <f t="shared" si="2296"/>
        <v xml:space="preserve">17 - </v>
      </c>
      <c r="D841" s="9" t="s">
        <v>56</v>
      </c>
      <c r="F841" s="27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81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81"/>
      <c r="AE841" s="15"/>
      <c r="AF841" s="11"/>
      <c r="AH841" s="224"/>
    </row>
    <row r="842" spans="2:35" s="24" customFormat="1" x14ac:dyDescent="0.2">
      <c r="B842" s="9">
        <f>G799</f>
        <v>17</v>
      </c>
      <c r="C842" s="9" t="str">
        <f t="shared" si="2296"/>
        <v>17 - Production per Vet Workday - YoY Change</v>
      </c>
      <c r="D842" s="9" t="s">
        <v>56</v>
      </c>
      <c r="E842" s="49"/>
      <c r="F842" s="24" t="s">
        <v>55</v>
      </c>
      <c r="G842" s="249">
        <f>_xlfn.XLOOKUP($C842,'Site Level Financials - ''23 ''24'!$C$2:$C$1577,'Site Level Financials - ''23 ''24'!S$2:S$1577)</f>
        <v>-7.6015907792882143E-2</v>
      </c>
      <c r="H842" s="250">
        <f>_xlfn.XLOOKUP($C842,'Site Level Financials - ''23 ''24'!$C$2:$C$1577,'Site Level Financials - ''23 ''24'!T$2:T$1577)</f>
        <v>3.9631122589445233E-2</v>
      </c>
      <c r="I842" s="250">
        <f>_xlfn.XLOOKUP($C842,'Site Level Financials - ''23 ''24'!$C$2:$C$1577,'Site Level Financials - ''23 ''24'!U$2:U$1577)</f>
        <v>-6.7405238745964491E-3</v>
      </c>
      <c r="J842" s="250">
        <f>_xlfn.XLOOKUP($C842,'Site Level Financials - ''23 ''24'!$C$2:$C$1577,'Site Level Financials - ''23 ''24'!V$2:V$1577)</f>
        <v>-7.9836107459558825E-3</v>
      </c>
      <c r="K842" s="250">
        <f>_xlfn.XLOOKUP($C842,'Site Level Financials - ''23 ''24'!$C$2:$C$1577,'Site Level Financials - ''23 ''24'!W$2:W$1577)</f>
        <v>1.0809616967758728E-2</v>
      </c>
      <c r="L842" s="250">
        <f>_xlfn.XLOOKUP($C842,'Site Level Financials - ''23 ''24'!$C$2:$C$1577,'Site Level Financials - ''23 ''24'!X$2:X$1577)</f>
        <v>6.180583174088472E-2</v>
      </c>
      <c r="M842" s="250">
        <f>_xlfn.XLOOKUP($C842,'Site Level Financials - ''23 ''24'!$C$2:$C$1577,'Site Level Financials - ''23 ''24'!Y$2:Y$1577)</f>
        <v>5.7106371096010466E-2</v>
      </c>
      <c r="N842" s="250">
        <f>_xlfn.XLOOKUP($C842,'Site Level Financials - ''23 ''24'!$C$2:$C$1577,'Site Level Financials - ''23 ''24'!Z$2:Z$1577)</f>
        <v>5.8203343133800045E-2</v>
      </c>
      <c r="O842" s="250">
        <f>_xlfn.XLOOKUP($C842,'Site Level Financials - ''23 ''24'!$C$2:$C$1577,'Site Level Financials - ''23 ''24'!AA$2:AA$1577)</f>
        <v>-1.3865662037488846E-2</v>
      </c>
      <c r="P842" s="250">
        <f>_xlfn.XLOOKUP($C842,'Site Level Financials - ''23 ''24'!$C$2:$C$1577,'Site Level Financials - ''23 ''24'!AB$2:AB$1577)</f>
        <v>-2.2971990955296118E-3</v>
      </c>
      <c r="Q842" s="250">
        <f>_xlfn.XLOOKUP($C842,'Site Level Financials - ''23 ''24'!$C$2:$C$1577,'Site Level Financials - ''23 ''24'!AC$2:AC$1577)</f>
        <v>4.2637682726356374E-3</v>
      </c>
      <c r="R842" s="251">
        <f>_xlfn.XLOOKUP($C842,'Site Level Financials - ''23 ''24'!$C$2:$C$1577,'Site Level Financials - ''23 ''24'!AD$2:AD$1577)</f>
        <v>2.2042660556635507E-2</v>
      </c>
      <c r="S842" s="151">
        <f>S808/G808-1</f>
        <v>0.11509082986771779</v>
      </c>
      <c r="T842" s="152">
        <f t="shared" ref="T842" si="2410">T808/H808-1</f>
        <v>-5.6222078082932558E-3</v>
      </c>
      <c r="U842" s="152">
        <f t="shared" ref="U842" si="2411">U808/I808-1</f>
        <v>8.7866060382677746E-2</v>
      </c>
      <c r="V842" s="152">
        <f t="shared" ref="V842" si="2412">V808/J808-1</f>
        <v>7.1217148572020328E-2</v>
      </c>
      <c r="W842" s="152">
        <f t="shared" ref="W842" si="2413">W808/K808-1</f>
        <v>-1.0790818696676308E-2</v>
      </c>
      <c r="X842" s="152">
        <f t="shared" ref="X842" si="2414">X808/L808-1</f>
        <v>-3.1545382582622183E-2</v>
      </c>
      <c r="Y842" s="152">
        <f t="shared" ref="Y842" si="2415">Y808/M808-1</f>
        <v>-0.14044007523258151</v>
      </c>
      <c r="Z842" s="152">
        <f t="shared" ref="Z842" si="2416">Z808/N808-1</f>
        <v>-0.11184762622806121</v>
      </c>
      <c r="AA842" s="152">
        <f t="shared" ref="AA842" si="2417">AA808/O808-1</f>
        <v>-2.5654383443374118E-2</v>
      </c>
      <c r="AB842" s="152">
        <f t="shared" ref="AB842" si="2418">AB808/P808-1</f>
        <v>-7.1896626494335147E-2</v>
      </c>
      <c r="AC842" s="152">
        <f t="shared" ref="AC842" si="2419">AC808/Q808-1</f>
        <v>-5.9468373307569822E-2</v>
      </c>
      <c r="AD842" s="153">
        <f t="shared" ref="AD842" si="2420">AD808/R808-1</f>
        <v>-8.0306005052667051E-2</v>
      </c>
      <c r="AF842" s="43"/>
      <c r="AG842" s="177">
        <f>AG808/AF808-1</f>
        <v>-1.2555525854742067E-2</v>
      </c>
      <c r="AH842" s="225">
        <f>AH808/AG808-1</f>
        <v>-1.7222842939680238E-2</v>
      </c>
    </row>
    <row r="843" spans="2:35" s="24" customFormat="1" ht="6" customHeight="1" x14ac:dyDescent="0.2">
      <c r="D843" s="9" t="s">
        <v>56</v>
      </c>
      <c r="E843" s="49"/>
      <c r="G843" s="28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29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29"/>
      <c r="AE843" s="25"/>
      <c r="AF843" s="28"/>
      <c r="AG843" s="30"/>
      <c r="AH843" s="226"/>
    </row>
    <row r="844" spans="2:35" s="24" customFormat="1" ht="6" customHeight="1" x14ac:dyDescent="0.2">
      <c r="D844" s="9" t="s">
        <v>56</v>
      </c>
      <c r="E844" s="49"/>
    </row>
    <row r="845" spans="2:35" x14ac:dyDescent="0.2">
      <c r="D845" s="9" t="s">
        <v>56</v>
      </c>
      <c r="F845" s="16"/>
    </row>
    <row r="846" spans="2:35" ht="15.75" thickBot="1" x14ac:dyDescent="0.4">
      <c r="B846" s="35" t="s">
        <v>52</v>
      </c>
      <c r="C846" s="35"/>
      <c r="D846" s="9" t="s">
        <v>56</v>
      </c>
      <c r="E846" s="48" t="s">
        <v>0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74"/>
      <c r="AH846" s="3">
        <f ca="1">TODAY()</f>
        <v>45999</v>
      </c>
      <c r="AI846" s="1"/>
    </row>
    <row r="847" spans="2:35" x14ac:dyDescent="0.2">
      <c r="B847" s="9">
        <f>G848</f>
        <v>18</v>
      </c>
      <c r="C847" s="9"/>
      <c r="D847" s="9" t="s">
        <v>56</v>
      </c>
      <c r="F847" t="s">
        <v>159</v>
      </c>
      <c r="AG847" s="6"/>
      <c r="AH847" s="6" t="s">
        <v>16</v>
      </c>
    </row>
    <row r="848" spans="2:35" x14ac:dyDescent="0.2">
      <c r="B848" s="9">
        <f>G848</f>
        <v>18</v>
      </c>
      <c r="C848" s="9"/>
      <c r="D848" s="9" t="s">
        <v>56</v>
      </c>
      <c r="F848" s="40" t="s">
        <v>53</v>
      </c>
      <c r="G848" s="42">
        <v>18</v>
      </c>
    </row>
    <row r="849" spans="2:34" x14ac:dyDescent="0.2">
      <c r="B849" s="9">
        <f>G848</f>
        <v>18</v>
      </c>
      <c r="C849" s="9"/>
      <c r="D849" s="9" t="s">
        <v>56</v>
      </c>
      <c r="F849" s="39" t="s">
        <v>35</v>
      </c>
      <c r="G849" s="41"/>
      <c r="H849" s="11"/>
    </row>
    <row r="850" spans="2:34" x14ac:dyDescent="0.2">
      <c r="B850" s="9">
        <f>G848</f>
        <v>18</v>
      </c>
      <c r="C850" s="9"/>
      <c r="D850" s="9" t="s">
        <v>56</v>
      </c>
      <c r="G850" s="23"/>
    </row>
    <row r="851" spans="2:34" x14ac:dyDescent="0.2">
      <c r="B851" s="9">
        <f>G848</f>
        <v>18</v>
      </c>
      <c r="C851" s="9"/>
      <c r="D851" s="9" t="s">
        <v>56</v>
      </c>
      <c r="G851" s="208" t="s">
        <v>229</v>
      </c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10"/>
      <c r="S851" s="266" t="s">
        <v>230</v>
      </c>
      <c r="T851" s="267"/>
      <c r="U851" s="267"/>
      <c r="V851" s="267"/>
      <c r="W851" s="267"/>
      <c r="X851" s="267"/>
      <c r="Y851" s="267"/>
      <c r="Z851" s="267"/>
      <c r="AA851" s="267"/>
      <c r="AB851" s="267"/>
      <c r="AC851" s="267"/>
      <c r="AD851" s="268"/>
      <c r="AF851" s="17" t="s">
        <v>231</v>
      </c>
      <c r="AG851" s="50"/>
      <c r="AH851" s="269" t="s">
        <v>232</v>
      </c>
    </row>
    <row r="852" spans="2:34" ht="15" customHeight="1" x14ac:dyDescent="0.35">
      <c r="B852" s="9">
        <f>G848</f>
        <v>18</v>
      </c>
      <c r="C852" s="9"/>
      <c r="D852" s="9" t="s">
        <v>56</v>
      </c>
      <c r="G852" s="211">
        <v>44957</v>
      </c>
      <c r="H852" s="212">
        <f>EOMONTH(G852,1)</f>
        <v>44985</v>
      </c>
      <c r="I852" s="212">
        <f t="shared" ref="I852" si="2421">EOMONTH(H852,1)</f>
        <v>45016</v>
      </c>
      <c r="J852" s="212">
        <f t="shared" ref="J852" si="2422">EOMONTH(I852,1)</f>
        <v>45046</v>
      </c>
      <c r="K852" s="212">
        <f t="shared" ref="K852" si="2423">EOMONTH(J852,1)</f>
        <v>45077</v>
      </c>
      <c r="L852" s="212">
        <f t="shared" ref="L852" si="2424">EOMONTH(K852,1)</f>
        <v>45107</v>
      </c>
      <c r="M852" s="212">
        <f t="shared" ref="M852" si="2425">EOMONTH(L852,1)</f>
        <v>45138</v>
      </c>
      <c r="N852" s="212">
        <f t="shared" ref="N852" si="2426">EOMONTH(M852,1)</f>
        <v>45169</v>
      </c>
      <c r="O852" s="212">
        <f t="shared" ref="O852" si="2427">EOMONTH(N852,1)</f>
        <v>45199</v>
      </c>
      <c r="P852" s="212">
        <f t="shared" ref="P852" si="2428">EOMONTH(O852,1)</f>
        <v>45230</v>
      </c>
      <c r="Q852" s="212">
        <f t="shared" ref="Q852" si="2429">EOMONTH(P852,1)</f>
        <v>45260</v>
      </c>
      <c r="R852" s="213">
        <f t="shared" ref="R852" si="2430">EOMONTH(Q852,1)</f>
        <v>45291</v>
      </c>
      <c r="S852" s="4">
        <f t="shared" ref="S852" si="2431">EOMONTH(R852,1)</f>
        <v>45322</v>
      </c>
      <c r="T852" s="19">
        <f t="shared" ref="T852" si="2432">EOMONTH(S852,1)</f>
        <v>45351</v>
      </c>
      <c r="U852" s="19">
        <f t="shared" ref="U852" si="2433">EOMONTH(T852,1)</f>
        <v>45382</v>
      </c>
      <c r="V852" s="19">
        <f t="shared" ref="V852" si="2434">EOMONTH(U852,1)</f>
        <v>45412</v>
      </c>
      <c r="W852" s="19">
        <f t="shared" ref="W852" si="2435">EOMONTH(V852,1)</f>
        <v>45443</v>
      </c>
      <c r="X852" s="19">
        <f t="shared" ref="X852" si="2436">EOMONTH(W852,1)</f>
        <v>45473</v>
      </c>
      <c r="Y852" s="19">
        <f t="shared" ref="Y852" si="2437">EOMONTH(X852,1)</f>
        <v>45504</v>
      </c>
      <c r="Z852" s="19">
        <f t="shared" ref="Z852" si="2438">EOMONTH(Y852,1)</f>
        <v>45535</v>
      </c>
      <c r="AA852" s="19">
        <f t="shared" ref="AA852" si="2439">EOMONTH(Z852,1)</f>
        <v>45565</v>
      </c>
      <c r="AB852" s="19">
        <f t="shared" ref="AB852" si="2440">EOMONTH(AA852,1)</f>
        <v>45596</v>
      </c>
      <c r="AC852" s="19">
        <f t="shared" ref="AC852" si="2441">EOMONTH(AB852,1)</f>
        <v>45626</v>
      </c>
      <c r="AD852" s="5">
        <f t="shared" ref="AD852" si="2442">EOMONTH(AC852,1)</f>
        <v>45657</v>
      </c>
      <c r="AE852" s="168"/>
      <c r="AF852" s="13">
        <v>45291</v>
      </c>
      <c r="AG852" s="14">
        <v>45657</v>
      </c>
      <c r="AH852" s="14">
        <v>46022</v>
      </c>
    </row>
    <row r="853" spans="2:34" ht="0.95" customHeight="1" x14ac:dyDescent="0.2">
      <c r="B853" s="9">
        <f>G848</f>
        <v>18</v>
      </c>
      <c r="C853" s="9"/>
      <c r="D853" s="9" t="s">
        <v>56</v>
      </c>
      <c r="G853" s="11"/>
      <c r="S853" s="11"/>
      <c r="AD853" s="15"/>
      <c r="AE853" s="15"/>
      <c r="AF853" s="11"/>
      <c r="AG853" s="15"/>
      <c r="AH853" s="15"/>
    </row>
    <row r="854" spans="2:34" x14ac:dyDescent="0.2">
      <c r="B854" s="9">
        <f>G848</f>
        <v>18</v>
      </c>
      <c r="C854" s="9" t="str">
        <f>B854&amp;" - "&amp;F854</f>
        <v>18 - Employed Vets</v>
      </c>
      <c r="D854" s="9" t="s">
        <v>56</v>
      </c>
      <c r="F854" s="7" t="s">
        <v>160</v>
      </c>
      <c r="G854" s="178">
        <f>_xlfn.XLOOKUP($C854,'Site Level Financials - ''23 ''24'!$C$2:$C$1577,'Site Level Financials - ''23 ''24'!S$2:S$1577)</f>
        <v>4</v>
      </c>
      <c r="H854" s="179">
        <f>_xlfn.XLOOKUP($C854,'Site Level Financials - ''23 ''24'!$C$2:$C$1577,'Site Level Financials - ''23 ''24'!T$2:T$1577)</f>
        <v>3</v>
      </c>
      <c r="I854" s="179">
        <f>_xlfn.XLOOKUP($C854,'Site Level Financials - ''23 ''24'!$C$2:$C$1577,'Site Level Financials - ''23 ''24'!U$2:U$1577)</f>
        <v>3</v>
      </c>
      <c r="J854" s="179">
        <f>_xlfn.XLOOKUP($C854,'Site Level Financials - ''23 ''24'!$C$2:$C$1577,'Site Level Financials - ''23 ''24'!V$2:V$1577)</f>
        <v>3</v>
      </c>
      <c r="K854" s="179">
        <f>_xlfn.XLOOKUP($C854,'Site Level Financials - ''23 ''24'!$C$2:$C$1577,'Site Level Financials - ''23 ''24'!W$2:W$1577)</f>
        <v>3</v>
      </c>
      <c r="L854" s="179">
        <f>_xlfn.XLOOKUP($C854,'Site Level Financials - ''23 ''24'!$C$2:$C$1577,'Site Level Financials - ''23 ''24'!X$2:X$1577)</f>
        <v>3</v>
      </c>
      <c r="M854" s="179">
        <f>_xlfn.XLOOKUP($C854,'Site Level Financials - ''23 ''24'!$C$2:$C$1577,'Site Level Financials - ''23 ''24'!Y$2:Y$1577)</f>
        <v>4</v>
      </c>
      <c r="N854" s="179">
        <f>_xlfn.XLOOKUP($C854,'Site Level Financials - ''23 ''24'!$C$2:$C$1577,'Site Level Financials - ''23 ''24'!Z$2:Z$1577)</f>
        <v>4</v>
      </c>
      <c r="O854" s="179">
        <f>_xlfn.XLOOKUP($C854,'Site Level Financials - ''23 ''24'!$C$2:$C$1577,'Site Level Financials - ''23 ''24'!AA$2:AA$1577)</f>
        <v>4</v>
      </c>
      <c r="P854" s="179">
        <f>_xlfn.XLOOKUP($C854,'Site Level Financials - ''23 ''24'!$C$2:$C$1577,'Site Level Financials - ''23 ''24'!AB$2:AB$1577)</f>
        <v>4</v>
      </c>
      <c r="Q854" s="179">
        <f>_xlfn.XLOOKUP($C854,'Site Level Financials - ''23 ''24'!$C$2:$C$1577,'Site Level Financials - ''23 ''24'!AC$2:AC$1577)</f>
        <v>4</v>
      </c>
      <c r="R854" s="179">
        <f>_xlfn.XLOOKUP($C854,'Site Level Financials - ''23 ''24'!$C$2:$C$1577,'Site Level Financials - ''23 ''24'!AD$2:AD$1577)</f>
        <v>5</v>
      </c>
      <c r="S854" s="178">
        <f>R854+_xlfn.XLOOKUP($R854,'Budget Assumption Driver'!$A$7:$A$11,'Budget Assumption Driver'!E$7:E$11)</f>
        <v>5</v>
      </c>
      <c r="T854" s="179">
        <f>S854+_xlfn.XLOOKUP($R854,'Budget Assumption Driver'!$A$7:$A$11,'Budget Assumption Driver'!F$7:F$11)</f>
        <v>5</v>
      </c>
      <c r="U854" s="179">
        <f>T854+_xlfn.XLOOKUP($R854,'Budget Assumption Driver'!$A$7:$A$11,'Budget Assumption Driver'!G$7:G$11)</f>
        <v>5</v>
      </c>
      <c r="V854" s="179">
        <f>U854+_xlfn.XLOOKUP($R854,'Budget Assumption Driver'!$A$7:$A$11,'Budget Assumption Driver'!H$7:H$11)</f>
        <v>5</v>
      </c>
      <c r="W854" s="179">
        <f>V854+_xlfn.XLOOKUP($R854,'Budget Assumption Driver'!$A$7:$A$11,'Budget Assumption Driver'!I$7:I$11)</f>
        <v>5</v>
      </c>
      <c r="X854" s="179">
        <f>W854+_xlfn.XLOOKUP($R854,'Budget Assumption Driver'!$A$7:$A$11,'Budget Assumption Driver'!J$7:J$11)</f>
        <v>5</v>
      </c>
      <c r="Y854" s="179">
        <f>X854+_xlfn.XLOOKUP($R854,'Budget Assumption Driver'!$A$7:$A$11,'Budget Assumption Driver'!K$7:K$11)</f>
        <v>5</v>
      </c>
      <c r="Z854" s="179">
        <f>Y854+_xlfn.XLOOKUP($R854,'Budget Assumption Driver'!$A$7:$A$11,'Budget Assumption Driver'!L$7:L$11)</f>
        <v>5</v>
      </c>
      <c r="AA854" s="179">
        <f>Z854+_xlfn.XLOOKUP($R854,'Budget Assumption Driver'!$A$7:$A$11,'Budget Assumption Driver'!M$7:M$11)</f>
        <v>5</v>
      </c>
      <c r="AB854" s="179">
        <f>AA854+_xlfn.XLOOKUP($R854,'Budget Assumption Driver'!$A$7:$A$11,'Budget Assumption Driver'!N$7:N$11)</f>
        <v>5</v>
      </c>
      <c r="AC854" s="179">
        <f>AB854+_xlfn.XLOOKUP($R854,'Budget Assumption Driver'!$A$7:$A$11,'Budget Assumption Driver'!O$7:O$11)</f>
        <v>5</v>
      </c>
      <c r="AD854" s="290">
        <f>AC854+_xlfn.XLOOKUP($R854,'Budget Assumption Driver'!$A$7:$A$11,'Budget Assumption Driver'!P$7:P$11)</f>
        <v>5</v>
      </c>
      <c r="AE854" s="15"/>
      <c r="AF854" s="229">
        <f>_xlfn.XLOOKUP($C854,'Site Level Financials - ''23 ''24'!$C$2:$C$1577,'Site Level Financials - ''23 ''24'!$AF$2:$AF$1577)</f>
        <v>3.3333333333333335</v>
      </c>
      <c r="AG854" s="91">
        <f t="shared" ref="AG854:AH854" si="2443">AG856/AG855</f>
        <v>3.6691449814126393</v>
      </c>
      <c r="AH854" s="91">
        <f t="shared" si="2443"/>
        <v>5</v>
      </c>
    </row>
    <row r="855" spans="2:34" x14ac:dyDescent="0.2">
      <c r="B855" s="9">
        <f>G848</f>
        <v>18</v>
      </c>
      <c r="C855" s="9" t="str">
        <f t="shared" ref="C855:C891" si="2444">B855&amp;" - "&amp;F855</f>
        <v>18 - Workdays in Month / Year</v>
      </c>
      <c r="D855" s="9" t="s">
        <v>56</v>
      </c>
      <c r="F855" s="7" t="s">
        <v>54</v>
      </c>
      <c r="G855" s="178">
        <f>_xlfn.XLOOKUP($C855,'Site Level Financials - ''23 ''24'!$C$2:$C$1577,'Site Level Financials - ''23 ''24'!S$2:S$1577)</f>
        <v>23</v>
      </c>
      <c r="H855" s="235">
        <f>_xlfn.XLOOKUP($C855,'Site Level Financials - ''23 ''24'!$C$2:$C$1577,'Site Level Financials - ''23 ''24'!T$2:T$1577)</f>
        <v>22</v>
      </c>
      <c r="I855" s="235">
        <f>_xlfn.XLOOKUP($C855,'Site Level Financials - ''23 ''24'!$C$2:$C$1577,'Site Level Financials - ''23 ''24'!U$2:U$1577)</f>
        <v>22</v>
      </c>
      <c r="J855" s="179">
        <f>_xlfn.XLOOKUP($C855,'Site Level Financials - ''23 ''24'!$C$2:$C$1577,'Site Level Financials - ''23 ''24'!V$2:V$1577)</f>
        <v>22</v>
      </c>
      <c r="K855" s="179">
        <f>_xlfn.XLOOKUP($C855,'Site Level Financials - ''23 ''24'!$C$2:$C$1577,'Site Level Financials - ''23 ''24'!W$2:W$1577)</f>
        <v>24</v>
      </c>
      <c r="L855" s="179">
        <f>_xlfn.XLOOKUP($C855,'Site Level Financials - ''23 ''24'!$C$2:$C$1577,'Site Level Financials - ''23 ''24'!X$2:X$1577)</f>
        <v>21</v>
      </c>
      <c r="M855" s="179">
        <f>_xlfn.XLOOKUP($C855,'Site Level Financials - ''23 ''24'!$C$2:$C$1577,'Site Level Financials - ''23 ''24'!Y$2:Y$1577)</f>
        <v>23</v>
      </c>
      <c r="N855" s="179">
        <f>_xlfn.XLOOKUP($C855,'Site Level Financials - ''23 ''24'!$C$2:$C$1577,'Site Level Financials - ''23 ''24'!Z$2:Z$1577)</f>
        <v>23</v>
      </c>
      <c r="O855" s="179">
        <f>_xlfn.XLOOKUP($C855,'Site Level Financials - ''23 ''24'!$C$2:$C$1577,'Site Level Financials - ''23 ''24'!AA$2:AA$1577)</f>
        <v>21</v>
      </c>
      <c r="P855" s="179">
        <f>_xlfn.XLOOKUP($C855,'Site Level Financials - ''23 ''24'!$C$2:$C$1577,'Site Level Financials - ''23 ''24'!AB$2:AB$1577)</f>
        <v>24</v>
      </c>
      <c r="Q855" s="179">
        <f>_xlfn.XLOOKUP($C855,'Site Level Financials - ''23 ''24'!$C$2:$C$1577,'Site Level Financials - ''23 ''24'!AC$2:AC$1577)</f>
        <v>22</v>
      </c>
      <c r="R855" s="179">
        <f>_xlfn.XLOOKUP($C855,'Site Level Financials - ''23 ''24'!$C$2:$C$1577,'Site Level Financials - ''23 ''24'!AD$2:AD$1577)</f>
        <v>22</v>
      </c>
      <c r="S855" s="155">
        <f>NETWORKDAYS(R852,S852)</f>
        <v>23</v>
      </c>
      <c r="T855" s="154">
        <f t="shared" ref="T855:AD855" si="2445">NETWORKDAYS(S852,T852)</f>
        <v>22</v>
      </c>
      <c r="U855" s="154">
        <f t="shared" si="2445"/>
        <v>22</v>
      </c>
      <c r="V855" s="154">
        <f t="shared" si="2445"/>
        <v>22</v>
      </c>
      <c r="W855" s="154">
        <f t="shared" si="2445"/>
        <v>24</v>
      </c>
      <c r="X855" s="154">
        <f t="shared" si="2445"/>
        <v>21</v>
      </c>
      <c r="Y855" s="154">
        <f t="shared" si="2445"/>
        <v>23</v>
      </c>
      <c r="Z855" s="154">
        <f t="shared" si="2445"/>
        <v>23</v>
      </c>
      <c r="AA855" s="154">
        <f t="shared" si="2445"/>
        <v>21</v>
      </c>
      <c r="AB855" s="154">
        <f t="shared" si="2445"/>
        <v>24</v>
      </c>
      <c r="AC855" s="154">
        <f t="shared" si="2445"/>
        <v>22</v>
      </c>
      <c r="AD855" s="156">
        <f t="shared" si="2445"/>
        <v>22</v>
      </c>
      <c r="AE855" s="15"/>
      <c r="AF855" s="115">
        <f>_xlfn.XLOOKUP($C855,'Site Level Financials - ''23 ''24'!$C$2:$C$1577,'Site Level Financials - ''23 ''24'!$AF$2:$AF$1577)</f>
        <v>269</v>
      </c>
      <c r="AG855" s="93">
        <f>SUM(G855:R855)</f>
        <v>269</v>
      </c>
      <c r="AH855" s="93">
        <f>SUM(S855:AD855)</f>
        <v>269</v>
      </c>
    </row>
    <row r="856" spans="2:34" x14ac:dyDescent="0.2">
      <c r="B856" s="9">
        <f>G848</f>
        <v>18</v>
      </c>
      <c r="C856" s="9" t="str">
        <f t="shared" si="2444"/>
        <v>18 - Total Vet Days</v>
      </c>
      <c r="D856" s="9" t="s">
        <v>56</v>
      </c>
      <c r="F856" s="8" t="s">
        <v>51</v>
      </c>
      <c r="G856" s="236">
        <f>_xlfn.XLOOKUP($C856,'Site Level Financials - ''23 ''24'!$C$2:$C$1577,'Site Level Financials - ''23 ''24'!S$2:S$1577)</f>
        <v>92</v>
      </c>
      <c r="H856" s="237">
        <f>_xlfn.XLOOKUP($C856,'Site Level Financials - ''23 ''24'!$C$2:$C$1577,'Site Level Financials - ''23 ''24'!T$2:T$1577)</f>
        <v>66</v>
      </c>
      <c r="I856" s="237">
        <f>_xlfn.XLOOKUP($C856,'Site Level Financials - ''23 ''24'!$C$2:$C$1577,'Site Level Financials - ''23 ''24'!U$2:U$1577)</f>
        <v>66</v>
      </c>
      <c r="J856" s="238">
        <f>_xlfn.XLOOKUP($C856,'Site Level Financials - ''23 ''24'!$C$2:$C$1577,'Site Level Financials - ''23 ''24'!V$2:V$1577)</f>
        <v>66</v>
      </c>
      <c r="K856" s="238">
        <f>_xlfn.XLOOKUP($C856,'Site Level Financials - ''23 ''24'!$C$2:$C$1577,'Site Level Financials - ''23 ''24'!W$2:W$1577)</f>
        <v>72</v>
      </c>
      <c r="L856" s="238">
        <f>_xlfn.XLOOKUP($C856,'Site Level Financials - ''23 ''24'!$C$2:$C$1577,'Site Level Financials - ''23 ''24'!X$2:X$1577)</f>
        <v>63</v>
      </c>
      <c r="M856" s="238">
        <f>_xlfn.XLOOKUP($C856,'Site Level Financials - ''23 ''24'!$C$2:$C$1577,'Site Level Financials - ''23 ''24'!Y$2:Y$1577)</f>
        <v>92</v>
      </c>
      <c r="N856" s="238">
        <f>_xlfn.XLOOKUP($C856,'Site Level Financials - ''23 ''24'!$C$2:$C$1577,'Site Level Financials - ''23 ''24'!Z$2:Z$1577)</f>
        <v>92</v>
      </c>
      <c r="O856" s="238">
        <f>_xlfn.XLOOKUP($C856,'Site Level Financials - ''23 ''24'!$C$2:$C$1577,'Site Level Financials - ''23 ''24'!AA$2:AA$1577)</f>
        <v>84</v>
      </c>
      <c r="P856" s="238">
        <f>_xlfn.XLOOKUP($C856,'Site Level Financials - ''23 ''24'!$C$2:$C$1577,'Site Level Financials - ''23 ''24'!AB$2:AB$1577)</f>
        <v>96</v>
      </c>
      <c r="Q856" s="238">
        <f>_xlfn.XLOOKUP($C856,'Site Level Financials - ''23 ''24'!$C$2:$C$1577,'Site Level Financials - ''23 ''24'!AC$2:AC$1577)</f>
        <v>88</v>
      </c>
      <c r="R856" s="238">
        <f>_xlfn.XLOOKUP($C856,'Site Level Financials - ''23 ''24'!$C$2:$C$1577,'Site Level Financials - ''23 ''24'!AD$2:AD$1577)</f>
        <v>110</v>
      </c>
      <c r="S856" s="125">
        <f t="shared" ref="S856:AD856" si="2446">S854*S855</f>
        <v>115</v>
      </c>
      <c r="T856" s="127">
        <f t="shared" si="2446"/>
        <v>110</v>
      </c>
      <c r="U856" s="127">
        <f t="shared" si="2446"/>
        <v>110</v>
      </c>
      <c r="V856" s="127">
        <f t="shared" si="2446"/>
        <v>110</v>
      </c>
      <c r="W856" s="127">
        <f t="shared" si="2446"/>
        <v>120</v>
      </c>
      <c r="X856" s="127">
        <f t="shared" si="2446"/>
        <v>105</v>
      </c>
      <c r="Y856" s="127">
        <f t="shared" si="2446"/>
        <v>115</v>
      </c>
      <c r="Z856" s="127">
        <f t="shared" si="2446"/>
        <v>115</v>
      </c>
      <c r="AA856" s="127">
        <f t="shared" si="2446"/>
        <v>105</v>
      </c>
      <c r="AB856" s="127">
        <f t="shared" si="2446"/>
        <v>120</v>
      </c>
      <c r="AC856" s="127">
        <f t="shared" si="2446"/>
        <v>110</v>
      </c>
      <c r="AD856" s="128">
        <f t="shared" si="2446"/>
        <v>110</v>
      </c>
      <c r="AF856" s="112">
        <f>_xlfn.XLOOKUP($C856,'Site Level Financials - ''23 ''24'!$C$2:$C$1577,'Site Level Financials - ''23 ''24'!$AF$2:$AF$1577)</f>
        <v>896</v>
      </c>
      <c r="AG856" s="120">
        <f>SUM(G856:R856)</f>
        <v>987</v>
      </c>
      <c r="AH856" s="120">
        <f t="shared" ref="AH856" si="2447">SUM(S856:AD856)</f>
        <v>1345</v>
      </c>
    </row>
    <row r="857" spans="2:34" x14ac:dyDescent="0.2">
      <c r="B857" s="9">
        <f>G848</f>
        <v>18</v>
      </c>
      <c r="C857" s="9" t="str">
        <f t="shared" si="2444"/>
        <v>18 - Production per Vet Workday</v>
      </c>
      <c r="D857" s="9" t="s">
        <v>56</v>
      </c>
      <c r="F857" s="7" t="s">
        <v>50</v>
      </c>
      <c r="G857" s="239">
        <f>_xlfn.XLOOKUP($C857,'Site Level Financials - ''23 ''24'!$C$2:$C$1577,'Site Level Financials - ''23 ''24'!S$2:S$1577)</f>
        <v>4.7688414780644299</v>
      </c>
      <c r="H857" s="240">
        <f>_xlfn.XLOOKUP($C857,'Site Level Financials - ''23 ''24'!$C$2:$C$1577,'Site Level Financials - ''23 ''24'!T$2:T$1577)</f>
        <v>5.2652035124558845</v>
      </c>
      <c r="I857" s="240">
        <f>_xlfn.XLOOKUP($C857,'Site Level Financials - ''23 ''24'!$C$2:$C$1577,'Site Level Financials - ''23 ''24'!U$2:U$1577)</f>
        <v>5.687510538155502</v>
      </c>
      <c r="J857" s="240">
        <f>_xlfn.XLOOKUP($C857,'Site Level Financials - ''23 ''24'!$C$2:$C$1577,'Site Level Financials - ''23 ''24'!V$2:V$1577)</f>
        <v>6.1358681979693372</v>
      </c>
      <c r="K857" s="240">
        <f>_xlfn.XLOOKUP($C857,'Site Level Financials - ''23 ''24'!$C$2:$C$1577,'Site Level Financials - ''23 ''24'!W$2:W$1577)</f>
        <v>6.3365456459337874</v>
      </c>
      <c r="L857" s="240">
        <f>_xlfn.XLOOKUP($C857,'Site Level Financials - ''23 ''24'!$C$2:$C$1577,'Site Level Financials - ''23 ''24'!X$2:X$1577)</f>
        <v>6.279297591861206</v>
      </c>
      <c r="M857" s="240">
        <f>_xlfn.XLOOKUP($C857,'Site Level Financials - ''23 ''24'!$C$2:$C$1577,'Site Level Financials - ''23 ''24'!Y$2:Y$1577)</f>
        <v>5.2643667331085267</v>
      </c>
      <c r="N857" s="240">
        <f>_xlfn.XLOOKUP($C857,'Site Level Financials - ''23 ''24'!$C$2:$C$1577,'Site Level Financials - ''23 ''24'!Z$2:Z$1577)</f>
        <v>4.895328840973594</v>
      </c>
      <c r="O857" s="240">
        <f>_xlfn.XLOOKUP($C857,'Site Level Financials - ''23 ''24'!$C$2:$C$1577,'Site Level Financials - ''23 ''24'!AA$2:AA$1577)</f>
        <v>4.8503618160155808</v>
      </c>
      <c r="P857" s="240">
        <f>_xlfn.XLOOKUP($C857,'Site Level Financials - ''23 ''24'!$C$2:$C$1577,'Site Level Financials - ''23 ''24'!AB$2:AB$1577)</f>
        <v>5.026574095548356</v>
      </c>
      <c r="Q857" s="240">
        <f>_xlfn.XLOOKUP($C857,'Site Level Financials - ''23 ''24'!$C$2:$C$1577,'Site Level Financials - ''23 ''24'!AC$2:AC$1577)</f>
        <v>4.5745423575598885</v>
      </c>
      <c r="R857" s="240">
        <f>_xlfn.XLOOKUP($C857,'Site Level Financials - ''23 ''24'!$C$2:$C$1577,'Site Level Financials - ''23 ''24'!AD$2:AD$1577)</f>
        <v>3.7360326505547481</v>
      </c>
      <c r="S857" s="239">
        <f>R857*(1+_xlfn.XLOOKUP($R854,'Budget Assumption Driver'!$A$15:$A$19,'Budget Assumption Driver'!E$15:E$19))</f>
        <v>5.2857716802470867</v>
      </c>
      <c r="T857" s="240">
        <f>S857*(1+_xlfn.XLOOKUP($R854,'Budget Assumption Driver'!$A$15:$A$19,'Budget Assumption Driver'!F$15:F$19))</f>
        <v>5.7220911520149587</v>
      </c>
      <c r="U857" s="240">
        <f>T857*(1+_xlfn.XLOOKUP($R854,'Budget Assumption Driver'!$A$15:$A$19,'Budget Assumption Driver'!G$15:G$19))</f>
        <v>6.1443198761075921</v>
      </c>
      <c r="V857" s="240">
        <f>U857*(1+_xlfn.XLOOKUP($R854,'Budget Assumption Driver'!$A$15:$A$19,'Budget Assumption Driver'!H$15:H$19))</f>
        <v>6.5815591545035543</v>
      </c>
      <c r="W857" s="240">
        <f>V857*(1+_xlfn.XLOOKUP($R854,'Budget Assumption Driver'!$A$15:$A$19,'Budget Assumption Driver'!I$15:I$19))</f>
        <v>7.1704049721582903</v>
      </c>
      <c r="X857" s="240">
        <f>W857*(1+_xlfn.XLOOKUP($R854,'Budget Assumption Driver'!$A$15:$A$19,'Budget Assumption Driver'!J$15:J$19))</f>
        <v>6.8815298104780318</v>
      </c>
      <c r="Y857" s="240">
        <f>X857*(1+_xlfn.XLOOKUP($R854,'Budget Assumption Driver'!$A$15:$A$19,'Budget Assumption Driver'!K$15:K$19))</f>
        <v>6.3298645533065647</v>
      </c>
      <c r="Z857" s="240">
        <f>Y857*(1+_xlfn.XLOOKUP($R854,'Budget Assumption Driver'!$A$15:$A$19,'Budget Assumption Driver'!L$15:L$19))</f>
        <v>5.4278008162111808</v>
      </c>
      <c r="AA857" s="240">
        <f>Z857*(1+_xlfn.XLOOKUP($R854,'Budget Assumption Driver'!$A$15:$A$19,'Budget Assumption Driver'!M$15:M$19))</f>
        <v>5.4503525149188965</v>
      </c>
      <c r="AB857" s="240">
        <f>AA857*(1+_xlfn.XLOOKUP($R854,'Budget Assumption Driver'!$A$15:$A$19,'Budget Assumption Driver'!N$15:N$19))</f>
        <v>5.4772290124881993</v>
      </c>
      <c r="AC857" s="240">
        <f>AB857*(1+_xlfn.XLOOKUP($R854,'Budget Assumption Driver'!$A$15:$A$19,'Budget Assumption Driver'!O$15:O$19))</f>
        <v>4.7231776624122217</v>
      </c>
      <c r="AD857" s="291">
        <f>AC857*(1+_xlfn.XLOOKUP($R854,'Budget Assumption Driver'!$A$15:$A$19,'Budget Assumption Driver'!P$15:P$19))</f>
        <v>3.8551168966068903</v>
      </c>
      <c r="AE857" s="15"/>
      <c r="AF857" s="230">
        <f>_xlfn.XLOOKUP($C857,'Site Level Financials - ''23 ''24'!$C$2:$C$1577,'Site Level Financials - ''23 ''24'!$AF$2:$AF$1577)</f>
        <v>5.3917149646050078</v>
      </c>
      <c r="AG857" s="101">
        <f>AG858/AG856</f>
        <v>5.1232053665071353</v>
      </c>
      <c r="AH857" s="101">
        <f>AH858/AH856</f>
        <v>5.7586974755599893</v>
      </c>
    </row>
    <row r="858" spans="2:34" x14ac:dyDescent="0.2">
      <c r="B858" s="9">
        <f>G848</f>
        <v>18</v>
      </c>
      <c r="C858" s="9" t="str">
        <f t="shared" si="2444"/>
        <v>18 - Total Production</v>
      </c>
      <c r="D858" s="9" t="s">
        <v>56</v>
      </c>
      <c r="F858" s="8" t="s">
        <v>1</v>
      </c>
      <c r="G858" s="241">
        <f>_xlfn.XLOOKUP($C858,'Site Level Financials - ''23 ''24'!$C$2:$C$1577,'Site Level Financials - ''23 ''24'!S$2:S$1577)</f>
        <v>438.73341598192758</v>
      </c>
      <c r="H858" s="242">
        <f>_xlfn.XLOOKUP($C858,'Site Level Financials - ''23 ''24'!$C$2:$C$1577,'Site Level Financials - ''23 ''24'!T$2:T$1577)</f>
        <v>347.50343182208837</v>
      </c>
      <c r="I858" s="242">
        <f>_xlfn.XLOOKUP($C858,'Site Level Financials - ''23 ''24'!$C$2:$C$1577,'Site Level Financials - ''23 ''24'!U$2:U$1577)</f>
        <v>375.37569551826311</v>
      </c>
      <c r="J858" s="242">
        <f>_xlfn.XLOOKUP($C858,'Site Level Financials - ''23 ''24'!$C$2:$C$1577,'Site Level Financials - ''23 ''24'!V$2:V$1577)</f>
        <v>404.96730106597624</v>
      </c>
      <c r="K858" s="242">
        <f>_xlfn.XLOOKUP($C858,'Site Level Financials - ''23 ''24'!$C$2:$C$1577,'Site Level Financials - ''23 ''24'!W$2:W$1577)</f>
        <v>456.23128650723271</v>
      </c>
      <c r="L858" s="242">
        <f>_xlfn.XLOOKUP($C858,'Site Level Financials - ''23 ''24'!$C$2:$C$1577,'Site Level Financials - ''23 ''24'!X$2:X$1577)</f>
        <v>395.59574828725596</v>
      </c>
      <c r="M858" s="242">
        <f>_xlfn.XLOOKUP($C858,'Site Level Financials - ''23 ''24'!$C$2:$C$1577,'Site Level Financials - ''23 ''24'!Y$2:Y$1577)</f>
        <v>484.32173944598446</v>
      </c>
      <c r="N858" s="242">
        <f>_xlfn.XLOOKUP($C858,'Site Level Financials - ''23 ''24'!$C$2:$C$1577,'Site Level Financials - ''23 ''24'!Z$2:Z$1577)</f>
        <v>450.37025336957066</v>
      </c>
      <c r="O858" s="242">
        <f>_xlfn.XLOOKUP($C858,'Site Level Financials - ''23 ''24'!$C$2:$C$1577,'Site Level Financials - ''23 ''24'!AA$2:AA$1577)</f>
        <v>407.43039254530879</v>
      </c>
      <c r="P858" s="242">
        <f>_xlfn.XLOOKUP($C858,'Site Level Financials - ''23 ''24'!$C$2:$C$1577,'Site Level Financials - ''23 ''24'!AB$2:AB$1577)</f>
        <v>482.5511131726422</v>
      </c>
      <c r="Q858" s="242">
        <f>_xlfn.XLOOKUP($C858,'Site Level Financials - ''23 ''24'!$C$2:$C$1577,'Site Level Financials - ''23 ''24'!AC$2:AC$1577)</f>
        <v>402.55972746527016</v>
      </c>
      <c r="R858" s="242">
        <f>_xlfn.XLOOKUP($C858,'Site Level Financials - ''23 ''24'!$C$2:$C$1577,'Site Level Financials - ''23 ''24'!AD$2:AD$1577)</f>
        <v>410.96359156102227</v>
      </c>
      <c r="S858" s="134">
        <f t="shared" ref="S858:AD858" si="2448">S857*S856</f>
        <v>607.86374322841493</v>
      </c>
      <c r="T858" s="135">
        <f t="shared" si="2448"/>
        <v>629.4300267216455</v>
      </c>
      <c r="U858" s="135">
        <f t="shared" si="2448"/>
        <v>675.87518637183518</v>
      </c>
      <c r="V858" s="135">
        <f t="shared" si="2448"/>
        <v>723.971506995391</v>
      </c>
      <c r="W858" s="135">
        <f t="shared" si="2448"/>
        <v>860.4485966589948</v>
      </c>
      <c r="X858" s="135">
        <f t="shared" si="2448"/>
        <v>722.56063010019329</v>
      </c>
      <c r="Y858" s="135">
        <f t="shared" si="2448"/>
        <v>727.93442363025497</v>
      </c>
      <c r="Z858" s="135">
        <f t="shared" si="2448"/>
        <v>624.19709386428576</v>
      </c>
      <c r="AA858" s="135">
        <f t="shared" si="2448"/>
        <v>572.28701406648418</v>
      </c>
      <c r="AB858" s="135">
        <f t="shared" si="2448"/>
        <v>657.26748149858395</v>
      </c>
      <c r="AC858" s="135">
        <f t="shared" si="2448"/>
        <v>519.54954286534439</v>
      </c>
      <c r="AD858" s="136">
        <f t="shared" si="2448"/>
        <v>424.06285862675793</v>
      </c>
      <c r="AE858" s="15"/>
      <c r="AF858" s="113">
        <f>_xlfn.XLOOKUP($C858,'Site Level Financials - ''23 ''24'!$C$2:$C$1577,'Site Level Financials - ''23 ''24'!$AF$2:$AF$1577)</f>
        <v>4642.5435657837752</v>
      </c>
      <c r="AG858" s="95">
        <f>SUM(G858:R858)</f>
        <v>5056.6036967425425</v>
      </c>
      <c r="AH858" s="95">
        <f t="shared" ref="AH858" si="2449">SUM(S858:AD858)</f>
        <v>7745.4481046281853</v>
      </c>
    </row>
    <row r="859" spans="2:34" x14ac:dyDescent="0.2">
      <c r="B859" s="9">
        <f>G848</f>
        <v>18</v>
      </c>
      <c r="C859" s="9" t="str">
        <f t="shared" si="2444"/>
        <v>18 - Revenue as a % of Production</v>
      </c>
      <c r="D859" s="9" t="s">
        <v>56</v>
      </c>
      <c r="F859" s="7" t="s">
        <v>2</v>
      </c>
      <c r="G859" s="243">
        <f>_xlfn.XLOOKUP($C859,'Site Level Financials - ''23 ''24'!$C$2:$C$1577,'Site Level Financials - ''23 ''24'!S$2:S$1577)</f>
        <v>0.96944246721577387</v>
      </c>
      <c r="H859" s="244">
        <f>_xlfn.XLOOKUP($C859,'Site Level Financials - ''23 ''24'!$C$2:$C$1577,'Site Level Financials - ''23 ''24'!T$2:T$1577)</f>
        <v>0.96944246721577387</v>
      </c>
      <c r="I859" s="244">
        <f>_xlfn.XLOOKUP($C859,'Site Level Financials - ''23 ''24'!$C$2:$C$1577,'Site Level Financials - ''23 ''24'!U$2:U$1577)</f>
        <v>0.96944246721577387</v>
      </c>
      <c r="J859" s="244">
        <f>_xlfn.XLOOKUP($C859,'Site Level Financials - ''23 ''24'!$C$2:$C$1577,'Site Level Financials - ''23 ''24'!V$2:V$1577)</f>
        <v>0.96944246721577387</v>
      </c>
      <c r="K859" s="244">
        <f>_xlfn.XLOOKUP($C859,'Site Level Financials - ''23 ''24'!$C$2:$C$1577,'Site Level Financials - ''23 ''24'!W$2:W$1577)</f>
        <v>0.96944246721577387</v>
      </c>
      <c r="L859" s="244">
        <f>_xlfn.XLOOKUP($C859,'Site Level Financials - ''23 ''24'!$C$2:$C$1577,'Site Level Financials - ''23 ''24'!X$2:X$1577)</f>
        <v>0.96944246721577387</v>
      </c>
      <c r="M859" s="244">
        <f>_xlfn.XLOOKUP($C859,'Site Level Financials - ''23 ''24'!$C$2:$C$1577,'Site Level Financials - ''23 ''24'!Y$2:Y$1577)</f>
        <v>0.96944246721577387</v>
      </c>
      <c r="N859" s="244">
        <f>_xlfn.XLOOKUP($C859,'Site Level Financials - ''23 ''24'!$C$2:$C$1577,'Site Level Financials - ''23 ''24'!Z$2:Z$1577)</f>
        <v>0.96944246721577387</v>
      </c>
      <c r="O859" s="244">
        <f>_xlfn.XLOOKUP($C859,'Site Level Financials - ''23 ''24'!$C$2:$C$1577,'Site Level Financials - ''23 ''24'!AA$2:AA$1577)</f>
        <v>0.96944246721577387</v>
      </c>
      <c r="P859" s="244">
        <f>_xlfn.XLOOKUP($C859,'Site Level Financials - ''23 ''24'!$C$2:$C$1577,'Site Level Financials - ''23 ''24'!AB$2:AB$1577)</f>
        <v>0.96944246721577387</v>
      </c>
      <c r="Q859" s="244">
        <f>_xlfn.XLOOKUP($C859,'Site Level Financials - ''23 ''24'!$C$2:$C$1577,'Site Level Financials - ''23 ''24'!AC$2:AC$1577)</f>
        <v>0.96944246721577387</v>
      </c>
      <c r="R859" s="244">
        <f>_xlfn.XLOOKUP($C859,'Site Level Financials - ''23 ''24'!$C$2:$C$1577,'Site Level Financials - ''23 ''24'!AD$2:AD$1577)</f>
        <v>0.96944246721577387</v>
      </c>
      <c r="S859" s="292">
        <f>SUM(G888:R888)/SUM(G858:R858)</f>
        <v>0.98039859126351636</v>
      </c>
      <c r="T859" s="203">
        <f>S859</f>
        <v>0.98039859126351636</v>
      </c>
      <c r="U859" s="203">
        <f t="shared" ref="U859:AD859" si="2450">T859</f>
        <v>0.98039859126351636</v>
      </c>
      <c r="V859" s="203">
        <f t="shared" si="2450"/>
        <v>0.98039859126351636</v>
      </c>
      <c r="W859" s="203">
        <f t="shared" si="2450"/>
        <v>0.98039859126351636</v>
      </c>
      <c r="X859" s="203">
        <f t="shared" si="2450"/>
        <v>0.98039859126351636</v>
      </c>
      <c r="Y859" s="203">
        <f t="shared" si="2450"/>
        <v>0.98039859126351636</v>
      </c>
      <c r="Z859" s="203">
        <f t="shared" si="2450"/>
        <v>0.98039859126351636</v>
      </c>
      <c r="AA859" s="203">
        <f t="shared" si="2450"/>
        <v>0.98039859126351636</v>
      </c>
      <c r="AB859" s="203">
        <f t="shared" si="2450"/>
        <v>0.98039859126351636</v>
      </c>
      <c r="AC859" s="203">
        <f t="shared" si="2450"/>
        <v>0.98039859126351636</v>
      </c>
      <c r="AD859" s="204">
        <f t="shared" si="2450"/>
        <v>0.98039859126351636</v>
      </c>
      <c r="AE859" s="15"/>
      <c r="AF859" s="231">
        <f>_xlfn.XLOOKUP($C859,'Site Level Financials - ''23 ''24'!$C$2:$C$1577,'Site Level Financials - ''23 ''24'!$AF$2:$AF$1577)</f>
        <v>0.97447719467086014</v>
      </c>
      <c r="AG859" s="103">
        <f>AG860/AG858</f>
        <v>0.96944246721577376</v>
      </c>
      <c r="AH859" s="103">
        <f>AH860/AH858</f>
        <v>0.98039859126351636</v>
      </c>
    </row>
    <row r="860" spans="2:34" x14ac:dyDescent="0.2">
      <c r="B860" s="9">
        <f>G848</f>
        <v>18</v>
      </c>
      <c r="C860" s="9" t="str">
        <f t="shared" si="2444"/>
        <v>18 - Total Revenue</v>
      </c>
      <c r="D860" s="9" t="s">
        <v>56</v>
      </c>
      <c r="F860" s="8" t="s">
        <v>3</v>
      </c>
      <c r="G860" s="241">
        <f>_xlfn.XLOOKUP($C860,'Site Level Financials - ''23 ''24'!$C$2:$C$1577,'Site Level Financials - ''23 ''24'!S$2:S$1577)</f>
        <v>425.32680523952433</v>
      </c>
      <c r="H860" s="242">
        <f>_xlfn.XLOOKUP($C860,'Site Level Financials - ''23 ''24'!$C$2:$C$1577,'Site Level Financials - ''23 ''24'!T$2:T$1577)</f>
        <v>336.88458431155379</v>
      </c>
      <c r="I860" s="242">
        <f>_xlfn.XLOOKUP($C860,'Site Level Financials - ''23 ''24'!$C$2:$C$1577,'Site Level Financials - ''23 ''24'!U$2:U$1577)</f>
        <v>363.90514039606211</v>
      </c>
      <c r="J860" s="242">
        <f>_xlfn.XLOOKUP($C860,'Site Level Financials - ''23 ''24'!$C$2:$C$1577,'Site Level Financials - ''23 ''24'!V$2:V$1577)</f>
        <v>392.59249948711312</v>
      </c>
      <c r="K860" s="242">
        <f>_xlfn.XLOOKUP($C860,'Site Level Financials - ''23 ''24'!$C$2:$C$1577,'Site Level Financials - ''23 ''24'!W$2:W$1577)</f>
        <v>442.28998401259827</v>
      </c>
      <c r="L860" s="242">
        <f>_xlfn.XLOOKUP($C860,'Site Level Financials - ''23 ''24'!$C$2:$C$1577,'Site Level Financials - ''23 ''24'!X$2:X$1577)</f>
        <v>383.50731823966765</v>
      </c>
      <c r="M860" s="242">
        <f>_xlfn.XLOOKUP($C860,'Site Level Financials - ''23 ''24'!$C$2:$C$1577,'Site Level Financials - ''23 ''24'!Y$2:Y$1577)</f>
        <v>469.52206201475036</v>
      </c>
      <c r="N860" s="242">
        <f>_xlfn.XLOOKUP($C860,'Site Level Financials - ''23 ''24'!$C$2:$C$1577,'Site Level Financials - ''23 ''24'!Z$2:Z$1577)</f>
        <v>436.60804958718978</v>
      </c>
      <c r="O860" s="242">
        <f>_xlfn.XLOOKUP($C860,'Site Level Financials - ''23 ''24'!$C$2:$C$1577,'Site Level Financials - ''23 ''24'!AA$2:AA$1577)</f>
        <v>394.98032496781542</v>
      </c>
      <c r="P860" s="242">
        <f>_xlfn.XLOOKUP($C860,'Site Level Financials - ''23 ''24'!$C$2:$C$1577,'Site Level Financials - ''23 ''24'!AB$2:AB$1577)</f>
        <v>467.80554171180438</v>
      </c>
      <c r="Q860" s="242">
        <f>_xlfn.XLOOKUP($C860,'Site Level Financials - ''23 ''24'!$C$2:$C$1577,'Site Level Financials - ''23 ''24'!AC$2:AC$1577)</f>
        <v>390.25849539564103</v>
      </c>
      <c r="R860" s="242">
        <f>_xlfn.XLOOKUP($C860,'Site Level Financials - ''23 ''24'!$C$2:$C$1577,'Site Level Financials - ''23 ''24'!AD$2:AD$1577)</f>
        <v>398.40555813877302</v>
      </c>
      <c r="S860" s="134">
        <f t="shared" ref="S860:AD860" si="2451">S859*S858</f>
        <v>595.94875754130578</v>
      </c>
      <c r="T860" s="135">
        <f t="shared" si="2451"/>
        <v>617.09231149685866</v>
      </c>
      <c r="U860" s="135">
        <f t="shared" si="2451"/>
        <v>662.62708058891383</v>
      </c>
      <c r="V860" s="135">
        <f t="shared" si="2451"/>
        <v>709.78064557320636</v>
      </c>
      <c r="W860" s="135">
        <f t="shared" si="2451"/>
        <v>843.58259201914814</v>
      </c>
      <c r="X860" s="135">
        <f t="shared" si="2451"/>
        <v>708.39742385270824</v>
      </c>
      <c r="Y860" s="135">
        <f t="shared" si="2451"/>
        <v>713.66588345932166</v>
      </c>
      <c r="Z860" s="135">
        <f t="shared" si="2451"/>
        <v>611.96195149532662</v>
      </c>
      <c r="AA860" s="135">
        <f t="shared" si="2451"/>
        <v>561.06938238918531</v>
      </c>
      <c r="AB860" s="135">
        <f t="shared" si="2451"/>
        <v>644.38411294453101</v>
      </c>
      <c r="AC860" s="135">
        <f t="shared" si="2451"/>
        <v>509.36563991678753</v>
      </c>
      <c r="AD860" s="136">
        <f t="shared" si="2451"/>
        <v>415.75062920485317</v>
      </c>
      <c r="AE860" s="15"/>
      <c r="AF860" s="113">
        <f>_xlfn.XLOOKUP($C860,'Site Level Financials - ''23 ''24'!$C$2:$C$1577,'Site Level Financials - ''23 ''24'!$AF$2:$AF$1577)</f>
        <v>4524.0528301222248</v>
      </c>
      <c r="AG860" s="95">
        <f>SUM(G860:R860)</f>
        <v>4902.0863635024925</v>
      </c>
      <c r="AH860" s="95">
        <f t="shared" ref="AH860" si="2452">SUM(S860:AD860)</f>
        <v>7593.6264104821457</v>
      </c>
    </row>
    <row r="861" spans="2:34" x14ac:dyDescent="0.2">
      <c r="B861" s="9">
        <f>G848</f>
        <v>18</v>
      </c>
      <c r="C861" s="9" t="str">
        <f t="shared" si="2444"/>
        <v>18 - % YoY Revenue Growth</v>
      </c>
      <c r="D861" s="9" t="s">
        <v>56</v>
      </c>
      <c r="F861" s="16" t="s">
        <v>174</v>
      </c>
      <c r="G861" s="245">
        <f>_xlfn.XLOOKUP($C861,'Site Level Financials - ''23 ''24'!$C$2:$C$1577,'Site Level Financials - ''23 ''24'!S$2:S$1577)</f>
        <v>0.39815707119846544</v>
      </c>
      <c r="H861" s="246">
        <f>_xlfn.XLOOKUP($C861,'Site Level Financials - ''23 ''24'!$C$2:$C$1577,'Site Level Financials - ''23 ''24'!T$2:T$1577)</f>
        <v>6.7181955361931722E-2</v>
      </c>
      <c r="I861" s="246">
        <f>_xlfn.XLOOKUP($C861,'Site Level Financials - ''23 ''24'!$C$2:$C$1577,'Site Level Financials - ''23 ''24'!U$2:U$1577)</f>
        <v>-8.0141615959745005E-2</v>
      </c>
      <c r="J861" s="246">
        <f>_xlfn.XLOOKUP($C861,'Site Level Financials - ''23 ''24'!$C$2:$C$1577,'Site Level Financials - ''23 ''24'!V$2:V$1577)</f>
        <v>4.2517516869262861E-2</v>
      </c>
      <c r="K861" s="246">
        <f>_xlfn.XLOOKUP($C861,'Site Level Financials - ''23 ''24'!$C$2:$C$1577,'Site Level Financials - ''23 ''24'!W$2:W$1577)</f>
        <v>0.4153217952590218</v>
      </c>
      <c r="L861" s="246">
        <f>_xlfn.XLOOKUP($C861,'Site Level Financials - ''23 ''24'!$C$2:$C$1577,'Site Level Financials - ''23 ''24'!X$2:X$1577)</f>
        <v>0.26920203368825035</v>
      </c>
      <c r="M861" s="246">
        <f>_xlfn.XLOOKUP($C861,'Site Level Financials - ''23 ''24'!$C$2:$C$1577,'Site Level Financials - ''23 ''24'!Y$2:Y$1577)</f>
        <v>0.21934669356340808</v>
      </c>
      <c r="N861" s="246">
        <f>_xlfn.XLOOKUP($C861,'Site Level Financials - ''23 ''24'!$C$2:$C$1577,'Site Level Financials - ''23 ''24'!Z$2:Z$1577)</f>
        <v>-8.8389839129404457E-2</v>
      </c>
      <c r="O861" s="246">
        <f>_xlfn.XLOOKUP($C861,'Site Level Financials - ''23 ''24'!$C$2:$C$1577,'Site Level Financials - ''23 ''24'!AA$2:AA$1577)</f>
        <v>-5.7422941028618668E-2</v>
      </c>
      <c r="P861" s="246">
        <f>_xlfn.XLOOKUP($C861,'Site Level Financials - ''23 ''24'!$C$2:$C$1577,'Site Level Financials - ''23 ''24'!AB$2:AB$1577)</f>
        <v>8.9483135575616046E-2</v>
      </c>
      <c r="Q861" s="246">
        <f>_xlfn.XLOOKUP($C861,'Site Level Financials - ''23 ''24'!$C$2:$C$1577,'Site Level Financials - ''23 ''24'!AC$2:AC$1577)</f>
        <v>-6.2961573191946285E-2</v>
      </c>
      <c r="R861" s="246">
        <f>_xlfn.XLOOKUP($C861,'Site Level Financials - ''23 ''24'!$C$2:$C$1577,'Site Level Financials - ''23 ''24'!AD$2:AD$1577)</f>
        <v>2.5746929667543883E-2</v>
      </c>
      <c r="S861" s="148">
        <f>S860/G860-1</f>
        <v>0.40115494767769233</v>
      </c>
      <c r="T861" s="149">
        <f t="shared" ref="T861" si="2453">T860/H860-1</f>
        <v>0.83176179687155494</v>
      </c>
      <c r="U861" s="149">
        <f t="shared" ref="U861" si="2454">U860/I860-1</f>
        <v>0.82087859453629264</v>
      </c>
      <c r="V861" s="149">
        <f t="shared" ref="V861" si="2455">V860/J860-1</f>
        <v>0.80793226182484656</v>
      </c>
      <c r="W861" s="149">
        <f t="shared" ref="W861" si="2456">W860/K860-1</f>
        <v>0.90730656924647746</v>
      </c>
      <c r="X861" s="149">
        <f t="shared" ref="X861" si="2457">X860/L860-1</f>
        <v>0.84715490464253662</v>
      </c>
      <c r="Y861" s="149">
        <f t="shared" ref="Y861" si="2458">Y860/M860-1</f>
        <v>0.51998370512545011</v>
      </c>
      <c r="Z861" s="149">
        <f t="shared" ref="Z861" si="2459">Z860/N860-1</f>
        <v>0.40162773470148538</v>
      </c>
      <c r="AA861" s="149">
        <f t="shared" ref="AA861" si="2460">AA860/O860-1</f>
        <v>0.42049957155436402</v>
      </c>
      <c r="AB861" s="149">
        <f t="shared" ref="AB861" si="2461">AB860/P860-1</f>
        <v>0.37746147808892228</v>
      </c>
      <c r="AC861" s="149">
        <f t="shared" ref="AC861" si="2462">AC860/Q860-1</f>
        <v>0.30520064502477151</v>
      </c>
      <c r="AD861" s="150">
        <f t="shared" ref="AD861" si="2463">AD860/R860-1</f>
        <v>4.3536217584691617E-2</v>
      </c>
      <c r="AE861" s="15"/>
      <c r="AF861" s="11"/>
      <c r="AG861" s="97">
        <f>AG860/AF860-1</f>
        <v>8.3560813185741267E-2</v>
      </c>
      <c r="AH861" s="97">
        <f>AH860/AG860-1</f>
        <v>0.54906010367727887</v>
      </c>
    </row>
    <row r="862" spans="2:34" ht="6" customHeight="1" x14ac:dyDescent="0.2">
      <c r="B862" s="9">
        <f>G848</f>
        <v>18</v>
      </c>
      <c r="C862" s="9" t="str">
        <f t="shared" si="2444"/>
        <v xml:space="preserve">18 - </v>
      </c>
      <c r="D862" s="9" t="s">
        <v>56</v>
      </c>
      <c r="G862" s="80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80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81"/>
      <c r="AE862" s="15"/>
      <c r="AF862" s="11"/>
      <c r="AG862" s="15"/>
      <c r="AH862" s="15"/>
    </row>
    <row r="863" spans="2:34" x14ac:dyDescent="0.2">
      <c r="B863" s="9">
        <f>G848</f>
        <v>18</v>
      </c>
      <c r="C863" s="9" t="str">
        <f t="shared" si="2444"/>
        <v>18 - Doctor Compensation</v>
      </c>
      <c r="D863" s="9" t="s">
        <v>56</v>
      </c>
      <c r="F863" t="s">
        <v>4</v>
      </c>
      <c r="G863" s="178">
        <f>_xlfn.XLOOKUP($C863,'Site Level Financials - ''23 ''24'!$C$2:$C$1577,'Site Level Financials - ''23 ''24'!S$2:S$1577)</f>
        <v>-115.76172025221966</v>
      </c>
      <c r="H863" s="179">
        <f>_xlfn.XLOOKUP($C863,'Site Level Financials - ''23 ''24'!$C$2:$C$1577,'Site Level Financials - ''23 ''24'!T$2:T$1577)</f>
        <v>-123.21998408244382</v>
      </c>
      <c r="I863" s="179">
        <f>_xlfn.XLOOKUP($C863,'Site Level Financials - ''23 ''24'!$C$2:$C$1577,'Site Level Financials - ''23 ''24'!U$2:U$1577)</f>
        <v>-130.58815495607072</v>
      </c>
      <c r="J863" s="179">
        <f>_xlfn.XLOOKUP($C863,'Site Level Financials - ''23 ''24'!$C$2:$C$1577,'Site Level Financials - ''23 ''24'!V$2:V$1577)</f>
        <v>-96.336633586676655</v>
      </c>
      <c r="K863" s="179">
        <f>_xlfn.XLOOKUP($C863,'Site Level Financials - ''23 ''24'!$C$2:$C$1577,'Site Level Financials - ''23 ''24'!W$2:W$1577)</f>
        <v>-79.430140431821926</v>
      </c>
      <c r="L863" s="179">
        <f>_xlfn.XLOOKUP($C863,'Site Level Financials - ''23 ''24'!$C$2:$C$1577,'Site Level Financials - ''23 ''24'!X$2:X$1577)</f>
        <v>-68.67005788195425</v>
      </c>
      <c r="M863" s="179">
        <f>_xlfn.XLOOKUP($C863,'Site Level Financials - ''23 ''24'!$C$2:$C$1577,'Site Level Financials - ''23 ''24'!Y$2:Y$1577)</f>
        <v>-85.36762894317819</v>
      </c>
      <c r="N863" s="179">
        <f>_xlfn.XLOOKUP($C863,'Site Level Financials - ''23 ''24'!$C$2:$C$1577,'Site Level Financials - ''23 ''24'!Z$2:Z$1577)</f>
        <v>-79.874543038279867</v>
      </c>
      <c r="O863" s="179">
        <f>_xlfn.XLOOKUP($C863,'Site Level Financials - ''23 ''24'!$C$2:$C$1577,'Site Level Financials - ''23 ''24'!AA$2:AA$1577)</f>
        <v>-110.82549246423621</v>
      </c>
      <c r="P863" s="179">
        <f>_xlfn.XLOOKUP($C863,'Site Level Financials - ''23 ''24'!$C$2:$C$1577,'Site Level Financials - ''23 ''24'!AB$2:AB$1577)</f>
        <v>-129.37194608339124</v>
      </c>
      <c r="Q863" s="179">
        <f>_xlfn.XLOOKUP($C863,'Site Level Financials - ''23 ''24'!$C$2:$C$1577,'Site Level Financials - ''23 ''24'!AC$2:AC$1577)</f>
        <v>-107.762809589048</v>
      </c>
      <c r="R863" s="179">
        <f>_xlfn.XLOOKUP($C863,'Site Level Financials - ''23 ''24'!$C$2:$C$1577,'Site Level Financials - ''23 ''24'!AD$2:AD$1577)</f>
        <v>-86.769988329828408</v>
      </c>
      <c r="S863" s="155">
        <f>S864*S860</f>
        <v>-162.20010708307851</v>
      </c>
      <c r="T863" s="154">
        <f t="shared" ref="T863" si="2464">T864*T860</f>
        <v>-225.70965945334169</v>
      </c>
      <c r="U863" s="154">
        <f t="shared" ref="U863" si="2465">U864*U860</f>
        <v>-237.78517605949767</v>
      </c>
      <c r="V863" s="154">
        <f t="shared" ref="V863" si="2466">V864*V860</f>
        <v>-174.1701078569518</v>
      </c>
      <c r="W863" s="154">
        <f t="shared" ref="W863" si="2467">W864*W860</f>
        <v>-151.49762864178419</v>
      </c>
      <c r="X863" s="154">
        <f t="shared" ref="X863" si="2468">X864*X860</f>
        <v>-126.84423421873868</v>
      </c>
      <c r="Y863" s="154">
        <f t="shared" ref="Y863" si="2469">Y864*Y860</f>
        <v>-129.75740493882662</v>
      </c>
      <c r="Z863" s="154">
        <f t="shared" ref="Z863" si="2470">Z864*Z860</f>
        <v>-111.95437481906052</v>
      </c>
      <c r="AA863" s="154">
        <f t="shared" ref="AA863" si="2471">AA864*AA860</f>
        <v>-157.42756456274893</v>
      </c>
      <c r="AB863" s="154">
        <f t="shared" ref="AB863" si="2472">AB864*AB860</f>
        <v>-178.20487207526844</v>
      </c>
      <c r="AC863" s="154">
        <f t="shared" ref="AC863" si="2473">AC864*AC860</f>
        <v>-140.6520885853071</v>
      </c>
      <c r="AD863" s="156">
        <f t="shared" ref="AD863" si="2474">AD864*AD860</f>
        <v>-90.547625421576981</v>
      </c>
      <c r="AE863" s="15"/>
      <c r="AF863" s="115">
        <f>_xlfn.XLOOKUP($C863,'Site Level Financials - ''23 ''24'!$C$2:$C$1577,'Site Level Financials - ''23 ''24'!$AF$2:$AF$1577)</f>
        <v>-1246.9061780420241</v>
      </c>
      <c r="AG863" s="93">
        <f>SUM(G863:R863)</f>
        <v>-1213.9790996391489</v>
      </c>
      <c r="AH863" s="93">
        <f t="shared" ref="AH863" si="2475">SUM(S863:AD863)</f>
        <v>-1886.7508437161814</v>
      </c>
    </row>
    <row r="864" spans="2:34" x14ac:dyDescent="0.2">
      <c r="B864" s="9">
        <f>G848</f>
        <v>18</v>
      </c>
      <c r="C864" s="9" t="str">
        <f t="shared" si="2444"/>
        <v>18 - % of Revenue - Doctor Compensation</v>
      </c>
      <c r="D864" s="9" t="s">
        <v>56</v>
      </c>
      <c r="F864" s="16" t="str">
        <f>"% of Revenue - "&amp;F863</f>
        <v>% of Revenue - Doctor Compensation</v>
      </c>
      <c r="G864" s="148">
        <f>G863/G860</f>
        <v>-0.27217123121837578</v>
      </c>
      <c r="H864" s="149">
        <f t="shared" ref="H864:R864" si="2476">H863/H860</f>
        <v>-0.36576320146631852</v>
      </c>
      <c r="I864" s="149">
        <f t="shared" si="2476"/>
        <v>-0.35885218552819281</v>
      </c>
      <c r="J864" s="149">
        <f t="shared" si="2476"/>
        <v>-0.24538582299084119</v>
      </c>
      <c r="K864" s="149">
        <f t="shared" si="2476"/>
        <v>-0.17958837708963227</v>
      </c>
      <c r="L864" s="149">
        <f t="shared" si="2476"/>
        <v>-0.17905801171449834</v>
      </c>
      <c r="M864" s="149">
        <f t="shared" si="2476"/>
        <v>-0.18181814199924926</v>
      </c>
      <c r="N864" s="149">
        <f t="shared" si="2476"/>
        <v>-0.18294335872598033</v>
      </c>
      <c r="O864" s="149">
        <f t="shared" si="2476"/>
        <v>-0.28058484298747466</v>
      </c>
      <c r="P864" s="149">
        <f t="shared" si="2476"/>
        <v>-0.27655069157579998</v>
      </c>
      <c r="Q864" s="149">
        <f t="shared" si="2476"/>
        <v>-0.27613187377202103</v>
      </c>
      <c r="R864" s="149">
        <f t="shared" si="2476"/>
        <v>-0.21779311698157736</v>
      </c>
      <c r="S864" s="245">
        <f>_xlfn.XLOOKUP($F864,'Budget Assumption Driver'!$A$33:$A$39,'Budget Assumption Driver'!E$33:E$39)+G864</f>
        <v>-0.27217123121837578</v>
      </c>
      <c r="T864" s="246">
        <f>_xlfn.XLOOKUP($F864,'Budget Assumption Driver'!$A$33:$A$39,'Budget Assumption Driver'!F$33:F$39)+H864</f>
        <v>-0.36576320146631852</v>
      </c>
      <c r="U864" s="246">
        <f>_xlfn.XLOOKUP($F864,'Budget Assumption Driver'!$A$33:$A$39,'Budget Assumption Driver'!G$33:G$39)+I864</f>
        <v>-0.35885218552819281</v>
      </c>
      <c r="V864" s="246">
        <f>_xlfn.XLOOKUP($F864,'Budget Assumption Driver'!$A$33:$A$39,'Budget Assumption Driver'!H$33:H$39)+J864</f>
        <v>-0.24538582299084119</v>
      </c>
      <c r="W864" s="246">
        <f>_xlfn.XLOOKUP($F864,'Budget Assumption Driver'!$A$33:$A$39,'Budget Assumption Driver'!I$33:I$39)+K864</f>
        <v>-0.17958837708963227</v>
      </c>
      <c r="X864" s="246">
        <f>_xlfn.XLOOKUP($F864,'Budget Assumption Driver'!$A$33:$A$39,'Budget Assumption Driver'!J$33:J$39)+L864</f>
        <v>-0.17905801171449834</v>
      </c>
      <c r="Y864" s="246">
        <f>_xlfn.XLOOKUP($F864,'Budget Assumption Driver'!$A$33:$A$39,'Budget Assumption Driver'!K$33:K$39)+M864</f>
        <v>-0.18181814199924926</v>
      </c>
      <c r="Z864" s="246">
        <f>_xlfn.XLOOKUP($F864,'Budget Assumption Driver'!$A$33:$A$39,'Budget Assumption Driver'!L$33:L$39)+N864</f>
        <v>-0.18294335872598033</v>
      </c>
      <c r="AA864" s="246">
        <f>_xlfn.XLOOKUP($F864,'Budget Assumption Driver'!$A$33:$A$39,'Budget Assumption Driver'!M$33:M$39)+O864</f>
        <v>-0.28058484298747466</v>
      </c>
      <c r="AB864" s="246">
        <f>_xlfn.XLOOKUP($F864,'Budget Assumption Driver'!$A$33:$A$39,'Budget Assumption Driver'!N$33:N$39)+P864</f>
        <v>-0.27655069157579998</v>
      </c>
      <c r="AC864" s="246">
        <f>_xlfn.XLOOKUP($F864,'Budget Assumption Driver'!$A$33:$A$39,'Budget Assumption Driver'!O$33:O$39)+Q864</f>
        <v>-0.27613187377202103</v>
      </c>
      <c r="AD864" s="296">
        <f>_xlfn.XLOOKUP($F864,'Budget Assumption Driver'!$A$33:$A$39,'Budget Assumption Driver'!P$33:P$39)+R864</f>
        <v>-0.21779311698157736</v>
      </c>
      <c r="AE864" s="15"/>
      <c r="AF864" s="232">
        <f>_xlfn.XLOOKUP($C864,'Site Level Financials - ''23 ''24'!$C$2:$C$1577,'Site Level Financials - ''23 ''24'!$AF$2:$AF$1577)</f>
        <v>-0.27561706833744842</v>
      </c>
      <c r="AG864" s="97">
        <f t="shared" ref="AG864:AH864" si="2477">AG863/AG860</f>
        <v>-0.24764539210846803</v>
      </c>
      <c r="AH864" s="97">
        <f t="shared" si="2477"/>
        <v>-0.24846506026576901</v>
      </c>
    </row>
    <row r="865" spans="2:34" ht="3" customHeight="1" x14ac:dyDescent="0.2">
      <c r="B865" s="9">
        <f>G848</f>
        <v>18</v>
      </c>
      <c r="C865" s="9" t="str">
        <f t="shared" si="2444"/>
        <v xml:space="preserve">18 - </v>
      </c>
      <c r="D865" s="9" t="s">
        <v>56</v>
      </c>
      <c r="F865" s="16"/>
      <c r="G865" s="84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4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6"/>
      <c r="AE865" s="15"/>
      <c r="AF865" s="36"/>
      <c r="AG865" s="38"/>
      <c r="AH865" s="38"/>
    </row>
    <row r="866" spans="2:34" x14ac:dyDescent="0.2">
      <c r="B866" s="9">
        <f>G848</f>
        <v>18</v>
      </c>
      <c r="C866" s="9" t="str">
        <f t="shared" si="2444"/>
        <v>18 - Administrative Staff Compensation</v>
      </c>
      <c r="D866" s="9" t="s">
        <v>56</v>
      </c>
      <c r="F866" t="s">
        <v>5</v>
      </c>
      <c r="G866" s="178">
        <f>_xlfn.XLOOKUP($C866,'Site Level Financials - ''23 ''24'!$C$2:$C$1577,'Site Level Financials - ''23 ''24'!S$2:S$1577)</f>
        <v>-79.542954655318368</v>
      </c>
      <c r="H866" s="179">
        <f>_xlfn.XLOOKUP($C866,'Site Level Financials - ''23 ''24'!$C$2:$C$1577,'Site Level Financials - ''23 ''24'!T$2:T$1577)</f>
        <v>-82.80642858562166</v>
      </c>
      <c r="I866" s="179">
        <f>_xlfn.XLOOKUP($C866,'Site Level Financials - ''23 ''24'!$C$2:$C$1577,'Site Level Financials - ''23 ''24'!U$2:U$1577)</f>
        <v>-92.560298014366865</v>
      </c>
      <c r="J866" s="179">
        <f>_xlfn.XLOOKUP($C866,'Site Level Financials - ''23 ''24'!$C$2:$C$1577,'Site Level Financials - ''23 ''24'!V$2:V$1577)</f>
        <v>-97.872145871819839</v>
      </c>
      <c r="K866" s="179">
        <f>_xlfn.XLOOKUP($C866,'Site Level Financials - ''23 ''24'!$C$2:$C$1577,'Site Level Financials - ''23 ''24'!W$2:W$1577)</f>
        <v>-101.4624802158131</v>
      </c>
      <c r="L866" s="179">
        <f>_xlfn.XLOOKUP($C866,'Site Level Financials - ''23 ''24'!$C$2:$C$1577,'Site Level Financials - ''23 ''24'!X$2:X$1577)</f>
        <v>-90.849567519908391</v>
      </c>
      <c r="M866" s="179">
        <f>_xlfn.XLOOKUP($C866,'Site Level Financials - ''23 ''24'!$C$2:$C$1577,'Site Level Financials - ''23 ''24'!Y$2:Y$1577)</f>
        <v>-90.835742941067096</v>
      </c>
      <c r="N866" s="179">
        <f>_xlfn.XLOOKUP($C866,'Site Level Financials - ''23 ''24'!$C$2:$C$1577,'Site Level Financials - ''23 ''24'!Z$2:Z$1577)</f>
        <v>-87.318197170798896</v>
      </c>
      <c r="O866" s="179">
        <f>_xlfn.XLOOKUP($C866,'Site Level Financials - ''23 ''24'!$C$2:$C$1577,'Site Level Financials - ''23 ''24'!AA$2:AA$1577)</f>
        <v>-80.216608728475322</v>
      </c>
      <c r="P866" s="179">
        <f>_xlfn.XLOOKUP($C866,'Site Level Financials - ''23 ''24'!$C$2:$C$1577,'Site Level Financials - ''23 ''24'!AB$2:AB$1577)</f>
        <v>-91.597352400869354</v>
      </c>
      <c r="Q866" s="179">
        <f>_xlfn.XLOOKUP($C866,'Site Level Financials - ''23 ''24'!$C$2:$C$1577,'Site Level Financials - ''23 ''24'!AC$2:AC$1577)</f>
        <v>-75.498347070391958</v>
      </c>
      <c r="R866" s="179">
        <f>_xlfn.XLOOKUP($C866,'Site Level Financials - ''23 ''24'!$C$2:$C$1577,'Site Level Financials - ''23 ''24'!AD$2:AD$1577)</f>
        <v>-59.835920044195646</v>
      </c>
      <c r="S866" s="155">
        <f>S867*S860</f>
        <v>-111.45200446820166</v>
      </c>
      <c r="T866" s="154">
        <f t="shared" ref="T866" si="2478">T867*T860</f>
        <v>-151.68165241851443</v>
      </c>
      <c r="U866" s="154">
        <f t="shared" ref="U866" si="2479">U867*U860</f>
        <v>-168.54106535826074</v>
      </c>
      <c r="V866" s="154">
        <f t="shared" ref="V866" si="2480">V867*V860</f>
        <v>-176.94621005569056</v>
      </c>
      <c r="W866" s="154">
        <f t="shared" ref="W866" si="2481">W867*W860</f>
        <v>-193.52005504766106</v>
      </c>
      <c r="X866" s="154">
        <f t="shared" ref="X866" si="2482">X867*X860</f>
        <v>-167.81322422905208</v>
      </c>
      <c r="Y866" s="154">
        <f t="shared" ref="Y866" si="2483">Y867*Y860</f>
        <v>-138.06884911338614</v>
      </c>
      <c r="Z866" s="154">
        <f t="shared" ref="Z866" si="2484">Z867*Z860</f>
        <v>-122.38760689872451</v>
      </c>
      <c r="AA866" s="154">
        <f t="shared" ref="AA866" si="2485">AA867*AA860</f>
        <v>-113.94765833034326</v>
      </c>
      <c r="AB866" s="154">
        <f t="shared" ref="AB866" si="2486">AB867*AB860</f>
        <v>-126.17182442713337</v>
      </c>
      <c r="AC866" s="154">
        <f t="shared" ref="AC866" si="2487">AC867*AC860</f>
        <v>-98.540491294579653</v>
      </c>
      <c r="AD866" s="156">
        <f t="shared" ref="AD866" si="2488">AD867*AD860</f>
        <v>-62.440949678619958</v>
      </c>
      <c r="AE866" s="15"/>
      <c r="AF866" s="115">
        <f>_xlfn.XLOOKUP($C866,'Site Level Financials - ''23 ''24'!$C$2:$C$1577,'Site Level Financials - ''23 ''24'!$AF$2:$AF$1577)</f>
        <v>-935.6351706110031</v>
      </c>
      <c r="AG866" s="93">
        <f>SUM(G866:R866)</f>
        <v>-1030.3960432186466</v>
      </c>
      <c r="AH866" s="93">
        <f t="shared" ref="AH866" si="2489">SUM(S866:AD866)</f>
        <v>-1631.5115913201673</v>
      </c>
    </row>
    <row r="867" spans="2:34" x14ac:dyDescent="0.2">
      <c r="B867" s="9">
        <f>G848</f>
        <v>18</v>
      </c>
      <c r="C867" s="9" t="str">
        <f t="shared" si="2444"/>
        <v>18 - % of Revenue - Administrative Staff Compensation</v>
      </c>
      <c r="D867" s="9" t="s">
        <v>56</v>
      </c>
      <c r="F867" s="16" t="str">
        <f>"% of Revenue - "&amp;F866</f>
        <v>% of Revenue - Administrative Staff Compensation</v>
      </c>
      <c r="G867" s="148">
        <f>G866/G860</f>
        <v>-0.18701608663136918</v>
      </c>
      <c r="H867" s="149">
        <f t="shared" ref="H867:R867" si="2490">H866/H860</f>
        <v>-0.24580058703143731</v>
      </c>
      <c r="I867" s="149">
        <f t="shared" si="2490"/>
        <v>-0.25435281819220074</v>
      </c>
      <c r="J867" s="149">
        <f t="shared" si="2490"/>
        <v>-0.24929703445603524</v>
      </c>
      <c r="K867" s="149">
        <f t="shared" si="2490"/>
        <v>-0.22940261792797692</v>
      </c>
      <c r="L867" s="149">
        <f t="shared" si="2490"/>
        <v>-0.23689135304357659</v>
      </c>
      <c r="M867" s="149">
        <f t="shared" si="2490"/>
        <v>-0.1934642699243671</v>
      </c>
      <c r="N867" s="149">
        <f t="shared" si="2490"/>
        <v>-0.19999218350041351</v>
      </c>
      <c r="O867" s="149">
        <f t="shared" si="2490"/>
        <v>-0.20309013805943801</v>
      </c>
      <c r="P867" s="149">
        <f t="shared" si="2490"/>
        <v>-0.19580219606996166</v>
      </c>
      <c r="Q867" s="149">
        <f t="shared" si="2490"/>
        <v>-0.19345728013903277</v>
      </c>
      <c r="R867" s="149">
        <f t="shared" si="2490"/>
        <v>-0.15018846705786554</v>
      </c>
      <c r="S867" s="245">
        <f>_xlfn.XLOOKUP($F867,'Budget Assumption Driver'!$A$33:$A$39,'Budget Assumption Driver'!E$33:E$39)+G867</f>
        <v>-0.18701608663136918</v>
      </c>
      <c r="T867" s="246">
        <f>_xlfn.XLOOKUP($F867,'Budget Assumption Driver'!$A$33:$A$39,'Budget Assumption Driver'!F$33:F$39)+H867</f>
        <v>-0.24580058703143731</v>
      </c>
      <c r="U867" s="246">
        <f>_xlfn.XLOOKUP($F867,'Budget Assumption Driver'!$A$33:$A$39,'Budget Assumption Driver'!G$33:G$39)+I867</f>
        <v>-0.25435281819220074</v>
      </c>
      <c r="V867" s="246">
        <f>_xlfn.XLOOKUP($F867,'Budget Assumption Driver'!$A$33:$A$39,'Budget Assumption Driver'!H$33:H$39)+J867</f>
        <v>-0.24929703445603524</v>
      </c>
      <c r="W867" s="246">
        <f>_xlfn.XLOOKUP($F867,'Budget Assumption Driver'!$A$33:$A$39,'Budget Assumption Driver'!I$33:I$39)+K867</f>
        <v>-0.22940261792797692</v>
      </c>
      <c r="X867" s="246">
        <f>_xlfn.XLOOKUP($F867,'Budget Assumption Driver'!$A$33:$A$39,'Budget Assumption Driver'!J$33:J$39)+L867</f>
        <v>-0.23689135304357659</v>
      </c>
      <c r="Y867" s="246">
        <f>_xlfn.XLOOKUP($F867,'Budget Assumption Driver'!$A$33:$A$39,'Budget Assumption Driver'!K$33:K$39)+M867</f>
        <v>-0.1934642699243671</v>
      </c>
      <c r="Z867" s="246">
        <f>_xlfn.XLOOKUP($F867,'Budget Assumption Driver'!$A$33:$A$39,'Budget Assumption Driver'!L$33:L$39)+N867</f>
        <v>-0.19999218350041351</v>
      </c>
      <c r="AA867" s="246">
        <f>_xlfn.XLOOKUP($F867,'Budget Assumption Driver'!$A$33:$A$39,'Budget Assumption Driver'!M$33:M$39)+O867</f>
        <v>-0.20309013805943801</v>
      </c>
      <c r="AB867" s="246">
        <f>_xlfn.XLOOKUP($F867,'Budget Assumption Driver'!$A$33:$A$39,'Budget Assumption Driver'!N$33:N$39)+P867</f>
        <v>-0.19580219606996166</v>
      </c>
      <c r="AC867" s="246">
        <f>_xlfn.XLOOKUP($F867,'Budget Assumption Driver'!$A$33:$A$39,'Budget Assumption Driver'!O$33:O$39)+Q867</f>
        <v>-0.19345728013903277</v>
      </c>
      <c r="AD867" s="296">
        <f>_xlfn.XLOOKUP($F867,'Budget Assumption Driver'!$A$33:$A$39,'Budget Assumption Driver'!P$33:P$39)+R867</f>
        <v>-0.15018846705786554</v>
      </c>
      <c r="AE867" s="15"/>
      <c r="AF867" s="232">
        <f>_xlfn.XLOOKUP($C867,'Site Level Financials - ''23 ''24'!$C$2:$C$1577,'Site Level Financials - ''23 ''24'!$AF$2:$AF$1577)</f>
        <v>-0.20681349350770631</v>
      </c>
      <c r="AG867" s="97">
        <f t="shared" ref="AG867:AH867" si="2491">AG866/AG860</f>
        <v>-0.21019540799816483</v>
      </c>
      <c r="AH867" s="97">
        <f t="shared" si="2491"/>
        <v>-0.21485275981816138</v>
      </c>
    </row>
    <row r="868" spans="2:34" ht="3" customHeight="1" x14ac:dyDescent="0.2">
      <c r="B868" s="9">
        <f>G848</f>
        <v>18</v>
      </c>
      <c r="C868" s="9" t="str">
        <f t="shared" si="2444"/>
        <v xml:space="preserve">18 - </v>
      </c>
      <c r="D868" s="9" t="s">
        <v>56</v>
      </c>
      <c r="F868" s="16"/>
      <c r="G868" s="84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4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6"/>
      <c r="AE868" s="15"/>
      <c r="AF868" s="36"/>
      <c r="AG868" s="38"/>
      <c r="AH868" s="38"/>
    </row>
    <row r="869" spans="2:34" x14ac:dyDescent="0.2">
      <c r="B869" s="9">
        <f>G848</f>
        <v>18</v>
      </c>
      <c r="C869" s="9" t="str">
        <f t="shared" si="2444"/>
        <v>18 - Office Supplies</v>
      </c>
      <c r="D869" s="9" t="s">
        <v>56</v>
      </c>
      <c r="F869" t="s">
        <v>6</v>
      </c>
      <c r="G869" s="178">
        <f>_xlfn.XLOOKUP($C869,'Site Level Financials - ''23 ''24'!$C$2:$C$1577,'Site Level Financials - ''23 ''24'!S$2:S$1577)</f>
        <v>-20.450288519690599</v>
      </c>
      <c r="H869" s="179">
        <f>_xlfn.XLOOKUP($C869,'Site Level Financials - ''23 ''24'!$C$2:$C$1577,'Site Level Financials - ''23 ''24'!T$2:T$1577)</f>
        <v>-21.102937782090102</v>
      </c>
      <c r="I869" s="179">
        <f>_xlfn.XLOOKUP($C869,'Site Level Financials - ''23 ''24'!$C$2:$C$1577,'Site Level Financials - ''23 ''24'!U$2:U$1577)</f>
        <v>-23.709580976372948</v>
      </c>
      <c r="J869" s="179">
        <f>_xlfn.XLOOKUP($C869,'Site Level Financials - ''23 ''24'!$C$2:$C$1577,'Site Level Financials - ''23 ''24'!V$2:V$1577)</f>
        <v>-25.202787450668421</v>
      </c>
      <c r="K869" s="179">
        <f>_xlfn.XLOOKUP($C869,'Site Level Financials - ''23 ''24'!$C$2:$C$1577,'Site Level Financials - ''23 ''24'!W$2:W$1577)</f>
        <v>-32.50589040441627</v>
      </c>
      <c r="L869" s="179">
        <f>_xlfn.XLOOKUP($C869,'Site Level Financials - ''23 ''24'!$C$2:$C$1577,'Site Level Financials - ''23 ''24'!X$2:X$1577)</f>
        <v>-27.240547572901392</v>
      </c>
      <c r="M869" s="179">
        <f>_xlfn.XLOOKUP($C869,'Site Level Financials - ''23 ''24'!$C$2:$C$1577,'Site Level Financials - ''23 ''24'!Y$2:Y$1577)</f>
        <v>-20.983944403896515</v>
      </c>
      <c r="N869" s="179">
        <f>_xlfn.XLOOKUP($C869,'Site Level Financials - ''23 ''24'!$C$2:$C$1577,'Site Level Financials - ''23 ''24'!Z$2:Z$1577)</f>
        <v>-19.715822783611451</v>
      </c>
      <c r="O869" s="179">
        <f>_xlfn.XLOOKUP($C869,'Site Level Financials - ''23 ''24'!$C$2:$C$1577,'Site Level Financials - ''23 ''24'!AA$2:AA$1577)</f>
        <v>-16.412798823687169</v>
      </c>
      <c r="P869" s="179">
        <f>_xlfn.XLOOKUP($C869,'Site Level Financials - ''23 ''24'!$C$2:$C$1577,'Site Level Financials - ''23 ''24'!AB$2:AB$1577)</f>
        <v>-20.173642177049363</v>
      </c>
      <c r="Q869" s="179">
        <f>_xlfn.XLOOKUP($C869,'Site Level Financials - ''23 ''24'!$C$2:$C$1577,'Site Level Financials - ''23 ''24'!AC$2:AC$1577)</f>
        <v>-15.57644147534573</v>
      </c>
      <c r="R869" s="179">
        <f>_xlfn.XLOOKUP($C869,'Site Level Financials - ''23 ''24'!$C$2:$C$1577,'Site Level Financials - ''23 ''24'!AD$2:AD$1577)</f>
        <v>-12.598793532580418</v>
      </c>
      <c r="S869" s="155">
        <f>S870*S860</f>
        <v>-28.654022940800797</v>
      </c>
      <c r="T869" s="154">
        <f t="shared" ref="T869" si="2492">T870*T860</f>
        <v>-38.655555230989989</v>
      </c>
      <c r="U869" s="154">
        <f t="shared" ref="U869" si="2493">U870*U860</f>
        <v>-43.172268485302396</v>
      </c>
      <c r="V869" s="154">
        <f t="shared" ref="V869" si="2494">V870*V860</f>
        <v>-45.564932519977823</v>
      </c>
      <c r="W869" s="154">
        <f t="shared" ref="W869" si="2495">W870*W860</f>
        <v>-61.998698307549191</v>
      </c>
      <c r="X869" s="154">
        <f t="shared" ref="X869" si="2496">X870*X860</f>
        <v>-50.317511054433147</v>
      </c>
      <c r="Y869" s="154">
        <f t="shared" ref="Y869" si="2497">Y870*Y860</f>
        <v>-31.895253563181083</v>
      </c>
      <c r="Z869" s="154">
        <f t="shared" ref="Z869" si="2498">Z870*Z860</f>
        <v>-27.634244025969252</v>
      </c>
      <c r="AA869" s="154">
        <f t="shared" ref="AA869" si="2499">AA870*AA860</f>
        <v>-23.314373697055597</v>
      </c>
      <c r="AB869" s="154">
        <f t="shared" ref="AB869" si="2500">AB870*AB860</f>
        <v>-27.788414971635437</v>
      </c>
      <c r="AC869" s="154">
        <f t="shared" ref="AC869" si="2501">AC870*AC860</f>
        <v>-20.33038146081185</v>
      </c>
      <c r="AD869" s="156">
        <f t="shared" ref="AD869" si="2502">AD870*AD860</f>
        <v>-13.147297349119444</v>
      </c>
      <c r="AE869" s="15"/>
      <c r="AF869" s="115">
        <f>_xlfn.XLOOKUP($C869,'Site Level Financials - ''23 ''24'!$C$2:$C$1577,'Site Level Financials - ''23 ''24'!$AF$2:$AF$1577)</f>
        <v>-264.42432872813458</v>
      </c>
      <c r="AG869" s="93">
        <f>SUM(G869:R869)</f>
        <v>-255.6734759023104</v>
      </c>
      <c r="AH869" s="93">
        <f t="shared" ref="AH869" si="2503">SUM(S869:AD869)</f>
        <v>-412.47295360682608</v>
      </c>
    </row>
    <row r="870" spans="2:34" x14ac:dyDescent="0.2">
      <c r="B870" s="9">
        <f>G848</f>
        <v>18</v>
      </c>
      <c r="C870" s="9" t="str">
        <f t="shared" si="2444"/>
        <v>18 - % of Revenue - Office Supplies</v>
      </c>
      <c r="D870" s="9" t="s">
        <v>56</v>
      </c>
      <c r="F870" s="16" t="str">
        <f>"% of Revenue - "&amp;F869</f>
        <v>% of Revenue - Office Supplies</v>
      </c>
      <c r="G870" s="148">
        <f>G869/G860</f>
        <v>-4.8081353603316737E-2</v>
      </c>
      <c r="H870" s="149">
        <f t="shared" ref="H870:R870" si="2504">H869/H860</f>
        <v>-6.2641446848081123E-2</v>
      </c>
      <c r="I870" s="149">
        <f t="shared" si="2504"/>
        <v>-6.5153190610520745E-2</v>
      </c>
      <c r="J870" s="149">
        <f t="shared" si="2504"/>
        <v>-6.4195794579859786E-2</v>
      </c>
      <c r="K870" s="149">
        <f t="shared" si="2504"/>
        <v>-7.3494520742957564E-2</v>
      </c>
      <c r="L870" s="149">
        <f t="shared" si="2504"/>
        <v>-7.1030059342642796E-2</v>
      </c>
      <c r="M870" s="149">
        <f t="shared" si="2504"/>
        <v>-4.4692137178502359E-2</v>
      </c>
      <c r="N870" s="149">
        <f t="shared" si="2504"/>
        <v>-4.5156800939086306E-2</v>
      </c>
      <c r="O870" s="149">
        <f t="shared" si="2504"/>
        <v>-4.1553459213505256E-2</v>
      </c>
      <c r="P870" s="149">
        <f t="shared" si="2504"/>
        <v>-4.3123991441464171E-2</v>
      </c>
      <c r="Q870" s="149">
        <f t="shared" si="2504"/>
        <v>-3.9913138750648988E-2</v>
      </c>
      <c r="R870" s="149">
        <f t="shared" si="2504"/>
        <v>-3.1623036564645497E-2</v>
      </c>
      <c r="S870" s="245">
        <f>_xlfn.XLOOKUP($F870,'Budget Assumption Driver'!$A$33:$A$39,'Budget Assumption Driver'!E$33:E$39)+G870</f>
        <v>-4.8081353603316737E-2</v>
      </c>
      <c r="T870" s="246">
        <f>_xlfn.XLOOKUP($F870,'Budget Assumption Driver'!$A$33:$A$39,'Budget Assumption Driver'!F$33:F$39)+H870</f>
        <v>-6.2641446848081123E-2</v>
      </c>
      <c r="U870" s="246">
        <f>_xlfn.XLOOKUP($F870,'Budget Assumption Driver'!$A$33:$A$39,'Budget Assumption Driver'!G$33:G$39)+I870</f>
        <v>-6.5153190610520745E-2</v>
      </c>
      <c r="V870" s="246">
        <f>_xlfn.XLOOKUP($F870,'Budget Assumption Driver'!$A$33:$A$39,'Budget Assumption Driver'!H$33:H$39)+J870</f>
        <v>-6.4195794579859786E-2</v>
      </c>
      <c r="W870" s="246">
        <f>_xlfn.XLOOKUP($F870,'Budget Assumption Driver'!$A$33:$A$39,'Budget Assumption Driver'!I$33:I$39)+K870</f>
        <v>-7.3494520742957564E-2</v>
      </c>
      <c r="X870" s="246">
        <f>_xlfn.XLOOKUP($F870,'Budget Assumption Driver'!$A$33:$A$39,'Budget Assumption Driver'!J$33:J$39)+L870</f>
        <v>-7.1030059342642796E-2</v>
      </c>
      <c r="Y870" s="246">
        <f>_xlfn.XLOOKUP($F870,'Budget Assumption Driver'!$A$33:$A$39,'Budget Assumption Driver'!K$33:K$39)+M870</f>
        <v>-4.4692137178502359E-2</v>
      </c>
      <c r="Z870" s="246">
        <f>_xlfn.XLOOKUP($F870,'Budget Assumption Driver'!$A$33:$A$39,'Budget Assumption Driver'!L$33:L$39)+N870</f>
        <v>-4.5156800939086306E-2</v>
      </c>
      <c r="AA870" s="246">
        <f>_xlfn.XLOOKUP($F870,'Budget Assumption Driver'!$A$33:$A$39,'Budget Assumption Driver'!M$33:M$39)+O870</f>
        <v>-4.1553459213505256E-2</v>
      </c>
      <c r="AB870" s="246">
        <f>_xlfn.XLOOKUP($F870,'Budget Assumption Driver'!$A$33:$A$39,'Budget Assumption Driver'!N$33:N$39)+P870</f>
        <v>-4.3123991441464171E-2</v>
      </c>
      <c r="AC870" s="246">
        <f>_xlfn.XLOOKUP($F870,'Budget Assumption Driver'!$A$33:$A$39,'Budget Assumption Driver'!O$33:O$39)+Q870</f>
        <v>-3.9913138750648988E-2</v>
      </c>
      <c r="AD870" s="296">
        <f>_xlfn.XLOOKUP($F870,'Budget Assumption Driver'!$A$33:$A$39,'Budget Assumption Driver'!P$33:P$39)+R870</f>
        <v>-3.1623036564645497E-2</v>
      </c>
      <c r="AE870" s="15"/>
      <c r="AF870" s="232">
        <f>_xlfn.XLOOKUP($C870,'Site Level Financials - ''23 ''24'!$C$2:$C$1577,'Site Level Financials - ''23 ''24'!$AF$2:$AF$1577)</f>
        <v>-5.8448550151212697E-2</v>
      </c>
      <c r="AG870" s="97">
        <f t="shared" ref="AG870:AH870" si="2505">AG869/AG860</f>
        <v>-5.2156052942248496E-2</v>
      </c>
      <c r="AH870" s="97">
        <f t="shared" si="2505"/>
        <v>-5.4318310028717454E-2</v>
      </c>
    </row>
    <row r="871" spans="2:34" ht="6" customHeight="1" x14ac:dyDescent="0.2">
      <c r="B871" s="9">
        <f>G848</f>
        <v>18</v>
      </c>
      <c r="C871" s="9" t="str">
        <f t="shared" si="2444"/>
        <v xml:space="preserve">18 - </v>
      </c>
      <c r="D871" s="9" t="s">
        <v>56</v>
      </c>
      <c r="F871" s="16"/>
      <c r="G871" s="80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80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81"/>
      <c r="AE871" s="15"/>
      <c r="AF871" s="11"/>
      <c r="AG871" s="15"/>
      <c r="AH871" s="15"/>
    </row>
    <row r="872" spans="2:34" x14ac:dyDescent="0.2">
      <c r="B872" s="9">
        <f>G848</f>
        <v>18</v>
      </c>
      <c r="C872" s="9" t="str">
        <f t="shared" si="2444"/>
        <v>18 - Office Gross Profit</v>
      </c>
      <c r="D872" s="9" t="s">
        <v>56</v>
      </c>
      <c r="F872" s="8" t="s">
        <v>11</v>
      </c>
      <c r="G872" s="241">
        <f>_xlfn.XLOOKUP($C872,'Site Level Financials - ''23 ''24'!$C$2:$C$1577,'Site Level Financials - ''23 ''24'!S$2:S$1577)</f>
        <v>209.5718418122957</v>
      </c>
      <c r="H872" s="242">
        <f>_xlfn.XLOOKUP($C872,'Site Level Financials - ''23 ''24'!$C$2:$C$1577,'Site Level Financials - ''23 ''24'!T$2:T$1577)</f>
        <v>109.75523386139821</v>
      </c>
      <c r="I872" s="242">
        <f>_xlfn.XLOOKUP($C872,'Site Level Financials - ''23 ''24'!$C$2:$C$1577,'Site Level Financials - ''23 ''24'!U$2:U$1577)</f>
        <v>117.04710644925159</v>
      </c>
      <c r="J872" s="242">
        <f>_xlfn.XLOOKUP($C872,'Site Level Financials - ''23 ''24'!$C$2:$C$1577,'Site Level Financials - ''23 ''24'!V$2:V$1577)</f>
        <v>173.1809325779482</v>
      </c>
      <c r="K872" s="242">
        <f>_xlfn.XLOOKUP($C872,'Site Level Financials - ''23 ''24'!$C$2:$C$1577,'Site Level Financials - ''23 ''24'!W$2:W$1577)</f>
        <v>228.89147296054693</v>
      </c>
      <c r="L872" s="242">
        <f>_xlfn.XLOOKUP($C872,'Site Level Financials - ''23 ''24'!$C$2:$C$1577,'Site Level Financials - ''23 ''24'!X$2:X$1577)</f>
        <v>196.74714526490359</v>
      </c>
      <c r="M872" s="242">
        <f>_xlfn.XLOOKUP($C872,'Site Level Financials - ''23 ''24'!$C$2:$C$1577,'Site Level Financials - ''23 ''24'!Y$2:Y$1577)</f>
        <v>272.3347457266085</v>
      </c>
      <c r="N872" s="242">
        <f>_xlfn.XLOOKUP($C872,'Site Level Financials - ''23 ''24'!$C$2:$C$1577,'Site Level Financials - ''23 ''24'!Z$2:Z$1577)</f>
        <v>249.69948659449958</v>
      </c>
      <c r="O872" s="242">
        <f>_xlfn.XLOOKUP($C872,'Site Level Financials - ''23 ''24'!$C$2:$C$1577,'Site Level Financials - ''23 ''24'!AA$2:AA$1577)</f>
        <v>187.52542495141671</v>
      </c>
      <c r="P872" s="242">
        <f>_xlfn.XLOOKUP($C872,'Site Level Financials - ''23 ''24'!$C$2:$C$1577,'Site Level Financials - ''23 ''24'!AB$2:AB$1577)</f>
        <v>226.66260105049446</v>
      </c>
      <c r="Q872" s="242">
        <f>_xlfn.XLOOKUP($C872,'Site Level Financials - ''23 ''24'!$C$2:$C$1577,'Site Level Financials - ''23 ''24'!AC$2:AC$1577)</f>
        <v>191.42089726085536</v>
      </c>
      <c r="R872" s="242">
        <f>_xlfn.XLOOKUP($C872,'Site Level Financials - ''23 ''24'!$C$2:$C$1577,'Site Level Financials - ''23 ''24'!AD$2:AD$1577)</f>
        <v>239.20085623216858</v>
      </c>
      <c r="S872" s="134">
        <f t="shared" ref="S872:AD872" si="2506">S860+S863+S866+S869</f>
        <v>293.64262304922482</v>
      </c>
      <c r="T872" s="135">
        <f t="shared" si="2506"/>
        <v>201.04544439401252</v>
      </c>
      <c r="U872" s="135">
        <f t="shared" si="2506"/>
        <v>213.12857068585302</v>
      </c>
      <c r="V872" s="135">
        <f t="shared" si="2506"/>
        <v>313.09939514058618</v>
      </c>
      <c r="W872" s="135">
        <f t="shared" si="2506"/>
        <v>436.56621002215365</v>
      </c>
      <c r="X872" s="135">
        <f t="shared" si="2506"/>
        <v>363.42245435048437</v>
      </c>
      <c r="Y872" s="135">
        <f t="shared" si="2506"/>
        <v>413.94437584392779</v>
      </c>
      <c r="Z872" s="135">
        <f t="shared" si="2506"/>
        <v>349.98572575157232</v>
      </c>
      <c r="AA872" s="135">
        <f t="shared" si="2506"/>
        <v>266.37978579903756</v>
      </c>
      <c r="AB872" s="135">
        <f t="shared" si="2506"/>
        <v>312.21900147049371</v>
      </c>
      <c r="AC872" s="135">
        <f t="shared" si="2506"/>
        <v>249.84267857608893</v>
      </c>
      <c r="AD872" s="136">
        <f t="shared" si="2506"/>
        <v>249.61475675553677</v>
      </c>
      <c r="AE872" s="15"/>
      <c r="AF872" s="114">
        <f>_xlfn.XLOOKUP($C872,'Site Level Financials - ''23 ''24'!$C$2:$C$1577,'Site Level Financials - ''23 ''24'!$AF$2:$AF$1577)</f>
        <v>2077.0871527410627</v>
      </c>
      <c r="AG872" s="95">
        <f>SUM(G872:R872)</f>
        <v>2402.0377447423875</v>
      </c>
      <c r="AH872" s="95">
        <f t="shared" ref="AH872" si="2507">SUM(S872:AD872)</f>
        <v>3662.8910218389719</v>
      </c>
    </row>
    <row r="873" spans="2:34" x14ac:dyDescent="0.2">
      <c r="B873" s="9">
        <f>G848</f>
        <v>18</v>
      </c>
      <c r="C873" s="9" t="str">
        <f t="shared" si="2444"/>
        <v>18 - % of Revenue - Office Gross Profit</v>
      </c>
      <c r="D873" s="9" t="s">
        <v>56</v>
      </c>
      <c r="F873" s="16" t="str">
        <f>"% of Revenue - "&amp;F872</f>
        <v>% of Revenue - Office Gross Profit</v>
      </c>
      <c r="G873" s="148">
        <f>G872/G860</f>
        <v>0.4927313285469383</v>
      </c>
      <c r="H873" s="149">
        <f t="shared" ref="H873:AD873" si="2508">H872/H860</f>
        <v>0.32579476465416302</v>
      </c>
      <c r="I873" s="149">
        <f t="shared" si="2508"/>
        <v>0.32164180566908579</v>
      </c>
      <c r="J873" s="149">
        <f t="shared" si="2508"/>
        <v>0.44112134797326374</v>
      </c>
      <c r="K873" s="149">
        <f t="shared" si="2508"/>
        <v>0.51751448423943314</v>
      </c>
      <c r="L873" s="149">
        <f t="shared" si="2508"/>
        <v>0.51302057589928218</v>
      </c>
      <c r="M873" s="149">
        <f t="shared" si="2508"/>
        <v>0.58002545089788116</v>
      </c>
      <c r="N873" s="149">
        <f t="shared" si="2508"/>
        <v>0.57190765683451994</v>
      </c>
      <c r="O873" s="149">
        <f t="shared" si="2508"/>
        <v>0.47477155973958207</v>
      </c>
      <c r="P873" s="149">
        <f t="shared" si="2508"/>
        <v>0.48452312091277427</v>
      </c>
      <c r="Q873" s="149">
        <f t="shared" si="2508"/>
        <v>0.49049770733829723</v>
      </c>
      <c r="R873" s="149">
        <f t="shared" si="2508"/>
        <v>0.6003953793959117</v>
      </c>
      <c r="S873" s="148">
        <f t="shared" si="2508"/>
        <v>0.4927313285469383</v>
      </c>
      <c r="T873" s="149">
        <f t="shared" si="2508"/>
        <v>0.32579476465416302</v>
      </c>
      <c r="U873" s="149">
        <f t="shared" si="2508"/>
        <v>0.32164180566908573</v>
      </c>
      <c r="V873" s="149">
        <f t="shared" si="2508"/>
        <v>0.4411213479732638</v>
      </c>
      <c r="W873" s="149">
        <f t="shared" si="2508"/>
        <v>0.51751448423943325</v>
      </c>
      <c r="X873" s="149">
        <f t="shared" si="2508"/>
        <v>0.51302057589928229</v>
      </c>
      <c r="Y873" s="149">
        <f t="shared" si="2508"/>
        <v>0.58002545089788116</v>
      </c>
      <c r="Z873" s="149">
        <f t="shared" si="2508"/>
        <v>0.57190765683451983</v>
      </c>
      <c r="AA873" s="149">
        <f t="shared" si="2508"/>
        <v>0.47477155973958218</v>
      </c>
      <c r="AB873" s="149">
        <f t="shared" si="2508"/>
        <v>0.48452312091277416</v>
      </c>
      <c r="AC873" s="149">
        <f t="shared" si="2508"/>
        <v>0.49049770733829723</v>
      </c>
      <c r="AD873" s="150">
        <f t="shared" si="2508"/>
        <v>0.60039537939591159</v>
      </c>
      <c r="AE873" s="15"/>
      <c r="AF873" s="233">
        <f>_xlfn.XLOOKUP($C873,'Site Level Financials - ''23 ''24'!$C$2:$C$1577,'Site Level Financials - ''23 ''24'!$AF$2:$AF$1577)</f>
        <v>0.45912088800363254</v>
      </c>
      <c r="AG873" s="97">
        <f t="shared" ref="AG873:AH873" si="2509">AG872/AG860</f>
        <v>0.4900031469511188</v>
      </c>
      <c r="AH873" s="97">
        <f t="shared" si="2509"/>
        <v>0.4823638698873523</v>
      </c>
    </row>
    <row r="874" spans="2:34" ht="6" customHeight="1" x14ac:dyDescent="0.2">
      <c r="B874" s="9">
        <f>G848</f>
        <v>18</v>
      </c>
      <c r="C874" s="9" t="str">
        <f t="shared" si="2444"/>
        <v xml:space="preserve">18 - </v>
      </c>
      <c r="D874" s="9" t="s">
        <v>56</v>
      </c>
      <c r="F874" s="16"/>
      <c r="G874" s="80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80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81"/>
      <c r="AE874" s="15"/>
      <c r="AF874" s="11"/>
      <c r="AG874" s="15"/>
      <c r="AH874" s="15"/>
    </row>
    <row r="875" spans="2:34" x14ac:dyDescent="0.2">
      <c r="B875" s="9">
        <f>G848</f>
        <v>18</v>
      </c>
      <c r="C875" s="9" t="str">
        <f t="shared" si="2444"/>
        <v>18 - General and Administrative Expense</v>
      </c>
      <c r="D875" s="9" t="s">
        <v>56</v>
      </c>
      <c r="F875" t="s">
        <v>10</v>
      </c>
      <c r="G875" s="178">
        <f>_xlfn.XLOOKUP($C875,'Site Level Financials - ''23 ''24'!$C$2:$C$1577,'Site Level Financials - ''23 ''24'!S$2:S$1577)</f>
        <v>-14.355772112701416</v>
      </c>
      <c r="H875" s="179">
        <f>_xlfn.XLOOKUP($C875,'Site Level Financials - ''23 ''24'!$C$2:$C$1577,'Site Level Financials - ''23 ''24'!T$2:T$1577)</f>
        <v>-13.964934262834449</v>
      </c>
      <c r="I875" s="179">
        <f>_xlfn.XLOOKUP($C875,'Site Level Financials - ''23 ''24'!$C$2:$C$1577,'Site Level Financials - ''23 ''24'!U$2:U$1577)</f>
        <v>-16.134115519682204</v>
      </c>
      <c r="J875" s="179">
        <f>_xlfn.XLOOKUP($C875,'Site Level Financials - ''23 ''24'!$C$2:$C$1577,'Site Level Financials - ''23 ''24'!V$2:V$1577)</f>
        <v>-17.18255941770359</v>
      </c>
      <c r="K875" s="179">
        <f>_xlfn.XLOOKUP($C875,'Site Level Financials - ''23 ''24'!$C$2:$C$1577,'Site Level Financials - ''23 ''24'!W$2:W$1577)</f>
        <v>-21.05768952841251</v>
      </c>
      <c r="L875" s="179">
        <f>_xlfn.XLOOKUP($C875,'Site Level Financials - ''23 ''24'!$C$2:$C$1577,'Site Level Financials - ''23 ''24'!X$2:X$1577)</f>
        <v>-19.729481966079632</v>
      </c>
      <c r="M875" s="179">
        <f>_xlfn.XLOOKUP($C875,'Site Level Financials - ''23 ''24'!$C$2:$C$1577,'Site Level Financials - ''23 ''24'!Y$2:Y$1577)</f>
        <v>-15.3097198539689</v>
      </c>
      <c r="N875" s="179">
        <f>_xlfn.XLOOKUP($C875,'Site Level Financials - ''23 ''24'!$C$2:$C$1577,'Site Level Financials - ''23 ''24'!Z$2:Z$1577)</f>
        <v>-15.033740516619661</v>
      </c>
      <c r="O875" s="179">
        <f>_xlfn.XLOOKUP($C875,'Site Level Financials - ''23 ''24'!$C$2:$C$1577,'Site Level Financials - ''23 ''24'!AA$2:AA$1577)</f>
        <v>-13.458378828270341</v>
      </c>
      <c r="P875" s="179">
        <f>_xlfn.XLOOKUP($C875,'Site Level Financials - ''23 ''24'!$C$2:$C$1577,'Site Level Financials - ''23 ''24'!AB$2:AB$1577)</f>
        <v>-16.23699011632052</v>
      </c>
      <c r="Q875" s="179">
        <f>_xlfn.XLOOKUP($C875,'Site Level Financials - ''23 ''24'!$C$2:$C$1577,'Site Level Financials - ''23 ''24'!AC$2:AC$1577)</f>
        <v>-13.611840872558293</v>
      </c>
      <c r="R875" s="179">
        <f>_xlfn.XLOOKUP($C875,'Site Level Financials - ''23 ''24'!$C$2:$C$1577,'Site Level Financials - ''23 ''24'!AD$2:AD$1577)</f>
        <v>-10.963247207787523</v>
      </c>
      <c r="S875" s="155">
        <f>S876*S860</f>
        <v>-20.114661123445028</v>
      </c>
      <c r="T875" s="154">
        <f t="shared" ref="T875" si="2510">T876*T860</f>
        <v>-25.580433078482773</v>
      </c>
      <c r="U875" s="154">
        <f t="shared" ref="U875" si="2511">U876*U860</f>
        <v>-29.378265591565118</v>
      </c>
      <c r="V875" s="154">
        <f t="shared" ref="V875" si="2512">V876*V860</f>
        <v>-31.064903511988671</v>
      </c>
      <c r="W875" s="154">
        <f t="shared" ref="W875" si="2513">W876*W860</f>
        <v>-40.163469570693941</v>
      </c>
      <c r="X875" s="154">
        <f t="shared" ref="X875" si="2514">X876*X860</f>
        <v>-36.443409379700469</v>
      </c>
      <c r="Y875" s="154">
        <f t="shared" ref="Y875" si="2515">Y876*Y860</f>
        <v>-23.270524708068315</v>
      </c>
      <c r="Z875" s="154">
        <f t="shared" ref="Z875" si="2516">Z876*Z860</f>
        <v>-21.071707664399554</v>
      </c>
      <c r="AA875" s="154">
        <f t="shared" ref="AA875" si="2517">AA876*AA860</f>
        <v>-19.117621359374343</v>
      </c>
      <c r="AB875" s="154">
        <f t="shared" ref="AB875" si="2518">AB876*AB860</f>
        <v>-22.365828405342086</v>
      </c>
      <c r="AC875" s="154">
        <f t="shared" ref="AC875" si="2519">AC876*AC860</f>
        <v>-17.766183486837637</v>
      </c>
      <c r="AD875" s="156">
        <f t="shared" ref="AD875" si="2520">AD876*AD860</f>
        <v>-11.440545523660525</v>
      </c>
      <c r="AE875" s="15"/>
      <c r="AF875" s="115">
        <f>_xlfn.XLOOKUP($C875,'Site Level Financials - ''23 ''24'!$C$2:$C$1577,'Site Level Financials - ''23 ''24'!$AF$2:$AF$1577)</f>
        <v>-206.8789158016582</v>
      </c>
      <c r="AG875" s="93">
        <f>SUM(G875:R875)</f>
        <v>-187.03847020293907</v>
      </c>
      <c r="AH875" s="93">
        <f t="shared" ref="AH875" si="2521">SUM(S875:AD875)</f>
        <v>-297.7775534035585</v>
      </c>
    </row>
    <row r="876" spans="2:34" x14ac:dyDescent="0.2">
      <c r="B876" s="9">
        <f>G848</f>
        <v>18</v>
      </c>
      <c r="C876" s="9" t="str">
        <f t="shared" si="2444"/>
        <v>18 - % of Revenue - General and Administrative Expense</v>
      </c>
      <c r="D876" s="9" t="s">
        <v>56</v>
      </c>
      <c r="F876" s="16" t="str">
        <f>"% of Revenue - "&amp;F875</f>
        <v>% of Revenue - General and Administrative Expense</v>
      </c>
      <c r="G876" s="148">
        <f>G875/G860</f>
        <v>-3.3752333348980701E-2</v>
      </c>
      <c r="H876" s="149">
        <f t="shared" ref="H876:R876" si="2522">H875/H860</f>
        <v>-4.1453170946877033E-2</v>
      </c>
      <c r="I876" s="149">
        <f t="shared" si="2522"/>
        <v>-4.4336047306510633E-2</v>
      </c>
      <c r="J876" s="149">
        <f t="shared" si="2522"/>
        <v>-4.3766907009560964E-2</v>
      </c>
      <c r="K876" s="149">
        <f t="shared" si="2522"/>
        <v>-4.7610595513310788E-2</v>
      </c>
      <c r="L876" s="149">
        <f t="shared" si="2522"/>
        <v>-5.1444864355234966E-2</v>
      </c>
      <c r="M876" s="149">
        <f t="shared" si="2522"/>
        <v>-3.2607029770387944E-2</v>
      </c>
      <c r="N876" s="149">
        <f t="shared" si="2522"/>
        <v>-3.4433035604437369E-2</v>
      </c>
      <c r="O876" s="149">
        <f t="shared" si="2522"/>
        <v>-3.4073542345095249E-2</v>
      </c>
      <c r="P876" s="149">
        <f t="shared" si="2522"/>
        <v>-3.4708845168669372E-2</v>
      </c>
      <c r="Q876" s="149">
        <f t="shared" si="2522"/>
        <v>-3.4879037953443437E-2</v>
      </c>
      <c r="R876" s="149">
        <f t="shared" si="2522"/>
        <v>-2.7517806877505446E-2</v>
      </c>
      <c r="S876" s="245">
        <f>_xlfn.XLOOKUP($F876,'Budget Assumption Driver'!$A$33:$A$39,'Budget Assumption Driver'!E$33:E$39)+G876</f>
        <v>-3.3752333348980701E-2</v>
      </c>
      <c r="T876" s="246">
        <f>_xlfn.XLOOKUP($F876,'Budget Assumption Driver'!$A$33:$A$39,'Budget Assumption Driver'!F$33:F$39)+H876</f>
        <v>-4.1453170946877033E-2</v>
      </c>
      <c r="U876" s="246">
        <f>_xlfn.XLOOKUP($F876,'Budget Assumption Driver'!$A$33:$A$39,'Budget Assumption Driver'!G$33:G$39)+I876</f>
        <v>-4.4336047306510633E-2</v>
      </c>
      <c r="V876" s="246">
        <f>_xlfn.XLOOKUP($F876,'Budget Assumption Driver'!$A$33:$A$39,'Budget Assumption Driver'!H$33:H$39)+J876</f>
        <v>-4.3766907009560964E-2</v>
      </c>
      <c r="W876" s="246">
        <f>_xlfn.XLOOKUP($F876,'Budget Assumption Driver'!$A$33:$A$39,'Budget Assumption Driver'!I$33:I$39)+K876</f>
        <v>-4.7610595513310788E-2</v>
      </c>
      <c r="X876" s="246">
        <f>_xlfn.XLOOKUP($F876,'Budget Assumption Driver'!$A$33:$A$39,'Budget Assumption Driver'!J$33:J$39)+L876</f>
        <v>-5.1444864355234966E-2</v>
      </c>
      <c r="Y876" s="246">
        <f>_xlfn.XLOOKUP($F876,'Budget Assumption Driver'!$A$33:$A$39,'Budget Assumption Driver'!K$33:K$39)+M876</f>
        <v>-3.2607029770387944E-2</v>
      </c>
      <c r="Z876" s="246">
        <f>_xlfn.XLOOKUP($F876,'Budget Assumption Driver'!$A$33:$A$39,'Budget Assumption Driver'!L$33:L$39)+N876</f>
        <v>-3.4433035604437369E-2</v>
      </c>
      <c r="AA876" s="246">
        <f>_xlfn.XLOOKUP($F876,'Budget Assumption Driver'!$A$33:$A$39,'Budget Assumption Driver'!M$33:M$39)+O876</f>
        <v>-3.4073542345095249E-2</v>
      </c>
      <c r="AB876" s="246">
        <f>_xlfn.XLOOKUP($F876,'Budget Assumption Driver'!$A$33:$A$39,'Budget Assumption Driver'!N$33:N$39)+P876</f>
        <v>-3.4708845168669372E-2</v>
      </c>
      <c r="AC876" s="246">
        <f>_xlfn.XLOOKUP($F876,'Budget Assumption Driver'!$A$33:$A$39,'Budget Assumption Driver'!O$33:O$39)+Q876</f>
        <v>-3.4879037953443437E-2</v>
      </c>
      <c r="AD876" s="296">
        <f>_xlfn.XLOOKUP($F876,'Budget Assumption Driver'!$A$33:$A$39,'Budget Assumption Driver'!P$33:P$39)+R876</f>
        <v>-2.7517806877505446E-2</v>
      </c>
      <c r="AE876" s="15"/>
      <c r="AF876" s="232">
        <f>_xlfn.XLOOKUP($C876,'Site Level Financials - ''23 ''24'!$C$2:$C$1577,'Site Level Financials - ''23 ''24'!$AF$2:$AF$1577)</f>
        <v>-4.5728669308238164E-2</v>
      </c>
      <c r="AG876" s="97">
        <f t="shared" ref="AG876:AH876" si="2523">AG875/AG860</f>
        <v>-3.8154870464032771E-2</v>
      </c>
      <c r="AH876" s="97">
        <f t="shared" si="2523"/>
        <v>-3.9214143191520473E-2</v>
      </c>
    </row>
    <row r="877" spans="2:34" ht="3" customHeight="1" x14ac:dyDescent="0.2">
      <c r="B877" s="9">
        <f>G848</f>
        <v>18</v>
      </c>
      <c r="C877" s="9" t="str">
        <f t="shared" si="2444"/>
        <v xml:space="preserve">18 - </v>
      </c>
      <c r="D877" s="9" t="s">
        <v>56</v>
      </c>
      <c r="F877" s="16"/>
      <c r="G877" s="84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4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6"/>
      <c r="AE877" s="15"/>
      <c r="AF877" s="36"/>
      <c r="AG877" s="38"/>
      <c r="AH877" s="38"/>
    </row>
    <row r="878" spans="2:34" x14ac:dyDescent="0.2">
      <c r="B878" s="9">
        <f>G848</f>
        <v>18</v>
      </c>
      <c r="C878" s="9" t="str">
        <f t="shared" si="2444"/>
        <v>18 - Marketing</v>
      </c>
      <c r="D878" s="9" t="s">
        <v>56</v>
      </c>
      <c r="F878" t="s">
        <v>7</v>
      </c>
      <c r="G878" s="178">
        <f>_xlfn.XLOOKUP($C878,'Site Level Financials - ''23 ''24'!$C$2:$C$1577,'Site Level Financials - ''23 ''24'!S$2:S$1577)</f>
        <v>-12.841631797708128</v>
      </c>
      <c r="H878" s="179">
        <f>_xlfn.XLOOKUP($C878,'Site Level Financials - ''23 ''24'!$C$2:$C$1577,'Site Level Financials - ''23 ''24'!T$2:T$1577)</f>
        <v>-11.956931487345964</v>
      </c>
      <c r="I878" s="179">
        <f>_xlfn.XLOOKUP($C878,'Site Level Financials - ''23 ''24'!$C$2:$C$1577,'Site Level Financials - ''23 ''24'!U$2:U$1577)</f>
        <v>-11.800263866772339</v>
      </c>
      <c r="J878" s="179">
        <f>_xlfn.XLOOKUP($C878,'Site Level Financials - ''23 ''24'!$C$2:$C$1577,'Site Level Financials - ''23 ''24'!V$2:V$1577)</f>
        <v>-13.367756905887928</v>
      </c>
      <c r="K878" s="179">
        <f>_xlfn.XLOOKUP($C878,'Site Level Financials - ''23 ''24'!$C$2:$C$1577,'Site Level Financials - ''23 ''24'!W$2:W$1577)</f>
        <v>-18.815391943685764</v>
      </c>
      <c r="L878" s="179">
        <f>_xlfn.XLOOKUP($C878,'Site Level Financials - ''23 ''24'!$C$2:$C$1577,'Site Level Financials - ''23 ''24'!X$2:X$1577)</f>
        <v>-14.972731757072495</v>
      </c>
      <c r="M878" s="179">
        <f>_xlfn.XLOOKUP($C878,'Site Level Financials - ''23 ''24'!$C$2:$C$1577,'Site Level Financials - ''23 ''24'!Y$2:Y$1577)</f>
        <v>-12.924448047422805</v>
      </c>
      <c r="N878" s="179">
        <f>_xlfn.XLOOKUP($C878,'Site Level Financials - ''23 ''24'!$C$2:$C$1577,'Site Level Financials - ''23 ''24'!Z$2:Z$1577)</f>
        <v>-11.717685274921509</v>
      </c>
      <c r="O878" s="179">
        <f>_xlfn.XLOOKUP($C878,'Site Level Financials - ''23 ''24'!$C$2:$C$1577,'Site Level Financials - ''23 ''24'!AA$2:AA$1577)</f>
        <v>-9.1915738367196802</v>
      </c>
      <c r="P878" s="179">
        <f>_xlfn.XLOOKUP($C878,'Site Level Financials - ''23 ''24'!$C$2:$C$1577,'Site Level Financials - ''23 ''24'!AB$2:AB$1577)</f>
        <v>-9.8979461805308873</v>
      </c>
      <c r="Q878" s="179">
        <f>_xlfn.XLOOKUP($C878,'Site Level Financials - ''23 ''24'!$C$2:$C$1577,'Site Level Financials - ''23 ''24'!AC$2:AC$1577)</f>
        <v>-8.2508573020036753</v>
      </c>
      <c r="R878" s="179">
        <f>_xlfn.XLOOKUP($C878,'Site Level Financials - ''23 ''24'!$C$2:$C$1577,'Site Level Financials - ''23 ''24'!AD$2:AD$1577)</f>
        <v>-6.3034593708398692</v>
      </c>
      <c r="S878" s="155">
        <f>S879*S860</f>
        <v>-17.993115929613921</v>
      </c>
      <c r="T878" s="154">
        <f t="shared" ref="T878" si="2524">T879*T860</f>
        <v>-21.902250306330917</v>
      </c>
      <c r="U878" s="154">
        <f t="shared" ref="U878" si="2525">U879*U860</f>
        <v>-21.486847884885812</v>
      </c>
      <c r="V878" s="154">
        <f t="shared" ref="V878" si="2526">V879*V860</f>
        <v>-24.167998978386677</v>
      </c>
      <c r="W878" s="154">
        <f t="shared" ref="W878" si="2527">W879*W860</f>
        <v>-35.886720657139101</v>
      </c>
      <c r="X878" s="154">
        <f t="shared" ref="X878" si="2528">X879*X860</f>
        <v>-27.656954900973524</v>
      </c>
      <c r="Y878" s="154">
        <f t="shared" ref="Y878" si="2529">Y879*Y860</f>
        <v>-19.644950429823105</v>
      </c>
      <c r="Z878" s="154">
        <f t="shared" ref="Z878" si="2530">Z879*Z860</f>
        <v>-16.423832667833189</v>
      </c>
      <c r="AA878" s="154">
        <f t="shared" ref="AA878" si="2531">AA879*AA860</f>
        <v>-13.056626696970609</v>
      </c>
      <c r="AB878" s="154">
        <f t="shared" ref="AB878" si="2532">AB879*AB860</f>
        <v>-13.634039575878678</v>
      </c>
      <c r="AC878" s="154">
        <f t="shared" ref="AC878" si="2533">AC879*AC860</f>
        <v>-10.769024272582543</v>
      </c>
      <c r="AD878" s="156">
        <f t="shared" ref="AD878" si="2534">AD879*AD860</f>
        <v>-6.5778881495450179</v>
      </c>
      <c r="AE878" s="15"/>
      <c r="AF878" s="115">
        <f>_xlfn.XLOOKUP($C878,'Site Level Financials - ''23 ''24'!$C$2:$C$1577,'Site Level Financials - ''23 ''24'!$AF$2:$AF$1577)</f>
        <v>-158.7533296108422</v>
      </c>
      <c r="AG878" s="93">
        <f>SUM(G878:R878)</f>
        <v>-142.04067777091106</v>
      </c>
      <c r="AH878" s="93">
        <f t="shared" ref="AH878" si="2535">SUM(S878:AD878)</f>
        <v>-229.20025044996311</v>
      </c>
    </row>
    <row r="879" spans="2:34" x14ac:dyDescent="0.2">
      <c r="B879" s="9">
        <f>G848</f>
        <v>18</v>
      </c>
      <c r="C879" s="9" t="str">
        <f t="shared" si="2444"/>
        <v>18 - % of Revenue - Marketing</v>
      </c>
      <c r="D879" s="9" t="s">
        <v>56</v>
      </c>
      <c r="F879" s="16" t="str">
        <f>"% of Revenue - "&amp;F878</f>
        <v>% of Revenue - Marketing</v>
      </c>
      <c r="G879" s="148">
        <f>G878/G860</f>
        <v>-3.0192387687571952E-2</v>
      </c>
      <c r="H879" s="149">
        <f t="shared" ref="H879:R879" si="2536">H878/H860</f>
        <v>-3.5492664384690543E-2</v>
      </c>
      <c r="I879" s="149">
        <f t="shared" si="2536"/>
        <v>-3.2426757846644672E-2</v>
      </c>
      <c r="J879" s="149">
        <f t="shared" si="2536"/>
        <v>-3.4049954910885215E-2</v>
      </c>
      <c r="K879" s="149">
        <f t="shared" si="2536"/>
        <v>-4.2540850174779953E-2</v>
      </c>
      <c r="L879" s="149">
        <f t="shared" si="2536"/>
        <v>-3.9041580290563038E-2</v>
      </c>
      <c r="M879" s="149">
        <f t="shared" si="2536"/>
        <v>-2.7526817359685166E-2</v>
      </c>
      <c r="N879" s="149">
        <f t="shared" si="2536"/>
        <v>-2.6837996427231493E-2</v>
      </c>
      <c r="O879" s="149">
        <f t="shared" si="2536"/>
        <v>-2.3270966313242682E-2</v>
      </c>
      <c r="P879" s="149">
        <f t="shared" si="2536"/>
        <v>-2.11582490970759E-2</v>
      </c>
      <c r="Q879" s="149">
        <f t="shared" si="2536"/>
        <v>-2.1142031241726127E-2</v>
      </c>
      <c r="R879" s="149">
        <f t="shared" si="2536"/>
        <v>-1.5821715440637107E-2</v>
      </c>
      <c r="S879" s="245">
        <f>_xlfn.XLOOKUP($F879,'Budget Assumption Driver'!$A$33:$A$39,'Budget Assumption Driver'!E$33:E$39)+G879</f>
        <v>-3.0192387687571952E-2</v>
      </c>
      <c r="T879" s="246">
        <f>_xlfn.XLOOKUP($F879,'Budget Assumption Driver'!$A$33:$A$39,'Budget Assumption Driver'!F$33:F$39)+H879</f>
        <v>-3.5492664384690543E-2</v>
      </c>
      <c r="U879" s="246">
        <f>_xlfn.XLOOKUP($F879,'Budget Assumption Driver'!$A$33:$A$39,'Budget Assumption Driver'!G$33:G$39)+I879</f>
        <v>-3.2426757846644672E-2</v>
      </c>
      <c r="V879" s="246">
        <f>_xlfn.XLOOKUP($F879,'Budget Assumption Driver'!$A$33:$A$39,'Budget Assumption Driver'!H$33:H$39)+J879</f>
        <v>-3.4049954910885215E-2</v>
      </c>
      <c r="W879" s="246">
        <f>_xlfn.XLOOKUP($F879,'Budget Assumption Driver'!$A$33:$A$39,'Budget Assumption Driver'!I$33:I$39)+K879</f>
        <v>-4.2540850174779953E-2</v>
      </c>
      <c r="X879" s="246">
        <f>_xlfn.XLOOKUP($F879,'Budget Assumption Driver'!$A$33:$A$39,'Budget Assumption Driver'!J$33:J$39)+L879</f>
        <v>-3.9041580290563038E-2</v>
      </c>
      <c r="Y879" s="246">
        <f>_xlfn.XLOOKUP($F879,'Budget Assumption Driver'!$A$33:$A$39,'Budget Assumption Driver'!K$33:K$39)+M879</f>
        <v>-2.7526817359685166E-2</v>
      </c>
      <c r="Z879" s="246">
        <f>_xlfn.XLOOKUP($F879,'Budget Assumption Driver'!$A$33:$A$39,'Budget Assumption Driver'!L$33:L$39)+N879</f>
        <v>-2.6837996427231493E-2</v>
      </c>
      <c r="AA879" s="246">
        <f>_xlfn.XLOOKUP($F879,'Budget Assumption Driver'!$A$33:$A$39,'Budget Assumption Driver'!M$33:M$39)+O879</f>
        <v>-2.3270966313242682E-2</v>
      </c>
      <c r="AB879" s="246">
        <f>_xlfn.XLOOKUP($F879,'Budget Assumption Driver'!$A$33:$A$39,'Budget Assumption Driver'!N$33:N$39)+P879</f>
        <v>-2.11582490970759E-2</v>
      </c>
      <c r="AC879" s="246">
        <f>_xlfn.XLOOKUP($F879,'Budget Assumption Driver'!$A$33:$A$39,'Budget Assumption Driver'!O$33:O$39)+Q879</f>
        <v>-2.1142031241726127E-2</v>
      </c>
      <c r="AD879" s="296">
        <f>_xlfn.XLOOKUP($F879,'Budget Assumption Driver'!$A$33:$A$39,'Budget Assumption Driver'!P$33:P$39)+R879</f>
        <v>-1.5821715440637107E-2</v>
      </c>
      <c r="AE879" s="15"/>
      <c r="AF879" s="232">
        <f>_xlfn.XLOOKUP($C879,'Site Level Financials - ''23 ''24'!$C$2:$C$1577,'Site Level Financials - ''23 ''24'!$AF$2:$AF$1577)</f>
        <v>-3.5090953968049308E-2</v>
      </c>
      <c r="AG879" s="97">
        <f t="shared" ref="AG879:AH879" si="2537">AG878/AG860</f>
        <v>-2.8975555964996177E-2</v>
      </c>
      <c r="AH879" s="97">
        <f t="shared" si="2537"/>
        <v>-3.018324026759836E-2</v>
      </c>
    </row>
    <row r="880" spans="2:34" ht="3" customHeight="1" x14ac:dyDescent="0.2">
      <c r="B880" s="9">
        <f>G848</f>
        <v>18</v>
      </c>
      <c r="C880" s="9" t="str">
        <f t="shared" si="2444"/>
        <v xml:space="preserve">18 - </v>
      </c>
      <c r="D880" s="9" t="s">
        <v>56</v>
      </c>
      <c r="F880" s="16"/>
      <c r="G880" s="84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4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6"/>
      <c r="AE880" s="15"/>
      <c r="AF880" s="36"/>
      <c r="AG880" s="38"/>
      <c r="AH880" s="38"/>
    </row>
    <row r="881" spans="2:35" x14ac:dyDescent="0.2">
      <c r="B881" s="9">
        <f>G848</f>
        <v>18</v>
      </c>
      <c r="C881" s="9" t="str">
        <f t="shared" si="2444"/>
        <v>18 - Office Rent</v>
      </c>
      <c r="D881" s="9" t="s">
        <v>56</v>
      </c>
      <c r="F881" t="s">
        <v>162</v>
      </c>
      <c r="G881" s="178">
        <f>_xlfn.XLOOKUP($C881,'Site Level Financials - ''23 ''24'!$C$2:$C$1577,'Site Level Financials - ''23 ''24'!S$2:S$1577)</f>
        <v>-27.298380654156794</v>
      </c>
      <c r="H881" s="179">
        <f>_xlfn.XLOOKUP($C881,'Site Level Financials - ''23 ''24'!$C$2:$C$1577,'Site Level Financials - ''23 ''24'!T$2:T$1577)</f>
        <v>-27.298380654156794</v>
      </c>
      <c r="I881" s="179">
        <f>_xlfn.XLOOKUP($C881,'Site Level Financials - ''23 ''24'!$C$2:$C$1577,'Site Level Financials - ''23 ''24'!U$2:U$1577)</f>
        <v>-27.298380654156794</v>
      </c>
      <c r="J881" s="179">
        <f>_xlfn.XLOOKUP($C881,'Site Level Financials - ''23 ''24'!$C$2:$C$1577,'Site Level Financials - ''23 ''24'!V$2:V$1577)</f>
        <v>-27.298380654156794</v>
      </c>
      <c r="K881" s="179">
        <f>_xlfn.XLOOKUP($C881,'Site Level Financials - ''23 ''24'!$C$2:$C$1577,'Site Level Financials - ''23 ''24'!W$2:W$1577)</f>
        <v>-27.298380654156794</v>
      </c>
      <c r="L881" s="179">
        <f>_xlfn.XLOOKUP($C881,'Site Level Financials - ''23 ''24'!$C$2:$C$1577,'Site Level Financials - ''23 ''24'!X$2:X$1577)</f>
        <v>-27.298380654156794</v>
      </c>
      <c r="M881" s="179">
        <f>_xlfn.XLOOKUP($C881,'Site Level Financials - ''23 ''24'!$C$2:$C$1577,'Site Level Financials - ''23 ''24'!Y$2:Y$1577)</f>
        <v>-28.117332073781501</v>
      </c>
      <c r="N881" s="179">
        <f>_xlfn.XLOOKUP($C881,'Site Level Financials - ''23 ''24'!$C$2:$C$1577,'Site Level Financials - ''23 ''24'!Z$2:Z$1577)</f>
        <v>-28.117332073781501</v>
      </c>
      <c r="O881" s="179">
        <f>_xlfn.XLOOKUP($C881,'Site Level Financials - ''23 ''24'!$C$2:$C$1577,'Site Level Financials - ''23 ''24'!AA$2:AA$1577)</f>
        <v>-28.117332073781501</v>
      </c>
      <c r="P881" s="179">
        <f>_xlfn.XLOOKUP($C881,'Site Level Financials - ''23 ''24'!$C$2:$C$1577,'Site Level Financials - ''23 ''24'!AB$2:AB$1577)</f>
        <v>-28.117332073781501</v>
      </c>
      <c r="Q881" s="179">
        <f>_xlfn.XLOOKUP($C881,'Site Level Financials - ''23 ''24'!$C$2:$C$1577,'Site Level Financials - ''23 ''24'!AC$2:AC$1577)</f>
        <v>-28.117332073781501</v>
      </c>
      <c r="R881" s="179">
        <f>_xlfn.XLOOKUP($C881,'Site Level Financials - ''23 ''24'!$C$2:$C$1577,'Site Level Financials - ''23 ''24'!AD$2:AD$1577)</f>
        <v>-28.117332073781501</v>
      </c>
      <c r="S881" s="155">
        <f>G881*(1+S882)</f>
        <v>-28.117332073781498</v>
      </c>
      <c r="T881" s="154">
        <f t="shared" ref="T881" si="2538">H881*(1+T882)</f>
        <v>-28.117332073781498</v>
      </c>
      <c r="U881" s="154">
        <f t="shared" ref="U881" si="2539">I881*(1+U882)</f>
        <v>-28.117332073781498</v>
      </c>
      <c r="V881" s="154">
        <f t="shared" ref="V881" si="2540">J881*(1+V882)</f>
        <v>-28.117332073781498</v>
      </c>
      <c r="W881" s="154">
        <f t="shared" ref="W881" si="2541">K881*(1+W882)</f>
        <v>-28.117332073781498</v>
      </c>
      <c r="X881" s="154">
        <f t="shared" ref="X881" si="2542">L881*(1+X882)</f>
        <v>-28.117332073781498</v>
      </c>
      <c r="Y881" s="154">
        <f t="shared" ref="Y881" si="2543">M881*(1+Y882)</f>
        <v>-28.960852035994947</v>
      </c>
      <c r="Z881" s="154">
        <f t="shared" ref="Z881" si="2544">N881*(1+Z882)</f>
        <v>-28.960852035994947</v>
      </c>
      <c r="AA881" s="154">
        <f t="shared" ref="AA881" si="2545">O881*(1+AA882)</f>
        <v>-28.960852035994947</v>
      </c>
      <c r="AB881" s="154">
        <f t="shared" ref="AB881" si="2546">P881*(1+AB882)</f>
        <v>-28.960852035994947</v>
      </c>
      <c r="AC881" s="154">
        <f t="shared" ref="AC881" si="2547">Q881*(1+AC882)</f>
        <v>-28.960852035994947</v>
      </c>
      <c r="AD881" s="156">
        <f t="shared" ref="AD881" si="2548">R881*(1+AD882)</f>
        <v>-28.960852035994947</v>
      </c>
      <c r="AE881" s="15"/>
      <c r="AF881" s="115">
        <f>_xlfn.XLOOKUP($C881,'Site Level Financials - ''23 ''24'!$C$2:$C$1577,'Site Level Financials - ''23 ''24'!$AF$2:$AF$1577)</f>
        <v>-322.81463888132072</v>
      </c>
      <c r="AG881" s="93">
        <f>SUM(G881:R881)</f>
        <v>-332.49427636762977</v>
      </c>
      <c r="AH881" s="93">
        <f t="shared" ref="AH881" si="2549">SUM(S881:AD881)</f>
        <v>-342.46910465865864</v>
      </c>
    </row>
    <row r="882" spans="2:35" x14ac:dyDescent="0.2">
      <c r="B882" s="9">
        <f>G848</f>
        <v>18</v>
      </c>
      <c r="C882" s="9" t="str">
        <f t="shared" si="2444"/>
        <v>18 - % YoY Growth</v>
      </c>
      <c r="D882" s="9" t="s">
        <v>56</v>
      </c>
      <c r="F882" s="16" t="s">
        <v>8</v>
      </c>
      <c r="G882" s="245">
        <f>_xlfn.XLOOKUP($C882,'Site Level Financials - ''23 ''24'!$C$2:$C$1577,'Site Level Financials - ''23 ''24'!S$2:S$1577)</f>
        <v>2.9985125581208916E-2</v>
      </c>
      <c r="H882" s="246">
        <f>_xlfn.XLOOKUP($C882,'Site Level Financials - ''23 ''24'!$C$2:$C$1577,'Site Level Financials - ''23 ''24'!T$2:T$1577)</f>
        <v>2.9985125581208916E-2</v>
      </c>
      <c r="I882" s="246">
        <f>_xlfn.XLOOKUP($C882,'Site Level Financials - ''23 ''24'!$C$2:$C$1577,'Site Level Financials - ''23 ''24'!U$2:U$1577)</f>
        <v>2.9985125581208916E-2</v>
      </c>
      <c r="J882" s="246">
        <f>_xlfn.XLOOKUP($C882,'Site Level Financials - ''23 ''24'!$C$2:$C$1577,'Site Level Financials - ''23 ''24'!V$2:V$1577)</f>
        <v>2.9985125581208916E-2</v>
      </c>
      <c r="K882" s="246">
        <f>_xlfn.XLOOKUP($C882,'Site Level Financials - ''23 ''24'!$C$2:$C$1577,'Site Level Financials - ''23 ''24'!W$2:W$1577)</f>
        <v>2.9985125581208916E-2</v>
      </c>
      <c r="L882" s="246">
        <f>_xlfn.XLOOKUP($C882,'Site Level Financials - ''23 ''24'!$C$2:$C$1577,'Site Level Financials - ''23 ''24'!X$2:X$1577)</f>
        <v>2.9985125581208916E-2</v>
      </c>
      <c r="M882" s="246">
        <f>_xlfn.XLOOKUP($C882,'Site Level Financials - ''23 ''24'!$C$2:$C$1577,'Site Level Financials - ''23 ''24'!Y$2:Y$1577)</f>
        <v>2.9985125581209138E-2</v>
      </c>
      <c r="N882" s="246">
        <f>_xlfn.XLOOKUP($C882,'Site Level Financials - ''23 ''24'!$C$2:$C$1577,'Site Level Financials - ''23 ''24'!Z$2:Z$1577)</f>
        <v>2.9985125581209138E-2</v>
      </c>
      <c r="O882" s="246">
        <f>_xlfn.XLOOKUP($C882,'Site Level Financials - ''23 ''24'!$C$2:$C$1577,'Site Level Financials - ''23 ''24'!AA$2:AA$1577)</f>
        <v>2.9985125581209138E-2</v>
      </c>
      <c r="P882" s="246">
        <f>_xlfn.XLOOKUP($C882,'Site Level Financials - ''23 ''24'!$C$2:$C$1577,'Site Level Financials - ''23 ''24'!AB$2:AB$1577)</f>
        <v>2.9985125581209138E-2</v>
      </c>
      <c r="Q882" s="246">
        <f>_xlfn.XLOOKUP($C882,'Site Level Financials - ''23 ''24'!$C$2:$C$1577,'Site Level Financials - ''23 ''24'!AC$2:AC$1577)</f>
        <v>2.9985125581209138E-2</v>
      </c>
      <c r="R882" s="246">
        <f>_xlfn.XLOOKUP($C882,'Site Level Financials - ''23 ''24'!$C$2:$C$1577,'Site Level Financials - ''23 ''24'!AD$2:AD$1577)</f>
        <v>2.9985125581209138E-2</v>
      </c>
      <c r="S882" s="245">
        <f>_xlfn.XLOOKUP($F882,'Budget Assumption Driver'!$A$33:$A$39,'Budget Assumption Driver'!E$33:E$39)</f>
        <v>0.03</v>
      </c>
      <c r="T882" s="246">
        <f>_xlfn.XLOOKUP($F882,'Budget Assumption Driver'!$A$33:$A$39,'Budget Assumption Driver'!F$33:F$39)</f>
        <v>0.03</v>
      </c>
      <c r="U882" s="246">
        <f>_xlfn.XLOOKUP($F882,'Budget Assumption Driver'!$A$33:$A$39,'Budget Assumption Driver'!G$33:G$39)</f>
        <v>0.03</v>
      </c>
      <c r="V882" s="246">
        <f>_xlfn.XLOOKUP($F882,'Budget Assumption Driver'!$A$33:$A$39,'Budget Assumption Driver'!H$33:H$39)</f>
        <v>0.03</v>
      </c>
      <c r="W882" s="246">
        <f>_xlfn.XLOOKUP($F882,'Budget Assumption Driver'!$A$33:$A$39,'Budget Assumption Driver'!I$33:I$39)</f>
        <v>0.03</v>
      </c>
      <c r="X882" s="246">
        <f>_xlfn.XLOOKUP($F882,'Budget Assumption Driver'!$A$33:$A$39,'Budget Assumption Driver'!J$33:J$39)</f>
        <v>0.03</v>
      </c>
      <c r="Y882" s="246">
        <f>_xlfn.XLOOKUP($F882,'Budget Assumption Driver'!$A$33:$A$39,'Budget Assumption Driver'!K$33:K$39)</f>
        <v>0.03</v>
      </c>
      <c r="Z882" s="246">
        <f>_xlfn.XLOOKUP($F882,'Budget Assumption Driver'!$A$33:$A$39,'Budget Assumption Driver'!L$33:L$39)</f>
        <v>0.03</v>
      </c>
      <c r="AA882" s="246">
        <f>_xlfn.XLOOKUP($F882,'Budget Assumption Driver'!$A$33:$A$39,'Budget Assumption Driver'!M$33:M$39)</f>
        <v>0.03</v>
      </c>
      <c r="AB882" s="246">
        <f>_xlfn.XLOOKUP($F882,'Budget Assumption Driver'!$A$33:$A$39,'Budget Assumption Driver'!N$33:N$39)</f>
        <v>0.03</v>
      </c>
      <c r="AC882" s="246">
        <f>_xlfn.XLOOKUP($F882,'Budget Assumption Driver'!$A$33:$A$39,'Budget Assumption Driver'!O$33:O$39)</f>
        <v>0.03</v>
      </c>
      <c r="AD882" s="296">
        <f>_xlfn.XLOOKUP($F882,'Budget Assumption Driver'!$A$33:$A$39,'Budget Assumption Driver'!P$33:P$39)</f>
        <v>0.03</v>
      </c>
      <c r="AE882" s="15"/>
      <c r="AF882" s="11"/>
      <c r="AG882" s="97">
        <f>AG881/AF881-1</f>
        <v>2.9985125581209138E-2</v>
      </c>
      <c r="AH882" s="97">
        <f>AH881/AG881-1</f>
        <v>3.0000000000000027E-2</v>
      </c>
    </row>
    <row r="883" spans="2:35" ht="6" customHeight="1" x14ac:dyDescent="0.2">
      <c r="B883" s="9">
        <f>G848</f>
        <v>18</v>
      </c>
      <c r="C883" s="9" t="str">
        <f t="shared" si="2444"/>
        <v xml:space="preserve">18 - </v>
      </c>
      <c r="D883" s="9" t="s">
        <v>56</v>
      </c>
      <c r="F883" s="16"/>
      <c r="G883" s="80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80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81"/>
      <c r="AE883" s="15"/>
      <c r="AF883" s="11"/>
      <c r="AG883" s="15"/>
      <c r="AH883" s="15"/>
    </row>
    <row r="884" spans="2:35" x14ac:dyDescent="0.2">
      <c r="B884" s="9">
        <f>G848</f>
        <v>18</v>
      </c>
      <c r="C884" s="9" t="str">
        <f t="shared" si="2444"/>
        <v>18 - Office EBITDA</v>
      </c>
      <c r="D884" s="9" t="s">
        <v>56</v>
      </c>
      <c r="F884" s="8" t="s">
        <v>12</v>
      </c>
      <c r="G884" s="241">
        <f>_xlfn.XLOOKUP($C884,'Site Level Financials - ''23 ''24'!$C$2:$C$1577,'Site Level Financials - ''23 ''24'!S$2:S$1577)</f>
        <v>155.07605724772938</v>
      </c>
      <c r="H884" s="242">
        <f>_xlfn.XLOOKUP($C884,'Site Level Financials - ''23 ''24'!$C$2:$C$1577,'Site Level Financials - ''23 ''24'!T$2:T$1577)</f>
        <v>56.534987457061</v>
      </c>
      <c r="I884" s="242">
        <f>_xlfn.XLOOKUP($C884,'Site Level Financials - ''23 ''24'!$C$2:$C$1577,'Site Level Financials - ''23 ''24'!U$2:U$1577)</f>
        <v>61.814346408640255</v>
      </c>
      <c r="J884" s="242">
        <f>_xlfn.XLOOKUP($C884,'Site Level Financials - ''23 ''24'!$C$2:$C$1577,'Site Level Financials - ''23 ''24'!V$2:V$1577)</f>
        <v>115.33223560019988</v>
      </c>
      <c r="K884" s="242">
        <f>_xlfn.XLOOKUP($C884,'Site Level Financials - ''23 ''24'!$C$2:$C$1577,'Site Level Financials - ''23 ''24'!W$2:W$1577)</f>
        <v>161.72001083429186</v>
      </c>
      <c r="L884" s="242">
        <f>_xlfn.XLOOKUP($C884,'Site Level Financials - ''23 ''24'!$C$2:$C$1577,'Site Level Financials - ''23 ''24'!X$2:X$1577)</f>
        <v>134.74655088759465</v>
      </c>
      <c r="M884" s="242">
        <f>_xlfn.XLOOKUP($C884,'Site Level Financials - ''23 ''24'!$C$2:$C$1577,'Site Level Financials - ''23 ''24'!Y$2:Y$1577)</f>
        <v>215.98324575143531</v>
      </c>
      <c r="N884" s="242">
        <f>_xlfn.XLOOKUP($C884,'Site Level Financials - ''23 ''24'!$C$2:$C$1577,'Site Level Financials - ''23 ''24'!Z$2:Z$1577)</f>
        <v>194.83072872917688</v>
      </c>
      <c r="O884" s="242">
        <f>_xlfn.XLOOKUP($C884,'Site Level Financials - ''23 ''24'!$C$2:$C$1577,'Site Level Financials - ''23 ''24'!AA$2:AA$1577)</f>
        <v>136.7581402126452</v>
      </c>
      <c r="P884" s="242">
        <f>_xlfn.XLOOKUP($C884,'Site Level Financials - ''23 ''24'!$C$2:$C$1577,'Site Level Financials - ''23 ''24'!AB$2:AB$1577)</f>
        <v>172.41033267986154</v>
      </c>
      <c r="Q884" s="242">
        <f>_xlfn.XLOOKUP($C884,'Site Level Financials - ''23 ''24'!$C$2:$C$1577,'Site Level Financials - ''23 ''24'!AC$2:AC$1577)</f>
        <v>141.44086701251186</v>
      </c>
      <c r="R884" s="242">
        <f>_xlfn.XLOOKUP($C884,'Site Level Financials - ''23 ''24'!$C$2:$C$1577,'Site Level Financials - ''23 ''24'!AD$2:AD$1577)</f>
        <v>193.81681757975966</v>
      </c>
      <c r="S884" s="134">
        <f t="shared" ref="S884:AD884" si="2550">S872+S875+S878+S881</f>
        <v>227.41751392238439</v>
      </c>
      <c r="T884" s="135">
        <f t="shared" si="2550"/>
        <v>125.44542893541733</v>
      </c>
      <c r="U884" s="135">
        <f t="shared" si="2550"/>
        <v>134.14612513562059</v>
      </c>
      <c r="V884" s="135">
        <f t="shared" si="2550"/>
        <v>229.74916057642935</v>
      </c>
      <c r="W884" s="135">
        <f t="shared" si="2550"/>
        <v>332.3986877205391</v>
      </c>
      <c r="X884" s="135">
        <f t="shared" si="2550"/>
        <v>271.20475799602889</v>
      </c>
      <c r="Y884" s="135">
        <f t="shared" si="2550"/>
        <v>342.06804867004143</v>
      </c>
      <c r="Z884" s="135">
        <f t="shared" si="2550"/>
        <v>283.52933338334458</v>
      </c>
      <c r="AA884" s="135">
        <f t="shared" si="2550"/>
        <v>205.24468570669768</v>
      </c>
      <c r="AB884" s="135">
        <f t="shared" si="2550"/>
        <v>247.25828145327802</v>
      </c>
      <c r="AC884" s="135">
        <f t="shared" si="2550"/>
        <v>192.34661878067379</v>
      </c>
      <c r="AD884" s="136">
        <f t="shared" si="2550"/>
        <v>202.63547104633631</v>
      </c>
      <c r="AE884" s="15"/>
      <c r="AF884" s="113">
        <f>_xlfn.XLOOKUP($C884,'Site Level Financials - ''23 ''24'!$C$2:$C$1577,'Site Level Financials - ''23 ''24'!$AF$2:$AF$1577)</f>
        <v>1388.6402684472416</v>
      </c>
      <c r="AG884" s="95">
        <f>SUM(G884:R884)</f>
        <v>1740.4643204009076</v>
      </c>
      <c r="AH884" s="95">
        <f t="shared" ref="AH884" si="2551">SUM(S884:AD884)</f>
        <v>2793.444113326791</v>
      </c>
    </row>
    <row r="885" spans="2:35" x14ac:dyDescent="0.2">
      <c r="B885" s="9">
        <f>G848</f>
        <v>18</v>
      </c>
      <c r="C885" s="9" t="str">
        <f t="shared" si="2444"/>
        <v>18 - % of Revenue - Office EBITDA</v>
      </c>
      <c r="D885" s="9" t="s">
        <v>56</v>
      </c>
      <c r="F885" s="16" t="str">
        <f>"% of Revenue - "&amp;F884</f>
        <v>% of Revenue - Office EBITDA</v>
      </c>
      <c r="G885" s="148">
        <f>G884/G860</f>
        <v>0.36460447669268747</v>
      </c>
      <c r="H885" s="149">
        <f t="shared" ref="H885:AD885" si="2552">H884/H860</f>
        <v>0.16781708065566145</v>
      </c>
      <c r="I885" s="149">
        <f t="shared" si="2552"/>
        <v>0.16986390008496061</v>
      </c>
      <c r="J885" s="149">
        <f t="shared" si="2552"/>
        <v>0.29377085846232698</v>
      </c>
      <c r="K885" s="149">
        <f t="shared" si="2552"/>
        <v>0.36564248949776218</v>
      </c>
      <c r="L885" s="149">
        <f t="shared" si="2552"/>
        <v>0.35135327144757805</v>
      </c>
      <c r="M885" s="149">
        <f t="shared" si="2552"/>
        <v>0.46000659654764003</v>
      </c>
      <c r="N885" s="149">
        <f t="shared" si="2552"/>
        <v>0.44623714316167129</v>
      </c>
      <c r="O885" s="149">
        <f t="shared" si="2552"/>
        <v>0.34624038608451901</v>
      </c>
      <c r="P885" s="149">
        <f t="shared" si="2552"/>
        <v>0.36855128318697089</v>
      </c>
      <c r="Q885" s="149">
        <f t="shared" si="2552"/>
        <v>0.36242866889834185</v>
      </c>
      <c r="R885" s="149">
        <f t="shared" si="2552"/>
        <v>0.48648120896006475</v>
      </c>
      <c r="S885" s="148">
        <f t="shared" si="2552"/>
        <v>0.38160581936714894</v>
      </c>
      <c r="T885" s="149">
        <f t="shared" si="2552"/>
        <v>0.20328470570493554</v>
      </c>
      <c r="U885" s="149">
        <f t="shared" si="2552"/>
        <v>0.20244588406558545</v>
      </c>
      <c r="V885" s="149">
        <f t="shared" si="2552"/>
        <v>0.32369037111583676</v>
      </c>
      <c r="W885" s="149">
        <f t="shared" si="2552"/>
        <v>0.39403217997295292</v>
      </c>
      <c r="X885" s="149">
        <f t="shared" si="2552"/>
        <v>0.38284266552106838</v>
      </c>
      <c r="Y885" s="149">
        <f t="shared" si="2552"/>
        <v>0.47931119673529837</v>
      </c>
      <c r="Z885" s="149">
        <f t="shared" si="2552"/>
        <v>0.46331202894320761</v>
      </c>
      <c r="AA885" s="149">
        <f t="shared" si="2552"/>
        <v>0.36580981274135876</v>
      </c>
      <c r="AB885" s="149">
        <f t="shared" si="2552"/>
        <v>0.38371256597780551</v>
      </c>
      <c r="AC885" s="149">
        <f t="shared" si="2552"/>
        <v>0.37761993292695689</v>
      </c>
      <c r="AD885" s="150">
        <f t="shared" si="2552"/>
        <v>0.4873966671653347</v>
      </c>
      <c r="AE885" s="15"/>
      <c r="AF885" s="232">
        <f>_xlfn.XLOOKUP($C885,'Site Level Financials - ''23 ''24'!$C$2:$C$1577,'Site Level Financials - ''23 ''24'!$AF$2:$AF$1577)</f>
        <v>0.30694607702220955</v>
      </c>
      <c r="AG885" s="97">
        <f t="shared" ref="AG885:AH885" si="2553">AG884/AG860</f>
        <v>0.35504562574808718</v>
      </c>
      <c r="AH885" s="97">
        <f t="shared" si="2553"/>
        <v>0.36786694028965611</v>
      </c>
    </row>
    <row r="886" spans="2:35" ht="6" customHeight="1" x14ac:dyDescent="0.2">
      <c r="B886" s="9">
        <f>G848</f>
        <v>18</v>
      </c>
      <c r="C886" s="9" t="str">
        <f t="shared" si="2444"/>
        <v xml:space="preserve">18 - </v>
      </c>
      <c r="D886" s="9" t="s">
        <v>56</v>
      </c>
      <c r="G886" s="80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80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81"/>
      <c r="AE886" s="15"/>
      <c r="AF886" s="11"/>
      <c r="AG886" s="15"/>
      <c r="AH886" s="15"/>
    </row>
    <row r="887" spans="2:35" x14ac:dyDescent="0.2">
      <c r="B887" s="9">
        <f>G848</f>
        <v>18</v>
      </c>
      <c r="C887" s="9" t="str">
        <f t="shared" si="2444"/>
        <v>18 - Memo:</v>
      </c>
      <c r="D887" s="9" t="s">
        <v>56</v>
      </c>
      <c r="F887" s="6" t="s">
        <v>13</v>
      </c>
      <c r="G887" s="80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80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81"/>
      <c r="AE887" s="15"/>
      <c r="AF887" s="11"/>
      <c r="AG887" s="15"/>
      <c r="AH887" s="15"/>
    </row>
    <row r="888" spans="2:35" s="24" customFormat="1" x14ac:dyDescent="0.2">
      <c r="B888" s="9">
        <f>G848</f>
        <v>18</v>
      </c>
      <c r="C888" s="9" t="str">
        <f t="shared" si="2444"/>
        <v>18 - Collections</v>
      </c>
      <c r="D888" s="9" t="s">
        <v>56</v>
      </c>
      <c r="E888" s="49"/>
      <c r="F888" s="24" t="s">
        <v>15</v>
      </c>
      <c r="G888" s="247">
        <f>_xlfn.XLOOKUP($C888,'Site Level Financials - ''23 ''24'!$C$2:$C$1577,'Site Level Financials - ''23 ''24'!S$2:S$1577)</f>
        <v>424.51255028321725</v>
      </c>
      <c r="H888" s="248">
        <f>_xlfn.XLOOKUP($C888,'Site Level Financials - ''23 ''24'!$C$2:$C$1577,'Site Level Financials - ''23 ''24'!T$2:T$1577)</f>
        <v>337.09692026503393</v>
      </c>
      <c r="I888" s="248">
        <f>_xlfn.XLOOKUP($C888,'Site Level Financials - ''23 ''24'!$C$2:$C$1577,'Site Level Financials - ''23 ''24'!U$2:U$1577)</f>
        <v>372.56729838713284</v>
      </c>
      <c r="J888" s="248">
        <f>_xlfn.XLOOKUP($C888,'Site Level Financials - ''23 ''24'!$C$2:$C$1577,'Site Level Financials - ''23 ''24'!V$2:V$1577)</f>
        <v>397.94881423725468</v>
      </c>
      <c r="K888" s="248">
        <f>_xlfn.XLOOKUP($C888,'Site Level Financials - ''23 ''24'!$C$2:$C$1577,'Site Level Financials - ''23 ''24'!W$2:W$1577)</f>
        <v>454.80025602292454</v>
      </c>
      <c r="L888" s="248">
        <f>_xlfn.XLOOKUP($C888,'Site Level Financials - ''23 ''24'!$C$2:$C$1577,'Site Level Financials - ''23 ''24'!X$2:X$1577)</f>
        <v>384.56029991044284</v>
      </c>
      <c r="M888" s="248">
        <f>_xlfn.XLOOKUP($C888,'Site Level Financials - ''23 ''24'!$C$2:$C$1577,'Site Level Financials - ''23 ''24'!Y$2:Y$1577)</f>
        <v>470.34891440624818</v>
      </c>
      <c r="N888" s="248">
        <f>_xlfn.XLOOKUP($C888,'Site Level Financials - ''23 ''24'!$C$2:$C$1577,'Site Level Financials - ''23 ''24'!Z$2:Z$1577)</f>
        <v>436.98428346513145</v>
      </c>
      <c r="O888" s="248">
        <f>_xlfn.XLOOKUP($C888,'Site Level Financials - ''23 ''24'!$C$2:$C$1577,'Site Level Financials - ''23 ''24'!AA$2:AA$1577)</f>
        <v>405.94500078089339</v>
      </c>
      <c r="P888" s="248">
        <f>_xlfn.XLOOKUP($C888,'Site Level Financials - ''23 ''24'!$C$2:$C$1577,'Site Level Financials - ''23 ''24'!AB$2:AB$1577)</f>
        <v>471.27952806420245</v>
      </c>
      <c r="Q888" s="248">
        <f>_xlfn.XLOOKUP($C888,'Site Level Financials - ''23 ''24'!$C$2:$C$1577,'Site Level Financials - ''23 ''24'!AC$2:AC$1577)</f>
        <v>401.29927657594135</v>
      </c>
      <c r="R888" s="248">
        <f>_xlfn.XLOOKUP($C888,'Site Level Financials - ''23 ''24'!$C$2:$C$1577,'Site Level Financials - ''23 ''24'!AD$2:AD$1577)</f>
        <v>400.14399846585565</v>
      </c>
      <c r="S888" s="169">
        <f t="shared" ref="S888:AD888" si="2554">S889*S858</f>
        <v>595.94875754130578</v>
      </c>
      <c r="T888" s="170">
        <f t="shared" si="2554"/>
        <v>617.09231149685866</v>
      </c>
      <c r="U888" s="170">
        <f t="shared" si="2554"/>
        <v>662.62708058891383</v>
      </c>
      <c r="V888" s="170">
        <f t="shared" si="2554"/>
        <v>709.78064557320636</v>
      </c>
      <c r="W888" s="170">
        <f t="shared" si="2554"/>
        <v>843.58259201914814</v>
      </c>
      <c r="X888" s="170">
        <f t="shared" si="2554"/>
        <v>708.39742385270824</v>
      </c>
      <c r="Y888" s="170">
        <f t="shared" si="2554"/>
        <v>713.66588345932166</v>
      </c>
      <c r="Z888" s="170">
        <f t="shared" si="2554"/>
        <v>611.96195149532662</v>
      </c>
      <c r="AA888" s="170">
        <f t="shared" si="2554"/>
        <v>561.06938238918531</v>
      </c>
      <c r="AB888" s="170">
        <f t="shared" si="2554"/>
        <v>644.38411294453101</v>
      </c>
      <c r="AC888" s="170">
        <f t="shared" si="2554"/>
        <v>509.36563991678753</v>
      </c>
      <c r="AD888" s="171">
        <f t="shared" si="2554"/>
        <v>415.75062920485317</v>
      </c>
      <c r="AE888" s="26"/>
      <c r="AF888" s="234">
        <f>_xlfn.XLOOKUP($C888,'Site Level Financials - ''23 ''24'!$C$2:$C$1577,'Site Level Financials - ''23 ''24'!$AF$2:$AF$1577)</f>
        <v>4576.4104920819709</v>
      </c>
      <c r="AG888" s="99">
        <f>SUM(G888:R888)</f>
        <v>4957.4871408642775</v>
      </c>
      <c r="AH888" s="99">
        <f t="shared" ref="AH888" si="2555">SUM(S888:AD888)</f>
        <v>7593.6264104821457</v>
      </c>
    </row>
    <row r="889" spans="2:35" x14ac:dyDescent="0.2">
      <c r="B889" s="9">
        <f>G848</f>
        <v>18</v>
      </c>
      <c r="C889" s="9" t="str">
        <f t="shared" si="2444"/>
        <v>18 - Collections as a % of Production</v>
      </c>
      <c r="D889" s="9" t="s">
        <v>56</v>
      </c>
      <c r="F889" s="16" t="s">
        <v>17</v>
      </c>
      <c r="G889" s="245">
        <f>_xlfn.XLOOKUP($C889,'Site Level Financials - ''23 ''24'!$C$2:$C$1577,'Site Level Financials - ''23 ''24'!S$2:S$1577)</f>
        <v>0.96758654531275523</v>
      </c>
      <c r="H889" s="246">
        <f>_xlfn.XLOOKUP($C889,'Site Level Financials - ''23 ''24'!$C$2:$C$1577,'Site Level Financials - ''23 ''24'!T$2:T$1577)</f>
        <v>0.97005349989642031</v>
      </c>
      <c r="I889" s="246">
        <f>_xlfn.XLOOKUP($C889,'Site Level Financials - ''23 ''24'!$C$2:$C$1577,'Site Level Financials - ''23 ''24'!U$2:U$1577)</f>
        <v>0.9925184364234001</v>
      </c>
      <c r="J889" s="246">
        <f>_xlfn.XLOOKUP($C889,'Site Level Financials - ''23 ''24'!$C$2:$C$1577,'Site Level Financials - ''23 ''24'!V$2:V$1577)</f>
        <v>0.98266900362017595</v>
      </c>
      <c r="K889" s="246">
        <f>_xlfn.XLOOKUP($C889,'Site Level Financials - ''23 ''24'!$C$2:$C$1577,'Site Level Financials - ''23 ''24'!W$2:W$1577)</f>
        <v>0.99686336617713422</v>
      </c>
      <c r="L889" s="246">
        <f>_xlfn.XLOOKUP($C889,'Site Level Financials - ''23 ''24'!$C$2:$C$1577,'Site Level Financials - ''23 ''24'!X$2:X$1577)</f>
        <v>0.97210422906567762</v>
      </c>
      <c r="M889" s="246">
        <f>_xlfn.XLOOKUP($C889,'Site Level Financials - ''23 ''24'!$C$2:$C$1577,'Site Level Financials - ''23 ''24'!Y$2:Y$1577)</f>
        <v>0.97114970503756493</v>
      </c>
      <c r="N889" s="246">
        <f>_xlfn.XLOOKUP($C889,'Site Level Financials - ''23 ''24'!$C$2:$C$1577,'Site Level Financials - ''23 ''24'!Z$2:Z$1577)</f>
        <v>0.97027785515520104</v>
      </c>
      <c r="O889" s="246">
        <f>_xlfn.XLOOKUP($C889,'Site Level Financials - ''23 ''24'!$C$2:$C$1577,'Site Level Financials - ''23 ''24'!AA$2:AA$1577)</f>
        <v>0.99635424408293205</v>
      </c>
      <c r="P889" s="246">
        <f>_xlfn.XLOOKUP($C889,'Site Level Financials - ''23 ''24'!$C$2:$C$1577,'Site Level Financials - ''23 ''24'!AB$2:AB$1577)</f>
        <v>0.97664167628931131</v>
      </c>
      <c r="Q889" s="246">
        <f>_xlfn.XLOOKUP($C889,'Site Level Financials - ''23 ''24'!$C$2:$C$1577,'Site Level Financials - ''23 ''24'!AC$2:AC$1577)</f>
        <v>0.99686890962177144</v>
      </c>
      <c r="R889" s="246">
        <f>_xlfn.XLOOKUP($C889,'Site Level Financials - ''23 ''24'!$C$2:$C$1577,'Site Level Financials - ''23 ''24'!AD$2:AD$1577)</f>
        <v>0.97367262376195174</v>
      </c>
      <c r="S889" s="148">
        <f>S859</f>
        <v>0.98039859126351636</v>
      </c>
      <c r="T889" s="149">
        <f t="shared" ref="T889:AD889" si="2556">T859</f>
        <v>0.98039859126351636</v>
      </c>
      <c r="U889" s="149">
        <f t="shared" si="2556"/>
        <v>0.98039859126351636</v>
      </c>
      <c r="V889" s="149">
        <f t="shared" si="2556"/>
        <v>0.98039859126351636</v>
      </c>
      <c r="W889" s="149">
        <f t="shared" si="2556"/>
        <v>0.98039859126351636</v>
      </c>
      <c r="X889" s="149">
        <f t="shared" si="2556"/>
        <v>0.98039859126351636</v>
      </c>
      <c r="Y889" s="149">
        <f t="shared" si="2556"/>
        <v>0.98039859126351636</v>
      </c>
      <c r="Z889" s="149">
        <f t="shared" si="2556"/>
        <v>0.98039859126351636</v>
      </c>
      <c r="AA889" s="149">
        <f t="shared" si="2556"/>
        <v>0.98039859126351636</v>
      </c>
      <c r="AB889" s="149">
        <f t="shared" si="2556"/>
        <v>0.98039859126351636</v>
      </c>
      <c r="AC889" s="149">
        <f t="shared" si="2556"/>
        <v>0.98039859126351636</v>
      </c>
      <c r="AD889" s="150">
        <f t="shared" si="2556"/>
        <v>0.98039859126351636</v>
      </c>
      <c r="AE889" s="15"/>
      <c r="AF889" s="232">
        <f>_xlfn.XLOOKUP($C889,'Site Level Financials - ''23 ''24'!$C$2:$C$1577,'Site Level Financials - ''23 ''24'!$AF$2:$AF$1577)</f>
        <v>0.98575499125323995</v>
      </c>
      <c r="AG889" s="97">
        <f t="shared" ref="AG889:AH889" si="2557">AG888/AG858</f>
        <v>0.98039859126351636</v>
      </c>
      <c r="AH889" s="97">
        <f t="shared" si="2557"/>
        <v>0.98039859126351636</v>
      </c>
    </row>
    <row r="890" spans="2:35" ht="6" customHeight="1" x14ac:dyDescent="0.2">
      <c r="B890" s="9">
        <f>G848</f>
        <v>18</v>
      </c>
      <c r="C890" s="9" t="str">
        <f t="shared" si="2444"/>
        <v xml:space="preserve">18 - </v>
      </c>
      <c r="D890" s="9" t="s">
        <v>56</v>
      </c>
      <c r="F890" s="27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81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81"/>
      <c r="AE890" s="15"/>
      <c r="AF890" s="11"/>
      <c r="AH890" s="224"/>
    </row>
    <row r="891" spans="2:35" s="24" customFormat="1" x14ac:dyDescent="0.2">
      <c r="B891" s="9">
        <f>G848</f>
        <v>18</v>
      </c>
      <c r="C891" s="9" t="str">
        <f t="shared" si="2444"/>
        <v>18 - Production per Vet Workday - YoY Change</v>
      </c>
      <c r="D891" s="9" t="s">
        <v>56</v>
      </c>
      <c r="E891" s="49"/>
      <c r="F891" s="24" t="s">
        <v>55</v>
      </c>
      <c r="G891" s="249">
        <f>_xlfn.XLOOKUP($C891,'Site Level Financials - ''23 ''24'!$C$2:$C$1577,'Site Level Financials - ''23 ''24'!S$2:S$1577)</f>
        <v>8.2348646003851389E-3</v>
      </c>
      <c r="H891" s="250">
        <f>_xlfn.XLOOKUP($C891,'Site Level Financials - ''23 ''24'!$C$2:$C$1577,'Site Level Financials - ''23 ''24'!T$2:T$1577)</f>
        <v>2.3964090790267845E-2</v>
      </c>
      <c r="I891" s="250">
        <f>_xlfn.XLOOKUP($C891,'Site Level Financials - ''23 ''24'!$C$2:$C$1577,'Site Level Financials - ''23 ''24'!U$2:U$1577)</f>
        <v>8.6933820820422891E-3</v>
      </c>
      <c r="J891" s="250">
        <f>_xlfn.XLOOKUP($C891,'Site Level Financials - ''23 ''24'!$C$2:$C$1577,'Site Level Financials - ''23 ''24'!V$2:V$1577)</f>
        <v>2.9849261452552511E-4</v>
      </c>
      <c r="K891" s="250">
        <f>_xlfn.XLOOKUP($C891,'Site Level Financials - ''23 ''24'!$C$2:$C$1577,'Site Level Financials - ''23 ''24'!W$2:W$1577)</f>
        <v>-9.1070561959290752E-2</v>
      </c>
      <c r="L891" s="250">
        <f>_xlfn.XLOOKUP($C891,'Site Level Financials - ''23 ''24'!$C$2:$C$1577,'Site Level Financials - ''23 ''24'!X$2:X$1577)</f>
        <v>-6.8468208750658288E-2</v>
      </c>
      <c r="M891" s="250">
        <f>_xlfn.XLOOKUP($C891,'Site Level Financials - ''23 ''24'!$C$2:$C$1577,'Site Level Financials - ''23 ''24'!Y$2:Y$1577)</f>
        <v>-0.12070834256695528</v>
      </c>
      <c r="N891" s="250">
        <f>_xlfn.XLOOKUP($C891,'Site Level Financials - ''23 ''24'!$C$2:$C$1577,'Site Level Financials - ''23 ''24'!Z$2:Z$1577)</f>
        <v>-4.381439248233876E-2</v>
      </c>
      <c r="O891" s="250">
        <f>_xlfn.XLOOKUP($C891,'Site Level Financials - ''23 ''24'!$C$2:$C$1577,'Site Level Financials - ''23 ''24'!AA$2:AA$1577)</f>
        <v>-7.4100102701097903E-3</v>
      </c>
      <c r="P891" s="250">
        <f>_xlfn.XLOOKUP($C891,'Site Level Financials - ''23 ''24'!$C$2:$C$1577,'Site Level Financials - ''23 ''24'!AB$2:AB$1577)</f>
        <v>3.8795115494454357E-3</v>
      </c>
      <c r="Q891" s="250">
        <f>_xlfn.XLOOKUP($C891,'Site Level Financials - ''23 ''24'!$C$2:$C$1577,'Site Level Financials - ''23 ''24'!AC$2:AC$1577)</f>
        <v>-1.5281276155691192E-2</v>
      </c>
      <c r="R891" s="251">
        <f>_xlfn.XLOOKUP($C891,'Site Level Financials - ''23 ''24'!$C$2:$C$1577,'Site Level Financials - ''23 ''24'!AD$2:AD$1577)</f>
        <v>3.1074070166762668E-2</v>
      </c>
      <c r="S891" s="151">
        <f>S857/G857-1</f>
        <v>0.10839743878265118</v>
      </c>
      <c r="T891" s="152">
        <f t="shared" ref="T891" si="2558">T857/H857-1</f>
        <v>8.6774924934661213E-2</v>
      </c>
      <c r="U891" s="152">
        <f t="shared" ref="U891" si="2559">U857/I857-1</f>
        <v>8.0317976536046443E-2</v>
      </c>
      <c r="V891" s="152">
        <f t="shared" ref="V891" si="2560">V857/J857-1</f>
        <v>7.2636983415275802E-2</v>
      </c>
      <c r="W891" s="152">
        <f t="shared" ref="W891" si="2561">W857/K857-1</f>
        <v>0.13159525281090612</v>
      </c>
      <c r="X891" s="152">
        <f t="shared" ref="X891" si="2562">X857/L857-1</f>
        <v>9.59075772101321E-2</v>
      </c>
      <c r="Y891" s="152">
        <f t="shared" ref="Y891" si="2563">Y857/M857-1</f>
        <v>0.20239809918578344</v>
      </c>
      <c r="Z891" s="152">
        <f t="shared" ref="Z891" si="2564">Z857/N857-1</f>
        <v>0.10877144162018904</v>
      </c>
      <c r="AA891" s="152">
        <f t="shared" ref="AA891" si="2565">AA857/O857-1</f>
        <v>0.12370019426637113</v>
      </c>
      <c r="AB891" s="152">
        <f t="shared" ref="AB891" si="2566">AB857/P857-1</f>
        <v>8.965448601244197E-2</v>
      </c>
      <c r="AC891" s="152">
        <f t="shared" ref="AC891" si="2567">AC857/Q857-1</f>
        <v>3.2491841420311474E-2</v>
      </c>
      <c r="AD891" s="153">
        <f t="shared" ref="AD891" si="2568">AD857/R857-1</f>
        <v>3.1874519628317444E-2</v>
      </c>
      <c r="AF891" s="43"/>
      <c r="AG891" s="177">
        <f>AG857/AF857-1</f>
        <v>-4.9800406709285872E-2</v>
      </c>
      <c r="AH891" s="225">
        <f>AH857/AG857-1</f>
        <v>0.12404189635015861</v>
      </c>
    </row>
    <row r="892" spans="2:35" s="24" customFormat="1" ht="6" customHeight="1" x14ac:dyDescent="0.2">
      <c r="D892" s="9" t="s">
        <v>56</v>
      </c>
      <c r="E892" s="49"/>
      <c r="G892" s="28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29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29"/>
      <c r="AE892" s="25"/>
      <c r="AF892" s="28"/>
      <c r="AG892" s="30"/>
      <c r="AH892" s="226"/>
    </row>
    <row r="893" spans="2:35" s="24" customFormat="1" ht="6" customHeight="1" x14ac:dyDescent="0.2">
      <c r="D893" s="9" t="s">
        <v>56</v>
      </c>
      <c r="E893" s="49"/>
    </row>
    <row r="894" spans="2:35" x14ac:dyDescent="0.2">
      <c r="D894" s="9" t="s">
        <v>56</v>
      </c>
      <c r="F894" s="16"/>
    </row>
    <row r="895" spans="2:35" ht="15.75" thickBot="1" x14ac:dyDescent="0.4">
      <c r="B895" s="35" t="s">
        <v>52</v>
      </c>
      <c r="C895" s="35"/>
      <c r="D895" s="9" t="s">
        <v>56</v>
      </c>
      <c r="E895" s="48" t="s">
        <v>0</v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74"/>
      <c r="AH895" s="3">
        <f ca="1">TODAY()</f>
        <v>45999</v>
      </c>
      <c r="AI895" s="1"/>
    </row>
    <row r="896" spans="2:35" x14ac:dyDescent="0.2">
      <c r="B896" s="9">
        <f>G897</f>
        <v>19</v>
      </c>
      <c r="C896" s="9"/>
      <c r="D896" s="9" t="s">
        <v>56</v>
      </c>
      <c r="F896" t="s">
        <v>159</v>
      </c>
      <c r="AG896" s="6"/>
      <c r="AH896" s="6" t="s">
        <v>16</v>
      </c>
    </row>
    <row r="897" spans="2:34" x14ac:dyDescent="0.2">
      <c r="B897" s="9">
        <f>G897</f>
        <v>19</v>
      </c>
      <c r="C897" s="9"/>
      <c r="D897" s="9" t="s">
        <v>56</v>
      </c>
      <c r="F897" s="40" t="s">
        <v>53</v>
      </c>
      <c r="G897" s="42">
        <v>19</v>
      </c>
    </row>
    <row r="898" spans="2:34" x14ac:dyDescent="0.2">
      <c r="B898" s="9">
        <f>G897</f>
        <v>19</v>
      </c>
      <c r="C898" s="9"/>
      <c r="D898" s="9" t="s">
        <v>56</v>
      </c>
      <c r="F898" s="39" t="s">
        <v>36</v>
      </c>
      <c r="G898" s="41"/>
      <c r="H898" s="11"/>
    </row>
    <row r="899" spans="2:34" x14ac:dyDescent="0.2">
      <c r="B899" s="9">
        <f>G897</f>
        <v>19</v>
      </c>
      <c r="C899" s="9"/>
      <c r="D899" s="9" t="s">
        <v>56</v>
      </c>
      <c r="G899" s="23"/>
    </row>
    <row r="900" spans="2:34" x14ac:dyDescent="0.2">
      <c r="B900" s="9">
        <f>G897</f>
        <v>19</v>
      </c>
      <c r="C900" s="9"/>
      <c r="D900" s="9" t="s">
        <v>56</v>
      </c>
      <c r="G900" s="208" t="s">
        <v>229</v>
      </c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10"/>
      <c r="S900" s="266" t="s">
        <v>230</v>
      </c>
      <c r="T900" s="267"/>
      <c r="U900" s="267"/>
      <c r="V900" s="267"/>
      <c r="W900" s="267"/>
      <c r="X900" s="267"/>
      <c r="Y900" s="267"/>
      <c r="Z900" s="267"/>
      <c r="AA900" s="267"/>
      <c r="AB900" s="267"/>
      <c r="AC900" s="267"/>
      <c r="AD900" s="268"/>
      <c r="AF900" s="17" t="s">
        <v>231</v>
      </c>
      <c r="AG900" s="50"/>
      <c r="AH900" s="269" t="s">
        <v>232</v>
      </c>
    </row>
    <row r="901" spans="2:34" ht="15" customHeight="1" x14ac:dyDescent="0.35">
      <c r="B901" s="9">
        <f>G897</f>
        <v>19</v>
      </c>
      <c r="C901" s="9"/>
      <c r="D901" s="9" t="s">
        <v>56</v>
      </c>
      <c r="G901" s="211">
        <v>44957</v>
      </c>
      <c r="H901" s="212">
        <f>EOMONTH(G901,1)</f>
        <v>44985</v>
      </c>
      <c r="I901" s="212">
        <f t="shared" ref="I901" si="2569">EOMONTH(H901,1)</f>
        <v>45016</v>
      </c>
      <c r="J901" s="212">
        <f t="shared" ref="J901" si="2570">EOMONTH(I901,1)</f>
        <v>45046</v>
      </c>
      <c r="K901" s="212">
        <f t="shared" ref="K901" si="2571">EOMONTH(J901,1)</f>
        <v>45077</v>
      </c>
      <c r="L901" s="212">
        <f t="shared" ref="L901" si="2572">EOMONTH(K901,1)</f>
        <v>45107</v>
      </c>
      <c r="M901" s="212">
        <f t="shared" ref="M901" si="2573">EOMONTH(L901,1)</f>
        <v>45138</v>
      </c>
      <c r="N901" s="212">
        <f t="shared" ref="N901" si="2574">EOMONTH(M901,1)</f>
        <v>45169</v>
      </c>
      <c r="O901" s="212">
        <f t="shared" ref="O901" si="2575">EOMONTH(N901,1)</f>
        <v>45199</v>
      </c>
      <c r="P901" s="212">
        <f t="shared" ref="P901" si="2576">EOMONTH(O901,1)</f>
        <v>45230</v>
      </c>
      <c r="Q901" s="212">
        <f t="shared" ref="Q901" si="2577">EOMONTH(P901,1)</f>
        <v>45260</v>
      </c>
      <c r="R901" s="213">
        <f t="shared" ref="R901" si="2578">EOMONTH(Q901,1)</f>
        <v>45291</v>
      </c>
      <c r="S901" s="4">
        <f t="shared" ref="S901" si="2579">EOMONTH(R901,1)</f>
        <v>45322</v>
      </c>
      <c r="T901" s="19">
        <f t="shared" ref="T901" si="2580">EOMONTH(S901,1)</f>
        <v>45351</v>
      </c>
      <c r="U901" s="19">
        <f t="shared" ref="U901" si="2581">EOMONTH(T901,1)</f>
        <v>45382</v>
      </c>
      <c r="V901" s="19">
        <f t="shared" ref="V901" si="2582">EOMONTH(U901,1)</f>
        <v>45412</v>
      </c>
      <c r="W901" s="19">
        <f t="shared" ref="W901" si="2583">EOMONTH(V901,1)</f>
        <v>45443</v>
      </c>
      <c r="X901" s="19">
        <f t="shared" ref="X901" si="2584">EOMONTH(W901,1)</f>
        <v>45473</v>
      </c>
      <c r="Y901" s="19">
        <f t="shared" ref="Y901" si="2585">EOMONTH(X901,1)</f>
        <v>45504</v>
      </c>
      <c r="Z901" s="19">
        <f t="shared" ref="Z901" si="2586">EOMONTH(Y901,1)</f>
        <v>45535</v>
      </c>
      <c r="AA901" s="19">
        <f t="shared" ref="AA901" si="2587">EOMONTH(Z901,1)</f>
        <v>45565</v>
      </c>
      <c r="AB901" s="19">
        <f t="shared" ref="AB901" si="2588">EOMONTH(AA901,1)</f>
        <v>45596</v>
      </c>
      <c r="AC901" s="19">
        <f t="shared" ref="AC901" si="2589">EOMONTH(AB901,1)</f>
        <v>45626</v>
      </c>
      <c r="AD901" s="5">
        <f t="shared" ref="AD901" si="2590">EOMONTH(AC901,1)</f>
        <v>45657</v>
      </c>
      <c r="AE901" s="168"/>
      <c r="AF901" s="13">
        <v>45291</v>
      </c>
      <c r="AG901" s="14">
        <v>45657</v>
      </c>
      <c r="AH901" s="14">
        <v>46022</v>
      </c>
    </row>
    <row r="902" spans="2:34" ht="0.95" customHeight="1" x14ac:dyDescent="0.2">
      <c r="B902" s="9">
        <f>G897</f>
        <v>19</v>
      </c>
      <c r="C902" s="9"/>
      <c r="D902" s="9" t="s">
        <v>56</v>
      </c>
      <c r="G902" s="11"/>
      <c r="S902" s="11"/>
      <c r="AD902" s="15"/>
      <c r="AE902" s="15"/>
      <c r="AF902" s="11"/>
      <c r="AG902" s="15"/>
      <c r="AH902" s="15"/>
    </row>
    <row r="903" spans="2:34" x14ac:dyDescent="0.2">
      <c r="B903" s="9">
        <f>G897</f>
        <v>19</v>
      </c>
      <c r="C903" s="9" t="str">
        <f>B903&amp;" - "&amp;F903</f>
        <v>19 - Employed Vets</v>
      </c>
      <c r="D903" s="9" t="s">
        <v>56</v>
      </c>
      <c r="F903" s="7" t="s">
        <v>160</v>
      </c>
      <c r="G903" s="178">
        <f>_xlfn.XLOOKUP($C903,'Site Level Financials - ''23 ''24'!$C$2:$C$1577,'Site Level Financials - ''23 ''24'!S$2:S$1577)</f>
        <v>4</v>
      </c>
      <c r="H903" s="179">
        <f>_xlfn.XLOOKUP($C903,'Site Level Financials - ''23 ''24'!$C$2:$C$1577,'Site Level Financials - ''23 ''24'!T$2:T$1577)</f>
        <v>3</v>
      </c>
      <c r="I903" s="179">
        <f>_xlfn.XLOOKUP($C903,'Site Level Financials - ''23 ''24'!$C$2:$C$1577,'Site Level Financials - ''23 ''24'!U$2:U$1577)</f>
        <v>3</v>
      </c>
      <c r="J903" s="179">
        <f>_xlfn.XLOOKUP($C903,'Site Level Financials - ''23 ''24'!$C$2:$C$1577,'Site Level Financials - ''23 ''24'!V$2:V$1577)</f>
        <v>3</v>
      </c>
      <c r="K903" s="179">
        <f>_xlfn.XLOOKUP($C903,'Site Level Financials - ''23 ''24'!$C$2:$C$1577,'Site Level Financials - ''23 ''24'!W$2:W$1577)</f>
        <v>2</v>
      </c>
      <c r="L903" s="179">
        <f>_xlfn.XLOOKUP($C903,'Site Level Financials - ''23 ''24'!$C$2:$C$1577,'Site Level Financials - ''23 ''24'!X$2:X$1577)</f>
        <v>2</v>
      </c>
      <c r="M903" s="179">
        <f>_xlfn.XLOOKUP($C903,'Site Level Financials - ''23 ''24'!$C$2:$C$1577,'Site Level Financials - ''23 ''24'!Y$2:Y$1577)</f>
        <v>2</v>
      </c>
      <c r="N903" s="179">
        <f>_xlfn.XLOOKUP($C903,'Site Level Financials - ''23 ''24'!$C$2:$C$1577,'Site Level Financials - ''23 ''24'!Z$2:Z$1577)</f>
        <v>3</v>
      </c>
      <c r="O903" s="179">
        <f>_xlfn.XLOOKUP($C903,'Site Level Financials - ''23 ''24'!$C$2:$C$1577,'Site Level Financials - ''23 ''24'!AA$2:AA$1577)</f>
        <v>3</v>
      </c>
      <c r="P903" s="179">
        <f>_xlfn.XLOOKUP($C903,'Site Level Financials - ''23 ''24'!$C$2:$C$1577,'Site Level Financials - ''23 ''24'!AB$2:AB$1577)</f>
        <v>3</v>
      </c>
      <c r="Q903" s="179">
        <f>_xlfn.XLOOKUP($C903,'Site Level Financials - ''23 ''24'!$C$2:$C$1577,'Site Level Financials - ''23 ''24'!AC$2:AC$1577)</f>
        <v>4</v>
      </c>
      <c r="R903" s="179">
        <f>_xlfn.XLOOKUP($C903,'Site Level Financials - ''23 ''24'!$C$2:$C$1577,'Site Level Financials - ''23 ''24'!AD$2:AD$1577)</f>
        <v>5</v>
      </c>
      <c r="S903" s="178">
        <f>R903+_xlfn.XLOOKUP($R903,'Budget Assumption Driver'!$A$7:$A$11,'Budget Assumption Driver'!E$7:E$11)</f>
        <v>5</v>
      </c>
      <c r="T903" s="179">
        <f>S903+_xlfn.XLOOKUP($R903,'Budget Assumption Driver'!$A$7:$A$11,'Budget Assumption Driver'!F$7:F$11)</f>
        <v>5</v>
      </c>
      <c r="U903" s="179">
        <f>T903+_xlfn.XLOOKUP($R903,'Budget Assumption Driver'!$A$7:$A$11,'Budget Assumption Driver'!G$7:G$11)</f>
        <v>5</v>
      </c>
      <c r="V903" s="179">
        <f>U903+_xlfn.XLOOKUP($R903,'Budget Assumption Driver'!$A$7:$A$11,'Budget Assumption Driver'!H$7:H$11)</f>
        <v>5</v>
      </c>
      <c r="W903" s="179">
        <f>V903+_xlfn.XLOOKUP($R903,'Budget Assumption Driver'!$A$7:$A$11,'Budget Assumption Driver'!I$7:I$11)</f>
        <v>5</v>
      </c>
      <c r="X903" s="179">
        <f>W903+_xlfn.XLOOKUP($R903,'Budget Assumption Driver'!$A$7:$A$11,'Budget Assumption Driver'!J$7:J$11)</f>
        <v>5</v>
      </c>
      <c r="Y903" s="179">
        <f>X903+_xlfn.XLOOKUP($R903,'Budget Assumption Driver'!$A$7:$A$11,'Budget Assumption Driver'!K$7:K$11)</f>
        <v>5</v>
      </c>
      <c r="Z903" s="179">
        <f>Y903+_xlfn.XLOOKUP($R903,'Budget Assumption Driver'!$A$7:$A$11,'Budget Assumption Driver'!L$7:L$11)</f>
        <v>5</v>
      </c>
      <c r="AA903" s="179">
        <f>Z903+_xlfn.XLOOKUP($R903,'Budget Assumption Driver'!$A$7:$A$11,'Budget Assumption Driver'!M$7:M$11)</f>
        <v>5</v>
      </c>
      <c r="AB903" s="179">
        <f>AA903+_xlfn.XLOOKUP($R903,'Budget Assumption Driver'!$A$7:$A$11,'Budget Assumption Driver'!N$7:N$11)</f>
        <v>5</v>
      </c>
      <c r="AC903" s="179">
        <f>AB903+_xlfn.XLOOKUP($R903,'Budget Assumption Driver'!$A$7:$A$11,'Budget Assumption Driver'!O$7:O$11)</f>
        <v>5</v>
      </c>
      <c r="AD903" s="290">
        <f>AC903+_xlfn.XLOOKUP($R903,'Budget Assumption Driver'!$A$7:$A$11,'Budget Assumption Driver'!P$7:P$11)</f>
        <v>5</v>
      </c>
      <c r="AE903" s="15"/>
      <c r="AF903" s="229">
        <f>_xlfn.XLOOKUP($C903,'Site Level Financials - ''23 ''24'!$C$2:$C$1577,'Site Level Financials - ''23 ''24'!$AF$2:$AF$1577)</f>
        <v>3.6666666666666665</v>
      </c>
      <c r="AG903" s="91">
        <f t="shared" ref="AG903:AH903" si="2591">AG905/AG904</f>
        <v>3.0780669144981414</v>
      </c>
      <c r="AH903" s="91">
        <f t="shared" si="2591"/>
        <v>5</v>
      </c>
    </row>
    <row r="904" spans="2:34" x14ac:dyDescent="0.2">
      <c r="B904" s="9">
        <f>G897</f>
        <v>19</v>
      </c>
      <c r="C904" s="9" t="str">
        <f t="shared" ref="C904:C940" si="2592">B904&amp;" - "&amp;F904</f>
        <v>19 - Workdays in Month / Year</v>
      </c>
      <c r="D904" s="9" t="s">
        <v>56</v>
      </c>
      <c r="F904" s="7" t="s">
        <v>54</v>
      </c>
      <c r="G904" s="178">
        <f>_xlfn.XLOOKUP($C904,'Site Level Financials - ''23 ''24'!$C$2:$C$1577,'Site Level Financials - ''23 ''24'!S$2:S$1577)</f>
        <v>23</v>
      </c>
      <c r="H904" s="235">
        <f>_xlfn.XLOOKUP($C904,'Site Level Financials - ''23 ''24'!$C$2:$C$1577,'Site Level Financials - ''23 ''24'!T$2:T$1577)</f>
        <v>22</v>
      </c>
      <c r="I904" s="235">
        <f>_xlfn.XLOOKUP($C904,'Site Level Financials - ''23 ''24'!$C$2:$C$1577,'Site Level Financials - ''23 ''24'!U$2:U$1577)</f>
        <v>22</v>
      </c>
      <c r="J904" s="179">
        <f>_xlfn.XLOOKUP($C904,'Site Level Financials - ''23 ''24'!$C$2:$C$1577,'Site Level Financials - ''23 ''24'!V$2:V$1577)</f>
        <v>22</v>
      </c>
      <c r="K904" s="179">
        <f>_xlfn.XLOOKUP($C904,'Site Level Financials - ''23 ''24'!$C$2:$C$1577,'Site Level Financials - ''23 ''24'!W$2:W$1577)</f>
        <v>24</v>
      </c>
      <c r="L904" s="179">
        <f>_xlfn.XLOOKUP($C904,'Site Level Financials - ''23 ''24'!$C$2:$C$1577,'Site Level Financials - ''23 ''24'!X$2:X$1577)</f>
        <v>21</v>
      </c>
      <c r="M904" s="179">
        <f>_xlfn.XLOOKUP($C904,'Site Level Financials - ''23 ''24'!$C$2:$C$1577,'Site Level Financials - ''23 ''24'!Y$2:Y$1577)</f>
        <v>23</v>
      </c>
      <c r="N904" s="179">
        <f>_xlfn.XLOOKUP($C904,'Site Level Financials - ''23 ''24'!$C$2:$C$1577,'Site Level Financials - ''23 ''24'!Z$2:Z$1577)</f>
        <v>23</v>
      </c>
      <c r="O904" s="179">
        <f>_xlfn.XLOOKUP($C904,'Site Level Financials - ''23 ''24'!$C$2:$C$1577,'Site Level Financials - ''23 ''24'!AA$2:AA$1577)</f>
        <v>21</v>
      </c>
      <c r="P904" s="179">
        <f>_xlfn.XLOOKUP($C904,'Site Level Financials - ''23 ''24'!$C$2:$C$1577,'Site Level Financials - ''23 ''24'!AB$2:AB$1577)</f>
        <v>24</v>
      </c>
      <c r="Q904" s="179">
        <f>_xlfn.XLOOKUP($C904,'Site Level Financials - ''23 ''24'!$C$2:$C$1577,'Site Level Financials - ''23 ''24'!AC$2:AC$1577)</f>
        <v>22</v>
      </c>
      <c r="R904" s="179">
        <f>_xlfn.XLOOKUP($C904,'Site Level Financials - ''23 ''24'!$C$2:$C$1577,'Site Level Financials - ''23 ''24'!AD$2:AD$1577)</f>
        <v>22</v>
      </c>
      <c r="S904" s="155">
        <f>NETWORKDAYS(R901,S901)</f>
        <v>23</v>
      </c>
      <c r="T904" s="154">
        <f t="shared" ref="T904:AD904" si="2593">NETWORKDAYS(S901,T901)</f>
        <v>22</v>
      </c>
      <c r="U904" s="154">
        <f t="shared" si="2593"/>
        <v>22</v>
      </c>
      <c r="V904" s="154">
        <f t="shared" si="2593"/>
        <v>22</v>
      </c>
      <c r="W904" s="154">
        <f t="shared" si="2593"/>
        <v>24</v>
      </c>
      <c r="X904" s="154">
        <f t="shared" si="2593"/>
        <v>21</v>
      </c>
      <c r="Y904" s="154">
        <f t="shared" si="2593"/>
        <v>23</v>
      </c>
      <c r="Z904" s="154">
        <f t="shared" si="2593"/>
        <v>23</v>
      </c>
      <c r="AA904" s="154">
        <f t="shared" si="2593"/>
        <v>21</v>
      </c>
      <c r="AB904" s="154">
        <f t="shared" si="2593"/>
        <v>24</v>
      </c>
      <c r="AC904" s="154">
        <f t="shared" si="2593"/>
        <v>22</v>
      </c>
      <c r="AD904" s="156">
        <f t="shared" si="2593"/>
        <v>22</v>
      </c>
      <c r="AE904" s="15"/>
      <c r="AF904" s="115">
        <f>_xlfn.XLOOKUP($C904,'Site Level Financials - ''23 ''24'!$C$2:$C$1577,'Site Level Financials - ''23 ''24'!$AF$2:$AF$1577)</f>
        <v>269</v>
      </c>
      <c r="AG904" s="93">
        <f>SUM(G904:R904)</f>
        <v>269</v>
      </c>
      <c r="AH904" s="93">
        <f>SUM(S904:AD904)</f>
        <v>269</v>
      </c>
    </row>
    <row r="905" spans="2:34" x14ac:dyDescent="0.2">
      <c r="B905" s="9">
        <f>G897</f>
        <v>19</v>
      </c>
      <c r="C905" s="9" t="str">
        <f t="shared" si="2592"/>
        <v>19 - Total Vet Days</v>
      </c>
      <c r="D905" s="9" t="s">
        <v>56</v>
      </c>
      <c r="F905" s="8" t="s">
        <v>51</v>
      </c>
      <c r="G905" s="236">
        <f>_xlfn.XLOOKUP($C905,'Site Level Financials - ''23 ''24'!$C$2:$C$1577,'Site Level Financials - ''23 ''24'!S$2:S$1577)</f>
        <v>92</v>
      </c>
      <c r="H905" s="237">
        <f>_xlfn.XLOOKUP($C905,'Site Level Financials - ''23 ''24'!$C$2:$C$1577,'Site Level Financials - ''23 ''24'!T$2:T$1577)</f>
        <v>66</v>
      </c>
      <c r="I905" s="237">
        <f>_xlfn.XLOOKUP($C905,'Site Level Financials - ''23 ''24'!$C$2:$C$1577,'Site Level Financials - ''23 ''24'!U$2:U$1577)</f>
        <v>66</v>
      </c>
      <c r="J905" s="238">
        <f>_xlfn.XLOOKUP($C905,'Site Level Financials - ''23 ''24'!$C$2:$C$1577,'Site Level Financials - ''23 ''24'!V$2:V$1577)</f>
        <v>66</v>
      </c>
      <c r="K905" s="238">
        <f>_xlfn.XLOOKUP($C905,'Site Level Financials - ''23 ''24'!$C$2:$C$1577,'Site Level Financials - ''23 ''24'!W$2:W$1577)</f>
        <v>48</v>
      </c>
      <c r="L905" s="238">
        <f>_xlfn.XLOOKUP($C905,'Site Level Financials - ''23 ''24'!$C$2:$C$1577,'Site Level Financials - ''23 ''24'!X$2:X$1577)</f>
        <v>42</v>
      </c>
      <c r="M905" s="238">
        <f>_xlfn.XLOOKUP($C905,'Site Level Financials - ''23 ''24'!$C$2:$C$1577,'Site Level Financials - ''23 ''24'!Y$2:Y$1577)</f>
        <v>46</v>
      </c>
      <c r="N905" s="238">
        <f>_xlfn.XLOOKUP($C905,'Site Level Financials - ''23 ''24'!$C$2:$C$1577,'Site Level Financials - ''23 ''24'!Z$2:Z$1577)</f>
        <v>69</v>
      </c>
      <c r="O905" s="238">
        <f>_xlfn.XLOOKUP($C905,'Site Level Financials - ''23 ''24'!$C$2:$C$1577,'Site Level Financials - ''23 ''24'!AA$2:AA$1577)</f>
        <v>63</v>
      </c>
      <c r="P905" s="238">
        <f>_xlfn.XLOOKUP($C905,'Site Level Financials - ''23 ''24'!$C$2:$C$1577,'Site Level Financials - ''23 ''24'!AB$2:AB$1577)</f>
        <v>72</v>
      </c>
      <c r="Q905" s="238">
        <f>_xlfn.XLOOKUP($C905,'Site Level Financials - ''23 ''24'!$C$2:$C$1577,'Site Level Financials - ''23 ''24'!AC$2:AC$1577)</f>
        <v>88</v>
      </c>
      <c r="R905" s="238">
        <f>_xlfn.XLOOKUP($C905,'Site Level Financials - ''23 ''24'!$C$2:$C$1577,'Site Level Financials - ''23 ''24'!AD$2:AD$1577)</f>
        <v>110</v>
      </c>
      <c r="S905" s="125">
        <f t="shared" ref="S905:AD905" si="2594">S903*S904</f>
        <v>115</v>
      </c>
      <c r="T905" s="127">
        <f t="shared" si="2594"/>
        <v>110</v>
      </c>
      <c r="U905" s="127">
        <f t="shared" si="2594"/>
        <v>110</v>
      </c>
      <c r="V905" s="127">
        <f t="shared" si="2594"/>
        <v>110</v>
      </c>
      <c r="W905" s="127">
        <f t="shared" si="2594"/>
        <v>120</v>
      </c>
      <c r="X905" s="127">
        <f t="shared" si="2594"/>
        <v>105</v>
      </c>
      <c r="Y905" s="127">
        <f t="shared" si="2594"/>
        <v>115</v>
      </c>
      <c r="Z905" s="127">
        <f t="shared" si="2594"/>
        <v>115</v>
      </c>
      <c r="AA905" s="127">
        <f t="shared" si="2594"/>
        <v>105</v>
      </c>
      <c r="AB905" s="127">
        <f t="shared" si="2594"/>
        <v>120</v>
      </c>
      <c r="AC905" s="127">
        <f t="shared" si="2594"/>
        <v>110</v>
      </c>
      <c r="AD905" s="128">
        <f t="shared" si="2594"/>
        <v>110</v>
      </c>
      <c r="AF905" s="112">
        <f>_xlfn.XLOOKUP($C905,'Site Level Financials - ''23 ''24'!$C$2:$C$1577,'Site Level Financials - ''23 ''24'!$AF$2:$AF$1577)</f>
        <v>987</v>
      </c>
      <c r="AG905" s="120">
        <f>SUM(G905:R905)</f>
        <v>828</v>
      </c>
      <c r="AH905" s="120">
        <f t="shared" ref="AH905" si="2595">SUM(S905:AD905)</f>
        <v>1345</v>
      </c>
    </row>
    <row r="906" spans="2:34" x14ac:dyDescent="0.2">
      <c r="B906" s="9">
        <f>G897</f>
        <v>19</v>
      </c>
      <c r="C906" s="9" t="str">
        <f t="shared" si="2592"/>
        <v>19 - Production per Vet Workday</v>
      </c>
      <c r="D906" s="9" t="s">
        <v>56</v>
      </c>
      <c r="F906" s="7" t="s">
        <v>50</v>
      </c>
      <c r="G906" s="239">
        <f>_xlfn.XLOOKUP($C906,'Site Level Financials - ''23 ''24'!$C$2:$C$1577,'Site Level Financials - ''23 ''24'!S$2:S$1577)</f>
        <v>4.5031527942006138</v>
      </c>
      <c r="H906" s="240">
        <f>_xlfn.XLOOKUP($C906,'Site Level Financials - ''23 ''24'!$C$2:$C$1577,'Site Level Financials - ''23 ''24'!T$2:T$1577)</f>
        <v>4.9951875295996455</v>
      </c>
      <c r="I906" s="240">
        <f>_xlfn.XLOOKUP($C906,'Site Level Financials - ''23 ''24'!$C$2:$C$1577,'Site Level Financials - ''23 ''24'!U$2:U$1577)</f>
        <v>5.3351624885590727</v>
      </c>
      <c r="J906" s="240">
        <f>_xlfn.XLOOKUP($C906,'Site Level Financials - ''23 ''24'!$C$2:$C$1577,'Site Level Financials - ''23 ''24'!V$2:V$1577)</f>
        <v>5.5014199550900695</v>
      </c>
      <c r="K906" s="240">
        <f>_xlfn.XLOOKUP($C906,'Site Level Financials - ''23 ''24'!$C$2:$C$1577,'Site Level Financials - ''23 ''24'!W$2:W$1577)</f>
        <v>6.1881784316305568</v>
      </c>
      <c r="L906" s="240">
        <f>_xlfn.XLOOKUP($C906,'Site Level Financials - ''23 ''24'!$C$2:$C$1577,'Site Level Financials - ''23 ''24'!X$2:X$1577)</f>
        <v>5.9393388197184684</v>
      </c>
      <c r="M906" s="240">
        <f>_xlfn.XLOOKUP($C906,'Site Level Financials - ''23 ''24'!$C$2:$C$1577,'Site Level Financials - ''23 ''24'!Y$2:Y$1577)</f>
        <v>5.5292130232455854</v>
      </c>
      <c r="N906" s="240">
        <f>_xlfn.XLOOKUP($C906,'Site Level Financials - ''23 ''24'!$C$2:$C$1577,'Site Level Financials - ''23 ''24'!Z$2:Z$1577)</f>
        <v>4.9156282040303259</v>
      </c>
      <c r="O906" s="240">
        <f>_xlfn.XLOOKUP($C906,'Site Level Financials - ''23 ''24'!$C$2:$C$1577,'Site Level Financials - ''23 ''24'!AA$2:AA$1577)</f>
        <v>4.8263591894621385</v>
      </c>
      <c r="P906" s="240">
        <f>_xlfn.XLOOKUP($C906,'Site Level Financials - ''23 ''24'!$C$2:$C$1577,'Site Level Financials - ''23 ''24'!AB$2:AB$1577)</f>
        <v>4.6260495102499721</v>
      </c>
      <c r="Q906" s="240">
        <f>_xlfn.XLOOKUP($C906,'Site Level Financials - ''23 ''24'!$C$2:$C$1577,'Site Level Financials - ''23 ''24'!AC$2:AC$1577)</f>
        <v>4.1454414864407463</v>
      </c>
      <c r="R906" s="240">
        <f>_xlfn.XLOOKUP($C906,'Site Level Financials - ''23 ''24'!$C$2:$C$1577,'Site Level Financials - ''23 ''24'!AD$2:AD$1577)</f>
        <v>3.3656574661961685</v>
      </c>
      <c r="S906" s="239">
        <f>R906*(1+_xlfn.XLOOKUP($R903,'Budget Assumption Driver'!$A$15:$A$19,'Budget Assumption Driver'!E$15:E$19))</f>
        <v>4.7617616290345577</v>
      </c>
      <c r="T906" s="240">
        <f>S906*(1+_xlfn.XLOOKUP($R903,'Budget Assumption Driver'!$A$15:$A$19,'Budget Assumption Driver'!F$15:F$19))</f>
        <v>5.1548261509905569</v>
      </c>
      <c r="U906" s="240">
        <f>T906*(1+_xlfn.XLOOKUP($R903,'Budget Assumption Driver'!$A$15:$A$19,'Budget Assumption Driver'!G$15:G$19))</f>
        <v>5.5351968250728198</v>
      </c>
      <c r="V906" s="240">
        <f>U906*(1+_xlfn.XLOOKUP($R903,'Budget Assumption Driver'!$A$15:$A$19,'Budget Assumption Driver'!H$15:H$19))</f>
        <v>5.9290899677435842</v>
      </c>
      <c r="W906" s="240">
        <f>V906*(1+_xlfn.XLOOKUP($R903,'Budget Assumption Driver'!$A$15:$A$19,'Budget Assumption Driver'!I$15:I$19))</f>
        <v>6.4595599898226936</v>
      </c>
      <c r="X906" s="240">
        <f>W906*(1+_xlfn.XLOOKUP($R903,'Budget Assumption Driver'!$A$15:$A$19,'Budget Assumption Driver'!J$15:J$19))</f>
        <v>6.1993227446895656</v>
      </c>
      <c r="Y906" s="240">
        <f>X906*(1+_xlfn.XLOOKUP($R903,'Budget Assumption Driver'!$A$15:$A$19,'Budget Assumption Driver'!K$15:K$19))</f>
        <v>5.7023473525273793</v>
      </c>
      <c r="Z906" s="240">
        <f>Y906*(1+_xlfn.XLOOKUP($R903,'Budget Assumption Driver'!$A$15:$A$19,'Budget Assumption Driver'!L$15:L$19))</f>
        <v>4.8897105702205952</v>
      </c>
      <c r="AA906" s="240">
        <f>Z906*(1+_xlfn.XLOOKUP($R903,'Budget Assumption Driver'!$A$15:$A$19,'Budget Assumption Driver'!M$15:M$19))</f>
        <v>4.9100265846215292</v>
      </c>
      <c r="AB906" s="240">
        <f>AA906*(1+_xlfn.XLOOKUP($R903,'Budget Assumption Driver'!$A$15:$A$19,'Budget Assumption Driver'!N$15:N$19))</f>
        <v>4.9342386547959958</v>
      </c>
      <c r="AC906" s="240">
        <f>AB906*(1+_xlfn.XLOOKUP($R903,'Budget Assumption Driver'!$A$15:$A$19,'Budget Assumption Driver'!O$15:O$19))</f>
        <v>4.2549409093917427</v>
      </c>
      <c r="AD906" s="291">
        <f>AC906*(1+_xlfn.XLOOKUP($R903,'Budget Assumption Driver'!$A$15:$A$19,'Budget Assumption Driver'!P$15:P$19))</f>
        <v>3.472936181164632</v>
      </c>
      <c r="AE906" s="15"/>
      <c r="AF906" s="230">
        <f>_xlfn.XLOOKUP($C906,'Site Level Financials - ''23 ''24'!$C$2:$C$1577,'Site Level Financials - ''23 ''24'!$AF$2:$AF$1577)</f>
        <v>4.8506181477581203</v>
      </c>
      <c r="AG906" s="101">
        <f>AG907/AG905</f>
        <v>4.7963178518806577</v>
      </c>
      <c r="AH906" s="101">
        <f>AH907/AH905</f>
        <v>5.1878034714995289</v>
      </c>
    </row>
    <row r="907" spans="2:34" x14ac:dyDescent="0.2">
      <c r="B907" s="9">
        <f>G897</f>
        <v>19</v>
      </c>
      <c r="C907" s="9" t="str">
        <f t="shared" si="2592"/>
        <v>19 - Total Production</v>
      </c>
      <c r="D907" s="9" t="s">
        <v>56</v>
      </c>
      <c r="F907" s="8" t="s">
        <v>1</v>
      </c>
      <c r="G907" s="241">
        <f>_xlfn.XLOOKUP($C907,'Site Level Financials - ''23 ''24'!$C$2:$C$1577,'Site Level Financials - ''23 ''24'!S$2:S$1577)</f>
        <v>414.29005706645648</v>
      </c>
      <c r="H907" s="242">
        <f>_xlfn.XLOOKUP($C907,'Site Level Financials - ''23 ''24'!$C$2:$C$1577,'Site Level Financials - ''23 ''24'!T$2:T$1577)</f>
        <v>329.68237695357658</v>
      </c>
      <c r="I907" s="242">
        <f>_xlfn.XLOOKUP($C907,'Site Level Financials - ''23 ''24'!$C$2:$C$1577,'Site Level Financials - ''23 ''24'!U$2:U$1577)</f>
        <v>352.12072424489878</v>
      </c>
      <c r="J907" s="242">
        <f>_xlfn.XLOOKUP($C907,'Site Level Financials - ''23 ''24'!$C$2:$C$1577,'Site Level Financials - ''23 ''24'!V$2:V$1577)</f>
        <v>363.09371703594456</v>
      </c>
      <c r="K907" s="242">
        <f>_xlfn.XLOOKUP($C907,'Site Level Financials - ''23 ''24'!$C$2:$C$1577,'Site Level Financials - ''23 ''24'!W$2:W$1577)</f>
        <v>297.03256471826671</v>
      </c>
      <c r="L907" s="242">
        <f>_xlfn.XLOOKUP($C907,'Site Level Financials - ''23 ''24'!$C$2:$C$1577,'Site Level Financials - ''23 ''24'!X$2:X$1577)</f>
        <v>249.45223042817568</v>
      </c>
      <c r="M907" s="242">
        <f>_xlfn.XLOOKUP($C907,'Site Level Financials - ''23 ''24'!$C$2:$C$1577,'Site Level Financials - ''23 ''24'!Y$2:Y$1577)</f>
        <v>254.34379906929692</v>
      </c>
      <c r="N907" s="242">
        <f>_xlfn.XLOOKUP($C907,'Site Level Financials - ''23 ''24'!$C$2:$C$1577,'Site Level Financials - ''23 ''24'!Z$2:Z$1577)</f>
        <v>339.17834607809249</v>
      </c>
      <c r="O907" s="242">
        <f>_xlfn.XLOOKUP($C907,'Site Level Financials - ''23 ''24'!$C$2:$C$1577,'Site Level Financials - ''23 ''24'!AA$2:AA$1577)</f>
        <v>304.06062893611471</v>
      </c>
      <c r="P907" s="242">
        <f>_xlfn.XLOOKUP($C907,'Site Level Financials - ''23 ''24'!$C$2:$C$1577,'Site Level Financials - ''23 ''24'!AB$2:AB$1577)</f>
        <v>333.07556473799798</v>
      </c>
      <c r="Q907" s="242">
        <f>_xlfn.XLOOKUP($C907,'Site Level Financials - ''23 ''24'!$C$2:$C$1577,'Site Level Financials - ''23 ''24'!AC$2:AC$1577)</f>
        <v>364.79885080678565</v>
      </c>
      <c r="R907" s="242">
        <f>_xlfn.XLOOKUP($C907,'Site Level Financials - ''23 ''24'!$C$2:$C$1577,'Site Level Financials - ''23 ''24'!AD$2:AD$1577)</f>
        <v>370.2223212815785</v>
      </c>
      <c r="S907" s="134">
        <f t="shared" ref="S907:AD907" si="2596">S906*S905</f>
        <v>547.6025873389741</v>
      </c>
      <c r="T907" s="135">
        <f t="shared" si="2596"/>
        <v>567.03087660896131</v>
      </c>
      <c r="U907" s="135">
        <f t="shared" si="2596"/>
        <v>608.87165075801022</v>
      </c>
      <c r="V907" s="135">
        <f t="shared" si="2596"/>
        <v>652.1998964517943</v>
      </c>
      <c r="W907" s="135">
        <f t="shared" si="2596"/>
        <v>775.14719877872324</v>
      </c>
      <c r="X907" s="135">
        <f t="shared" si="2596"/>
        <v>650.92888819240443</v>
      </c>
      <c r="Y907" s="135">
        <f t="shared" si="2596"/>
        <v>655.76994554064868</v>
      </c>
      <c r="Z907" s="135">
        <f t="shared" si="2596"/>
        <v>562.31671557536845</v>
      </c>
      <c r="AA907" s="135">
        <f t="shared" si="2596"/>
        <v>515.55279138526055</v>
      </c>
      <c r="AB907" s="135">
        <f t="shared" si="2596"/>
        <v>592.10863857551954</v>
      </c>
      <c r="AC907" s="135">
        <f t="shared" si="2596"/>
        <v>468.04350003309168</v>
      </c>
      <c r="AD907" s="136">
        <f t="shared" si="2596"/>
        <v>382.02297992810952</v>
      </c>
      <c r="AE907" s="15"/>
      <c r="AF907" s="113">
        <f>_xlfn.XLOOKUP($C907,'Site Level Financials - ''23 ''24'!$C$2:$C$1577,'Site Level Financials - ''23 ''24'!$AF$2:$AF$1577)</f>
        <v>4646.8644690315732</v>
      </c>
      <c r="AG907" s="95">
        <f>SUM(G907:R907)</f>
        <v>3971.3511813571849</v>
      </c>
      <c r="AH907" s="95">
        <f t="shared" ref="AH907" si="2597">SUM(S907:AD907)</f>
        <v>6977.5956691668662</v>
      </c>
    </row>
    <row r="908" spans="2:34" x14ac:dyDescent="0.2">
      <c r="B908" s="9">
        <f>G897</f>
        <v>19</v>
      </c>
      <c r="C908" s="9" t="str">
        <f t="shared" si="2592"/>
        <v>19 - Revenue as a % of Production</v>
      </c>
      <c r="D908" s="9" t="s">
        <v>56</v>
      </c>
      <c r="F908" s="7" t="s">
        <v>2</v>
      </c>
      <c r="G908" s="243">
        <f>_xlfn.XLOOKUP($C908,'Site Level Financials - ''23 ''24'!$C$2:$C$1577,'Site Level Financials - ''23 ''24'!S$2:S$1577)</f>
        <v>0.98110022738850367</v>
      </c>
      <c r="H908" s="244">
        <f>_xlfn.XLOOKUP($C908,'Site Level Financials - ''23 ''24'!$C$2:$C$1577,'Site Level Financials - ''23 ''24'!T$2:T$1577)</f>
        <v>0.98110022738850367</v>
      </c>
      <c r="I908" s="244">
        <f>_xlfn.XLOOKUP($C908,'Site Level Financials - ''23 ''24'!$C$2:$C$1577,'Site Level Financials - ''23 ''24'!U$2:U$1577)</f>
        <v>0.98110022738850367</v>
      </c>
      <c r="J908" s="244">
        <f>_xlfn.XLOOKUP($C908,'Site Level Financials - ''23 ''24'!$C$2:$C$1577,'Site Level Financials - ''23 ''24'!V$2:V$1577)</f>
        <v>0.98110022738850367</v>
      </c>
      <c r="K908" s="244">
        <f>_xlfn.XLOOKUP($C908,'Site Level Financials - ''23 ''24'!$C$2:$C$1577,'Site Level Financials - ''23 ''24'!W$2:W$1577)</f>
        <v>0.98110022738850367</v>
      </c>
      <c r="L908" s="244">
        <f>_xlfn.XLOOKUP($C908,'Site Level Financials - ''23 ''24'!$C$2:$C$1577,'Site Level Financials - ''23 ''24'!X$2:X$1577)</f>
        <v>0.98110022738850367</v>
      </c>
      <c r="M908" s="244">
        <f>_xlfn.XLOOKUP($C908,'Site Level Financials - ''23 ''24'!$C$2:$C$1577,'Site Level Financials - ''23 ''24'!Y$2:Y$1577)</f>
        <v>0.98110022738850367</v>
      </c>
      <c r="N908" s="244">
        <f>_xlfn.XLOOKUP($C908,'Site Level Financials - ''23 ''24'!$C$2:$C$1577,'Site Level Financials - ''23 ''24'!Z$2:Z$1577)</f>
        <v>0.98110022738850367</v>
      </c>
      <c r="O908" s="244">
        <f>_xlfn.XLOOKUP($C908,'Site Level Financials - ''23 ''24'!$C$2:$C$1577,'Site Level Financials - ''23 ''24'!AA$2:AA$1577)</f>
        <v>0.98110022738850367</v>
      </c>
      <c r="P908" s="244">
        <f>_xlfn.XLOOKUP($C908,'Site Level Financials - ''23 ''24'!$C$2:$C$1577,'Site Level Financials - ''23 ''24'!AB$2:AB$1577)</f>
        <v>0.98110022738850367</v>
      </c>
      <c r="Q908" s="244">
        <f>_xlfn.XLOOKUP($C908,'Site Level Financials - ''23 ''24'!$C$2:$C$1577,'Site Level Financials - ''23 ''24'!AC$2:AC$1577)</f>
        <v>0.98110022738850367</v>
      </c>
      <c r="R908" s="244">
        <f>_xlfn.XLOOKUP($C908,'Site Level Financials - ''23 ''24'!$C$2:$C$1577,'Site Level Financials - ''23 ''24'!AD$2:AD$1577)</f>
        <v>0.98110022738850367</v>
      </c>
      <c r="S908" s="292">
        <f>SUM(G937:R937)/SUM(G907:R907)</f>
        <v>0.97564520674768052</v>
      </c>
      <c r="T908" s="203">
        <f>S908</f>
        <v>0.97564520674768052</v>
      </c>
      <c r="U908" s="203">
        <f t="shared" ref="U908:AD908" si="2598">T908</f>
        <v>0.97564520674768052</v>
      </c>
      <c r="V908" s="203">
        <f t="shared" si="2598"/>
        <v>0.97564520674768052</v>
      </c>
      <c r="W908" s="203">
        <f t="shared" si="2598"/>
        <v>0.97564520674768052</v>
      </c>
      <c r="X908" s="203">
        <f t="shared" si="2598"/>
        <v>0.97564520674768052</v>
      </c>
      <c r="Y908" s="203">
        <f t="shared" si="2598"/>
        <v>0.97564520674768052</v>
      </c>
      <c r="Z908" s="203">
        <f t="shared" si="2598"/>
        <v>0.97564520674768052</v>
      </c>
      <c r="AA908" s="203">
        <f t="shared" si="2598"/>
        <v>0.97564520674768052</v>
      </c>
      <c r="AB908" s="203">
        <f t="shared" si="2598"/>
        <v>0.97564520674768052</v>
      </c>
      <c r="AC908" s="203">
        <f t="shared" si="2598"/>
        <v>0.97564520674768052</v>
      </c>
      <c r="AD908" s="204">
        <f t="shared" si="2598"/>
        <v>0.97564520674768052</v>
      </c>
      <c r="AE908" s="15"/>
      <c r="AF908" s="231">
        <f>_xlfn.XLOOKUP($C908,'Site Level Financials - ''23 ''24'!$C$2:$C$1577,'Site Level Financials - ''23 ''24'!$AF$2:$AF$1577)</f>
        <v>0.97360526580716111</v>
      </c>
      <c r="AG908" s="103">
        <f>AG909/AG907</f>
        <v>0.98110022738850378</v>
      </c>
      <c r="AH908" s="103">
        <f>AH909/AH907</f>
        <v>0.97564520674768063</v>
      </c>
    </row>
    <row r="909" spans="2:34" x14ac:dyDescent="0.2">
      <c r="B909" s="9">
        <f>G897</f>
        <v>19</v>
      </c>
      <c r="C909" s="9" t="str">
        <f t="shared" si="2592"/>
        <v>19 - Total Revenue</v>
      </c>
      <c r="D909" s="9" t="s">
        <v>56</v>
      </c>
      <c r="F909" s="8" t="s">
        <v>3</v>
      </c>
      <c r="G909" s="241">
        <f>_xlfn.XLOOKUP($C909,'Site Level Financials - ''23 ''24'!$C$2:$C$1577,'Site Level Financials - ''23 ''24'!S$2:S$1577)</f>
        <v>406.46006919269661</v>
      </c>
      <c r="H909" s="242">
        <f>_xlfn.XLOOKUP($C909,'Site Level Financials - ''23 ''24'!$C$2:$C$1577,'Site Level Financials - ''23 ''24'!T$2:T$1577)</f>
        <v>323.45145499513637</v>
      </c>
      <c r="I909" s="242">
        <f>_xlfn.XLOOKUP($C909,'Site Level Financials - ''23 ''24'!$C$2:$C$1577,'Site Level Financials - ''23 ''24'!U$2:U$1577)</f>
        <v>345.46572262487479</v>
      </c>
      <c r="J909" s="242">
        <f>_xlfn.XLOOKUP($C909,'Site Level Financials - ''23 ''24'!$C$2:$C$1577,'Site Level Financials - ''23 ''24'!V$2:V$1577)</f>
        <v>356.23132834730222</v>
      </c>
      <c r="K909" s="242">
        <f>_xlfn.XLOOKUP($C909,'Site Level Financials - ''23 ''24'!$C$2:$C$1577,'Site Level Financials - ''23 ''24'!W$2:W$1577)</f>
        <v>291.41871678688193</v>
      </c>
      <c r="L909" s="242">
        <f>_xlfn.XLOOKUP($C909,'Site Level Financials - ''23 ''24'!$C$2:$C$1577,'Site Level Financials - ''23 ''24'!X$2:X$1577)</f>
        <v>244.73763999565259</v>
      </c>
      <c r="M909" s="242">
        <f>_xlfn.XLOOKUP($C909,'Site Level Financials - ''23 ''24'!$C$2:$C$1577,'Site Level Financials - ''23 ''24'!Y$2:Y$1577)</f>
        <v>249.53675910174309</v>
      </c>
      <c r="N909" s="242">
        <f>_xlfn.XLOOKUP($C909,'Site Level Financials - ''23 ''24'!$C$2:$C$1577,'Site Level Financials - ''23 ''24'!Z$2:Z$1577)</f>
        <v>332.76795246247315</v>
      </c>
      <c r="O909" s="242">
        <f>_xlfn.XLOOKUP($C909,'Site Level Financials - ''23 ''24'!$C$2:$C$1577,'Site Level Financials - ''23 ''24'!AA$2:AA$1577)</f>
        <v>298.31395218911359</v>
      </c>
      <c r="P909" s="242">
        <f>_xlfn.XLOOKUP($C909,'Site Level Financials - ''23 ''24'!$C$2:$C$1577,'Site Level Financials - ''23 ''24'!AB$2:AB$1577)</f>
        <v>326.78051230200407</v>
      </c>
      <c r="Q909" s="242">
        <f>_xlfn.XLOOKUP($C909,'Site Level Financials - ''23 ''24'!$C$2:$C$1577,'Site Level Financials - ''23 ''24'!AC$2:AC$1577)</f>
        <v>357.90423547760224</v>
      </c>
      <c r="R909" s="242">
        <f>_xlfn.XLOOKUP($C909,'Site Level Financials - ''23 ''24'!$C$2:$C$1577,'Site Level Financials - ''23 ''24'!AD$2:AD$1577)</f>
        <v>363.22520359365632</v>
      </c>
      <c r="S909" s="134">
        <f t="shared" ref="S909:AD909" si="2599">S908*S907</f>
        <v>534.26583953989814</v>
      </c>
      <c r="T909" s="135">
        <f t="shared" si="2599"/>
        <v>553.22095684146859</v>
      </c>
      <c r="U909" s="135">
        <f t="shared" si="2599"/>
        <v>594.04270758660039</v>
      </c>
      <c r="V909" s="135">
        <f t="shared" si="2599"/>
        <v>636.31570281452673</v>
      </c>
      <c r="W909" s="135">
        <f t="shared" si="2599"/>
        <v>756.26864901235285</v>
      </c>
      <c r="X909" s="135">
        <f t="shared" si="2599"/>
        <v>635.07564969851626</v>
      </c>
      <c r="Y909" s="135">
        <f t="shared" si="2599"/>
        <v>639.79880409592135</v>
      </c>
      <c r="Z909" s="135">
        <f t="shared" si="2599"/>
        <v>548.62160822520696</v>
      </c>
      <c r="AA909" s="135">
        <f t="shared" si="2599"/>
        <v>502.99660974041632</v>
      </c>
      <c r="AB909" s="135">
        <f t="shared" si="2599"/>
        <v>577.68795510010034</v>
      </c>
      <c r="AC909" s="135">
        <f t="shared" si="2599"/>
        <v>456.64439735669373</v>
      </c>
      <c r="AD909" s="136">
        <f t="shared" si="2599"/>
        <v>372.71888923432545</v>
      </c>
      <c r="AE909" s="15"/>
      <c r="AF909" s="113">
        <f>_xlfn.XLOOKUP($C909,'Site Level Financials - ''23 ''24'!$C$2:$C$1577,'Site Level Financials - ''23 ''24'!$AF$2:$AF$1577)</f>
        <v>4524.2117165413383</v>
      </c>
      <c r="AG909" s="95">
        <f>SUM(G909:R909)</f>
        <v>3896.2935470691373</v>
      </c>
      <c r="AH909" s="95">
        <f t="shared" ref="AH909" si="2600">SUM(S909:AD909)</f>
        <v>6807.6577692460278</v>
      </c>
    </row>
    <row r="910" spans="2:34" x14ac:dyDescent="0.2">
      <c r="B910" s="9">
        <f>G897</f>
        <v>19</v>
      </c>
      <c r="C910" s="9" t="str">
        <f t="shared" si="2592"/>
        <v>19 - % YoY Revenue Growth</v>
      </c>
      <c r="D910" s="9" t="s">
        <v>56</v>
      </c>
      <c r="F910" s="16" t="s">
        <v>174</v>
      </c>
      <c r="G910" s="245">
        <f>_xlfn.XLOOKUP($C910,'Site Level Financials - ''23 ''24'!$C$2:$C$1577,'Site Level Financials - ''23 ''24'!S$2:S$1577)</f>
        <v>0.11085093032478399</v>
      </c>
      <c r="H910" s="246">
        <f>_xlfn.XLOOKUP($C910,'Site Level Financials - ''23 ''24'!$C$2:$C$1577,'Site Level Financials - ''23 ''24'!T$2:T$1577)</f>
        <v>0.11583002631607053</v>
      </c>
      <c r="I910" s="246">
        <f>_xlfn.XLOOKUP($C910,'Site Level Financials - ''23 ''24'!$C$2:$C$1577,'Site Level Financials - ''23 ''24'!U$2:U$1577)</f>
        <v>-3.7531910235367838E-2</v>
      </c>
      <c r="J910" s="246">
        <f>_xlfn.XLOOKUP($C910,'Site Level Financials - ''23 ''24'!$C$2:$C$1577,'Site Level Financials - ''23 ''24'!V$2:V$1577)</f>
        <v>3.9371315634593174E-2</v>
      </c>
      <c r="K910" s="246">
        <f>_xlfn.XLOOKUP($C910,'Site Level Financials - ''23 ''24'!$C$2:$C$1577,'Site Level Financials - ''23 ''24'!W$2:W$1577)</f>
        <v>-0.28791385933793512</v>
      </c>
      <c r="L910" s="246">
        <f>_xlfn.XLOOKUP($C910,'Site Level Financials - ''23 ''24'!$C$2:$C$1577,'Site Level Financials - ''23 ''24'!X$2:X$1577)</f>
        <v>-0.3784463346977669</v>
      </c>
      <c r="M910" s="246">
        <f>_xlfn.XLOOKUP($C910,'Site Level Financials - ''23 ''24'!$C$2:$C$1577,'Site Level Financials - ''23 ''24'!Y$2:Y$1577)</f>
        <v>-0.28564987903577732</v>
      </c>
      <c r="N910" s="246">
        <f>_xlfn.XLOOKUP($C910,'Site Level Financials - ''23 ''24'!$C$2:$C$1577,'Site Level Financials - ''23 ''24'!Z$2:Z$1577)</f>
        <v>-0.24138170884703958</v>
      </c>
      <c r="O910" s="246">
        <f>_xlfn.XLOOKUP($C910,'Site Level Financials - ''23 ''24'!$C$2:$C$1577,'Site Level Financials - ''23 ''24'!AA$2:AA$1577)</f>
        <v>-0.23982210342862231</v>
      </c>
      <c r="P910" s="246">
        <f>_xlfn.XLOOKUP($C910,'Site Level Financials - ''23 ''24'!$C$2:$C$1577,'Site Level Financials - ''23 ''24'!AB$2:AB$1577)</f>
        <v>-0.17628697807411642</v>
      </c>
      <c r="Q910" s="246">
        <f>_xlfn.XLOOKUP($C910,'Site Level Financials - ''23 ''24'!$C$2:$C$1577,'Site Level Financials - ''23 ''24'!AC$2:AC$1577)</f>
        <v>-0.18421577506402065</v>
      </c>
      <c r="R910" s="246">
        <f>_xlfn.XLOOKUP($C910,'Site Level Financials - ''23 ''24'!$C$2:$C$1577,'Site Level Financials - ''23 ''24'!AD$2:AD$1577)</f>
        <v>4.3969110278528456E-2</v>
      </c>
      <c r="S910" s="148">
        <f>S909/G909-1</f>
        <v>0.31443622641960123</v>
      </c>
      <c r="T910" s="149">
        <f t="shared" ref="T910" si="2601">T909/H909-1</f>
        <v>0.71036781037138064</v>
      </c>
      <c r="U910" s="149">
        <f t="shared" ref="U910" si="2602">U909/I909-1</f>
        <v>0.71954167572116501</v>
      </c>
      <c r="V910" s="149">
        <f t="shared" ref="V910" si="2603">V909/J909-1</f>
        <v>0.78624296118661574</v>
      </c>
      <c r="W910" s="149">
        <f t="shared" ref="W910" si="2604">W909/K909-1</f>
        <v>1.5951272359950077</v>
      </c>
      <c r="X910" s="149">
        <f t="shared" ref="X910" si="2605">X909/L909-1</f>
        <v>1.5949243022438129</v>
      </c>
      <c r="Y910" s="149">
        <f t="shared" ref="Y910" si="2606">Y909/M909-1</f>
        <v>1.5639461151896166</v>
      </c>
      <c r="Z910" s="149">
        <f t="shared" ref="Z910" si="2607">Z909/N909-1</f>
        <v>0.64866118917228377</v>
      </c>
      <c r="AA910" s="149">
        <f t="shared" ref="AA910" si="2608">AA909/O909-1</f>
        <v>0.68613169464345369</v>
      </c>
      <c r="AB910" s="149">
        <f t="shared" ref="AB910" si="2609">AB909/P909-1</f>
        <v>0.7678164191327681</v>
      </c>
      <c r="AC910" s="149">
        <f t="shared" ref="AC910" si="2610">AC909/Q909-1</f>
        <v>0.27588430672615116</v>
      </c>
      <c r="AD910" s="150">
        <f t="shared" ref="AD910" si="2611">AD909/R909-1</f>
        <v>2.61371885726569E-2</v>
      </c>
      <c r="AE910" s="15"/>
      <c r="AF910" s="11"/>
      <c r="AG910" s="97">
        <f>AG909/AF909-1</f>
        <v>-0.13879062449186863</v>
      </c>
      <c r="AH910" s="97">
        <f>AH909/AG909-1</f>
        <v>0.74721377817307211</v>
      </c>
    </row>
    <row r="911" spans="2:34" ht="6" customHeight="1" x14ac:dyDescent="0.2">
      <c r="B911" s="9">
        <f>G897</f>
        <v>19</v>
      </c>
      <c r="C911" s="9" t="str">
        <f t="shared" si="2592"/>
        <v xml:space="preserve">19 - </v>
      </c>
      <c r="D911" s="9" t="s">
        <v>56</v>
      </c>
      <c r="G911" s="80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80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81"/>
      <c r="AE911" s="15"/>
      <c r="AF911" s="11"/>
      <c r="AG911" s="15"/>
      <c r="AH911" s="15"/>
    </row>
    <row r="912" spans="2:34" x14ac:dyDescent="0.2">
      <c r="B912" s="9">
        <f>G897</f>
        <v>19</v>
      </c>
      <c r="C912" s="9" t="str">
        <f t="shared" si="2592"/>
        <v>19 - Doctor Compensation</v>
      </c>
      <c r="D912" s="9" t="s">
        <v>56</v>
      </c>
      <c r="F912" t="s">
        <v>4</v>
      </c>
      <c r="G912" s="178">
        <f>_xlfn.XLOOKUP($C912,'Site Level Financials - ''23 ''24'!$C$2:$C$1577,'Site Level Financials - ''23 ''24'!S$2:S$1577)</f>
        <v>-140.94509302911914</v>
      </c>
      <c r="H912" s="179">
        <f>_xlfn.XLOOKUP($C912,'Site Level Financials - ''23 ''24'!$C$2:$C$1577,'Site Level Financials - ''23 ''24'!T$2:T$1577)</f>
        <v>-99.341385775779045</v>
      </c>
      <c r="I912" s="179">
        <f>_xlfn.XLOOKUP($C912,'Site Level Financials - ''23 ''24'!$C$2:$C$1577,'Site Level Financials - ''23 ''24'!U$2:U$1577)</f>
        <v>-105.03415103770935</v>
      </c>
      <c r="J912" s="179">
        <f>_xlfn.XLOOKUP($C912,'Site Level Financials - ''23 ''24'!$C$2:$C$1577,'Site Level Financials - ''23 ''24'!V$2:V$1577)</f>
        <v>-106.88477753376219</v>
      </c>
      <c r="K912" s="179">
        <f>_xlfn.XLOOKUP($C912,'Site Level Financials - ''23 ''24'!$C$2:$C$1577,'Site Level Financials - ''23 ''24'!W$2:W$1577)</f>
        <v>-87.925303798216248</v>
      </c>
      <c r="L912" s="179">
        <f>_xlfn.XLOOKUP($C912,'Site Level Financials - ''23 ''24'!$C$2:$C$1577,'Site Level Financials - ''23 ''24'!X$2:X$1577)</f>
        <v>-71.832094349639121</v>
      </c>
      <c r="M912" s="179">
        <f>_xlfn.XLOOKUP($C912,'Site Level Financials - ''23 ''24'!$C$2:$C$1577,'Site Level Financials - ''23 ''24'!Y$2:Y$1577)</f>
        <v>-74.358524662615096</v>
      </c>
      <c r="N912" s="179">
        <f>_xlfn.XLOOKUP($C912,'Site Level Financials - ''23 ''24'!$C$2:$C$1577,'Site Level Financials - ''23 ''24'!Z$2:Z$1577)</f>
        <v>-99.472217063665752</v>
      </c>
      <c r="O912" s="179">
        <f>_xlfn.XLOOKUP($C912,'Site Level Financials - ''23 ''24'!$C$2:$C$1577,'Site Level Financials - ''23 ''24'!AA$2:AA$1577)</f>
        <v>-130.74784626623992</v>
      </c>
      <c r="P912" s="179">
        <f>_xlfn.XLOOKUP($C912,'Site Level Financials - ''23 ''24'!$C$2:$C$1577,'Site Level Financials - ''23 ''24'!AB$2:AB$1577)</f>
        <v>-143.28667285683747</v>
      </c>
      <c r="Q912" s="179">
        <f>_xlfn.XLOOKUP($C912,'Site Level Financials - ''23 ''24'!$C$2:$C$1577,'Site Level Financials - ''23 ''24'!AC$2:AC$1577)</f>
        <v>-120.71100797227169</v>
      </c>
      <c r="R912" s="179">
        <f>_xlfn.XLOOKUP($C912,'Site Level Financials - ''23 ''24'!$C$2:$C$1577,'Site Level Financials - ''23 ''24'!AD$2:AD$1577)</f>
        <v>-98.38875232858426</v>
      </c>
      <c r="S912" s="155">
        <f>S913*S909</f>
        <v>-185.26333621355499</v>
      </c>
      <c r="T912" s="154">
        <f t="shared" ref="T912" si="2612">T913*T909</f>
        <v>-169.91030846857782</v>
      </c>
      <c r="U912" s="154">
        <f t="shared" ref="U912" si="2613">U913*U909</f>
        <v>-180.61060008333268</v>
      </c>
      <c r="V912" s="154">
        <f t="shared" ref="V912" si="2614">V913*V909</f>
        <v>-190.92218152768004</v>
      </c>
      <c r="W912" s="154">
        <f t="shared" ref="W912" si="2615">W913*W909</f>
        <v>-228.17735061988628</v>
      </c>
      <c r="X912" s="154">
        <f t="shared" ref="X912" si="2616">X913*X909</f>
        <v>-186.39884730894903</v>
      </c>
      <c r="Y912" s="154">
        <f t="shared" ref="Y912" si="2617">Y913*Y909</f>
        <v>-190.65125043994325</v>
      </c>
      <c r="Z912" s="154">
        <f t="shared" ref="Z912" si="2618">Z913*Z909</f>
        <v>-163.9959836737867</v>
      </c>
      <c r="AA912" s="154">
        <f t="shared" ref="AA912" si="2619">AA913*AA909</f>
        <v>-220.45808759587686</v>
      </c>
      <c r="AB912" s="154">
        <f t="shared" ref="AB912" si="2620">AB913*AB909</f>
        <v>-253.30453291922285</v>
      </c>
      <c r="AC912" s="154">
        <f t="shared" ref="AC912" si="2621">AC913*AC909</f>
        <v>-154.01328072091678</v>
      </c>
      <c r="AD912" s="156">
        <f t="shared" ref="AD912" si="2622">AD913*AD909</f>
        <v>-100.96035770162491</v>
      </c>
      <c r="AE912" s="15"/>
      <c r="AF912" s="115">
        <f>_xlfn.XLOOKUP($C912,'Site Level Financials - ''23 ''24'!$C$2:$C$1577,'Site Level Financials - ''23 ''24'!$AF$2:$AF$1577)</f>
        <v>-1469.0214712828033</v>
      </c>
      <c r="AG912" s="93">
        <f>SUM(G912:R912)</f>
        <v>-1278.9278266744393</v>
      </c>
      <c r="AH912" s="93">
        <f t="shared" ref="AH912" si="2623">SUM(S912:AD912)</f>
        <v>-2224.666117273352</v>
      </c>
    </row>
    <row r="913" spans="2:34" x14ac:dyDescent="0.2">
      <c r="B913" s="9">
        <f>G897</f>
        <v>19</v>
      </c>
      <c r="C913" s="9" t="str">
        <f t="shared" si="2592"/>
        <v>19 - % of Revenue - Doctor Compensation</v>
      </c>
      <c r="D913" s="9" t="s">
        <v>56</v>
      </c>
      <c r="F913" s="16" t="str">
        <f>"% of Revenue - "&amp;F912</f>
        <v>% of Revenue - Doctor Compensation</v>
      </c>
      <c r="G913" s="148">
        <f>G912/G909</f>
        <v>-0.34676245887833862</v>
      </c>
      <c r="H913" s="149">
        <f t="shared" ref="H913:R913" si="2624">H912/H909</f>
        <v>-0.30712919741626393</v>
      </c>
      <c r="I913" s="149">
        <f t="shared" si="2624"/>
        <v>-0.3040363896008319</v>
      </c>
      <c r="J913" s="149">
        <f t="shared" si="2624"/>
        <v>-0.30004317146850301</v>
      </c>
      <c r="K913" s="149">
        <f t="shared" si="2624"/>
        <v>-0.30171467628318843</v>
      </c>
      <c r="L913" s="149">
        <f t="shared" si="2624"/>
        <v>-0.29350652539966926</v>
      </c>
      <c r="M913" s="149">
        <f t="shared" si="2624"/>
        <v>-0.29798625633467113</v>
      </c>
      <c r="N913" s="149">
        <f t="shared" si="2624"/>
        <v>-0.29892366836281631</v>
      </c>
      <c r="O913" s="149">
        <f t="shared" si="2624"/>
        <v>-0.43828941055815396</v>
      </c>
      <c r="P913" s="149">
        <f t="shared" si="2624"/>
        <v>-0.43847985869002731</v>
      </c>
      <c r="Q913" s="149">
        <f t="shared" si="2624"/>
        <v>-0.33727180627295433</v>
      </c>
      <c r="R913" s="149">
        <f t="shared" si="2624"/>
        <v>-0.27087534497923427</v>
      </c>
      <c r="S913" s="245">
        <f>_xlfn.XLOOKUP($F913,'Budget Assumption Driver'!$A$33:$A$39,'Budget Assumption Driver'!E$33:E$39)+G913</f>
        <v>-0.34676245887833862</v>
      </c>
      <c r="T913" s="246">
        <f>_xlfn.XLOOKUP($F913,'Budget Assumption Driver'!$A$33:$A$39,'Budget Assumption Driver'!F$33:F$39)+H913</f>
        <v>-0.30712919741626393</v>
      </c>
      <c r="U913" s="246">
        <f>_xlfn.XLOOKUP($F913,'Budget Assumption Driver'!$A$33:$A$39,'Budget Assumption Driver'!G$33:G$39)+I913</f>
        <v>-0.3040363896008319</v>
      </c>
      <c r="V913" s="246">
        <f>_xlfn.XLOOKUP($F913,'Budget Assumption Driver'!$A$33:$A$39,'Budget Assumption Driver'!H$33:H$39)+J913</f>
        <v>-0.30004317146850301</v>
      </c>
      <c r="W913" s="246">
        <f>_xlfn.XLOOKUP($F913,'Budget Assumption Driver'!$A$33:$A$39,'Budget Assumption Driver'!I$33:I$39)+K913</f>
        <v>-0.30171467628318843</v>
      </c>
      <c r="X913" s="246">
        <f>_xlfn.XLOOKUP($F913,'Budget Assumption Driver'!$A$33:$A$39,'Budget Assumption Driver'!J$33:J$39)+L913</f>
        <v>-0.29350652539966926</v>
      </c>
      <c r="Y913" s="246">
        <f>_xlfn.XLOOKUP($F913,'Budget Assumption Driver'!$A$33:$A$39,'Budget Assumption Driver'!K$33:K$39)+M913</f>
        <v>-0.29798625633467113</v>
      </c>
      <c r="Z913" s="246">
        <f>_xlfn.XLOOKUP($F913,'Budget Assumption Driver'!$A$33:$A$39,'Budget Assumption Driver'!L$33:L$39)+N913</f>
        <v>-0.29892366836281631</v>
      </c>
      <c r="AA913" s="246">
        <f>_xlfn.XLOOKUP($F913,'Budget Assumption Driver'!$A$33:$A$39,'Budget Assumption Driver'!M$33:M$39)+O913</f>
        <v>-0.43828941055815396</v>
      </c>
      <c r="AB913" s="246">
        <f>_xlfn.XLOOKUP($F913,'Budget Assumption Driver'!$A$33:$A$39,'Budget Assumption Driver'!N$33:N$39)+P913</f>
        <v>-0.43847985869002731</v>
      </c>
      <c r="AC913" s="246">
        <f>_xlfn.XLOOKUP($F913,'Budget Assumption Driver'!$A$33:$A$39,'Budget Assumption Driver'!O$33:O$39)+Q913</f>
        <v>-0.33727180627295433</v>
      </c>
      <c r="AD913" s="296">
        <f>_xlfn.XLOOKUP($F913,'Budget Assumption Driver'!$A$33:$A$39,'Budget Assumption Driver'!P$33:P$39)+R913</f>
        <v>-0.27087534497923427</v>
      </c>
      <c r="AE913" s="15"/>
      <c r="AF913" s="232">
        <f>_xlfn.XLOOKUP($C913,'Site Level Financials - ''23 ''24'!$C$2:$C$1577,'Site Level Financials - ''23 ''24'!$AF$2:$AF$1577)</f>
        <v>-0.32470219417711915</v>
      </c>
      <c r="AG913" s="97">
        <f t="shared" ref="AG913:AH913" si="2625">AG912/AG909</f>
        <v>-0.32824216430932729</v>
      </c>
      <c r="AH913" s="97">
        <f t="shared" si="2625"/>
        <v>-0.32678877121635064</v>
      </c>
    </row>
    <row r="914" spans="2:34" ht="3" customHeight="1" x14ac:dyDescent="0.2">
      <c r="B914" s="9">
        <f>G897</f>
        <v>19</v>
      </c>
      <c r="C914" s="9" t="str">
        <f t="shared" si="2592"/>
        <v xml:space="preserve">19 - </v>
      </c>
      <c r="D914" s="9" t="s">
        <v>56</v>
      </c>
      <c r="F914" s="16"/>
      <c r="G914" s="84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4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6"/>
      <c r="AE914" s="15"/>
      <c r="AF914" s="36"/>
      <c r="AG914" s="38"/>
      <c r="AH914" s="38"/>
    </row>
    <row r="915" spans="2:34" x14ac:dyDescent="0.2">
      <c r="B915" s="9">
        <f>G897</f>
        <v>19</v>
      </c>
      <c r="C915" s="9" t="str">
        <f t="shared" si="2592"/>
        <v>19 - Administrative Staff Compensation</v>
      </c>
      <c r="D915" s="9" t="s">
        <v>56</v>
      </c>
      <c r="F915" t="s">
        <v>5</v>
      </c>
      <c r="G915" s="178">
        <f>_xlfn.XLOOKUP($C915,'Site Level Financials - ''23 ''24'!$C$2:$C$1577,'Site Level Financials - ''23 ''24'!S$2:S$1577)</f>
        <v>-75.689580874635595</v>
      </c>
      <c r="H915" s="179">
        <f>_xlfn.XLOOKUP($C915,'Site Level Financials - ''23 ''24'!$C$2:$C$1577,'Site Level Financials - ''23 ''24'!T$2:T$1577)</f>
        <v>-78.602018028572445</v>
      </c>
      <c r="I915" s="179">
        <f>_xlfn.XLOOKUP($C915,'Site Level Financials - ''23 ''24'!$C$2:$C$1577,'Site Level Financials - ''23 ''24'!U$2:U$1577)</f>
        <v>-83.301001054163052</v>
      </c>
      <c r="J915" s="179">
        <f>_xlfn.XLOOKUP($C915,'Site Level Financials - ''23 ''24'!$C$2:$C$1577,'Site Level Financials - ''23 ''24'!V$2:V$1577)</f>
        <v>-89.362273783088909</v>
      </c>
      <c r="K915" s="179">
        <f>_xlfn.XLOOKUP($C915,'Site Level Financials - ''23 ''24'!$C$2:$C$1577,'Site Level Financials - ''23 ''24'!W$2:W$1577)</f>
        <v>-108.7219899537366</v>
      </c>
      <c r="L915" s="179">
        <f>_xlfn.XLOOKUP($C915,'Site Level Financials - ''23 ''24'!$C$2:$C$1577,'Site Level Financials - ''23 ''24'!X$2:X$1577)</f>
        <v>-94.510658215092704</v>
      </c>
      <c r="M915" s="179">
        <f>_xlfn.XLOOKUP($C915,'Site Level Financials - ''23 ''24'!$C$2:$C$1577,'Site Level Financials - ''23 ''24'!Y$2:Y$1577)</f>
        <v>-94.189296590416205</v>
      </c>
      <c r="N915" s="179">
        <f>_xlfn.XLOOKUP($C915,'Site Level Financials - ''23 ''24'!$C$2:$C$1577,'Site Level Financials - ''23 ''24'!Z$2:Z$1577)</f>
        <v>-82.858139703695301</v>
      </c>
      <c r="O915" s="179">
        <f>_xlfn.XLOOKUP($C915,'Site Level Financials - ''23 ''24'!$C$2:$C$1577,'Site Level Financials - ''23 ''24'!AA$2:AA$1577)</f>
        <v>-71.792686435778634</v>
      </c>
      <c r="P915" s="179">
        <f>_xlfn.XLOOKUP($C915,'Site Level Financials - ''23 ''24'!$C$2:$C$1577,'Site Level Financials - ''23 ''24'!AB$2:AB$1577)</f>
        <v>-79.679005123854282</v>
      </c>
      <c r="Q915" s="179">
        <f>_xlfn.XLOOKUP($C915,'Site Level Financials - ''23 ''24'!$C$2:$C$1577,'Site Level Financials - ''23 ''24'!AC$2:AC$1577)</f>
        <v>-67.167204990951305</v>
      </c>
      <c r="R915" s="179">
        <f>_xlfn.XLOOKUP($C915,'Site Level Financials - ''23 ''24'!$C$2:$C$1577,'Site Level Financials - ''23 ''24'!AD$2:AD$1577)</f>
        <v>-56.048852840623503</v>
      </c>
      <c r="S915" s="155">
        <f>S916*S909</f>
        <v>-99.489127064137236</v>
      </c>
      <c r="T915" s="154">
        <f t="shared" ref="T915" si="2626">T916*T909</f>
        <v>-134.43836146630125</v>
      </c>
      <c r="U915" s="154">
        <f t="shared" ref="U915" si="2627">U916*U909</f>
        <v>-143.23954294192609</v>
      </c>
      <c r="V915" s="154">
        <f t="shared" ref="V915" si="2628">V916*V909</f>
        <v>-159.62273254067384</v>
      </c>
      <c r="W915" s="154">
        <f t="shared" ref="W915" si="2629">W916*W909</f>
        <v>-282.14739728051745</v>
      </c>
      <c r="X915" s="154">
        <f t="shared" ref="X915" si="2630">X916*X909</f>
        <v>-245.24800382340291</v>
      </c>
      <c r="Y915" s="154">
        <f t="shared" ref="Y915" si="2631">Y916*Y909</f>
        <v>-241.49628108544022</v>
      </c>
      <c r="Z915" s="154">
        <f t="shared" ref="Z915" si="2632">Z916*Z909</f>
        <v>-136.6049991364975</v>
      </c>
      <c r="AA915" s="154">
        <f t="shared" ref="AA915" si="2633">AA916*AA909</f>
        <v>-121.05192404296552</v>
      </c>
      <c r="AB915" s="154">
        <f t="shared" ref="AB915" si="2634">AB916*AB909</f>
        <v>-140.85785351811356</v>
      </c>
      <c r="AC915" s="154">
        <f t="shared" ref="AC915" si="2635">AC916*AC909</f>
        <v>-85.697582774613196</v>
      </c>
      <c r="AD915" s="156">
        <f t="shared" ref="AD915" si="2636">AD916*AD909</f>
        <v>-57.513812276599978</v>
      </c>
      <c r="AE915" s="15"/>
      <c r="AF915" s="115">
        <f>_xlfn.XLOOKUP($C915,'Site Level Financials - ''23 ''24'!$C$2:$C$1577,'Site Level Financials - ''23 ''24'!$AF$2:$AF$1577)</f>
        <v>-962.71678796093374</v>
      </c>
      <c r="AG915" s="93">
        <f>SUM(G915:R915)</f>
        <v>-981.92270759460848</v>
      </c>
      <c r="AH915" s="93">
        <f t="shared" ref="AH915" si="2637">SUM(S915:AD915)</f>
        <v>-1847.407617951189</v>
      </c>
    </row>
    <row r="916" spans="2:34" x14ac:dyDescent="0.2">
      <c r="B916" s="9">
        <f>G897</f>
        <v>19</v>
      </c>
      <c r="C916" s="9" t="str">
        <f t="shared" si="2592"/>
        <v>19 - % of Revenue - Administrative Staff Compensation</v>
      </c>
      <c r="D916" s="9" t="s">
        <v>56</v>
      </c>
      <c r="F916" s="16" t="str">
        <f>"% of Revenue - "&amp;F915</f>
        <v>% of Revenue - Administrative Staff Compensation</v>
      </c>
      <c r="G916" s="148">
        <f>G915/G909</f>
        <v>-0.18621652312604489</v>
      </c>
      <c r="H916" s="149">
        <f t="shared" ref="H916:R916" si="2638">H915/H909</f>
        <v>-0.24301024717837288</v>
      </c>
      <c r="I916" s="149">
        <f t="shared" si="2638"/>
        <v>-0.24112667509018182</v>
      </c>
      <c r="J916" s="149">
        <f t="shared" si="2638"/>
        <v>-0.25085461797443753</v>
      </c>
      <c r="K916" s="149">
        <f t="shared" si="2638"/>
        <v>-0.37307826742386735</v>
      </c>
      <c r="L916" s="149">
        <f t="shared" si="2638"/>
        <v>-0.38617132295944157</v>
      </c>
      <c r="M916" s="149">
        <f t="shared" si="2638"/>
        <v>-0.37745659969885481</v>
      </c>
      <c r="N916" s="149">
        <f t="shared" si="2638"/>
        <v>-0.2489967531144375</v>
      </c>
      <c r="O916" s="149">
        <f t="shared" si="2638"/>
        <v>-0.24066151083093248</v>
      </c>
      <c r="P916" s="149">
        <f t="shared" si="2638"/>
        <v>-0.24383034521414951</v>
      </c>
      <c r="Q916" s="149">
        <f t="shared" si="2638"/>
        <v>-0.18766809200042187</v>
      </c>
      <c r="R916" s="149">
        <f t="shared" si="2638"/>
        <v>-0.15430882077039432</v>
      </c>
      <c r="S916" s="245">
        <f>_xlfn.XLOOKUP($F916,'Budget Assumption Driver'!$A$33:$A$39,'Budget Assumption Driver'!E$33:E$39)+G916</f>
        <v>-0.18621652312604489</v>
      </c>
      <c r="T916" s="246">
        <f>_xlfn.XLOOKUP($F916,'Budget Assumption Driver'!$A$33:$A$39,'Budget Assumption Driver'!F$33:F$39)+H916</f>
        <v>-0.24301024717837288</v>
      </c>
      <c r="U916" s="246">
        <f>_xlfn.XLOOKUP($F916,'Budget Assumption Driver'!$A$33:$A$39,'Budget Assumption Driver'!G$33:G$39)+I916</f>
        <v>-0.24112667509018182</v>
      </c>
      <c r="V916" s="246">
        <f>_xlfn.XLOOKUP($F916,'Budget Assumption Driver'!$A$33:$A$39,'Budget Assumption Driver'!H$33:H$39)+J916</f>
        <v>-0.25085461797443753</v>
      </c>
      <c r="W916" s="246">
        <f>_xlfn.XLOOKUP($F916,'Budget Assumption Driver'!$A$33:$A$39,'Budget Assumption Driver'!I$33:I$39)+K916</f>
        <v>-0.37307826742386735</v>
      </c>
      <c r="X916" s="246">
        <f>_xlfn.XLOOKUP($F916,'Budget Assumption Driver'!$A$33:$A$39,'Budget Assumption Driver'!J$33:J$39)+L916</f>
        <v>-0.38617132295944157</v>
      </c>
      <c r="Y916" s="246">
        <f>_xlfn.XLOOKUP($F916,'Budget Assumption Driver'!$A$33:$A$39,'Budget Assumption Driver'!K$33:K$39)+M916</f>
        <v>-0.37745659969885481</v>
      </c>
      <c r="Z916" s="246">
        <f>_xlfn.XLOOKUP($F916,'Budget Assumption Driver'!$A$33:$A$39,'Budget Assumption Driver'!L$33:L$39)+N916</f>
        <v>-0.2489967531144375</v>
      </c>
      <c r="AA916" s="246">
        <f>_xlfn.XLOOKUP($F916,'Budget Assumption Driver'!$A$33:$A$39,'Budget Assumption Driver'!M$33:M$39)+O916</f>
        <v>-0.24066151083093248</v>
      </c>
      <c r="AB916" s="246">
        <f>_xlfn.XLOOKUP($F916,'Budget Assumption Driver'!$A$33:$A$39,'Budget Assumption Driver'!N$33:N$39)+P916</f>
        <v>-0.24383034521414951</v>
      </c>
      <c r="AC916" s="246">
        <f>_xlfn.XLOOKUP($F916,'Budget Assumption Driver'!$A$33:$A$39,'Budget Assumption Driver'!O$33:O$39)+Q916</f>
        <v>-0.18766809200042187</v>
      </c>
      <c r="AD916" s="296">
        <f>_xlfn.XLOOKUP($F916,'Budget Assumption Driver'!$A$33:$A$39,'Budget Assumption Driver'!P$33:P$39)+R916</f>
        <v>-0.15430882077039432</v>
      </c>
      <c r="AE916" s="15"/>
      <c r="AF916" s="232">
        <f>_xlfn.XLOOKUP($C916,'Site Level Financials - ''23 ''24'!$C$2:$C$1577,'Site Level Financials - ''23 ''24'!$AF$2:$AF$1577)</f>
        <v>-0.21279216099482406</v>
      </c>
      <c r="AG916" s="97">
        <f t="shared" ref="AG916:AH916" si="2639">AG915/AG909</f>
        <v>-0.25201456094939989</v>
      </c>
      <c r="AH916" s="97">
        <f t="shared" si="2639"/>
        <v>-0.27137198733710666</v>
      </c>
    </row>
    <row r="917" spans="2:34" ht="3" customHeight="1" x14ac:dyDescent="0.2">
      <c r="B917" s="9">
        <f>G897</f>
        <v>19</v>
      </c>
      <c r="C917" s="9" t="str">
        <f t="shared" si="2592"/>
        <v xml:space="preserve">19 - </v>
      </c>
      <c r="D917" s="9" t="s">
        <v>56</v>
      </c>
      <c r="F917" s="16"/>
      <c r="G917" s="84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4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6"/>
      <c r="AE917" s="15"/>
      <c r="AF917" s="36"/>
      <c r="AG917" s="38"/>
      <c r="AH917" s="38"/>
    </row>
    <row r="918" spans="2:34" x14ac:dyDescent="0.2">
      <c r="B918" s="9">
        <f>G897</f>
        <v>19</v>
      </c>
      <c r="C918" s="9" t="str">
        <f t="shared" si="2592"/>
        <v>19 - Office Supplies</v>
      </c>
      <c r="D918" s="9" t="s">
        <v>56</v>
      </c>
      <c r="F918" t="s">
        <v>6</v>
      </c>
      <c r="G918" s="178">
        <f>_xlfn.XLOOKUP($C918,'Site Level Financials - ''23 ''24'!$C$2:$C$1577,'Site Level Financials - ''23 ''24'!S$2:S$1577)</f>
        <v>-34.067708788137914</v>
      </c>
      <c r="H918" s="179">
        <f>_xlfn.XLOOKUP($C918,'Site Level Financials - ''23 ''24'!$C$2:$C$1577,'Site Level Financials - ''23 ''24'!T$2:T$1577)</f>
        <v>-37.4339166718499</v>
      </c>
      <c r="I918" s="179">
        <f>_xlfn.XLOOKUP($C918,'Site Level Financials - ''23 ''24'!$C$2:$C$1577,'Site Level Financials - ''23 ''24'!U$2:U$1577)</f>
        <v>-38.406393234000348</v>
      </c>
      <c r="J918" s="179">
        <f>_xlfn.XLOOKUP($C918,'Site Level Financials - ''23 ''24'!$C$2:$C$1577,'Site Level Financials - ''23 ''24'!V$2:V$1577)</f>
        <v>-40.266627713962734</v>
      </c>
      <c r="K918" s="179">
        <f>_xlfn.XLOOKUP($C918,'Site Level Financials - ''23 ''24'!$C$2:$C$1577,'Site Level Financials - ''23 ''24'!W$2:W$1577)</f>
        <v>-49.031085418723912</v>
      </c>
      <c r="L918" s="179">
        <f>_xlfn.XLOOKUP($C918,'Site Level Financials - ''23 ''24'!$C$2:$C$1577,'Site Level Financials - ''23 ''24'!X$2:X$1577)</f>
        <v>-40.846452954100123</v>
      </c>
      <c r="M918" s="179">
        <f>_xlfn.XLOOKUP($C918,'Site Level Financials - ''23 ''24'!$C$2:$C$1577,'Site Level Financials - ''23 ''24'!Y$2:Y$1577)</f>
        <v>-39.732792383555577</v>
      </c>
      <c r="N918" s="179">
        <f>_xlfn.XLOOKUP($C918,'Site Level Financials - ''23 ''24'!$C$2:$C$1577,'Site Level Financials - ''23 ''24'!Z$2:Z$1577)</f>
        <v>-33.638349919784986</v>
      </c>
      <c r="O918" s="179">
        <f>_xlfn.XLOOKUP($C918,'Site Level Financials - ''23 ''24'!$C$2:$C$1577,'Site Level Financials - ''23 ''24'!AA$2:AA$1577)</f>
        <v>-28.793061266159189</v>
      </c>
      <c r="P918" s="179">
        <f>_xlfn.XLOOKUP($C918,'Site Level Financials - ''23 ''24'!$C$2:$C$1577,'Site Level Financials - ''23 ''24'!AB$2:AB$1577)</f>
        <v>-30.634509887089397</v>
      </c>
      <c r="Q918" s="179">
        <f>_xlfn.XLOOKUP($C918,'Site Level Financials - ''23 ''24'!$C$2:$C$1577,'Site Level Financials - ''23 ''24'!AC$2:AC$1577)</f>
        <v>-25.282033140726437</v>
      </c>
      <c r="R918" s="179">
        <f>_xlfn.XLOOKUP($C918,'Site Level Financials - ''23 ''24'!$C$2:$C$1577,'Site Level Financials - ''23 ''24'!AD$2:AD$1577)</f>
        <v>-21.599457231087708</v>
      </c>
      <c r="S918" s="155">
        <f>S919*S909</f>
        <v>-44.779830582241885</v>
      </c>
      <c r="T918" s="154">
        <f t="shared" ref="T918" si="2640">T919*T909</f>
        <v>-64.025766091656635</v>
      </c>
      <c r="U918" s="154">
        <f t="shared" ref="U918" si="2641">U919*U909</f>
        <v>-66.04139377999897</v>
      </c>
      <c r="V918" s="154">
        <f t="shared" ref="V918" si="2642">V919*V909</f>
        <v>-71.925980324787844</v>
      </c>
      <c r="W918" s="154">
        <f t="shared" ref="W918" si="2643">W919*W909</f>
        <v>-127.24190518052811</v>
      </c>
      <c r="X918" s="154">
        <f t="shared" ref="X918" si="2644">X919*X909</f>
        <v>-105.99345343105298</v>
      </c>
      <c r="Y918" s="154">
        <f t="shared" ref="Y918" si="2645">Y919*Y909</f>
        <v>-101.8727386774529</v>
      </c>
      <c r="Z918" s="154">
        <f t="shared" ref="Z918" si="2646">Z919*Z909</f>
        <v>-55.458241980546106</v>
      </c>
      <c r="AA918" s="154">
        <f t="shared" ref="AA918" si="2647">AA919*AA909</f>
        <v>-48.548893186681774</v>
      </c>
      <c r="AB918" s="154">
        <f t="shared" ref="AB918" si="2648">AB919*AB909</f>
        <v>-54.156189570481757</v>
      </c>
      <c r="AC918" s="154">
        <f t="shared" ref="AC918" si="2649">AC919*AC909</f>
        <v>-32.256949326383335</v>
      </c>
      <c r="AD918" s="156">
        <f t="shared" ref="AD918" si="2650">AD919*AD909</f>
        <v>-22.164006317803686</v>
      </c>
      <c r="AE918" s="15"/>
      <c r="AF918" s="115">
        <f>_xlfn.XLOOKUP($C918,'Site Level Financials - ''23 ''24'!$C$2:$C$1577,'Site Level Financials - ''23 ''24'!$AF$2:$AF$1577)</f>
        <v>-394.64465159737904</v>
      </c>
      <c r="AG918" s="93">
        <f>SUM(G918:R918)</f>
        <v>-419.7323886091782</v>
      </c>
      <c r="AH918" s="93">
        <f t="shared" ref="AH918" si="2651">SUM(S918:AD918)</f>
        <v>-794.46534844961582</v>
      </c>
    </row>
    <row r="919" spans="2:34" x14ac:dyDescent="0.2">
      <c r="B919" s="9">
        <f>G897</f>
        <v>19</v>
      </c>
      <c r="C919" s="9" t="str">
        <f t="shared" si="2592"/>
        <v>19 - % of Revenue - Office Supplies</v>
      </c>
      <c r="D919" s="9" t="s">
        <v>56</v>
      </c>
      <c r="F919" s="16" t="str">
        <f>"% of Revenue - "&amp;F918</f>
        <v>% of Revenue - Office Supplies</v>
      </c>
      <c r="G919" s="148">
        <f>G918/G909</f>
        <v>-8.3815634967052383E-2</v>
      </c>
      <c r="H919" s="149">
        <f t="shared" ref="H919:R919" si="2652">H918/H909</f>
        <v>-0.11573271999166855</v>
      </c>
      <c r="I919" s="149">
        <f t="shared" si="2652"/>
        <v>-0.11117280447445163</v>
      </c>
      <c r="J919" s="149">
        <f t="shared" si="2652"/>
        <v>-0.11303505477964422</v>
      </c>
      <c r="K919" s="149">
        <f t="shared" si="2652"/>
        <v>-0.16824960990608212</v>
      </c>
      <c r="L919" s="149">
        <f t="shared" si="2652"/>
        <v>-0.1668989410653208</v>
      </c>
      <c r="M919" s="149">
        <f t="shared" si="2652"/>
        <v>-0.15922620990423061</v>
      </c>
      <c r="N919" s="149">
        <f t="shared" si="2652"/>
        <v>-0.10108650689125012</v>
      </c>
      <c r="O919" s="149">
        <f t="shared" si="2652"/>
        <v>-9.6519324875244422E-2</v>
      </c>
      <c r="P919" s="149">
        <f t="shared" si="2652"/>
        <v>-9.3746440604076137E-2</v>
      </c>
      <c r="Q919" s="149">
        <f t="shared" si="2652"/>
        <v>-7.0639100168761751E-2</v>
      </c>
      <c r="R919" s="149">
        <f t="shared" si="2652"/>
        <v>-5.9465744715367377E-2</v>
      </c>
      <c r="S919" s="245">
        <f>_xlfn.XLOOKUP($F919,'Budget Assumption Driver'!$A$33:$A$39,'Budget Assumption Driver'!E$33:E$39)+G919</f>
        <v>-8.3815634967052383E-2</v>
      </c>
      <c r="T919" s="246">
        <f>_xlfn.XLOOKUP($F919,'Budget Assumption Driver'!$A$33:$A$39,'Budget Assumption Driver'!F$33:F$39)+H919</f>
        <v>-0.11573271999166855</v>
      </c>
      <c r="U919" s="246">
        <f>_xlfn.XLOOKUP($F919,'Budget Assumption Driver'!$A$33:$A$39,'Budget Assumption Driver'!G$33:G$39)+I919</f>
        <v>-0.11117280447445163</v>
      </c>
      <c r="V919" s="246">
        <f>_xlfn.XLOOKUP($F919,'Budget Assumption Driver'!$A$33:$A$39,'Budget Assumption Driver'!H$33:H$39)+J919</f>
        <v>-0.11303505477964422</v>
      </c>
      <c r="W919" s="246">
        <f>_xlfn.XLOOKUP($F919,'Budget Assumption Driver'!$A$33:$A$39,'Budget Assumption Driver'!I$33:I$39)+K919</f>
        <v>-0.16824960990608212</v>
      </c>
      <c r="X919" s="246">
        <f>_xlfn.XLOOKUP($F919,'Budget Assumption Driver'!$A$33:$A$39,'Budget Assumption Driver'!J$33:J$39)+L919</f>
        <v>-0.1668989410653208</v>
      </c>
      <c r="Y919" s="246">
        <f>_xlfn.XLOOKUP($F919,'Budget Assumption Driver'!$A$33:$A$39,'Budget Assumption Driver'!K$33:K$39)+M919</f>
        <v>-0.15922620990423061</v>
      </c>
      <c r="Z919" s="246">
        <f>_xlfn.XLOOKUP($F919,'Budget Assumption Driver'!$A$33:$A$39,'Budget Assumption Driver'!L$33:L$39)+N919</f>
        <v>-0.10108650689125012</v>
      </c>
      <c r="AA919" s="246">
        <f>_xlfn.XLOOKUP($F919,'Budget Assumption Driver'!$A$33:$A$39,'Budget Assumption Driver'!M$33:M$39)+O919</f>
        <v>-9.6519324875244422E-2</v>
      </c>
      <c r="AB919" s="246">
        <f>_xlfn.XLOOKUP($F919,'Budget Assumption Driver'!$A$33:$A$39,'Budget Assumption Driver'!N$33:N$39)+P919</f>
        <v>-9.3746440604076137E-2</v>
      </c>
      <c r="AC919" s="246">
        <f>_xlfn.XLOOKUP($F919,'Budget Assumption Driver'!$A$33:$A$39,'Budget Assumption Driver'!O$33:O$39)+Q919</f>
        <v>-7.0639100168761751E-2</v>
      </c>
      <c r="AD919" s="296">
        <f>_xlfn.XLOOKUP($F919,'Budget Assumption Driver'!$A$33:$A$39,'Budget Assumption Driver'!P$33:P$39)+R919</f>
        <v>-5.9465744715367377E-2</v>
      </c>
      <c r="AE919" s="15"/>
      <c r="AF919" s="232">
        <f>_xlfn.XLOOKUP($C919,'Site Level Financials - ''23 ''24'!$C$2:$C$1577,'Site Level Financials - ''23 ''24'!$AF$2:$AF$1577)</f>
        <v>-8.7229483570471875E-2</v>
      </c>
      <c r="AG919" s="97">
        <f t="shared" ref="AG919:AH919" si="2653">AG918/AG909</f>
        <v>-0.10772606928574684</v>
      </c>
      <c r="AH919" s="97">
        <f t="shared" si="2653"/>
        <v>-0.11670171671065152</v>
      </c>
    </row>
    <row r="920" spans="2:34" ht="6" customHeight="1" x14ac:dyDescent="0.2">
      <c r="B920" s="9">
        <f>G897</f>
        <v>19</v>
      </c>
      <c r="C920" s="9" t="str">
        <f t="shared" si="2592"/>
        <v xml:space="preserve">19 - </v>
      </c>
      <c r="D920" s="9" t="s">
        <v>56</v>
      </c>
      <c r="F920" s="16"/>
      <c r="G920" s="80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80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81"/>
      <c r="AE920" s="15"/>
      <c r="AF920" s="11"/>
      <c r="AG920" s="15"/>
      <c r="AH920" s="15"/>
    </row>
    <row r="921" spans="2:34" x14ac:dyDescent="0.2">
      <c r="B921" s="9">
        <f>G897</f>
        <v>19</v>
      </c>
      <c r="C921" s="9" t="str">
        <f t="shared" si="2592"/>
        <v>19 - Office Gross Profit</v>
      </c>
      <c r="D921" s="9" t="s">
        <v>56</v>
      </c>
      <c r="F921" s="8" t="s">
        <v>11</v>
      </c>
      <c r="G921" s="241">
        <f>_xlfn.XLOOKUP($C921,'Site Level Financials - ''23 ''24'!$C$2:$C$1577,'Site Level Financials - ''23 ''24'!S$2:S$1577)</f>
        <v>155.75768650080394</v>
      </c>
      <c r="H921" s="242">
        <f>_xlfn.XLOOKUP($C921,'Site Level Financials - ''23 ''24'!$C$2:$C$1577,'Site Level Financials - ''23 ''24'!T$2:T$1577)</f>
        <v>108.074134518935</v>
      </c>
      <c r="I921" s="242">
        <f>_xlfn.XLOOKUP($C921,'Site Level Financials - ''23 ''24'!$C$2:$C$1577,'Site Level Financials - ''23 ''24'!U$2:U$1577)</f>
        <v>118.72417729900201</v>
      </c>
      <c r="J921" s="242">
        <f>_xlfn.XLOOKUP($C921,'Site Level Financials - ''23 ''24'!$C$2:$C$1577,'Site Level Financials - ''23 ''24'!V$2:V$1577)</f>
        <v>119.71764931648839</v>
      </c>
      <c r="K921" s="242">
        <f>_xlfn.XLOOKUP($C921,'Site Level Financials - ''23 ''24'!$C$2:$C$1577,'Site Level Financials - ''23 ''24'!W$2:W$1577)</f>
        <v>45.740337616205174</v>
      </c>
      <c r="L921" s="242">
        <f>_xlfn.XLOOKUP($C921,'Site Level Financials - ''23 ''24'!$C$2:$C$1577,'Site Level Financials - ''23 ''24'!X$2:X$1577)</f>
        <v>37.548434476820653</v>
      </c>
      <c r="M921" s="242">
        <f>_xlfn.XLOOKUP($C921,'Site Level Financials - ''23 ''24'!$C$2:$C$1577,'Site Level Financials - ''23 ''24'!Y$2:Y$1577)</f>
        <v>41.256145465156223</v>
      </c>
      <c r="N921" s="242">
        <f>_xlfn.XLOOKUP($C921,'Site Level Financials - ''23 ''24'!$C$2:$C$1577,'Site Level Financials - ''23 ''24'!Z$2:Z$1577)</f>
        <v>116.79924577532708</v>
      </c>
      <c r="O921" s="242">
        <f>_xlfn.XLOOKUP($C921,'Site Level Financials - ''23 ''24'!$C$2:$C$1577,'Site Level Financials - ''23 ''24'!AA$2:AA$1577)</f>
        <v>66.980358220935855</v>
      </c>
      <c r="P921" s="242">
        <f>_xlfn.XLOOKUP($C921,'Site Level Financials - ''23 ''24'!$C$2:$C$1577,'Site Level Financials - ''23 ''24'!AB$2:AB$1577)</f>
        <v>73.180324434222925</v>
      </c>
      <c r="Q921" s="242">
        <f>_xlfn.XLOOKUP($C921,'Site Level Financials - ''23 ''24'!$C$2:$C$1577,'Site Level Financials - ''23 ''24'!AC$2:AC$1577)</f>
        <v>144.74398937365279</v>
      </c>
      <c r="R921" s="242">
        <f>_xlfn.XLOOKUP($C921,'Site Level Financials - ''23 ''24'!$C$2:$C$1577,'Site Level Financials - ''23 ''24'!AD$2:AD$1577)</f>
        <v>187.18814119336085</v>
      </c>
      <c r="S921" s="134">
        <f t="shared" ref="S921:AD921" si="2654">S909+S912+S915+S918</f>
        <v>204.73354567996401</v>
      </c>
      <c r="T921" s="135">
        <f t="shared" si="2654"/>
        <v>184.84652081493292</v>
      </c>
      <c r="U921" s="135">
        <f t="shared" si="2654"/>
        <v>204.1511707813427</v>
      </c>
      <c r="V921" s="135">
        <f t="shared" si="2654"/>
        <v>213.84480842138501</v>
      </c>
      <c r="W921" s="135">
        <f t="shared" si="2654"/>
        <v>118.70199593142101</v>
      </c>
      <c r="X921" s="135">
        <f t="shared" si="2654"/>
        <v>97.435345135111334</v>
      </c>
      <c r="Y921" s="135">
        <f t="shared" si="2654"/>
        <v>105.77853389308495</v>
      </c>
      <c r="Z921" s="135">
        <f t="shared" si="2654"/>
        <v>192.56238343437667</v>
      </c>
      <c r="AA921" s="135">
        <f t="shared" si="2654"/>
        <v>112.93770491489215</v>
      </c>
      <c r="AB921" s="135">
        <f t="shared" si="2654"/>
        <v>129.36937909228214</v>
      </c>
      <c r="AC921" s="135">
        <f t="shared" si="2654"/>
        <v>184.67658453478043</v>
      </c>
      <c r="AD921" s="136">
        <f t="shared" si="2654"/>
        <v>192.08071293829687</v>
      </c>
      <c r="AE921" s="15"/>
      <c r="AF921" s="114">
        <f>_xlfn.XLOOKUP($C921,'Site Level Financials - ''23 ''24'!$C$2:$C$1577,'Site Level Financials - ''23 ''24'!$AF$2:$AF$1577)</f>
        <v>1697.8288057002223</v>
      </c>
      <c r="AG921" s="95">
        <f>SUM(G921:R921)</f>
        <v>1215.7106241909109</v>
      </c>
      <c r="AH921" s="95">
        <f t="shared" ref="AH921" si="2655">SUM(S921:AD921)</f>
        <v>1941.1186855718702</v>
      </c>
    </row>
    <row r="922" spans="2:34" x14ac:dyDescent="0.2">
      <c r="B922" s="9">
        <f>G897</f>
        <v>19</v>
      </c>
      <c r="C922" s="9" t="str">
        <f t="shared" si="2592"/>
        <v>19 - % of Revenue - Office Gross Profit</v>
      </c>
      <c r="D922" s="9" t="s">
        <v>56</v>
      </c>
      <c r="F922" s="16" t="str">
        <f>"% of Revenue - "&amp;F921</f>
        <v>% of Revenue - Office Gross Profit</v>
      </c>
      <c r="G922" s="148">
        <f>G921/G909</f>
        <v>0.38320538302856405</v>
      </c>
      <c r="H922" s="149">
        <f t="shared" ref="H922:AD922" si="2656">H921/H909</f>
        <v>0.33412783541369467</v>
      </c>
      <c r="I922" s="149">
        <f t="shared" si="2656"/>
        <v>0.34366413083453462</v>
      </c>
      <c r="J922" s="149">
        <f t="shared" si="2656"/>
        <v>0.33606715577741531</v>
      </c>
      <c r="K922" s="149">
        <f t="shared" si="2656"/>
        <v>0.1569574463868621</v>
      </c>
      <c r="L922" s="149">
        <f t="shared" si="2656"/>
        <v>0.15342321057556838</v>
      </c>
      <c r="M922" s="149">
        <f t="shared" si="2656"/>
        <v>0.16533093406224347</v>
      </c>
      <c r="N922" s="149">
        <f t="shared" si="2656"/>
        <v>0.35099307163149596</v>
      </c>
      <c r="O922" s="149">
        <f t="shared" si="2656"/>
        <v>0.22452975373566914</v>
      </c>
      <c r="P922" s="149">
        <f t="shared" si="2656"/>
        <v>0.22394335549174707</v>
      </c>
      <c r="Q922" s="149">
        <f t="shared" si="2656"/>
        <v>0.40442100155786204</v>
      </c>
      <c r="R922" s="149">
        <f t="shared" si="2656"/>
        <v>0.51535008953500405</v>
      </c>
      <c r="S922" s="148">
        <f t="shared" si="2656"/>
        <v>0.38320538302856405</v>
      </c>
      <c r="T922" s="149">
        <f t="shared" si="2656"/>
        <v>0.33412783541369467</v>
      </c>
      <c r="U922" s="149">
        <f t="shared" si="2656"/>
        <v>0.34366413083453473</v>
      </c>
      <c r="V922" s="149">
        <f t="shared" si="2656"/>
        <v>0.33606715577741525</v>
      </c>
      <c r="W922" s="149">
        <f t="shared" si="2656"/>
        <v>0.1569574463868621</v>
      </c>
      <c r="X922" s="149">
        <f t="shared" si="2656"/>
        <v>0.15342321057556835</v>
      </c>
      <c r="Y922" s="149">
        <f t="shared" si="2656"/>
        <v>0.16533093406224339</v>
      </c>
      <c r="Z922" s="149">
        <f t="shared" si="2656"/>
        <v>0.35099307163149612</v>
      </c>
      <c r="AA922" s="149">
        <f t="shared" si="2656"/>
        <v>0.22452975373566914</v>
      </c>
      <c r="AB922" s="149">
        <f t="shared" si="2656"/>
        <v>0.22394335549174699</v>
      </c>
      <c r="AC922" s="149">
        <f t="shared" si="2656"/>
        <v>0.40442100155786209</v>
      </c>
      <c r="AD922" s="150">
        <f t="shared" si="2656"/>
        <v>0.51535008953500405</v>
      </c>
      <c r="AE922" s="15"/>
      <c r="AF922" s="233">
        <f>_xlfn.XLOOKUP($C922,'Site Level Financials - ''23 ''24'!$C$2:$C$1577,'Site Level Financials - ''23 ''24'!$AF$2:$AF$1577)</f>
        <v>0.37527616125758489</v>
      </c>
      <c r="AG922" s="97">
        <f t="shared" ref="AG922:AH922" si="2657">AG921/AG909</f>
        <v>0.31201720545552597</v>
      </c>
      <c r="AH922" s="97">
        <f t="shared" si="2657"/>
        <v>0.28513752473589105</v>
      </c>
    </row>
    <row r="923" spans="2:34" ht="6" customHeight="1" x14ac:dyDescent="0.2">
      <c r="B923" s="9">
        <f>G897</f>
        <v>19</v>
      </c>
      <c r="C923" s="9" t="str">
        <f t="shared" si="2592"/>
        <v xml:space="preserve">19 - </v>
      </c>
      <c r="D923" s="9" t="s">
        <v>56</v>
      </c>
      <c r="F923" s="16"/>
      <c r="G923" s="80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80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81"/>
      <c r="AE923" s="15"/>
      <c r="AF923" s="11"/>
      <c r="AG923" s="15"/>
      <c r="AH923" s="15"/>
    </row>
    <row r="924" spans="2:34" x14ac:dyDescent="0.2">
      <c r="B924" s="9">
        <f>G897</f>
        <v>19</v>
      </c>
      <c r="C924" s="9" t="str">
        <f t="shared" si="2592"/>
        <v>19 - General and Administrative Expense</v>
      </c>
      <c r="D924" s="9" t="s">
        <v>56</v>
      </c>
      <c r="F924" t="s">
        <v>10</v>
      </c>
      <c r="G924" s="178">
        <f>_xlfn.XLOOKUP($C924,'Site Level Financials - ''23 ''24'!$C$2:$C$1577,'Site Level Financials - ''23 ''24'!S$2:S$1577)</f>
        <v>-25.153908140089865</v>
      </c>
      <c r="H924" s="179">
        <f>_xlfn.XLOOKUP($C924,'Site Level Financials - ''23 ''24'!$C$2:$C$1577,'Site Level Financials - ''23 ''24'!T$2:T$1577)</f>
        <v>-28.562183816599688</v>
      </c>
      <c r="I924" s="179">
        <f>_xlfn.XLOOKUP($C924,'Site Level Financials - ''23 ''24'!$C$2:$C$1577,'Site Level Financials - ''23 ''24'!U$2:U$1577)</f>
        <v>-29.44716169578092</v>
      </c>
      <c r="J924" s="179">
        <f>_xlfn.XLOOKUP($C924,'Site Level Financials - ''23 ''24'!$C$2:$C$1577,'Site Level Financials - ''23 ''24'!V$2:V$1577)</f>
        <v>-29.322602660710125</v>
      </c>
      <c r="K924" s="179">
        <f>_xlfn.XLOOKUP($C924,'Site Level Financials - ''23 ''24'!$C$2:$C$1577,'Site Level Financials - ''23 ''24'!W$2:W$1577)</f>
        <v>-34.547651444767808</v>
      </c>
      <c r="L924" s="179">
        <f>_xlfn.XLOOKUP($C924,'Site Level Financials - ''23 ''24'!$C$2:$C$1577,'Site Level Financials - ''23 ''24'!X$2:X$1577)</f>
        <v>-30.965395462434589</v>
      </c>
      <c r="M924" s="179">
        <f>_xlfn.XLOOKUP($C924,'Site Level Financials - ''23 ''24'!$C$2:$C$1577,'Site Level Financials - ''23 ''24'!Y$2:Y$1577)</f>
        <v>-32.468415051908458</v>
      </c>
      <c r="N924" s="179">
        <f>_xlfn.XLOOKUP($C924,'Site Level Financials - ''23 ''24'!$C$2:$C$1577,'Site Level Financials - ''23 ''24'!Z$2:Z$1577)</f>
        <v>-30.240191470143078</v>
      </c>
      <c r="O924" s="179">
        <f>_xlfn.XLOOKUP($C924,'Site Level Financials - ''23 ''24'!$C$2:$C$1577,'Site Level Financials - ''23 ''24'!AA$2:AA$1577)</f>
        <v>-26.623252291202842</v>
      </c>
      <c r="P924" s="179">
        <f>_xlfn.XLOOKUP($C924,'Site Level Financials - ''23 ''24'!$C$2:$C$1577,'Site Level Financials - ''23 ''24'!AB$2:AB$1577)</f>
        <v>-28.909872098260983</v>
      </c>
      <c r="Q924" s="179">
        <f>_xlfn.XLOOKUP($C924,'Site Level Financials - ''23 ''24'!$C$2:$C$1577,'Site Level Financials - ''23 ''24'!AC$2:AC$1577)</f>
        <v>-23.727800239117371</v>
      </c>
      <c r="R924" s="179">
        <f>_xlfn.XLOOKUP($C924,'Site Level Financials - ''23 ''24'!$C$2:$C$1577,'Site Level Financials - ''23 ''24'!AD$2:AD$1577)</f>
        <v>-20.061327248224725</v>
      </c>
      <c r="S924" s="155">
        <f>S925*S909</f>
        <v>-33.063208095365013</v>
      </c>
      <c r="T924" s="154">
        <f t="shared" ref="T924" si="2658">T925*T909</f>
        <v>-48.851839793822492</v>
      </c>
      <c r="U924" s="154">
        <f t="shared" ref="U924" si="2659">U925*U909</f>
        <v>-50.635621767595232</v>
      </c>
      <c r="V924" s="154">
        <f t="shared" ref="V924" si="2660">V925*V909</f>
        <v>-52.377292606365387</v>
      </c>
      <c r="W924" s="154">
        <f t="shared" ref="W924" si="2661">W925*W909</f>
        <v>-89.655551203979215</v>
      </c>
      <c r="X924" s="154">
        <f t="shared" ref="X924" si="2662">X925*X909</f>
        <v>-80.352857214061814</v>
      </c>
      <c r="Y924" s="154">
        <f t="shared" ref="Y924" si="2663">Y925*Y909</f>
        <v>-83.247266638704758</v>
      </c>
      <c r="Z924" s="154">
        <f t="shared" ref="Z924" si="2664">Z925*Z909</f>
        <v>-49.855830029963641</v>
      </c>
      <c r="AA924" s="154">
        <f t="shared" ref="AA924" si="2665">AA925*AA909</f>
        <v>-44.890309502686058</v>
      </c>
      <c r="AB924" s="154">
        <f t="shared" ref="AB924" si="2666">AB925*AB909</f>
        <v>-51.107346570334059</v>
      </c>
      <c r="AC924" s="154">
        <f t="shared" ref="AC924" si="2667">AC925*AC909</f>
        <v>-30.273927958222874</v>
      </c>
      <c r="AD924" s="156">
        <f t="shared" ref="AD924" si="2668">AD925*AD909</f>
        <v>-20.585673941529357</v>
      </c>
      <c r="AE924" s="15"/>
      <c r="AF924" s="115">
        <f>_xlfn.XLOOKUP($C924,'Site Level Financials - ''23 ''24'!$C$2:$C$1577,'Site Level Financials - ''23 ''24'!$AF$2:$AF$1577)</f>
        <v>-272.05229421495801</v>
      </c>
      <c r="AG924" s="93">
        <f>SUM(G924:R924)</f>
        <v>-340.02976161924039</v>
      </c>
      <c r="AH924" s="93">
        <f t="shared" ref="AH924" si="2669">SUM(S924:AD924)</f>
        <v>-634.89672532262978</v>
      </c>
    </row>
    <row r="925" spans="2:34" x14ac:dyDescent="0.2">
      <c r="B925" s="9">
        <f>G897</f>
        <v>19</v>
      </c>
      <c r="C925" s="9" t="str">
        <f t="shared" si="2592"/>
        <v>19 - % of Revenue - General and Administrative Expense</v>
      </c>
      <c r="D925" s="9" t="s">
        <v>56</v>
      </c>
      <c r="F925" s="16" t="str">
        <f>"% of Revenue - "&amp;F924</f>
        <v>% of Revenue - General and Administrative Expense</v>
      </c>
      <c r="G925" s="148">
        <f>G924/G909</f>
        <v>-6.1885311858677995E-2</v>
      </c>
      <c r="H925" s="149">
        <f t="shared" ref="H925:R925" si="2670">H924/H909</f>
        <v>-8.8304391201545734E-2</v>
      </c>
      <c r="I925" s="149">
        <f t="shared" si="2670"/>
        <v>-8.5239025950358122E-2</v>
      </c>
      <c r="J925" s="149">
        <f t="shared" si="2670"/>
        <v>-8.2313374280553187E-2</v>
      </c>
      <c r="K925" s="149">
        <f t="shared" si="2670"/>
        <v>-0.11854987155829434</v>
      </c>
      <c r="L925" s="149">
        <f t="shared" si="2670"/>
        <v>-0.12652485928598742</v>
      </c>
      <c r="M925" s="149">
        <f t="shared" si="2670"/>
        <v>-0.13011475811734086</v>
      </c>
      <c r="N925" s="149">
        <f t="shared" si="2670"/>
        <v>-9.0874710879958673E-2</v>
      </c>
      <c r="O925" s="149">
        <f t="shared" si="2670"/>
        <v>-8.9245749640047875E-2</v>
      </c>
      <c r="P925" s="149">
        <f t="shared" si="2670"/>
        <v>-8.8468776472028582E-2</v>
      </c>
      <c r="Q925" s="149">
        <f t="shared" si="2670"/>
        <v>-6.6296505844514561E-2</v>
      </c>
      <c r="R925" s="149">
        <f t="shared" si="2670"/>
        <v>-5.5231099190648489E-2</v>
      </c>
      <c r="S925" s="245">
        <f>_xlfn.XLOOKUP($F925,'Budget Assumption Driver'!$A$33:$A$39,'Budget Assumption Driver'!E$33:E$39)+G925</f>
        <v>-6.1885311858677995E-2</v>
      </c>
      <c r="T925" s="246">
        <f>_xlfn.XLOOKUP($F925,'Budget Assumption Driver'!$A$33:$A$39,'Budget Assumption Driver'!F$33:F$39)+H925</f>
        <v>-8.8304391201545734E-2</v>
      </c>
      <c r="U925" s="246">
        <f>_xlfn.XLOOKUP($F925,'Budget Assumption Driver'!$A$33:$A$39,'Budget Assumption Driver'!G$33:G$39)+I925</f>
        <v>-8.5239025950358122E-2</v>
      </c>
      <c r="V925" s="246">
        <f>_xlfn.XLOOKUP($F925,'Budget Assumption Driver'!$A$33:$A$39,'Budget Assumption Driver'!H$33:H$39)+J925</f>
        <v>-8.2313374280553187E-2</v>
      </c>
      <c r="W925" s="246">
        <f>_xlfn.XLOOKUP($F925,'Budget Assumption Driver'!$A$33:$A$39,'Budget Assumption Driver'!I$33:I$39)+K925</f>
        <v>-0.11854987155829434</v>
      </c>
      <c r="X925" s="246">
        <f>_xlfn.XLOOKUP($F925,'Budget Assumption Driver'!$A$33:$A$39,'Budget Assumption Driver'!J$33:J$39)+L925</f>
        <v>-0.12652485928598742</v>
      </c>
      <c r="Y925" s="246">
        <f>_xlfn.XLOOKUP($F925,'Budget Assumption Driver'!$A$33:$A$39,'Budget Assumption Driver'!K$33:K$39)+M925</f>
        <v>-0.13011475811734086</v>
      </c>
      <c r="Z925" s="246">
        <f>_xlfn.XLOOKUP($F925,'Budget Assumption Driver'!$A$33:$A$39,'Budget Assumption Driver'!L$33:L$39)+N925</f>
        <v>-9.0874710879958673E-2</v>
      </c>
      <c r="AA925" s="246">
        <f>_xlfn.XLOOKUP($F925,'Budget Assumption Driver'!$A$33:$A$39,'Budget Assumption Driver'!M$33:M$39)+O925</f>
        <v>-8.9245749640047875E-2</v>
      </c>
      <c r="AB925" s="246">
        <f>_xlfn.XLOOKUP($F925,'Budget Assumption Driver'!$A$33:$A$39,'Budget Assumption Driver'!N$33:N$39)+P925</f>
        <v>-8.8468776472028582E-2</v>
      </c>
      <c r="AC925" s="246">
        <f>_xlfn.XLOOKUP($F925,'Budget Assumption Driver'!$A$33:$A$39,'Budget Assumption Driver'!O$33:O$39)+Q925</f>
        <v>-6.6296505844514561E-2</v>
      </c>
      <c r="AD925" s="296">
        <f>_xlfn.XLOOKUP($F925,'Budget Assumption Driver'!$A$33:$A$39,'Budget Assumption Driver'!P$33:P$39)+R925</f>
        <v>-5.5231099190648489E-2</v>
      </c>
      <c r="AE925" s="15"/>
      <c r="AF925" s="232">
        <f>_xlfn.XLOOKUP($C925,'Site Level Financials - ''23 ''24'!$C$2:$C$1577,'Site Level Financials - ''23 ''24'!$AF$2:$AF$1577)</f>
        <v>-6.013252943496996E-2</v>
      </c>
      <c r="AG925" s="97">
        <f t="shared" ref="AG925:AH925" si="2671">AG924/AG909</f>
        <v>-8.727005743061042E-2</v>
      </c>
      <c r="AH925" s="97">
        <f t="shared" si="2671"/>
        <v>-9.3262139026848712E-2</v>
      </c>
    </row>
    <row r="926" spans="2:34" ht="3" customHeight="1" x14ac:dyDescent="0.2">
      <c r="B926" s="9">
        <f>G897</f>
        <v>19</v>
      </c>
      <c r="C926" s="9" t="str">
        <f t="shared" si="2592"/>
        <v xml:space="preserve">19 - </v>
      </c>
      <c r="D926" s="9" t="s">
        <v>56</v>
      </c>
      <c r="F926" s="16"/>
      <c r="G926" s="84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4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6"/>
      <c r="AE926" s="15"/>
      <c r="AF926" s="36"/>
      <c r="AG926" s="38"/>
      <c r="AH926" s="38"/>
    </row>
    <row r="927" spans="2:34" x14ac:dyDescent="0.2">
      <c r="B927" s="9">
        <f>G897</f>
        <v>19</v>
      </c>
      <c r="C927" s="9" t="str">
        <f t="shared" si="2592"/>
        <v>19 - Marketing</v>
      </c>
      <c r="D927" s="9" t="s">
        <v>56</v>
      </c>
      <c r="F927" t="s">
        <v>7</v>
      </c>
      <c r="G927" s="178">
        <f>_xlfn.XLOOKUP($C927,'Site Level Financials - ''23 ''24'!$C$2:$C$1577,'Site Level Financials - ''23 ''24'!S$2:S$1577)</f>
        <v>-8.8898278575409169</v>
      </c>
      <c r="H927" s="179">
        <f>_xlfn.XLOOKUP($C927,'Site Level Financials - ''23 ''24'!$C$2:$C$1577,'Site Level Financials - ''23 ''24'!T$2:T$1577)</f>
        <v>-8.6562416302066456</v>
      </c>
      <c r="I927" s="179">
        <f>_xlfn.XLOOKUP($C927,'Site Level Financials - ''23 ''24'!$C$2:$C$1577,'Site Level Financials - ''23 ''24'!U$2:U$1577)</f>
        <v>-7.7258384631650108</v>
      </c>
      <c r="J927" s="179">
        <f>_xlfn.XLOOKUP($C927,'Site Level Financials - ''23 ''24'!$C$2:$C$1577,'Site Level Financials - ''23 ''24'!V$2:V$1577)</f>
        <v>-10.217130869606613</v>
      </c>
      <c r="K927" s="179">
        <f>_xlfn.XLOOKUP($C927,'Site Level Financials - ''23 ''24'!$C$2:$C$1577,'Site Level Financials - ''23 ''24'!W$2:W$1577)</f>
        <v>-14.915050163168399</v>
      </c>
      <c r="L927" s="179">
        <f>_xlfn.XLOOKUP($C927,'Site Level Financials - ''23 ''24'!$C$2:$C$1577,'Site Level Financials - ''23 ''24'!X$2:X$1577)</f>
        <v>-10.202544157452282</v>
      </c>
      <c r="M927" s="179">
        <f>_xlfn.XLOOKUP($C927,'Site Level Financials - ''23 ''24'!$C$2:$C$1577,'Site Level Financials - ''23 ''24'!Y$2:Y$1577)</f>
        <v>-9.7400628604809665</v>
      </c>
      <c r="N927" s="179">
        <f>_xlfn.XLOOKUP($C927,'Site Level Financials - ''23 ''24'!$C$2:$C$1577,'Site Level Financials - ''23 ''24'!Z$2:Z$1577)</f>
        <v>-8.7716777919708573</v>
      </c>
      <c r="O927" s="179">
        <f>_xlfn.XLOOKUP($C927,'Site Level Financials - ''23 ''24'!$C$2:$C$1577,'Site Level Financials - ''23 ''24'!AA$2:AA$1577)</f>
        <v>-7.9621711363793732</v>
      </c>
      <c r="P927" s="179">
        <f>_xlfn.XLOOKUP($C927,'Site Level Financials - ''23 ''24'!$C$2:$C$1577,'Site Level Financials - ''23 ''24'!AB$2:AB$1577)</f>
        <v>-9.9764095114776588</v>
      </c>
      <c r="Q927" s="179">
        <f>_xlfn.XLOOKUP($C927,'Site Level Financials - ''23 ''24'!$C$2:$C$1577,'Site Level Financials - ''23 ''24'!AC$2:AC$1577)</f>
        <v>-9.4502404076022817</v>
      </c>
      <c r="R927" s="179">
        <f>_xlfn.XLOOKUP($C927,'Site Level Financials - ''23 ''24'!$C$2:$C$1577,'Site Level Financials - ''23 ''24'!AD$2:AD$1577)</f>
        <v>-6.6660965672271901</v>
      </c>
      <c r="S927" s="155">
        <f>S928*S909</f>
        <v>-11.685111782585931</v>
      </c>
      <c r="T927" s="154">
        <f t="shared" ref="T927" si="2672">T928*T909</f>
        <v>-14.805357043102132</v>
      </c>
      <c r="U927" s="154">
        <f t="shared" ref="U927" si="2673">U928*U909</f>
        <v>-13.284901217301794</v>
      </c>
      <c r="V927" s="154">
        <f t="shared" ref="V927" si="2674">V928*V909</f>
        <v>-18.250278099357299</v>
      </c>
      <c r="W927" s="154">
        <f t="shared" ref="W927" si="2675">W928*W909</f>
        <v>-38.706452904670094</v>
      </c>
      <c r="X927" s="154">
        <f t="shared" ref="X927" si="2676">X928*X909</f>
        <v>-26.474829778888552</v>
      </c>
      <c r="Y927" s="154">
        <f t="shared" ref="Y927" si="2677">Y928*Y909</f>
        <v>-24.972996332832835</v>
      </c>
      <c r="Z927" s="154">
        <f t="shared" ref="Z927" si="2678">Z928*Z909</f>
        <v>-14.461524739546785</v>
      </c>
      <c r="AA927" s="154">
        <f t="shared" ref="AA927" si="2679">AA928*AA909</f>
        <v>-13.425269111224546</v>
      </c>
      <c r="AB927" s="154">
        <f t="shared" ref="AB927" si="2680">AB928*AB909</f>
        <v>-17.636460538382526</v>
      </c>
      <c r="AC927" s="154">
        <f t="shared" ref="AC927" si="2681">AC928*AC909</f>
        <v>-12.057413430849099</v>
      </c>
      <c r="AD927" s="156">
        <f t="shared" ref="AD927" si="2682">AD928*AD909</f>
        <v>-6.8403295902483485</v>
      </c>
      <c r="AE927" s="15"/>
      <c r="AF927" s="115">
        <f>_xlfn.XLOOKUP($C927,'Site Level Financials - ''23 ''24'!$C$2:$C$1577,'Site Level Financials - ''23 ''24'!$AF$2:$AF$1577)</f>
        <v>-101.10300986189785</v>
      </c>
      <c r="AG927" s="93">
        <f>SUM(G927:R927)</f>
        <v>-113.17329141627818</v>
      </c>
      <c r="AH927" s="93">
        <f t="shared" ref="AH927" si="2683">SUM(S927:AD927)</f>
        <v>-212.60092456898991</v>
      </c>
    </row>
    <row r="928" spans="2:34" x14ac:dyDescent="0.2">
      <c r="B928" s="9">
        <f>G897</f>
        <v>19</v>
      </c>
      <c r="C928" s="9" t="str">
        <f t="shared" si="2592"/>
        <v>19 - % of Revenue - Marketing</v>
      </c>
      <c r="D928" s="9" t="s">
        <v>56</v>
      </c>
      <c r="F928" s="16" t="str">
        <f>"% of Revenue - "&amp;F927</f>
        <v>% of Revenue - Marketing</v>
      </c>
      <c r="G928" s="148">
        <f>G927/G909</f>
        <v>-2.1871343660393817E-2</v>
      </c>
      <c r="H928" s="149">
        <f t="shared" ref="H928:R928" si="2684">H927/H909</f>
        <v>-2.6762104472019786E-2</v>
      </c>
      <c r="I928" s="149">
        <f t="shared" si="2684"/>
        <v>-2.2363545663701464E-2</v>
      </c>
      <c r="J928" s="149">
        <f t="shared" si="2684"/>
        <v>-2.8681168826469917E-2</v>
      </c>
      <c r="K928" s="149">
        <f t="shared" si="2684"/>
        <v>-5.1180824374008747E-2</v>
      </c>
      <c r="L928" s="149">
        <f t="shared" si="2684"/>
        <v>-4.1687678926843927E-2</v>
      </c>
      <c r="M928" s="149">
        <f t="shared" si="2684"/>
        <v>-3.9032577386763571E-2</v>
      </c>
      <c r="N928" s="149">
        <f t="shared" si="2684"/>
        <v>-2.6359743259712052E-2</v>
      </c>
      <c r="O928" s="149">
        <f t="shared" si="2684"/>
        <v>-2.6690575743945837E-2</v>
      </c>
      <c r="P928" s="149">
        <f t="shared" si="2684"/>
        <v>-3.0529389409420044E-2</v>
      </c>
      <c r="Q928" s="149">
        <f t="shared" si="2684"/>
        <v>-2.6404382711457688E-2</v>
      </c>
      <c r="R928" s="149">
        <f t="shared" si="2684"/>
        <v>-1.8352516568989577E-2</v>
      </c>
      <c r="S928" s="245">
        <f>_xlfn.XLOOKUP($F928,'Budget Assumption Driver'!$A$33:$A$39,'Budget Assumption Driver'!E$33:E$39)+G928</f>
        <v>-2.1871343660393817E-2</v>
      </c>
      <c r="T928" s="246">
        <f>_xlfn.XLOOKUP($F928,'Budget Assumption Driver'!$A$33:$A$39,'Budget Assumption Driver'!F$33:F$39)+H928</f>
        <v>-2.6762104472019786E-2</v>
      </c>
      <c r="U928" s="246">
        <f>_xlfn.XLOOKUP($F928,'Budget Assumption Driver'!$A$33:$A$39,'Budget Assumption Driver'!G$33:G$39)+I928</f>
        <v>-2.2363545663701464E-2</v>
      </c>
      <c r="V928" s="246">
        <f>_xlfn.XLOOKUP($F928,'Budget Assumption Driver'!$A$33:$A$39,'Budget Assumption Driver'!H$33:H$39)+J928</f>
        <v>-2.8681168826469917E-2</v>
      </c>
      <c r="W928" s="246">
        <f>_xlfn.XLOOKUP($F928,'Budget Assumption Driver'!$A$33:$A$39,'Budget Assumption Driver'!I$33:I$39)+K928</f>
        <v>-5.1180824374008747E-2</v>
      </c>
      <c r="X928" s="246">
        <f>_xlfn.XLOOKUP($F928,'Budget Assumption Driver'!$A$33:$A$39,'Budget Assumption Driver'!J$33:J$39)+L928</f>
        <v>-4.1687678926843927E-2</v>
      </c>
      <c r="Y928" s="246">
        <f>_xlfn.XLOOKUP($F928,'Budget Assumption Driver'!$A$33:$A$39,'Budget Assumption Driver'!K$33:K$39)+M928</f>
        <v>-3.9032577386763571E-2</v>
      </c>
      <c r="Z928" s="246">
        <f>_xlfn.XLOOKUP($F928,'Budget Assumption Driver'!$A$33:$A$39,'Budget Assumption Driver'!L$33:L$39)+N928</f>
        <v>-2.6359743259712052E-2</v>
      </c>
      <c r="AA928" s="246">
        <f>_xlfn.XLOOKUP($F928,'Budget Assumption Driver'!$A$33:$A$39,'Budget Assumption Driver'!M$33:M$39)+O928</f>
        <v>-2.6690575743945837E-2</v>
      </c>
      <c r="AB928" s="246">
        <f>_xlfn.XLOOKUP($F928,'Budget Assumption Driver'!$A$33:$A$39,'Budget Assumption Driver'!N$33:N$39)+P928</f>
        <v>-3.0529389409420044E-2</v>
      </c>
      <c r="AC928" s="246">
        <f>_xlfn.XLOOKUP($F928,'Budget Assumption Driver'!$A$33:$A$39,'Budget Assumption Driver'!O$33:O$39)+Q928</f>
        <v>-2.6404382711457688E-2</v>
      </c>
      <c r="AD928" s="296">
        <f>_xlfn.XLOOKUP($F928,'Budget Assumption Driver'!$A$33:$A$39,'Budget Assumption Driver'!P$33:P$39)+R928</f>
        <v>-1.8352516568989577E-2</v>
      </c>
      <c r="AE928" s="15"/>
      <c r="AF928" s="232">
        <f>_xlfn.XLOOKUP($C928,'Site Level Financials - ''23 ''24'!$C$2:$C$1577,'Site Level Financials - ''23 ''24'!$AF$2:$AF$1577)</f>
        <v>-2.23470996046111E-2</v>
      </c>
      <c r="AG928" s="97">
        <f t="shared" ref="AG928:AH928" si="2685">AG927/AG909</f>
        <v>-2.9046397569661861E-2</v>
      </c>
      <c r="AH928" s="97">
        <f t="shared" si="2685"/>
        <v>-3.1229672785466154E-2</v>
      </c>
    </row>
    <row r="929" spans="2:35" ht="3" customHeight="1" x14ac:dyDescent="0.2">
      <c r="B929" s="9">
        <f>G897</f>
        <v>19</v>
      </c>
      <c r="C929" s="9" t="str">
        <f t="shared" si="2592"/>
        <v xml:space="preserve">19 - </v>
      </c>
      <c r="D929" s="9" t="s">
        <v>56</v>
      </c>
      <c r="F929" s="16"/>
      <c r="G929" s="84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4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6"/>
      <c r="AE929" s="15"/>
      <c r="AF929" s="36"/>
      <c r="AG929" s="38"/>
      <c r="AH929" s="38"/>
    </row>
    <row r="930" spans="2:35" x14ac:dyDescent="0.2">
      <c r="B930" s="9">
        <f>G897</f>
        <v>19</v>
      </c>
      <c r="C930" s="9" t="str">
        <f t="shared" si="2592"/>
        <v>19 - Office Rent</v>
      </c>
      <c r="D930" s="9" t="s">
        <v>56</v>
      </c>
      <c r="F930" t="s">
        <v>162</v>
      </c>
      <c r="G930" s="178">
        <f>_xlfn.XLOOKUP($C930,'Site Level Financials - ''23 ''24'!$C$2:$C$1577,'Site Level Financials - ''23 ''24'!S$2:S$1577)</f>
        <v>-32.101095576919661</v>
      </c>
      <c r="H930" s="179">
        <f>_xlfn.XLOOKUP($C930,'Site Level Financials - ''23 ''24'!$C$2:$C$1577,'Site Level Financials - ''23 ''24'!T$2:T$1577)</f>
        <v>-32.101095576919661</v>
      </c>
      <c r="I930" s="179">
        <f>_xlfn.XLOOKUP($C930,'Site Level Financials - ''23 ''24'!$C$2:$C$1577,'Site Level Financials - ''23 ''24'!U$2:U$1577)</f>
        <v>-32.101095576919661</v>
      </c>
      <c r="J930" s="179">
        <f>_xlfn.XLOOKUP($C930,'Site Level Financials - ''23 ''24'!$C$2:$C$1577,'Site Level Financials - ''23 ''24'!V$2:V$1577)</f>
        <v>-33.064128444227251</v>
      </c>
      <c r="K930" s="179">
        <f>_xlfn.XLOOKUP($C930,'Site Level Financials - ''23 ''24'!$C$2:$C$1577,'Site Level Financials - ''23 ''24'!W$2:W$1577)</f>
        <v>-33.064128444227251</v>
      </c>
      <c r="L930" s="179">
        <f>_xlfn.XLOOKUP($C930,'Site Level Financials - ''23 ''24'!$C$2:$C$1577,'Site Level Financials - ''23 ''24'!X$2:X$1577)</f>
        <v>-33.064128444227251</v>
      </c>
      <c r="M930" s="179">
        <f>_xlfn.XLOOKUP($C930,'Site Level Financials - ''23 ''24'!$C$2:$C$1577,'Site Level Financials - ''23 ''24'!Y$2:Y$1577)</f>
        <v>-33.064128444227251</v>
      </c>
      <c r="N930" s="179">
        <f>_xlfn.XLOOKUP($C930,'Site Level Financials - ''23 ''24'!$C$2:$C$1577,'Site Level Financials - ''23 ''24'!Z$2:Z$1577)</f>
        <v>-33.064128444227251</v>
      </c>
      <c r="O930" s="179">
        <f>_xlfn.XLOOKUP($C930,'Site Level Financials - ''23 ''24'!$C$2:$C$1577,'Site Level Financials - ''23 ''24'!AA$2:AA$1577)</f>
        <v>-33.064128444227251</v>
      </c>
      <c r="P930" s="179">
        <f>_xlfn.XLOOKUP($C930,'Site Level Financials - ''23 ''24'!$C$2:$C$1577,'Site Level Financials - ''23 ''24'!AB$2:AB$1577)</f>
        <v>-33.064128444227251</v>
      </c>
      <c r="Q930" s="179">
        <f>_xlfn.XLOOKUP($C930,'Site Level Financials - ''23 ''24'!$C$2:$C$1577,'Site Level Financials - ''23 ''24'!AC$2:AC$1577)</f>
        <v>-33.064128444227251</v>
      </c>
      <c r="R930" s="179">
        <f>_xlfn.XLOOKUP($C930,'Site Level Financials - ''23 ''24'!$C$2:$C$1577,'Site Level Financials - ''23 ''24'!AD$2:AD$1577)</f>
        <v>-33.064128444227251</v>
      </c>
      <c r="S930" s="155">
        <f>G930*(1+S931)</f>
        <v>-33.064128444227251</v>
      </c>
      <c r="T930" s="154">
        <f t="shared" ref="T930" si="2686">H930*(1+T931)</f>
        <v>-33.064128444227251</v>
      </c>
      <c r="U930" s="154">
        <f t="shared" ref="U930" si="2687">I930*(1+U931)</f>
        <v>-33.064128444227251</v>
      </c>
      <c r="V930" s="154">
        <f t="shared" ref="V930" si="2688">J930*(1+V931)</f>
        <v>-34.056052297554068</v>
      </c>
      <c r="W930" s="154">
        <f t="shared" ref="W930" si="2689">K930*(1+W931)</f>
        <v>-34.056052297554068</v>
      </c>
      <c r="X930" s="154">
        <f t="shared" ref="X930" si="2690">L930*(1+X931)</f>
        <v>-34.056052297554068</v>
      </c>
      <c r="Y930" s="154">
        <f t="shared" ref="Y930" si="2691">M930*(1+Y931)</f>
        <v>-34.056052297554068</v>
      </c>
      <c r="Z930" s="154">
        <f t="shared" ref="Z930" si="2692">N930*(1+Z931)</f>
        <v>-34.056052297554068</v>
      </c>
      <c r="AA930" s="154">
        <f t="shared" ref="AA930" si="2693">O930*(1+AA931)</f>
        <v>-34.056052297554068</v>
      </c>
      <c r="AB930" s="154">
        <f t="shared" ref="AB930" si="2694">P930*(1+AB931)</f>
        <v>-34.056052297554068</v>
      </c>
      <c r="AC930" s="154">
        <f t="shared" ref="AC930" si="2695">Q930*(1+AC931)</f>
        <v>-34.056052297554068</v>
      </c>
      <c r="AD930" s="156">
        <f t="shared" ref="AD930" si="2696">R930*(1+AD931)</f>
        <v>-34.056052297554068</v>
      </c>
      <c r="AE930" s="15"/>
      <c r="AF930" s="115">
        <f>_xlfn.XLOOKUP($C930,'Site Level Financials - ''23 ''24'!$C$2:$C$1577,'Site Level Financials - ''23 ''24'!$AF$2:$AF$1577)</f>
        <v>-382.40469517506568</v>
      </c>
      <c r="AG930" s="93">
        <f>SUM(G930:R930)</f>
        <v>-393.88044272880433</v>
      </c>
      <c r="AH930" s="93">
        <f t="shared" ref="AH930" si="2697">SUM(S930:AD930)</f>
        <v>-405.69685601066834</v>
      </c>
    </row>
    <row r="931" spans="2:35" x14ac:dyDescent="0.2">
      <c r="B931" s="9">
        <f>G897</f>
        <v>19</v>
      </c>
      <c r="C931" s="9" t="str">
        <f t="shared" si="2592"/>
        <v>19 - % YoY Growth</v>
      </c>
      <c r="D931" s="9" t="s">
        <v>56</v>
      </c>
      <c r="F931" s="16" t="s">
        <v>8</v>
      </c>
      <c r="G931" s="245">
        <f>_xlfn.XLOOKUP($C931,'Site Level Financials - ''23 ''24'!$C$2:$C$1577,'Site Level Financials - ''23 ''24'!S$2:S$1577)</f>
        <v>3.000943162710068E-2</v>
      </c>
      <c r="H931" s="246">
        <f>_xlfn.XLOOKUP($C931,'Site Level Financials - ''23 ''24'!$C$2:$C$1577,'Site Level Financials - ''23 ''24'!T$2:T$1577)</f>
        <v>3.000943162710068E-2</v>
      </c>
      <c r="I931" s="246">
        <f>_xlfn.XLOOKUP($C931,'Site Level Financials - ''23 ''24'!$C$2:$C$1577,'Site Level Financials - ''23 ''24'!U$2:U$1577)</f>
        <v>3.000943162710068E-2</v>
      </c>
      <c r="J931" s="246">
        <f>_xlfn.XLOOKUP($C931,'Site Level Financials - ''23 ''24'!$C$2:$C$1577,'Site Level Financials - ''23 ''24'!V$2:V$1577)</f>
        <v>3.0009431627100902E-2</v>
      </c>
      <c r="K931" s="246">
        <f>_xlfn.XLOOKUP($C931,'Site Level Financials - ''23 ''24'!$C$2:$C$1577,'Site Level Financials - ''23 ''24'!W$2:W$1577)</f>
        <v>3.0009431627100902E-2</v>
      </c>
      <c r="L931" s="246">
        <f>_xlfn.XLOOKUP($C931,'Site Level Financials - ''23 ''24'!$C$2:$C$1577,'Site Level Financials - ''23 ''24'!X$2:X$1577)</f>
        <v>3.0009431627100902E-2</v>
      </c>
      <c r="M931" s="246">
        <f>_xlfn.XLOOKUP($C931,'Site Level Financials - ''23 ''24'!$C$2:$C$1577,'Site Level Financials - ''23 ''24'!Y$2:Y$1577)</f>
        <v>3.0009431627100902E-2</v>
      </c>
      <c r="N931" s="246">
        <f>_xlfn.XLOOKUP($C931,'Site Level Financials - ''23 ''24'!$C$2:$C$1577,'Site Level Financials - ''23 ''24'!Z$2:Z$1577)</f>
        <v>3.0009431627100902E-2</v>
      </c>
      <c r="O931" s="246">
        <f>_xlfn.XLOOKUP($C931,'Site Level Financials - ''23 ''24'!$C$2:$C$1577,'Site Level Financials - ''23 ''24'!AA$2:AA$1577)</f>
        <v>3.0009431627100902E-2</v>
      </c>
      <c r="P931" s="246">
        <f>_xlfn.XLOOKUP($C931,'Site Level Financials - ''23 ''24'!$C$2:$C$1577,'Site Level Financials - ''23 ''24'!AB$2:AB$1577)</f>
        <v>3.0009431627100902E-2</v>
      </c>
      <c r="Q931" s="246">
        <f>_xlfn.XLOOKUP($C931,'Site Level Financials - ''23 ''24'!$C$2:$C$1577,'Site Level Financials - ''23 ''24'!AC$2:AC$1577)</f>
        <v>3.0009431627100902E-2</v>
      </c>
      <c r="R931" s="246">
        <f>_xlfn.XLOOKUP($C931,'Site Level Financials - ''23 ''24'!$C$2:$C$1577,'Site Level Financials - ''23 ''24'!AD$2:AD$1577)</f>
        <v>3.0009431627100902E-2</v>
      </c>
      <c r="S931" s="245">
        <f>_xlfn.XLOOKUP($F931,'Budget Assumption Driver'!$A$33:$A$39,'Budget Assumption Driver'!E$33:E$39)</f>
        <v>0.03</v>
      </c>
      <c r="T931" s="246">
        <f>_xlfn.XLOOKUP($F931,'Budget Assumption Driver'!$A$33:$A$39,'Budget Assumption Driver'!F$33:F$39)</f>
        <v>0.03</v>
      </c>
      <c r="U931" s="246">
        <f>_xlfn.XLOOKUP($F931,'Budget Assumption Driver'!$A$33:$A$39,'Budget Assumption Driver'!G$33:G$39)</f>
        <v>0.03</v>
      </c>
      <c r="V931" s="246">
        <f>_xlfn.XLOOKUP($F931,'Budget Assumption Driver'!$A$33:$A$39,'Budget Assumption Driver'!H$33:H$39)</f>
        <v>0.03</v>
      </c>
      <c r="W931" s="246">
        <f>_xlfn.XLOOKUP($F931,'Budget Assumption Driver'!$A$33:$A$39,'Budget Assumption Driver'!I$33:I$39)</f>
        <v>0.03</v>
      </c>
      <c r="X931" s="246">
        <f>_xlfn.XLOOKUP($F931,'Budget Assumption Driver'!$A$33:$A$39,'Budget Assumption Driver'!J$33:J$39)</f>
        <v>0.03</v>
      </c>
      <c r="Y931" s="246">
        <f>_xlfn.XLOOKUP($F931,'Budget Assumption Driver'!$A$33:$A$39,'Budget Assumption Driver'!K$33:K$39)</f>
        <v>0.03</v>
      </c>
      <c r="Z931" s="246">
        <f>_xlfn.XLOOKUP($F931,'Budget Assumption Driver'!$A$33:$A$39,'Budget Assumption Driver'!L$33:L$39)</f>
        <v>0.03</v>
      </c>
      <c r="AA931" s="246">
        <f>_xlfn.XLOOKUP($F931,'Budget Assumption Driver'!$A$33:$A$39,'Budget Assumption Driver'!M$33:M$39)</f>
        <v>0.03</v>
      </c>
      <c r="AB931" s="246">
        <f>_xlfn.XLOOKUP($F931,'Budget Assumption Driver'!$A$33:$A$39,'Budget Assumption Driver'!N$33:N$39)</f>
        <v>0.03</v>
      </c>
      <c r="AC931" s="246">
        <f>_xlfn.XLOOKUP($F931,'Budget Assumption Driver'!$A$33:$A$39,'Budget Assumption Driver'!O$33:O$39)</f>
        <v>0.03</v>
      </c>
      <c r="AD931" s="296">
        <f>_xlfn.XLOOKUP($F931,'Budget Assumption Driver'!$A$33:$A$39,'Budget Assumption Driver'!P$33:P$39)</f>
        <v>0.03</v>
      </c>
      <c r="AE931" s="15"/>
      <c r="AF931" s="11"/>
      <c r="AG931" s="97">
        <f>AG930/AF930-1</f>
        <v>3.0009431627101346E-2</v>
      </c>
      <c r="AH931" s="97">
        <f>AH930/AG930-1</f>
        <v>2.9999999999999805E-2</v>
      </c>
    </row>
    <row r="932" spans="2:35" ht="6" customHeight="1" x14ac:dyDescent="0.2">
      <c r="B932" s="9">
        <f>G897</f>
        <v>19</v>
      </c>
      <c r="C932" s="9" t="str">
        <f t="shared" si="2592"/>
        <v xml:space="preserve">19 - </v>
      </c>
      <c r="D932" s="9" t="s">
        <v>56</v>
      </c>
      <c r="F932" s="16"/>
      <c r="G932" s="80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80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81"/>
      <c r="AE932" s="15"/>
      <c r="AF932" s="11"/>
      <c r="AG932" s="15"/>
      <c r="AH932" s="15"/>
    </row>
    <row r="933" spans="2:35" x14ac:dyDescent="0.2">
      <c r="B933" s="9">
        <f>G897</f>
        <v>19</v>
      </c>
      <c r="C933" s="9" t="str">
        <f t="shared" si="2592"/>
        <v>19 - Office EBITDA</v>
      </c>
      <c r="D933" s="9" t="s">
        <v>56</v>
      </c>
      <c r="F933" s="8" t="s">
        <v>12</v>
      </c>
      <c r="G933" s="241">
        <f>_xlfn.XLOOKUP($C933,'Site Level Financials - ''23 ''24'!$C$2:$C$1577,'Site Level Financials - ''23 ''24'!S$2:S$1577)</f>
        <v>89.61285492625349</v>
      </c>
      <c r="H933" s="242">
        <f>_xlfn.XLOOKUP($C933,'Site Level Financials - ''23 ''24'!$C$2:$C$1577,'Site Level Financials - ''23 ''24'!T$2:T$1577)</f>
        <v>38.754613495209</v>
      </c>
      <c r="I933" s="242">
        <f>_xlfn.XLOOKUP($C933,'Site Level Financials - ''23 ''24'!$C$2:$C$1577,'Site Level Financials - ''23 ''24'!U$2:U$1577)</f>
        <v>49.450081563136422</v>
      </c>
      <c r="J933" s="242">
        <f>_xlfn.XLOOKUP($C933,'Site Level Financials - ''23 ''24'!$C$2:$C$1577,'Site Level Financials - ''23 ''24'!V$2:V$1577)</f>
        <v>47.113787341944388</v>
      </c>
      <c r="K933" s="242">
        <f>_xlfn.XLOOKUP($C933,'Site Level Financials - ''23 ''24'!$C$2:$C$1577,'Site Level Financials - ''23 ''24'!W$2:W$1577)</f>
        <v>-36.78649243595828</v>
      </c>
      <c r="L933" s="242">
        <f>_xlfn.XLOOKUP($C933,'Site Level Financials - ''23 ''24'!$C$2:$C$1577,'Site Level Financials - ''23 ''24'!X$2:X$1577)</f>
        <v>-36.683633587293471</v>
      </c>
      <c r="M933" s="242">
        <f>_xlfn.XLOOKUP($C933,'Site Level Financials - ''23 ''24'!$C$2:$C$1577,'Site Level Financials - ''23 ''24'!Y$2:Y$1577)</f>
        <v>-34.016460891460454</v>
      </c>
      <c r="N933" s="242">
        <f>_xlfn.XLOOKUP($C933,'Site Level Financials - ''23 ''24'!$C$2:$C$1577,'Site Level Financials - ''23 ''24'!Z$2:Z$1577)</f>
        <v>44.723248068985896</v>
      </c>
      <c r="O933" s="242">
        <f>_xlfn.XLOOKUP($C933,'Site Level Financials - ''23 ''24'!$C$2:$C$1577,'Site Level Financials - ''23 ''24'!AA$2:AA$1577)</f>
        <v>-0.66919365087361626</v>
      </c>
      <c r="P933" s="242">
        <f>_xlfn.XLOOKUP($C933,'Site Level Financials - ''23 ''24'!$C$2:$C$1577,'Site Level Financials - ''23 ''24'!AB$2:AB$1577)</f>
        <v>1.2299143802570285</v>
      </c>
      <c r="Q933" s="242">
        <f>_xlfn.XLOOKUP($C933,'Site Level Financials - ''23 ''24'!$C$2:$C$1577,'Site Level Financials - ''23 ''24'!AC$2:AC$1577)</f>
        <v>78.501820282705893</v>
      </c>
      <c r="R933" s="242">
        <f>_xlfn.XLOOKUP($C933,'Site Level Financials - ''23 ''24'!$C$2:$C$1577,'Site Level Financials - ''23 ''24'!AD$2:AD$1577)</f>
        <v>127.39658893368168</v>
      </c>
      <c r="S933" s="134">
        <f t="shared" ref="S933:AD933" si="2698">S921+S924+S927+S930</f>
        <v>126.92109735778583</v>
      </c>
      <c r="T933" s="135">
        <f t="shared" si="2698"/>
        <v>88.125195533781024</v>
      </c>
      <c r="U933" s="135">
        <f t="shared" si="2698"/>
        <v>107.16651935221843</v>
      </c>
      <c r="V933" s="135">
        <f t="shared" si="2698"/>
        <v>109.16118541810826</v>
      </c>
      <c r="W933" s="135">
        <f t="shared" si="2698"/>
        <v>-43.716060474782367</v>
      </c>
      <c r="X933" s="135">
        <f t="shared" si="2698"/>
        <v>-43.448394155393103</v>
      </c>
      <c r="Y933" s="135">
        <f t="shared" si="2698"/>
        <v>-36.497781376006706</v>
      </c>
      <c r="Z933" s="135">
        <f t="shared" si="2698"/>
        <v>94.188976367312193</v>
      </c>
      <c r="AA933" s="135">
        <f t="shared" si="2698"/>
        <v>20.566074003427488</v>
      </c>
      <c r="AB933" s="135">
        <f t="shared" si="2698"/>
        <v>26.569519686011496</v>
      </c>
      <c r="AC933" s="135">
        <f t="shared" si="2698"/>
        <v>108.28919084815439</v>
      </c>
      <c r="AD933" s="136">
        <f t="shared" si="2698"/>
        <v>130.59865710896509</v>
      </c>
      <c r="AE933" s="15"/>
      <c r="AF933" s="113">
        <f>_xlfn.XLOOKUP($C933,'Site Level Financials - ''23 ''24'!$C$2:$C$1577,'Site Level Financials - ''23 ''24'!$AF$2:$AF$1577)</f>
        <v>942.26880644830067</v>
      </c>
      <c r="AG933" s="95">
        <f>SUM(G933:R933)</f>
        <v>368.627128426588</v>
      </c>
      <c r="AH933" s="95">
        <f t="shared" ref="AH933" si="2699">SUM(S933:AD933)</f>
        <v>687.92417966958214</v>
      </c>
    </row>
    <row r="934" spans="2:35" x14ac:dyDescent="0.2">
      <c r="B934" s="9">
        <f>G897</f>
        <v>19</v>
      </c>
      <c r="C934" s="9" t="str">
        <f t="shared" si="2592"/>
        <v>19 - % of Revenue - Office EBITDA</v>
      </c>
      <c r="D934" s="9" t="s">
        <v>56</v>
      </c>
      <c r="F934" s="16" t="str">
        <f>"% of Revenue - "&amp;F933</f>
        <v>% of Revenue - Office EBITDA</v>
      </c>
      <c r="G934" s="148">
        <f>G933/G909</f>
        <v>0.22047148470018438</v>
      </c>
      <c r="H934" s="149">
        <f t="shared" ref="H934:AD934" si="2700">H933/H909</f>
        <v>0.11981585767110474</v>
      </c>
      <c r="I934" s="149">
        <f t="shared" si="2700"/>
        <v>0.14314034164492775</v>
      </c>
      <c r="J934" s="149">
        <f t="shared" si="2700"/>
        <v>0.13225615939093244</v>
      </c>
      <c r="K934" s="149">
        <f t="shared" si="2700"/>
        <v>-0.12623242886235303</v>
      </c>
      <c r="L934" s="149">
        <f t="shared" si="2700"/>
        <v>-0.14988962706327111</v>
      </c>
      <c r="M934" s="149">
        <f t="shared" si="2700"/>
        <v>-0.13631843666604243</v>
      </c>
      <c r="N934" s="149">
        <f t="shared" si="2700"/>
        <v>0.13439770187614272</v>
      </c>
      <c r="O934" s="149">
        <f t="shared" si="2700"/>
        <v>-2.2432529419521975E-3</v>
      </c>
      <c r="P934" s="149">
        <f t="shared" si="2700"/>
        <v>3.763732333953764E-3</v>
      </c>
      <c r="Q934" s="149">
        <f t="shared" si="2700"/>
        <v>0.21933750009398412</v>
      </c>
      <c r="R934" s="149">
        <f t="shared" si="2700"/>
        <v>0.35073719464743291</v>
      </c>
      <c r="S934" s="148">
        <f t="shared" si="2700"/>
        <v>0.23756169300864979</v>
      </c>
      <c r="T934" s="149">
        <f t="shared" si="2700"/>
        <v>0.15929475274566332</v>
      </c>
      <c r="U934" s="149">
        <f t="shared" si="2700"/>
        <v>0.18040204514520625</v>
      </c>
      <c r="V934" s="149">
        <f t="shared" si="2700"/>
        <v>0.17155192765991908</v>
      </c>
      <c r="W934" s="149">
        <f t="shared" si="2700"/>
        <v>-5.780493549729087E-2</v>
      </c>
      <c r="X934" s="149">
        <f t="shared" si="2700"/>
        <v>-6.841451750829837E-2</v>
      </c>
      <c r="Y934" s="149">
        <f t="shared" si="2700"/>
        <v>-5.7045716782138288E-2</v>
      </c>
      <c r="Z934" s="149">
        <f t="shared" si="2700"/>
        <v>0.17168295042554721</v>
      </c>
      <c r="AA934" s="149">
        <f t="shared" si="2700"/>
        <v>4.0887102626876774E-2</v>
      </c>
      <c r="AB934" s="149">
        <f t="shared" si="2700"/>
        <v>4.5992857305476614E-2</v>
      </c>
      <c r="AC934" s="149">
        <f t="shared" si="2700"/>
        <v>0.23714117916477495</v>
      </c>
      <c r="AD934" s="150">
        <f t="shared" si="2700"/>
        <v>0.35039452220211659</v>
      </c>
      <c r="AE934" s="15"/>
      <c r="AF934" s="232">
        <f>_xlfn.XLOOKUP($C934,'Site Level Financials - ''23 ''24'!$C$2:$C$1577,'Site Level Financials - ''23 ''24'!$AF$2:$AF$1577)</f>
        <v>0.20827248269642093</v>
      </c>
      <c r="AG934" s="97">
        <f t="shared" ref="AG934:AH934" si="2701">AG933/AG909</f>
        <v>9.4609690972559293E-2</v>
      </c>
      <c r="AH934" s="97">
        <f t="shared" si="2701"/>
        <v>0.10105152212223679</v>
      </c>
    </row>
    <row r="935" spans="2:35" ht="6" customHeight="1" x14ac:dyDescent="0.2">
      <c r="B935" s="9">
        <f>G897</f>
        <v>19</v>
      </c>
      <c r="C935" s="9" t="str">
        <f t="shared" si="2592"/>
        <v xml:space="preserve">19 - </v>
      </c>
      <c r="D935" s="9" t="s">
        <v>56</v>
      </c>
      <c r="G935" s="80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80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81"/>
      <c r="AE935" s="15"/>
      <c r="AF935" s="11"/>
      <c r="AG935" s="15"/>
      <c r="AH935" s="15"/>
    </row>
    <row r="936" spans="2:35" x14ac:dyDescent="0.2">
      <c r="B936" s="9">
        <f>G897</f>
        <v>19</v>
      </c>
      <c r="C936" s="9" t="str">
        <f t="shared" si="2592"/>
        <v>19 - Memo:</v>
      </c>
      <c r="D936" s="9" t="s">
        <v>56</v>
      </c>
      <c r="F936" s="6" t="s">
        <v>13</v>
      </c>
      <c r="G936" s="80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80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81"/>
      <c r="AE936" s="15"/>
      <c r="AF936" s="11"/>
      <c r="AG936" s="15"/>
      <c r="AH936" s="15"/>
    </row>
    <row r="937" spans="2:35" s="24" customFormat="1" x14ac:dyDescent="0.2">
      <c r="B937" s="9">
        <f>G897</f>
        <v>19</v>
      </c>
      <c r="C937" s="9" t="str">
        <f t="shared" si="2592"/>
        <v>19 - Collections</v>
      </c>
      <c r="D937" s="9" t="s">
        <v>56</v>
      </c>
      <c r="E937" s="49"/>
      <c r="F937" s="24" t="s">
        <v>15</v>
      </c>
      <c r="G937" s="247">
        <f>_xlfn.XLOOKUP($C937,'Site Level Financials - ''23 ''24'!$C$2:$C$1577,'Site Level Financials - ''23 ''24'!S$2:S$1577)</f>
        <v>404.6237301223332</v>
      </c>
      <c r="H937" s="248">
        <f>_xlfn.XLOOKUP($C937,'Site Level Financials - ''23 ''24'!$C$2:$C$1577,'Site Level Financials - ''23 ''24'!T$2:T$1577)</f>
        <v>321.224978516367</v>
      </c>
      <c r="I937" s="248">
        <f>_xlfn.XLOOKUP($C937,'Site Level Financials - ''23 ''24'!$C$2:$C$1577,'Site Level Financials - ''23 ''24'!U$2:U$1577)</f>
        <v>347.77475593268588</v>
      </c>
      <c r="J937" s="248">
        <f>_xlfn.XLOOKUP($C937,'Site Level Financials - ''23 ''24'!$C$2:$C$1577,'Site Level Financials - ''23 ''24'!V$2:V$1577)</f>
        <v>351.34029042423811</v>
      </c>
      <c r="K937" s="248">
        <f>_xlfn.XLOOKUP($C937,'Site Level Financials - ''23 ''24'!$C$2:$C$1577,'Site Level Financials - ''23 ''24'!W$2:W$1577)</f>
        <v>288.21570975799119</v>
      </c>
      <c r="L937" s="248">
        <f>_xlfn.XLOOKUP($C937,'Site Level Financials - ''23 ''24'!$C$2:$C$1577,'Site Level Financials - ''23 ''24'!X$2:X$1577)</f>
        <v>239.85057971333791</v>
      </c>
      <c r="M937" s="248">
        <f>_xlfn.XLOOKUP($C937,'Site Level Financials - ''23 ''24'!$C$2:$C$1577,'Site Level Financials - ''23 ''24'!Y$2:Y$1577)</f>
        <v>248.71061262031378</v>
      </c>
      <c r="N937" s="248">
        <f>_xlfn.XLOOKUP($C937,'Site Level Financials - ''23 ''24'!$C$2:$C$1577,'Site Level Financials - ''23 ''24'!Z$2:Z$1577)</f>
        <v>334.77221977006405</v>
      </c>
      <c r="O937" s="248">
        <f>_xlfn.XLOOKUP($C937,'Site Level Financials - ''23 ''24'!$C$2:$C$1577,'Site Level Financials - ''23 ''24'!AA$2:AA$1577)</f>
        <v>302.46533690614689</v>
      </c>
      <c r="P937" s="248">
        <f>_xlfn.XLOOKUP($C937,'Site Level Financials - ''23 ''24'!$C$2:$C$1577,'Site Level Financials - ''23 ''24'!AB$2:AB$1577)</f>
        <v>322.79621867113963</v>
      </c>
      <c r="Q937" s="248">
        <f>_xlfn.XLOOKUP($C937,'Site Level Financials - ''23 ''24'!$C$2:$C$1577,'Site Level Financials - ''23 ''24'!AC$2:AC$1577)</f>
        <v>355.68955625868352</v>
      </c>
      <c r="R937" s="248">
        <f>_xlfn.XLOOKUP($C937,'Site Level Financials - ''23 ''24'!$C$2:$C$1577,'Site Level Financials - ''23 ''24'!AD$2:AD$1577)</f>
        <v>357.16575570957389</v>
      </c>
      <c r="S937" s="169">
        <f t="shared" ref="S937:AD937" si="2702">S938*S907</f>
        <v>534.26583953989814</v>
      </c>
      <c r="T937" s="170">
        <f t="shared" si="2702"/>
        <v>553.22095684146859</v>
      </c>
      <c r="U937" s="170">
        <f t="shared" si="2702"/>
        <v>594.04270758660039</v>
      </c>
      <c r="V937" s="170">
        <f t="shared" si="2702"/>
        <v>636.31570281452673</v>
      </c>
      <c r="W937" s="170">
        <f t="shared" si="2702"/>
        <v>756.26864901235285</v>
      </c>
      <c r="X937" s="170">
        <f t="shared" si="2702"/>
        <v>635.07564969851626</v>
      </c>
      <c r="Y937" s="170">
        <f t="shared" si="2702"/>
        <v>639.79880409592135</v>
      </c>
      <c r="Z937" s="170">
        <f t="shared" si="2702"/>
        <v>548.62160822520696</v>
      </c>
      <c r="AA937" s="170">
        <f t="shared" si="2702"/>
        <v>502.99660974041632</v>
      </c>
      <c r="AB937" s="170">
        <f t="shared" si="2702"/>
        <v>577.68795510010034</v>
      </c>
      <c r="AC937" s="170">
        <f t="shared" si="2702"/>
        <v>456.64439735669373</v>
      </c>
      <c r="AD937" s="171">
        <f t="shared" si="2702"/>
        <v>372.71888923432545</v>
      </c>
      <c r="AE937" s="26"/>
      <c r="AF937" s="234">
        <f>_xlfn.XLOOKUP($C937,'Site Level Financials - ''23 ''24'!$C$2:$C$1577,'Site Level Financials - ''23 ''24'!$AF$2:$AF$1577)</f>
        <v>4557.5136059921042</v>
      </c>
      <c r="AG937" s="99">
        <f>SUM(G937:R937)</f>
        <v>3874.629744402876</v>
      </c>
      <c r="AH937" s="99">
        <f t="shared" ref="AH937" si="2703">SUM(S937:AD937)</f>
        <v>6807.6577692460278</v>
      </c>
    </row>
    <row r="938" spans="2:35" x14ac:dyDescent="0.2">
      <c r="B938" s="9">
        <f>G897</f>
        <v>19</v>
      </c>
      <c r="C938" s="9" t="str">
        <f t="shared" si="2592"/>
        <v>19 - Collections as a % of Production</v>
      </c>
      <c r="D938" s="9" t="s">
        <v>56</v>
      </c>
      <c r="F938" s="16" t="s">
        <v>17</v>
      </c>
      <c r="G938" s="245">
        <f>_xlfn.XLOOKUP($C938,'Site Level Financials - ''23 ''24'!$C$2:$C$1577,'Site Level Financials - ''23 ''24'!S$2:S$1577)</f>
        <v>0.97666773126883732</v>
      </c>
      <c r="H938" s="246">
        <f>_xlfn.XLOOKUP($C938,'Site Level Financials - ''23 ''24'!$C$2:$C$1577,'Site Level Financials - ''23 ''24'!T$2:T$1577)</f>
        <v>0.97434682886188828</v>
      </c>
      <c r="I938" s="246">
        <f>_xlfn.XLOOKUP($C938,'Site Level Financials - ''23 ''24'!$C$2:$C$1577,'Site Level Financials - ''23 ''24'!U$2:U$1577)</f>
        <v>0.98765773209874952</v>
      </c>
      <c r="J938" s="246">
        <f>_xlfn.XLOOKUP($C938,'Site Level Financials - ''23 ''24'!$C$2:$C$1577,'Site Level Financials - ''23 ''24'!V$2:V$1577)</f>
        <v>0.96762977143296891</v>
      </c>
      <c r="K938" s="246">
        <f>_xlfn.XLOOKUP($C938,'Site Level Financials - ''23 ''24'!$C$2:$C$1577,'Site Level Financials - ''23 ''24'!W$2:W$1577)</f>
        <v>0.97031687428400915</v>
      </c>
      <c r="L938" s="246">
        <f>_xlfn.XLOOKUP($C938,'Site Level Financials - ''23 ''24'!$C$2:$C$1577,'Site Level Financials - ''23 ''24'!X$2:X$1577)</f>
        <v>0.96150906047880635</v>
      </c>
      <c r="M938" s="246">
        <f>_xlfn.XLOOKUP($C938,'Site Level Financials - ''23 ''24'!$C$2:$C$1577,'Site Level Financials - ''23 ''24'!Y$2:Y$1577)</f>
        <v>0.97785207868406354</v>
      </c>
      <c r="N938" s="246">
        <f>_xlfn.XLOOKUP($C938,'Site Level Financials - ''23 ''24'!$C$2:$C$1577,'Site Level Financials - ''23 ''24'!Z$2:Z$1577)</f>
        <v>0.98700941154122501</v>
      </c>
      <c r="O938" s="246">
        <f>_xlfn.XLOOKUP($C938,'Site Level Financials - ''23 ''24'!$C$2:$C$1577,'Site Level Financials - ''23 ''24'!AA$2:AA$1577)</f>
        <v>0.99475337522141671</v>
      </c>
      <c r="P938" s="246">
        <f>_xlfn.XLOOKUP($C938,'Site Level Financials - ''23 ''24'!$C$2:$C$1577,'Site Level Financials - ''23 ''24'!AB$2:AB$1577)</f>
        <v>0.96913809611058011</v>
      </c>
      <c r="Q938" s="246">
        <f>_xlfn.XLOOKUP($C938,'Site Level Financials - ''23 ''24'!$C$2:$C$1577,'Site Level Financials - ''23 ''24'!AC$2:AC$1577)</f>
        <v>0.97502926742242724</v>
      </c>
      <c r="R938" s="246">
        <f>_xlfn.XLOOKUP($C938,'Site Level Financials - ''23 ''24'!$C$2:$C$1577,'Site Level Financials - ''23 ''24'!AD$2:AD$1577)</f>
        <v>0.96473317565832495</v>
      </c>
      <c r="S938" s="148">
        <f>S908</f>
        <v>0.97564520674768052</v>
      </c>
      <c r="T938" s="149">
        <f t="shared" ref="T938:AD938" si="2704">T908</f>
        <v>0.97564520674768052</v>
      </c>
      <c r="U938" s="149">
        <f t="shared" si="2704"/>
        <v>0.97564520674768052</v>
      </c>
      <c r="V938" s="149">
        <f t="shared" si="2704"/>
        <v>0.97564520674768052</v>
      </c>
      <c r="W938" s="149">
        <f t="shared" si="2704"/>
        <v>0.97564520674768052</v>
      </c>
      <c r="X938" s="149">
        <f t="shared" si="2704"/>
        <v>0.97564520674768052</v>
      </c>
      <c r="Y938" s="149">
        <f t="shared" si="2704"/>
        <v>0.97564520674768052</v>
      </c>
      <c r="Z938" s="149">
        <f t="shared" si="2704"/>
        <v>0.97564520674768052</v>
      </c>
      <c r="AA938" s="149">
        <f t="shared" si="2704"/>
        <v>0.97564520674768052</v>
      </c>
      <c r="AB938" s="149">
        <f t="shared" si="2704"/>
        <v>0.97564520674768052</v>
      </c>
      <c r="AC938" s="149">
        <f t="shared" si="2704"/>
        <v>0.97564520674768052</v>
      </c>
      <c r="AD938" s="150">
        <f t="shared" si="2704"/>
        <v>0.97564520674768052</v>
      </c>
      <c r="AE938" s="15"/>
      <c r="AF938" s="232">
        <f>_xlfn.XLOOKUP($C938,'Site Level Financials - ''23 ''24'!$C$2:$C$1577,'Site Level Financials - ''23 ''24'!$AF$2:$AF$1577)</f>
        <v>0.98077179490924771</v>
      </c>
      <c r="AG938" s="97">
        <f t="shared" ref="AG938:AH938" si="2705">AG937/AG907</f>
        <v>0.97564520674768052</v>
      </c>
      <c r="AH938" s="97">
        <f t="shared" si="2705"/>
        <v>0.97564520674768063</v>
      </c>
    </row>
    <row r="939" spans="2:35" ht="6" customHeight="1" x14ac:dyDescent="0.2">
      <c r="B939" s="9">
        <f>G897</f>
        <v>19</v>
      </c>
      <c r="C939" s="9" t="str">
        <f t="shared" si="2592"/>
        <v xml:space="preserve">19 - </v>
      </c>
      <c r="D939" s="9" t="s">
        <v>56</v>
      </c>
      <c r="F939" s="27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81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81"/>
      <c r="AE939" s="15"/>
      <c r="AF939" s="11"/>
      <c r="AH939" s="224"/>
    </row>
    <row r="940" spans="2:35" s="24" customFormat="1" x14ac:dyDescent="0.2">
      <c r="B940" s="9">
        <f>G897</f>
        <v>19</v>
      </c>
      <c r="C940" s="9" t="str">
        <f t="shared" si="2592"/>
        <v>19 - Production per Vet Workday - YoY Change</v>
      </c>
      <c r="D940" s="9" t="s">
        <v>56</v>
      </c>
      <c r="E940" s="49"/>
      <c r="F940" s="24" t="s">
        <v>55</v>
      </c>
      <c r="G940" s="249">
        <f>_xlfn.XLOOKUP($C940,'Site Level Financials - ''23 ''24'!$C$2:$C$1577,'Site Level Financials - ''23 ''24'!S$2:S$1577)</f>
        <v>5.4435856016549877E-2</v>
      </c>
      <c r="H940" s="250">
        <f>_xlfn.XLOOKUP($C940,'Site Level Financials - ''23 ''24'!$C$2:$C$1577,'Site Level Financials - ''23 ''24'!T$2:T$1577)</f>
        <v>5.6973734914779861E-2</v>
      </c>
      <c r="I940" s="250">
        <f>_xlfn.XLOOKUP($C940,'Site Level Financials - ''23 ''24'!$C$2:$C$1577,'Site Level Financials - ''23 ''24'!U$2:U$1577)</f>
        <v>4.1944144161669028E-2</v>
      </c>
      <c r="J940" s="250">
        <f>_xlfn.XLOOKUP($C940,'Site Level Financials - ''23 ''24'!$C$2:$C$1577,'Site Level Financials - ''23 ''24'!V$2:V$1577)</f>
        <v>-1.5452035220283822E-2</v>
      </c>
      <c r="K940" s="250">
        <f>_xlfn.XLOOKUP($C940,'Site Level Financials - ''23 ''24'!$C$2:$C$1577,'Site Level Financials - ''23 ''24'!W$2:W$1577)</f>
        <v>1.5804013237302961E-2</v>
      </c>
      <c r="L940" s="250">
        <f>_xlfn.XLOOKUP($C940,'Site Level Financials - ''23 ''24'!$C$2:$C$1577,'Site Level Financials - ''23 ''24'!X$2:X$1577)</f>
        <v>1.3323162711488479E-2</v>
      </c>
      <c r="M940" s="250">
        <f>_xlfn.XLOOKUP($C940,'Site Level Financials - ''23 ''24'!$C$2:$C$1577,'Site Level Financials - ''23 ''24'!Y$2:Y$1577)</f>
        <v>1.7107283342972179E-2</v>
      </c>
      <c r="N940" s="250">
        <f>_xlfn.XLOOKUP($C940,'Site Level Financials - ''23 ''24'!$C$2:$C$1577,'Site Level Financials - ''23 ''24'!Z$2:Z$1577)</f>
        <v>4.7405837204372192E-2</v>
      </c>
      <c r="O940" s="250">
        <f>_xlfn.XLOOKUP($C940,'Site Level Financials - ''23 ''24'!$C$2:$C$1577,'Site Level Financials - ''23 ''24'!AA$2:AA$1577)</f>
        <v>5.3724063749091666E-2</v>
      </c>
      <c r="P940" s="250">
        <f>_xlfn.XLOOKUP($C940,'Site Level Financials - ''23 ''24'!$C$2:$C$1577,'Site Level Financials - ''23 ''24'!AB$2:AB$1577)</f>
        <v>-9.3062801632359804E-4</v>
      </c>
      <c r="Q940" s="250">
        <f>_xlfn.XLOOKUP($C940,'Site Level Financials - ''23 ''24'!$C$2:$C$1577,'Site Level Financials - ''23 ''24'!AC$2:AC$1577)</f>
        <v>5.7937493674552476E-2</v>
      </c>
      <c r="R940" s="251">
        <f>_xlfn.XLOOKUP($C940,'Site Level Financials - ''23 ''24'!$C$2:$C$1577,'Site Level Financials - ''23 ''24'!AD$2:AD$1577)</f>
        <v>3.5993871709403935E-2</v>
      </c>
      <c r="S940" s="151">
        <f>S906/G906-1</f>
        <v>5.7428394427786911E-2</v>
      </c>
      <c r="T940" s="152">
        <f t="shared" ref="T940" si="2706">T906/H906-1</f>
        <v>3.1958484129965381E-2</v>
      </c>
      <c r="U940" s="152">
        <f t="shared" ref="U940" si="2707">U906/I906-1</f>
        <v>3.7493579050817738E-2</v>
      </c>
      <c r="V940" s="152">
        <f t="shared" ref="V940" si="2708">V906/J906-1</f>
        <v>7.7738114185924356E-2</v>
      </c>
      <c r="W940" s="152">
        <f t="shared" ref="W940" si="2709">W906/K906-1</f>
        <v>4.3854837282160997E-2</v>
      </c>
      <c r="X940" s="152">
        <f t="shared" ref="X940" si="2710">X906/L906-1</f>
        <v>4.3773209924976131E-2</v>
      </c>
      <c r="Y940" s="152">
        <f t="shared" ref="Y940" si="2711">Y906/M906-1</f>
        <v>3.131265309437592E-2</v>
      </c>
      <c r="Z940" s="152">
        <f t="shared" ref="Z940" si="2712">Z906/N906-1</f>
        <v>-5.2724967662283184E-3</v>
      </c>
      <c r="AA940" s="152">
        <f t="shared" ref="AA940" si="2713">AA906/O906-1</f>
        <v>1.7335509412989891E-2</v>
      </c>
      <c r="AB940" s="152">
        <f t="shared" ref="AB940" si="2714">AB906/P906-1</f>
        <v>6.6620373141957678E-2</v>
      </c>
      <c r="AC940" s="152">
        <f t="shared" ref="AC940" si="2715">AC906/Q906-1</f>
        <v>2.6414417694510028E-2</v>
      </c>
      <c r="AD940" s="153">
        <f t="shared" ref="AD940" si="2716">AD906/R906-1</f>
        <v>3.1874519628317666E-2</v>
      </c>
      <c r="AF940" s="43"/>
      <c r="AG940" s="177">
        <f>AG906/AF906-1</f>
        <v>-1.1194510518738543E-2</v>
      </c>
      <c r="AH940" s="225">
        <f>AH906/AG906-1</f>
        <v>8.162211757199711E-2</v>
      </c>
    </row>
    <row r="941" spans="2:35" s="24" customFormat="1" ht="6" customHeight="1" x14ac:dyDescent="0.2">
      <c r="D941" s="9" t="s">
        <v>56</v>
      </c>
      <c r="E941" s="49"/>
      <c r="G941" s="28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29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29"/>
      <c r="AE941" s="25"/>
      <c r="AF941" s="28"/>
      <c r="AG941" s="30"/>
      <c r="AH941" s="226"/>
    </row>
    <row r="942" spans="2:35" s="24" customFormat="1" ht="6" customHeight="1" x14ac:dyDescent="0.2">
      <c r="D942" s="9" t="s">
        <v>56</v>
      </c>
      <c r="E942" s="49"/>
    </row>
    <row r="943" spans="2:35" s="24" customFormat="1" ht="12" customHeight="1" x14ac:dyDescent="0.2">
      <c r="D943" s="9" t="s">
        <v>56</v>
      </c>
      <c r="E943" s="49"/>
    </row>
    <row r="944" spans="2:35" ht="15.75" thickBot="1" x14ac:dyDescent="0.4">
      <c r="B944" s="35" t="s">
        <v>52</v>
      </c>
      <c r="C944" s="35"/>
      <c r="D944" s="9" t="s">
        <v>56</v>
      </c>
      <c r="E944" s="48" t="s">
        <v>0</v>
      </c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74"/>
      <c r="AH944" s="3">
        <f ca="1">TODAY()</f>
        <v>45999</v>
      </c>
      <c r="AI944" s="1"/>
    </row>
    <row r="945" spans="2:34" x14ac:dyDescent="0.2">
      <c r="B945" s="9">
        <f>G946</f>
        <v>20</v>
      </c>
      <c r="C945" s="9"/>
      <c r="D945" s="9" t="s">
        <v>56</v>
      </c>
      <c r="F945" t="s">
        <v>159</v>
      </c>
      <c r="AG945" s="6"/>
      <c r="AH945" s="6" t="s">
        <v>16</v>
      </c>
    </row>
    <row r="946" spans="2:34" x14ac:dyDescent="0.2">
      <c r="B946" s="9">
        <f>G946</f>
        <v>20</v>
      </c>
      <c r="C946" s="9"/>
      <c r="D946" s="9" t="s">
        <v>56</v>
      </c>
      <c r="F946" s="40" t="s">
        <v>53</v>
      </c>
      <c r="G946" s="42">
        <v>20</v>
      </c>
    </row>
    <row r="947" spans="2:34" x14ac:dyDescent="0.2">
      <c r="B947" s="9">
        <f>G946</f>
        <v>20</v>
      </c>
      <c r="C947" s="9"/>
      <c r="D947" s="9" t="s">
        <v>56</v>
      </c>
      <c r="F947" s="39" t="s">
        <v>37</v>
      </c>
      <c r="G947" s="41"/>
      <c r="H947" s="11"/>
    </row>
    <row r="948" spans="2:34" x14ac:dyDescent="0.2">
      <c r="B948" s="9">
        <f>G946</f>
        <v>20</v>
      </c>
      <c r="C948" s="9"/>
      <c r="D948" s="9" t="s">
        <v>56</v>
      </c>
      <c r="G948" s="23"/>
    </row>
    <row r="949" spans="2:34" x14ac:dyDescent="0.2">
      <c r="B949" s="9">
        <f>G946</f>
        <v>20</v>
      </c>
      <c r="C949" s="9"/>
      <c r="D949" s="9" t="s">
        <v>56</v>
      </c>
      <c r="G949" s="208" t="s">
        <v>229</v>
      </c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10"/>
      <c r="S949" s="266" t="s">
        <v>230</v>
      </c>
      <c r="T949" s="267"/>
      <c r="U949" s="267"/>
      <c r="V949" s="267"/>
      <c r="W949" s="267"/>
      <c r="X949" s="267"/>
      <c r="Y949" s="267"/>
      <c r="Z949" s="267"/>
      <c r="AA949" s="267"/>
      <c r="AB949" s="267"/>
      <c r="AC949" s="267"/>
      <c r="AD949" s="268"/>
      <c r="AF949" s="17" t="s">
        <v>231</v>
      </c>
      <c r="AG949" s="50"/>
      <c r="AH949" s="269" t="s">
        <v>232</v>
      </c>
    </row>
    <row r="950" spans="2:34" ht="15" customHeight="1" x14ac:dyDescent="0.35">
      <c r="B950" s="9">
        <f>G946</f>
        <v>20</v>
      </c>
      <c r="C950" s="9"/>
      <c r="D950" s="9" t="s">
        <v>56</v>
      </c>
      <c r="G950" s="211">
        <v>44957</v>
      </c>
      <c r="H950" s="212">
        <f>EOMONTH(G950,1)</f>
        <v>44985</v>
      </c>
      <c r="I950" s="212">
        <f t="shared" ref="I950" si="2717">EOMONTH(H950,1)</f>
        <v>45016</v>
      </c>
      <c r="J950" s="212">
        <f t="shared" ref="J950" si="2718">EOMONTH(I950,1)</f>
        <v>45046</v>
      </c>
      <c r="K950" s="212">
        <f t="shared" ref="K950" si="2719">EOMONTH(J950,1)</f>
        <v>45077</v>
      </c>
      <c r="L950" s="212">
        <f t="shared" ref="L950" si="2720">EOMONTH(K950,1)</f>
        <v>45107</v>
      </c>
      <c r="M950" s="212">
        <f t="shared" ref="M950" si="2721">EOMONTH(L950,1)</f>
        <v>45138</v>
      </c>
      <c r="N950" s="212">
        <f t="shared" ref="N950" si="2722">EOMONTH(M950,1)</f>
        <v>45169</v>
      </c>
      <c r="O950" s="212">
        <f t="shared" ref="O950" si="2723">EOMONTH(N950,1)</f>
        <v>45199</v>
      </c>
      <c r="P950" s="212">
        <f t="shared" ref="P950" si="2724">EOMONTH(O950,1)</f>
        <v>45230</v>
      </c>
      <c r="Q950" s="212">
        <f t="shared" ref="Q950" si="2725">EOMONTH(P950,1)</f>
        <v>45260</v>
      </c>
      <c r="R950" s="213">
        <f t="shared" ref="R950" si="2726">EOMONTH(Q950,1)</f>
        <v>45291</v>
      </c>
      <c r="S950" s="4">
        <f t="shared" ref="S950" si="2727">EOMONTH(R950,1)</f>
        <v>45322</v>
      </c>
      <c r="T950" s="19">
        <f t="shared" ref="T950" si="2728">EOMONTH(S950,1)</f>
        <v>45351</v>
      </c>
      <c r="U950" s="19">
        <f t="shared" ref="U950" si="2729">EOMONTH(T950,1)</f>
        <v>45382</v>
      </c>
      <c r="V950" s="19">
        <f t="shared" ref="V950" si="2730">EOMONTH(U950,1)</f>
        <v>45412</v>
      </c>
      <c r="W950" s="19">
        <f t="shared" ref="W950" si="2731">EOMONTH(V950,1)</f>
        <v>45443</v>
      </c>
      <c r="X950" s="19">
        <f t="shared" ref="X950" si="2732">EOMONTH(W950,1)</f>
        <v>45473</v>
      </c>
      <c r="Y950" s="19">
        <f t="shared" ref="Y950" si="2733">EOMONTH(X950,1)</f>
        <v>45504</v>
      </c>
      <c r="Z950" s="19">
        <f t="shared" ref="Z950" si="2734">EOMONTH(Y950,1)</f>
        <v>45535</v>
      </c>
      <c r="AA950" s="19">
        <f t="shared" ref="AA950" si="2735">EOMONTH(Z950,1)</f>
        <v>45565</v>
      </c>
      <c r="AB950" s="19">
        <f t="shared" ref="AB950" si="2736">EOMONTH(AA950,1)</f>
        <v>45596</v>
      </c>
      <c r="AC950" s="19">
        <f t="shared" ref="AC950" si="2737">EOMONTH(AB950,1)</f>
        <v>45626</v>
      </c>
      <c r="AD950" s="5">
        <f t="shared" ref="AD950" si="2738">EOMONTH(AC950,1)</f>
        <v>45657</v>
      </c>
      <c r="AE950" s="168"/>
      <c r="AF950" s="13">
        <v>45291</v>
      </c>
      <c r="AG950" s="14">
        <v>45657</v>
      </c>
      <c r="AH950" s="14">
        <v>46022</v>
      </c>
    </row>
    <row r="951" spans="2:34" ht="0.95" customHeight="1" x14ac:dyDescent="0.2">
      <c r="B951" s="9">
        <f>G946</f>
        <v>20</v>
      </c>
      <c r="C951" s="9"/>
      <c r="D951" s="9" t="s">
        <v>56</v>
      </c>
      <c r="G951" s="11"/>
      <c r="S951" s="11"/>
      <c r="AD951" s="15"/>
      <c r="AE951" s="15"/>
      <c r="AF951" s="11"/>
      <c r="AG951" s="15"/>
      <c r="AH951" s="15"/>
    </row>
    <row r="952" spans="2:34" x14ac:dyDescent="0.2">
      <c r="B952" s="9">
        <f>G946</f>
        <v>20</v>
      </c>
      <c r="C952" s="9" t="str">
        <f>B952&amp;" - "&amp;F952</f>
        <v>20 - Employed Vets</v>
      </c>
      <c r="D952" s="9" t="s">
        <v>56</v>
      </c>
      <c r="F952" s="7" t="s">
        <v>160</v>
      </c>
      <c r="G952" s="178">
        <f>_xlfn.XLOOKUP($C952,'Site Level Financials - ''23 ''24'!$C$2:$C$1577,'Site Level Financials - ''23 ''24'!S$2:S$1577)</f>
        <v>4</v>
      </c>
      <c r="H952" s="179">
        <f>_xlfn.XLOOKUP($C952,'Site Level Financials - ''23 ''24'!$C$2:$C$1577,'Site Level Financials - ''23 ''24'!T$2:T$1577)</f>
        <v>4</v>
      </c>
      <c r="I952" s="179">
        <f>_xlfn.XLOOKUP($C952,'Site Level Financials - ''23 ''24'!$C$2:$C$1577,'Site Level Financials - ''23 ''24'!U$2:U$1577)</f>
        <v>4</v>
      </c>
      <c r="J952" s="179">
        <f>_xlfn.XLOOKUP($C952,'Site Level Financials - ''23 ''24'!$C$2:$C$1577,'Site Level Financials - ''23 ''24'!V$2:V$1577)</f>
        <v>3</v>
      </c>
      <c r="K952" s="179">
        <f>_xlfn.XLOOKUP($C952,'Site Level Financials - ''23 ''24'!$C$2:$C$1577,'Site Level Financials - ''23 ''24'!W$2:W$1577)</f>
        <v>3</v>
      </c>
      <c r="L952" s="179">
        <f>_xlfn.XLOOKUP($C952,'Site Level Financials - ''23 ''24'!$C$2:$C$1577,'Site Level Financials - ''23 ''24'!X$2:X$1577)</f>
        <v>3</v>
      </c>
      <c r="M952" s="179">
        <f>_xlfn.XLOOKUP($C952,'Site Level Financials - ''23 ''24'!$C$2:$C$1577,'Site Level Financials - ''23 ''24'!Y$2:Y$1577)</f>
        <v>4</v>
      </c>
      <c r="N952" s="179">
        <f>_xlfn.XLOOKUP($C952,'Site Level Financials - ''23 ''24'!$C$2:$C$1577,'Site Level Financials - ''23 ''24'!Z$2:Z$1577)</f>
        <v>4</v>
      </c>
      <c r="O952" s="179">
        <f>_xlfn.XLOOKUP($C952,'Site Level Financials - ''23 ''24'!$C$2:$C$1577,'Site Level Financials - ''23 ''24'!AA$2:AA$1577)</f>
        <v>4</v>
      </c>
      <c r="P952" s="179">
        <f>_xlfn.XLOOKUP($C952,'Site Level Financials - ''23 ''24'!$C$2:$C$1577,'Site Level Financials - ''23 ''24'!AB$2:AB$1577)</f>
        <v>4</v>
      </c>
      <c r="Q952" s="179">
        <f>_xlfn.XLOOKUP($C952,'Site Level Financials - ''23 ''24'!$C$2:$C$1577,'Site Level Financials - ''23 ''24'!AC$2:AC$1577)</f>
        <v>5</v>
      </c>
      <c r="R952" s="179">
        <f>_xlfn.XLOOKUP($C952,'Site Level Financials - ''23 ''24'!$C$2:$C$1577,'Site Level Financials - ''23 ''24'!AD$2:AD$1577)</f>
        <v>5</v>
      </c>
      <c r="S952" s="178">
        <f>R952+_xlfn.XLOOKUP($R952,'Budget Assumption Driver'!$A$7:$A$11,'Budget Assumption Driver'!E$7:E$11)</f>
        <v>5</v>
      </c>
      <c r="T952" s="179">
        <f>S952+_xlfn.XLOOKUP($R952,'Budget Assumption Driver'!$A$7:$A$11,'Budget Assumption Driver'!F$7:F$11)</f>
        <v>5</v>
      </c>
      <c r="U952" s="179">
        <f>T952+_xlfn.XLOOKUP($R952,'Budget Assumption Driver'!$A$7:$A$11,'Budget Assumption Driver'!G$7:G$11)</f>
        <v>5</v>
      </c>
      <c r="V952" s="179">
        <f>U952+_xlfn.XLOOKUP($R952,'Budget Assumption Driver'!$A$7:$A$11,'Budget Assumption Driver'!H$7:H$11)</f>
        <v>5</v>
      </c>
      <c r="W952" s="179">
        <f>V952+_xlfn.XLOOKUP($R952,'Budget Assumption Driver'!$A$7:$A$11,'Budget Assumption Driver'!I$7:I$11)</f>
        <v>5</v>
      </c>
      <c r="X952" s="179">
        <f>W952+_xlfn.XLOOKUP($R952,'Budget Assumption Driver'!$A$7:$A$11,'Budget Assumption Driver'!J$7:J$11)</f>
        <v>5</v>
      </c>
      <c r="Y952" s="179">
        <f>X952+_xlfn.XLOOKUP($R952,'Budget Assumption Driver'!$A$7:$A$11,'Budget Assumption Driver'!K$7:K$11)</f>
        <v>5</v>
      </c>
      <c r="Z952" s="179">
        <f>Y952+_xlfn.XLOOKUP($R952,'Budget Assumption Driver'!$A$7:$A$11,'Budget Assumption Driver'!L$7:L$11)</f>
        <v>5</v>
      </c>
      <c r="AA952" s="179">
        <f>Z952+_xlfn.XLOOKUP($R952,'Budget Assumption Driver'!$A$7:$A$11,'Budget Assumption Driver'!M$7:M$11)</f>
        <v>5</v>
      </c>
      <c r="AB952" s="179">
        <f>AA952+_xlfn.XLOOKUP($R952,'Budget Assumption Driver'!$A$7:$A$11,'Budget Assumption Driver'!N$7:N$11)</f>
        <v>5</v>
      </c>
      <c r="AC952" s="179">
        <f>AB952+_xlfn.XLOOKUP($R952,'Budget Assumption Driver'!$A$7:$A$11,'Budget Assumption Driver'!O$7:O$11)</f>
        <v>5</v>
      </c>
      <c r="AD952" s="290">
        <f>AC952+_xlfn.XLOOKUP($R952,'Budget Assumption Driver'!$A$7:$A$11,'Budget Assumption Driver'!P$7:P$11)</f>
        <v>5</v>
      </c>
      <c r="AE952" s="15"/>
      <c r="AF952" s="229">
        <f>_xlfn.XLOOKUP($C952,'Site Level Financials - ''23 ''24'!$C$2:$C$1577,'Site Level Financials - ''23 ''24'!$AF$2:$AF$1577)</f>
        <v>2.1666666666666665</v>
      </c>
      <c r="AG952" s="91">
        <f t="shared" ref="AG952:AH952" si="2739">AG954/AG953</f>
        <v>3.9144981412639406</v>
      </c>
      <c r="AH952" s="91">
        <f t="shared" si="2739"/>
        <v>5</v>
      </c>
    </row>
    <row r="953" spans="2:34" x14ac:dyDescent="0.2">
      <c r="B953" s="9">
        <f>G946</f>
        <v>20</v>
      </c>
      <c r="C953" s="9" t="str">
        <f t="shared" ref="C953:C989" si="2740">B953&amp;" - "&amp;F953</f>
        <v>20 - Workdays in Month / Year</v>
      </c>
      <c r="D953" s="9" t="s">
        <v>56</v>
      </c>
      <c r="F953" s="7" t="s">
        <v>54</v>
      </c>
      <c r="G953" s="178">
        <f>_xlfn.XLOOKUP($C953,'Site Level Financials - ''23 ''24'!$C$2:$C$1577,'Site Level Financials - ''23 ''24'!S$2:S$1577)</f>
        <v>23</v>
      </c>
      <c r="H953" s="235">
        <f>_xlfn.XLOOKUP($C953,'Site Level Financials - ''23 ''24'!$C$2:$C$1577,'Site Level Financials - ''23 ''24'!T$2:T$1577)</f>
        <v>22</v>
      </c>
      <c r="I953" s="235">
        <f>_xlfn.XLOOKUP($C953,'Site Level Financials - ''23 ''24'!$C$2:$C$1577,'Site Level Financials - ''23 ''24'!U$2:U$1577)</f>
        <v>22</v>
      </c>
      <c r="J953" s="179">
        <f>_xlfn.XLOOKUP($C953,'Site Level Financials - ''23 ''24'!$C$2:$C$1577,'Site Level Financials - ''23 ''24'!V$2:V$1577)</f>
        <v>22</v>
      </c>
      <c r="K953" s="179">
        <f>_xlfn.XLOOKUP($C953,'Site Level Financials - ''23 ''24'!$C$2:$C$1577,'Site Level Financials - ''23 ''24'!W$2:W$1577)</f>
        <v>24</v>
      </c>
      <c r="L953" s="179">
        <f>_xlfn.XLOOKUP($C953,'Site Level Financials - ''23 ''24'!$C$2:$C$1577,'Site Level Financials - ''23 ''24'!X$2:X$1577)</f>
        <v>21</v>
      </c>
      <c r="M953" s="179">
        <f>_xlfn.XLOOKUP($C953,'Site Level Financials - ''23 ''24'!$C$2:$C$1577,'Site Level Financials - ''23 ''24'!Y$2:Y$1577)</f>
        <v>23</v>
      </c>
      <c r="N953" s="179">
        <f>_xlfn.XLOOKUP($C953,'Site Level Financials - ''23 ''24'!$C$2:$C$1577,'Site Level Financials - ''23 ''24'!Z$2:Z$1577)</f>
        <v>23</v>
      </c>
      <c r="O953" s="179">
        <f>_xlfn.XLOOKUP($C953,'Site Level Financials - ''23 ''24'!$C$2:$C$1577,'Site Level Financials - ''23 ''24'!AA$2:AA$1577)</f>
        <v>21</v>
      </c>
      <c r="P953" s="179">
        <f>_xlfn.XLOOKUP($C953,'Site Level Financials - ''23 ''24'!$C$2:$C$1577,'Site Level Financials - ''23 ''24'!AB$2:AB$1577)</f>
        <v>24</v>
      </c>
      <c r="Q953" s="179">
        <f>_xlfn.XLOOKUP($C953,'Site Level Financials - ''23 ''24'!$C$2:$C$1577,'Site Level Financials - ''23 ''24'!AC$2:AC$1577)</f>
        <v>22</v>
      </c>
      <c r="R953" s="179">
        <f>_xlfn.XLOOKUP($C953,'Site Level Financials - ''23 ''24'!$C$2:$C$1577,'Site Level Financials - ''23 ''24'!AD$2:AD$1577)</f>
        <v>22</v>
      </c>
      <c r="S953" s="155">
        <f>NETWORKDAYS(R950,S950)</f>
        <v>23</v>
      </c>
      <c r="T953" s="154">
        <f t="shared" ref="T953:AD953" si="2741">NETWORKDAYS(S950,T950)</f>
        <v>22</v>
      </c>
      <c r="U953" s="154">
        <f t="shared" si="2741"/>
        <v>22</v>
      </c>
      <c r="V953" s="154">
        <f t="shared" si="2741"/>
        <v>22</v>
      </c>
      <c r="W953" s="154">
        <f t="shared" si="2741"/>
        <v>24</v>
      </c>
      <c r="X953" s="154">
        <f t="shared" si="2741"/>
        <v>21</v>
      </c>
      <c r="Y953" s="154">
        <f t="shared" si="2741"/>
        <v>23</v>
      </c>
      <c r="Z953" s="154">
        <f t="shared" si="2741"/>
        <v>23</v>
      </c>
      <c r="AA953" s="154">
        <f t="shared" si="2741"/>
        <v>21</v>
      </c>
      <c r="AB953" s="154">
        <f t="shared" si="2741"/>
        <v>24</v>
      </c>
      <c r="AC953" s="154">
        <f t="shared" si="2741"/>
        <v>22</v>
      </c>
      <c r="AD953" s="156">
        <f t="shared" si="2741"/>
        <v>22</v>
      </c>
      <c r="AE953" s="15"/>
      <c r="AF953" s="115">
        <f>_xlfn.XLOOKUP($C953,'Site Level Financials - ''23 ''24'!$C$2:$C$1577,'Site Level Financials - ''23 ''24'!$AF$2:$AF$1577)</f>
        <v>269</v>
      </c>
      <c r="AG953" s="93">
        <f>SUM(G953:R953)</f>
        <v>269</v>
      </c>
      <c r="AH953" s="93">
        <f>SUM(S953:AD953)</f>
        <v>269</v>
      </c>
    </row>
    <row r="954" spans="2:34" x14ac:dyDescent="0.2">
      <c r="B954" s="9">
        <f>G946</f>
        <v>20</v>
      </c>
      <c r="C954" s="9" t="str">
        <f t="shared" si="2740"/>
        <v>20 - Total Vet Days</v>
      </c>
      <c r="D954" s="9" t="s">
        <v>56</v>
      </c>
      <c r="F954" s="8" t="s">
        <v>51</v>
      </c>
      <c r="G954" s="236">
        <f>_xlfn.XLOOKUP($C954,'Site Level Financials - ''23 ''24'!$C$2:$C$1577,'Site Level Financials - ''23 ''24'!S$2:S$1577)</f>
        <v>92</v>
      </c>
      <c r="H954" s="237">
        <f>_xlfn.XLOOKUP($C954,'Site Level Financials - ''23 ''24'!$C$2:$C$1577,'Site Level Financials - ''23 ''24'!T$2:T$1577)</f>
        <v>88</v>
      </c>
      <c r="I954" s="237">
        <f>_xlfn.XLOOKUP($C954,'Site Level Financials - ''23 ''24'!$C$2:$C$1577,'Site Level Financials - ''23 ''24'!U$2:U$1577)</f>
        <v>88</v>
      </c>
      <c r="J954" s="238">
        <f>_xlfn.XLOOKUP($C954,'Site Level Financials - ''23 ''24'!$C$2:$C$1577,'Site Level Financials - ''23 ''24'!V$2:V$1577)</f>
        <v>66</v>
      </c>
      <c r="K954" s="238">
        <f>_xlfn.XLOOKUP($C954,'Site Level Financials - ''23 ''24'!$C$2:$C$1577,'Site Level Financials - ''23 ''24'!W$2:W$1577)</f>
        <v>72</v>
      </c>
      <c r="L954" s="238">
        <f>_xlfn.XLOOKUP($C954,'Site Level Financials - ''23 ''24'!$C$2:$C$1577,'Site Level Financials - ''23 ''24'!X$2:X$1577)</f>
        <v>63</v>
      </c>
      <c r="M954" s="238">
        <f>_xlfn.XLOOKUP($C954,'Site Level Financials - ''23 ''24'!$C$2:$C$1577,'Site Level Financials - ''23 ''24'!Y$2:Y$1577)</f>
        <v>92</v>
      </c>
      <c r="N954" s="238">
        <f>_xlfn.XLOOKUP($C954,'Site Level Financials - ''23 ''24'!$C$2:$C$1577,'Site Level Financials - ''23 ''24'!Z$2:Z$1577)</f>
        <v>92</v>
      </c>
      <c r="O954" s="238">
        <f>_xlfn.XLOOKUP($C954,'Site Level Financials - ''23 ''24'!$C$2:$C$1577,'Site Level Financials - ''23 ''24'!AA$2:AA$1577)</f>
        <v>84</v>
      </c>
      <c r="P954" s="238">
        <f>_xlfn.XLOOKUP($C954,'Site Level Financials - ''23 ''24'!$C$2:$C$1577,'Site Level Financials - ''23 ''24'!AB$2:AB$1577)</f>
        <v>96</v>
      </c>
      <c r="Q954" s="238">
        <f>_xlfn.XLOOKUP($C954,'Site Level Financials - ''23 ''24'!$C$2:$C$1577,'Site Level Financials - ''23 ''24'!AC$2:AC$1577)</f>
        <v>110</v>
      </c>
      <c r="R954" s="238">
        <f>_xlfn.XLOOKUP($C954,'Site Level Financials - ''23 ''24'!$C$2:$C$1577,'Site Level Financials - ''23 ''24'!AD$2:AD$1577)</f>
        <v>110</v>
      </c>
      <c r="S954" s="125">
        <f t="shared" ref="S954:AD954" si="2742">S952*S953</f>
        <v>115</v>
      </c>
      <c r="T954" s="127">
        <f t="shared" si="2742"/>
        <v>110</v>
      </c>
      <c r="U954" s="127">
        <f t="shared" si="2742"/>
        <v>110</v>
      </c>
      <c r="V954" s="127">
        <f t="shared" si="2742"/>
        <v>110</v>
      </c>
      <c r="W954" s="127">
        <f t="shared" si="2742"/>
        <v>120</v>
      </c>
      <c r="X954" s="127">
        <f t="shared" si="2742"/>
        <v>105</v>
      </c>
      <c r="Y954" s="127">
        <f t="shared" si="2742"/>
        <v>115</v>
      </c>
      <c r="Z954" s="127">
        <f t="shared" si="2742"/>
        <v>115</v>
      </c>
      <c r="AA954" s="127">
        <f t="shared" si="2742"/>
        <v>105</v>
      </c>
      <c r="AB954" s="127">
        <f t="shared" si="2742"/>
        <v>120</v>
      </c>
      <c r="AC954" s="127">
        <f t="shared" si="2742"/>
        <v>110</v>
      </c>
      <c r="AD954" s="128">
        <f t="shared" si="2742"/>
        <v>110</v>
      </c>
      <c r="AF954" s="112">
        <f>_xlfn.XLOOKUP($C954,'Site Level Financials - ''23 ''24'!$C$2:$C$1577,'Site Level Financials - ''23 ''24'!$AF$2:$AF$1577)</f>
        <v>584</v>
      </c>
      <c r="AG954" s="120">
        <f>SUM(G954:R954)</f>
        <v>1053</v>
      </c>
      <c r="AH954" s="120">
        <f t="shared" ref="AH954" si="2743">SUM(S954:AD954)</f>
        <v>1345</v>
      </c>
    </row>
    <row r="955" spans="2:34" x14ac:dyDescent="0.2">
      <c r="B955" s="9">
        <f>G946</f>
        <v>20</v>
      </c>
      <c r="C955" s="9" t="str">
        <f t="shared" si="2740"/>
        <v>20 - Production per Vet Workday</v>
      </c>
      <c r="D955" s="9" t="s">
        <v>56</v>
      </c>
      <c r="F955" s="7" t="s">
        <v>50</v>
      </c>
      <c r="G955" s="239">
        <f>_xlfn.XLOOKUP($C955,'Site Level Financials - ''23 ''24'!$C$2:$C$1577,'Site Level Financials - ''23 ''24'!S$2:S$1577)</f>
        <v>7.5010287113390817</v>
      </c>
      <c r="H955" s="240">
        <f>_xlfn.XLOOKUP($C955,'Site Level Financials - ''23 ''24'!$C$2:$C$1577,'Site Level Financials - ''23 ''24'!T$2:T$1577)</f>
        <v>8.1720898254592456</v>
      </c>
      <c r="I955" s="240">
        <f>_xlfn.XLOOKUP($C955,'Site Level Financials - ''23 ''24'!$C$2:$C$1577,'Site Level Financials - ''23 ''24'!U$2:U$1577)</f>
        <v>7.791477514294666</v>
      </c>
      <c r="J955" s="240">
        <f>_xlfn.XLOOKUP($C955,'Site Level Financials - ''23 ''24'!$C$2:$C$1577,'Site Level Financials - ''23 ''24'!V$2:V$1577)</f>
        <v>8.8906495767151572</v>
      </c>
      <c r="K955" s="240">
        <f>_xlfn.XLOOKUP($C955,'Site Level Financials - ''23 ''24'!$C$2:$C$1577,'Site Level Financials - ''23 ''24'!W$2:W$1577)</f>
        <v>9.6972728990212431</v>
      </c>
      <c r="L955" s="240">
        <f>_xlfn.XLOOKUP($C955,'Site Level Financials - ''23 ''24'!$C$2:$C$1577,'Site Level Financials - ''23 ''24'!X$2:X$1577)</f>
        <v>8.9651740246075082</v>
      </c>
      <c r="M955" s="240">
        <f>_xlfn.XLOOKUP($C955,'Site Level Financials - ''23 ''24'!$C$2:$C$1577,'Site Level Financials - ''23 ''24'!Y$2:Y$1577)</f>
        <v>7.8598278299533719</v>
      </c>
      <c r="N955" s="240">
        <f>_xlfn.XLOOKUP($C955,'Site Level Financials - ''23 ''24'!$C$2:$C$1577,'Site Level Financials - ''23 ''24'!Z$2:Z$1577)</f>
        <v>7.9039789982504676</v>
      </c>
      <c r="O955" s="240">
        <f>_xlfn.XLOOKUP($C955,'Site Level Financials - ''23 ''24'!$C$2:$C$1577,'Site Level Financials - ''23 ''24'!AA$2:AA$1577)</f>
        <v>7.6348293775183196</v>
      </c>
      <c r="P955" s="240">
        <f>_xlfn.XLOOKUP($C955,'Site Level Financials - ''23 ''24'!$C$2:$C$1577,'Site Level Financials - ''23 ''24'!AB$2:AB$1577)</f>
        <v>7.3685141089468775</v>
      </c>
      <c r="Q955" s="240">
        <f>_xlfn.XLOOKUP($C955,'Site Level Financials - ''23 ''24'!$C$2:$C$1577,'Site Level Financials - ''23 ''24'!AC$2:AC$1577)</f>
        <v>6.175699218744974</v>
      </c>
      <c r="R955" s="240">
        <f>_xlfn.XLOOKUP($C955,'Site Level Financials - ''23 ''24'!$C$2:$C$1577,'Site Level Financials - ''23 ''24'!AD$2:AD$1577)</f>
        <v>4.7439477222913053</v>
      </c>
      <c r="S955" s="239">
        <f>R955*(1+_xlfn.XLOOKUP($R952,'Budget Assumption Driver'!$A$15:$A$19,'Budget Assumption Driver'!E$15:E$19))</f>
        <v>6.7117787419059907</v>
      </c>
      <c r="T955" s="240">
        <f>S955*(1+_xlfn.XLOOKUP($R952,'Budget Assumption Driver'!$A$15:$A$19,'Budget Assumption Driver'!F$15:F$19))</f>
        <v>7.2658094364656849</v>
      </c>
      <c r="U955" s="240">
        <f>T955*(1+_xlfn.XLOOKUP($R952,'Budget Assumption Driver'!$A$15:$A$19,'Budget Assumption Driver'!G$15:G$19))</f>
        <v>7.8019479505784535</v>
      </c>
      <c r="V955" s="240">
        <f>U955*(1+_xlfn.XLOOKUP($R952,'Budget Assumption Driver'!$A$15:$A$19,'Budget Assumption Driver'!H$15:H$19))</f>
        <v>8.3571465992130758</v>
      </c>
      <c r="W955" s="240">
        <f>V955*(1+_xlfn.XLOOKUP($R952,'Budget Assumption Driver'!$A$15:$A$19,'Budget Assumption Driver'!I$15:I$19))</f>
        <v>9.1048525313411481</v>
      </c>
      <c r="X955" s="240">
        <f>W955*(1+_xlfn.XLOOKUP($R952,'Budget Assumption Driver'!$A$15:$A$19,'Budget Assumption Driver'!J$15:J$19))</f>
        <v>8.7380439958011529</v>
      </c>
      <c r="Y955" s="240">
        <f>X955*(1+_xlfn.XLOOKUP($R952,'Budget Assumption Driver'!$A$15:$A$19,'Budget Assumption Driver'!K$15:K$19))</f>
        <v>8.0375492772024728</v>
      </c>
      <c r="Z955" s="240">
        <f>Y955*(1+_xlfn.XLOOKUP($R952,'Budget Assumption Driver'!$A$15:$A$19,'Budget Assumption Driver'!L$15:L$19))</f>
        <v>6.8921248092659289</v>
      </c>
      <c r="AA955" s="240">
        <f>Z955*(1+_xlfn.XLOOKUP($R952,'Budget Assumption Driver'!$A$15:$A$19,'Budget Assumption Driver'!M$15:M$19))</f>
        <v>6.9207605546474316</v>
      </c>
      <c r="AB955" s="240">
        <f>AA955*(1+_xlfn.XLOOKUP($R952,'Budget Assumption Driver'!$A$15:$A$19,'Budget Assumption Driver'!N$15:N$19))</f>
        <v>6.9548878526002831</v>
      </c>
      <c r="AC955" s="240">
        <f>AB955*(1+_xlfn.XLOOKUP($R952,'Budget Assumption Driver'!$A$15:$A$19,'Budget Assumption Driver'!O$15:O$19))</f>
        <v>5.9974068776541838</v>
      </c>
      <c r="AD955" s="291">
        <f>AC955*(1+_xlfn.XLOOKUP($R952,'Budget Assumption Driver'!$A$15:$A$19,'Budget Assumption Driver'!P$15:P$19))</f>
        <v>4.8951587770811926</v>
      </c>
      <c r="AE955" s="15"/>
      <c r="AF955" s="230">
        <f>_xlfn.XLOOKUP($C955,'Site Level Financials - ''23 ''24'!$C$2:$C$1577,'Site Level Financials - ''23 ''24'!$AF$2:$AF$1577)</f>
        <v>7.8716352555071376</v>
      </c>
      <c r="AG955" s="101">
        <f>AG956/AG954</f>
        <v>7.5449339653976502</v>
      </c>
      <c r="AH955" s="101">
        <f>AH956/AH954</f>
        <v>7.3122914941578543</v>
      </c>
    </row>
    <row r="956" spans="2:34" x14ac:dyDescent="0.2">
      <c r="B956" s="9">
        <f>G946</f>
        <v>20</v>
      </c>
      <c r="C956" s="9" t="str">
        <f t="shared" si="2740"/>
        <v>20 - Total Production</v>
      </c>
      <c r="D956" s="9" t="s">
        <v>56</v>
      </c>
      <c r="F956" s="8" t="s">
        <v>1</v>
      </c>
      <c r="G956" s="241">
        <f>_xlfn.XLOOKUP($C956,'Site Level Financials - ''23 ''24'!$C$2:$C$1577,'Site Level Financials - ''23 ''24'!S$2:S$1577)</f>
        <v>690.09464144319554</v>
      </c>
      <c r="H956" s="242">
        <f>_xlfn.XLOOKUP($C956,'Site Level Financials - ''23 ''24'!$C$2:$C$1577,'Site Level Financials - ''23 ''24'!T$2:T$1577)</f>
        <v>719.14390464041367</v>
      </c>
      <c r="I956" s="242">
        <f>_xlfn.XLOOKUP($C956,'Site Level Financials - ''23 ''24'!$C$2:$C$1577,'Site Level Financials - ''23 ''24'!U$2:U$1577)</f>
        <v>685.65002125793058</v>
      </c>
      <c r="J956" s="242">
        <f>_xlfn.XLOOKUP($C956,'Site Level Financials - ''23 ''24'!$C$2:$C$1577,'Site Level Financials - ''23 ''24'!V$2:V$1577)</f>
        <v>586.78287206320033</v>
      </c>
      <c r="K956" s="242">
        <f>_xlfn.XLOOKUP($C956,'Site Level Financials - ''23 ''24'!$C$2:$C$1577,'Site Level Financials - ''23 ''24'!W$2:W$1577)</f>
        <v>698.2036487295295</v>
      </c>
      <c r="L956" s="242">
        <f>_xlfn.XLOOKUP($C956,'Site Level Financials - ''23 ''24'!$C$2:$C$1577,'Site Level Financials - ''23 ''24'!X$2:X$1577)</f>
        <v>564.80596355027296</v>
      </c>
      <c r="M956" s="242">
        <f>_xlfn.XLOOKUP($C956,'Site Level Financials - ''23 ''24'!$C$2:$C$1577,'Site Level Financials - ''23 ''24'!Y$2:Y$1577)</f>
        <v>723.10416035571018</v>
      </c>
      <c r="N956" s="242">
        <f>_xlfn.XLOOKUP($C956,'Site Level Financials - ''23 ''24'!$C$2:$C$1577,'Site Level Financials - ''23 ''24'!Z$2:Z$1577)</f>
        <v>727.16606783904297</v>
      </c>
      <c r="O956" s="242">
        <f>_xlfn.XLOOKUP($C956,'Site Level Financials - ''23 ''24'!$C$2:$C$1577,'Site Level Financials - ''23 ''24'!AA$2:AA$1577)</f>
        <v>641.32566771153881</v>
      </c>
      <c r="P956" s="242">
        <f>_xlfn.XLOOKUP($C956,'Site Level Financials - ''23 ''24'!$C$2:$C$1577,'Site Level Financials - ''23 ''24'!AB$2:AB$1577)</f>
        <v>707.3773544589003</v>
      </c>
      <c r="Q956" s="242">
        <f>_xlfn.XLOOKUP($C956,'Site Level Financials - ''23 ''24'!$C$2:$C$1577,'Site Level Financials - ''23 ''24'!AC$2:AC$1577)</f>
        <v>679.32691406194715</v>
      </c>
      <c r="R956" s="242">
        <f>_xlfn.XLOOKUP($C956,'Site Level Financials - ''23 ''24'!$C$2:$C$1577,'Site Level Financials - ''23 ''24'!AD$2:AD$1577)</f>
        <v>521.83424945204354</v>
      </c>
      <c r="S956" s="134">
        <f t="shared" ref="S956:AD956" si="2744">S955*S954</f>
        <v>771.85455531918888</v>
      </c>
      <c r="T956" s="135">
        <f t="shared" si="2744"/>
        <v>799.23903801122538</v>
      </c>
      <c r="U956" s="135">
        <f t="shared" si="2744"/>
        <v>858.21427456362983</v>
      </c>
      <c r="V956" s="135">
        <f t="shared" si="2744"/>
        <v>919.28612591343835</v>
      </c>
      <c r="W956" s="135">
        <f t="shared" si="2744"/>
        <v>1092.5823037609377</v>
      </c>
      <c r="X956" s="135">
        <f t="shared" si="2744"/>
        <v>917.49461955912102</v>
      </c>
      <c r="Y956" s="135">
        <f t="shared" si="2744"/>
        <v>924.31816687828439</v>
      </c>
      <c r="Z956" s="135">
        <f t="shared" si="2744"/>
        <v>792.5943530655818</v>
      </c>
      <c r="AA956" s="135">
        <f t="shared" si="2744"/>
        <v>726.67985823798028</v>
      </c>
      <c r="AB956" s="135">
        <f t="shared" si="2744"/>
        <v>834.586542312034</v>
      </c>
      <c r="AC956" s="135">
        <f t="shared" si="2744"/>
        <v>659.71475654196024</v>
      </c>
      <c r="AD956" s="136">
        <f t="shared" si="2744"/>
        <v>538.46746547893122</v>
      </c>
      <c r="AE956" s="15"/>
      <c r="AF956" s="113">
        <f>_xlfn.XLOOKUP($C956,'Site Level Financials - ''23 ''24'!$C$2:$C$1577,'Site Level Financials - ''23 ''24'!$AF$2:$AF$1577)</f>
        <v>4187.9743223189516</v>
      </c>
      <c r="AG956" s="95">
        <f>SUM(G956:R956)</f>
        <v>7944.8154655637254</v>
      </c>
      <c r="AH956" s="95">
        <f t="shared" ref="AH956" si="2745">SUM(S956:AD956)</f>
        <v>9835.0320596423135</v>
      </c>
    </row>
    <row r="957" spans="2:34" x14ac:dyDescent="0.2">
      <c r="B957" s="9">
        <f>G946</f>
        <v>20</v>
      </c>
      <c r="C957" s="9" t="str">
        <f t="shared" si="2740"/>
        <v>20 - Revenue as a % of Production</v>
      </c>
      <c r="D957" s="9" t="s">
        <v>56</v>
      </c>
      <c r="F957" s="7" t="s">
        <v>2</v>
      </c>
      <c r="G957" s="243">
        <f>_xlfn.XLOOKUP($C957,'Site Level Financials - ''23 ''24'!$C$2:$C$1577,'Site Level Financials - ''23 ''24'!S$2:S$1577)</f>
        <v>0.96997562457365927</v>
      </c>
      <c r="H957" s="244">
        <f>_xlfn.XLOOKUP($C957,'Site Level Financials - ''23 ''24'!$C$2:$C$1577,'Site Level Financials - ''23 ''24'!T$2:T$1577)</f>
        <v>0.96997562457365927</v>
      </c>
      <c r="I957" s="244">
        <f>_xlfn.XLOOKUP($C957,'Site Level Financials - ''23 ''24'!$C$2:$C$1577,'Site Level Financials - ''23 ''24'!U$2:U$1577)</f>
        <v>0.96997562457365927</v>
      </c>
      <c r="J957" s="244">
        <f>_xlfn.XLOOKUP($C957,'Site Level Financials - ''23 ''24'!$C$2:$C$1577,'Site Level Financials - ''23 ''24'!V$2:V$1577)</f>
        <v>0.96997562457365927</v>
      </c>
      <c r="K957" s="244">
        <f>_xlfn.XLOOKUP($C957,'Site Level Financials - ''23 ''24'!$C$2:$C$1577,'Site Level Financials - ''23 ''24'!W$2:W$1577)</f>
        <v>0.96997562457365927</v>
      </c>
      <c r="L957" s="244">
        <f>_xlfn.XLOOKUP($C957,'Site Level Financials - ''23 ''24'!$C$2:$C$1577,'Site Level Financials - ''23 ''24'!X$2:X$1577)</f>
        <v>0.96997562457365927</v>
      </c>
      <c r="M957" s="244">
        <f>_xlfn.XLOOKUP($C957,'Site Level Financials - ''23 ''24'!$C$2:$C$1577,'Site Level Financials - ''23 ''24'!Y$2:Y$1577)</f>
        <v>0.96997562457365927</v>
      </c>
      <c r="N957" s="244">
        <f>_xlfn.XLOOKUP($C957,'Site Level Financials - ''23 ''24'!$C$2:$C$1577,'Site Level Financials - ''23 ''24'!Z$2:Z$1577)</f>
        <v>0.96997562457365927</v>
      </c>
      <c r="O957" s="244">
        <f>_xlfn.XLOOKUP($C957,'Site Level Financials - ''23 ''24'!$C$2:$C$1577,'Site Level Financials - ''23 ''24'!AA$2:AA$1577)</f>
        <v>0.96997562457365927</v>
      </c>
      <c r="P957" s="244">
        <f>_xlfn.XLOOKUP($C957,'Site Level Financials - ''23 ''24'!$C$2:$C$1577,'Site Level Financials - ''23 ''24'!AB$2:AB$1577)</f>
        <v>0.96997562457365927</v>
      </c>
      <c r="Q957" s="244">
        <f>_xlfn.XLOOKUP($C957,'Site Level Financials - ''23 ''24'!$C$2:$C$1577,'Site Level Financials - ''23 ''24'!AC$2:AC$1577)</f>
        <v>0.96997562457365927</v>
      </c>
      <c r="R957" s="244">
        <f>_xlfn.XLOOKUP($C957,'Site Level Financials - ''23 ''24'!$C$2:$C$1577,'Site Level Financials - ''23 ''24'!AD$2:AD$1577)</f>
        <v>0.96997562457365927</v>
      </c>
      <c r="S957" s="292">
        <f>SUM(G986:R986)/SUM(G956:R956)</f>
        <v>0.97934380267523324</v>
      </c>
      <c r="T957" s="203">
        <f>S957</f>
        <v>0.97934380267523324</v>
      </c>
      <c r="U957" s="203">
        <f t="shared" ref="U957:AD957" si="2746">T957</f>
        <v>0.97934380267523324</v>
      </c>
      <c r="V957" s="203">
        <f t="shared" si="2746"/>
        <v>0.97934380267523324</v>
      </c>
      <c r="W957" s="203">
        <f t="shared" si="2746"/>
        <v>0.97934380267523324</v>
      </c>
      <c r="X957" s="203">
        <f t="shared" si="2746"/>
        <v>0.97934380267523324</v>
      </c>
      <c r="Y957" s="203">
        <f t="shared" si="2746"/>
        <v>0.97934380267523324</v>
      </c>
      <c r="Z957" s="203">
        <f t="shared" si="2746"/>
        <v>0.97934380267523324</v>
      </c>
      <c r="AA957" s="203">
        <f t="shared" si="2746"/>
        <v>0.97934380267523324</v>
      </c>
      <c r="AB957" s="203">
        <f t="shared" si="2746"/>
        <v>0.97934380267523324</v>
      </c>
      <c r="AC957" s="203">
        <f t="shared" si="2746"/>
        <v>0.97934380267523324</v>
      </c>
      <c r="AD957" s="204">
        <f t="shared" si="2746"/>
        <v>0.97934380267523324</v>
      </c>
      <c r="AE957" s="15"/>
      <c r="AF957" s="231">
        <f>_xlfn.XLOOKUP($C957,'Site Level Financials - ''23 ''24'!$C$2:$C$1577,'Site Level Financials - ''23 ''24'!$AF$2:$AF$1577)</f>
        <v>0.97756915575235392</v>
      </c>
      <c r="AG957" s="103">
        <f>AG958/AG956</f>
        <v>0.96997562457365927</v>
      </c>
      <c r="AH957" s="103">
        <f>AH958/AH956</f>
        <v>0.97934380267523291</v>
      </c>
    </row>
    <row r="958" spans="2:34" x14ac:dyDescent="0.2">
      <c r="B958" s="9">
        <f>G946</f>
        <v>20</v>
      </c>
      <c r="C958" s="9" t="str">
        <f t="shared" si="2740"/>
        <v>20 - Total Revenue</v>
      </c>
      <c r="D958" s="9" t="s">
        <v>56</v>
      </c>
      <c r="F958" s="8" t="s">
        <v>3</v>
      </c>
      <c r="G958" s="241">
        <f>_xlfn.XLOOKUP($C958,'Site Level Financials - ''23 ''24'!$C$2:$C$1577,'Site Level Financials - ''23 ''24'!S$2:S$1577)</f>
        <v>669.37498084879905</v>
      </c>
      <c r="H958" s="242">
        <f>_xlfn.XLOOKUP($C958,'Site Level Financials - ''23 ''24'!$C$2:$C$1577,'Site Level Financials - ''23 ''24'!T$2:T$1577)</f>
        <v>697.55205806192532</v>
      </c>
      <c r="I958" s="242">
        <f>_xlfn.XLOOKUP($C958,'Site Level Financials - ''23 ''24'!$C$2:$C$1577,'Site Level Financials - ''23 ''24'!U$2:U$1577)</f>
        <v>665.06380760860395</v>
      </c>
      <c r="J958" s="242">
        <f>_xlfn.XLOOKUP($C958,'Site Level Financials - ''23 ''24'!$C$2:$C$1577,'Site Level Financials - ''23 ''24'!V$2:V$1577)</f>
        <v>569.16508281862832</v>
      </c>
      <c r="K958" s="242">
        <f>_xlfn.XLOOKUP($C958,'Site Level Financials - ''23 ''24'!$C$2:$C$1577,'Site Level Financials - ''23 ''24'!W$2:W$1577)</f>
        <v>677.24052025603316</v>
      </c>
      <c r="L958" s="242">
        <f>_xlfn.XLOOKUP($C958,'Site Level Financials - ''23 ''24'!$C$2:$C$1577,'Site Level Financials - ''23 ''24'!X$2:X$1577)</f>
        <v>547.84801725760349</v>
      </c>
      <c r="M958" s="242">
        <f>_xlfn.XLOOKUP($C958,'Site Level Financials - ''23 ''24'!$C$2:$C$1577,'Site Level Financials - ''23 ''24'!Y$2:Y$1577)</f>
        <v>701.39340957284139</v>
      </c>
      <c r="N958" s="242">
        <f>_xlfn.XLOOKUP($C958,'Site Level Financials - ''23 ''24'!$C$2:$C$1577,'Site Level Financials - ''23 ''24'!Z$2:Z$1577)</f>
        <v>705.33336082094763</v>
      </c>
      <c r="O958" s="242">
        <f>_xlfn.XLOOKUP($C958,'Site Level Financials - ''23 ''24'!$C$2:$C$1577,'Site Level Financials - ''23 ''24'!AA$2:AA$1577)</f>
        <v>622.0702650936189</v>
      </c>
      <c r="P958" s="242">
        <f>_xlfn.XLOOKUP($C958,'Site Level Financials - ''23 ''24'!$C$2:$C$1577,'Site Level Financials - ''23 ''24'!AB$2:AB$1577)</f>
        <v>686.13879120053457</v>
      </c>
      <c r="Q958" s="242">
        <f>_xlfn.XLOOKUP($C958,'Site Level Financials - ''23 ''24'!$C$2:$C$1577,'Site Level Financials - ''23 ''24'!AC$2:AC$1577)</f>
        <v>658.93054775693372</v>
      </c>
      <c r="R958" s="242">
        <f>_xlfn.XLOOKUP($C958,'Site Level Financials - ''23 ''24'!$C$2:$C$1577,'Site Level Financials - ''23 ''24'!AD$2:AD$1577)</f>
        <v>506.16650203617263</v>
      </c>
      <c r="S958" s="134">
        <f t="shared" ref="S958:AD958" si="2747">S957*S956</f>
        <v>755.91097531849562</v>
      </c>
      <c r="T958" s="135">
        <f t="shared" si="2747"/>
        <v>782.72979873240877</v>
      </c>
      <c r="U958" s="135">
        <f t="shared" si="2747"/>
        <v>840.4868311613119</v>
      </c>
      <c r="V958" s="135">
        <f t="shared" si="2747"/>
        <v>900.29717029865003</v>
      </c>
      <c r="W958" s="135">
        <f t="shared" si="2747"/>
        <v>1070.0137081009036</v>
      </c>
      <c r="X958" s="135">
        <f t="shared" si="2747"/>
        <v>898.54266965309603</v>
      </c>
      <c r="Y958" s="135">
        <f t="shared" si="2747"/>
        <v>905.22526843237983</v>
      </c>
      <c r="Z958" s="135">
        <f t="shared" si="2747"/>
        <v>776.22236771016333</v>
      </c>
      <c r="AA958" s="135">
        <f t="shared" si="2747"/>
        <v>711.66941569428297</v>
      </c>
      <c r="AB958" s="135">
        <f t="shared" si="2747"/>
        <v>817.34715800944184</v>
      </c>
      <c r="AC958" s="135">
        <f t="shared" si="2747"/>
        <v>646.08755835276907</v>
      </c>
      <c r="AD958" s="136">
        <f t="shared" si="2747"/>
        <v>527.34477525903139</v>
      </c>
      <c r="AE958" s="15"/>
      <c r="AF958" s="113">
        <f>_xlfn.XLOOKUP($C958,'Site Level Financials - ''23 ''24'!$C$2:$C$1577,'Site Level Financials - ''23 ''24'!$AF$2:$AF$1577)</f>
        <v>4094.0345225818737</v>
      </c>
      <c r="AG958" s="95">
        <f>SUM(G958:R958)</f>
        <v>7706.277343332642</v>
      </c>
      <c r="AH958" s="95">
        <f t="shared" ref="AH958" si="2748">SUM(S958:AD958)</f>
        <v>9631.8776967229314</v>
      </c>
    </row>
    <row r="959" spans="2:34" x14ac:dyDescent="0.2">
      <c r="B959" s="9">
        <f>G946</f>
        <v>20</v>
      </c>
      <c r="C959" s="9" t="str">
        <f t="shared" si="2740"/>
        <v>20 - % YoY Revenue Growth</v>
      </c>
      <c r="D959" s="9" t="s">
        <v>56</v>
      </c>
      <c r="F959" s="16" t="s">
        <v>174</v>
      </c>
      <c r="G959" s="245">
        <f>_xlfn.XLOOKUP($C959,'Site Level Financials - ''23 ''24'!$C$2:$C$1577,'Site Level Financials - ''23 ''24'!S$2:S$1577)</f>
        <v>3.3032730915010085</v>
      </c>
      <c r="H959" s="246">
        <f>_xlfn.XLOOKUP($C959,'Site Level Financials - ''23 ''24'!$C$2:$C$1577,'Site Level Financials - ''23 ''24'!T$2:T$1577)</f>
        <v>3.4648639521934541</v>
      </c>
      <c r="I959" s="246">
        <f>_xlfn.XLOOKUP($C959,'Site Level Financials - ''23 ''24'!$C$2:$C$1577,'Site Level Financials - ''23 ''24'!U$2:U$1577)</f>
        <v>2.2934389794766687</v>
      </c>
      <c r="J959" s="246">
        <f>_xlfn.XLOOKUP($C959,'Site Level Financials - ''23 ''24'!$C$2:$C$1577,'Site Level Financials - ''23 ''24'!V$2:V$1577)</f>
        <v>2.1156191492699192</v>
      </c>
      <c r="K959" s="246">
        <f>_xlfn.XLOOKUP($C959,'Site Level Financials - ''23 ''24'!$C$2:$C$1577,'Site Level Financials - ''23 ''24'!W$2:W$1577)</f>
        <v>2.0477238158169966</v>
      </c>
      <c r="L959" s="246">
        <f>_xlfn.XLOOKUP($C959,'Site Level Financials - ''23 ''24'!$C$2:$C$1577,'Site Level Financials - ''23 ''24'!X$2:X$1577)</f>
        <v>1.4299852335937886</v>
      </c>
      <c r="M959" s="246">
        <f>_xlfn.XLOOKUP($C959,'Site Level Financials - ''23 ''24'!$C$2:$C$1577,'Site Level Financials - ''23 ''24'!Y$2:Y$1577)</f>
        <v>0.84266228180001668</v>
      </c>
      <c r="N959" s="246">
        <f>_xlfn.XLOOKUP($C959,'Site Level Financials - ''23 ''24'!$C$2:$C$1577,'Site Level Financials - ''23 ''24'!Z$2:Z$1577)</f>
        <v>0.3466177586262309</v>
      </c>
      <c r="O959" s="246">
        <f>_xlfn.XLOOKUP($C959,'Site Level Financials - ''23 ''24'!$C$2:$C$1577,'Site Level Financials - ''23 ''24'!AA$2:AA$1577)</f>
        <v>0.34627660273794647</v>
      </c>
      <c r="P959" s="246">
        <f>_xlfn.XLOOKUP($C959,'Site Level Financials - ''23 ''24'!$C$2:$C$1577,'Site Level Financials - ''23 ''24'!AB$2:AB$1577)</f>
        <v>0.47454965435207641</v>
      </c>
      <c r="Q959" s="246">
        <f>_xlfn.XLOOKUP($C959,'Site Level Financials - ''23 ''24'!$C$2:$C$1577,'Site Level Financials - ''23 ''24'!AC$2:AC$1577)</f>
        <v>0.16692958759548837</v>
      </c>
      <c r="R959" s="246">
        <f>_xlfn.XLOOKUP($C959,'Site Level Financials - ''23 ''24'!$C$2:$C$1577,'Site Level Financials - ''23 ''24'!AD$2:AD$1577)</f>
        <v>-8.54991302599315E-2</v>
      </c>
      <c r="S959" s="148">
        <f>S958/G958-1</f>
        <v>0.12927880029212457</v>
      </c>
      <c r="T959" s="149">
        <f t="shared" ref="T959" si="2749">T958/H958-1</f>
        <v>0.12210951094767153</v>
      </c>
      <c r="U959" s="149">
        <f t="shared" ref="U959" si="2750">U958/I958-1</f>
        <v>0.26376871143158942</v>
      </c>
      <c r="V959" s="149">
        <f t="shared" ref="V959" si="2751">V958/J958-1</f>
        <v>0.58178566724470193</v>
      </c>
      <c r="W959" s="149">
        <f t="shared" ref="W959" si="2752">W958/K958-1</f>
        <v>0.57996114540869637</v>
      </c>
      <c r="X959" s="149">
        <f t="shared" ref="X959" si="2753">X958/L958-1</f>
        <v>0.64013127974978601</v>
      </c>
      <c r="Y959" s="149">
        <f t="shared" ref="Y959" si="2754">Y958/M958-1</f>
        <v>0.29060988608899962</v>
      </c>
      <c r="Z959" s="149">
        <f t="shared" ref="Z959" si="2755">Z958/N958-1</f>
        <v>0.10050425915868622</v>
      </c>
      <c r="AA959" s="149">
        <f t="shared" ref="AA959" si="2756">AA958/O958-1</f>
        <v>0.14403381037217677</v>
      </c>
      <c r="AB959" s="149">
        <f t="shared" ref="AB959" si="2757">AB958/P958-1</f>
        <v>0.19122715184100358</v>
      </c>
      <c r="AC959" s="149">
        <f t="shared" ref="AC959" si="2758">AC958/Q958-1</f>
        <v>-1.9490657168473202E-2</v>
      </c>
      <c r="AD959" s="150">
        <f t="shared" ref="AD959" si="2759">AD958/R958-1</f>
        <v>4.1840527055157173E-2</v>
      </c>
      <c r="AE959" s="15"/>
      <c r="AF959" s="11"/>
      <c r="AG959" s="97">
        <f>AG958/AF958-1</f>
        <v>0.88231860303726339</v>
      </c>
      <c r="AH959" s="97">
        <f>AH958/AG958-1</f>
        <v>0.24987426063198859</v>
      </c>
    </row>
    <row r="960" spans="2:34" ht="6" customHeight="1" x14ac:dyDescent="0.2">
      <c r="B960" s="9">
        <f>G946</f>
        <v>20</v>
      </c>
      <c r="C960" s="9" t="str">
        <f t="shared" si="2740"/>
        <v xml:space="preserve">20 - </v>
      </c>
      <c r="D960" s="9" t="s">
        <v>56</v>
      </c>
      <c r="G960" s="80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80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81"/>
      <c r="AE960" s="15"/>
      <c r="AF960" s="11"/>
      <c r="AG960" s="15"/>
      <c r="AH960" s="15"/>
    </row>
    <row r="961" spans="2:34" x14ac:dyDescent="0.2">
      <c r="B961" s="9">
        <f>G946</f>
        <v>20</v>
      </c>
      <c r="C961" s="9" t="str">
        <f t="shared" si="2740"/>
        <v>20 - Doctor Compensation</v>
      </c>
      <c r="D961" s="9" t="s">
        <v>56</v>
      </c>
      <c r="F961" t="s">
        <v>4</v>
      </c>
      <c r="G961" s="178">
        <f>_xlfn.XLOOKUP($C961,'Site Level Financials - ''23 ''24'!$C$2:$C$1577,'Site Level Financials - ''23 ''24'!S$2:S$1577)</f>
        <v>-141.13922672903561</v>
      </c>
      <c r="H961" s="179">
        <f>_xlfn.XLOOKUP($C961,'Site Level Financials - ''23 ''24'!$C$2:$C$1577,'Site Level Financials - ''23 ''24'!T$2:T$1577)</f>
        <v>-150.73409412047747</v>
      </c>
      <c r="I961" s="179">
        <f>_xlfn.XLOOKUP($C961,'Site Level Financials - ''23 ''24'!$C$2:$C$1577,'Site Level Financials - ''23 ''24'!U$2:U$1577)</f>
        <v>-146.47332942959369</v>
      </c>
      <c r="J961" s="179">
        <f>_xlfn.XLOOKUP($C961,'Site Level Financials - ''23 ''24'!$C$2:$C$1577,'Site Level Financials - ''23 ''24'!V$2:V$1577)</f>
        <v>-169.49116029857768</v>
      </c>
      <c r="K961" s="179">
        <f>_xlfn.XLOOKUP($C961,'Site Level Financials - ''23 ''24'!$C$2:$C$1577,'Site Level Financials - ''23 ''24'!W$2:W$1577)</f>
        <v>-225.53237747001762</v>
      </c>
      <c r="L961" s="179">
        <f>_xlfn.XLOOKUP($C961,'Site Level Financials - ''23 ''24'!$C$2:$C$1577,'Site Level Financials - ''23 ''24'!X$2:X$1577)</f>
        <v>-164.24905124239757</v>
      </c>
      <c r="M961" s="179">
        <f>_xlfn.XLOOKUP($C961,'Site Level Financials - ''23 ''24'!$C$2:$C$1577,'Site Level Financials - ''23 ''24'!Y$2:Y$1577)</f>
        <v>-158.09549825251707</v>
      </c>
      <c r="N961" s="179">
        <f>_xlfn.XLOOKUP($C961,'Site Level Financials - ''23 ''24'!$C$2:$C$1577,'Site Level Financials - ''23 ''24'!Z$2:Z$1577)</f>
        <v>-159.50156841464312</v>
      </c>
      <c r="O961" s="179">
        <f>_xlfn.XLOOKUP($C961,'Site Level Financials - ''23 ''24'!$C$2:$C$1577,'Site Level Financials - ''23 ''24'!AA$2:AA$1577)</f>
        <v>-141.80920392399292</v>
      </c>
      <c r="P961" s="179">
        <f>_xlfn.XLOOKUP($C961,'Site Level Financials - ''23 ''24'!$C$2:$C$1577,'Site Level Financials - ''23 ''24'!AB$2:AB$1577)</f>
        <v>-156.20177125232902</v>
      </c>
      <c r="Q961" s="179">
        <f>_xlfn.XLOOKUP($C961,'Site Level Financials - ''23 ''24'!$C$2:$C$1577,'Site Level Financials - ''23 ''24'!AC$2:AC$1577)</f>
        <v>-117.28987203590138</v>
      </c>
      <c r="R961" s="179">
        <f>_xlfn.XLOOKUP($C961,'Site Level Financials - ''23 ''24'!$C$2:$C$1577,'Site Level Financials - ''23 ''24'!AD$2:AD$1577)</f>
        <v>-89.825931240418456</v>
      </c>
      <c r="S961" s="155">
        <f>S962*S958</f>
        <v>-159.38553663472348</v>
      </c>
      <c r="T961" s="154">
        <f t="shared" ref="T961" si="2760">T962*T958</f>
        <v>-169.14016063666926</v>
      </c>
      <c r="U961" s="154">
        <f t="shared" ref="U961" si="2761">U962*U958</f>
        <v>-185.10841079233231</v>
      </c>
      <c r="V961" s="154">
        <f t="shared" ref="V961" si="2762">V962*V958</f>
        <v>-268.09868808496446</v>
      </c>
      <c r="W961" s="154">
        <f t="shared" ref="W961" si="2763">W962*W958</f>
        <v>-356.3323934342755</v>
      </c>
      <c r="X961" s="154">
        <f t="shared" ref="X961" si="2764">X962*X958</f>
        <v>-269.39000661188169</v>
      </c>
      <c r="Y961" s="154">
        <f t="shared" ref="Y961" si="2765">Y962*Y958</f>
        <v>-204.0396129908647</v>
      </c>
      <c r="Z961" s="154">
        <f t="shared" ref="Z961" si="2766">Z962*Z958</f>
        <v>-175.53215538280534</v>
      </c>
      <c r="AA961" s="154">
        <f t="shared" ref="AA961" si="2767">AA962*AA958</f>
        <v>-162.23452391101068</v>
      </c>
      <c r="AB961" s="154">
        <f t="shared" ref="AB961" si="2768">AB962*AB958</f>
        <v>-186.07179108143185</v>
      </c>
      <c r="AC961" s="154">
        <f t="shared" ref="AC961" si="2769">AC962*AC958</f>
        <v>-115.00381535071553</v>
      </c>
      <c r="AD961" s="156">
        <f t="shared" ref="AD961" si="2770">AD962*AD958</f>
        <v>-93.584295546737877</v>
      </c>
      <c r="AE961" s="15"/>
      <c r="AF961" s="115">
        <f>_xlfn.XLOOKUP($C961,'Site Level Financials - ''23 ''24'!$C$2:$C$1577,'Site Level Financials - ''23 ''24'!$AF$2:$AF$1577)</f>
        <v>-812.67533296956299</v>
      </c>
      <c r="AG961" s="93">
        <f>SUM(G961:R961)</f>
        <v>-1820.3430844099018</v>
      </c>
      <c r="AH961" s="93">
        <f t="shared" ref="AH961" si="2771">SUM(S961:AD961)</f>
        <v>-2343.921390458413</v>
      </c>
    </row>
    <row r="962" spans="2:34" x14ac:dyDescent="0.2">
      <c r="B962" s="9">
        <f>G946</f>
        <v>20</v>
      </c>
      <c r="C962" s="9" t="str">
        <f t="shared" si="2740"/>
        <v>20 - % of Revenue - Doctor Compensation</v>
      </c>
      <c r="D962" s="9" t="s">
        <v>56</v>
      </c>
      <c r="F962" s="16" t="str">
        <f>"% of Revenue - "&amp;F961</f>
        <v>% of Revenue - Doctor Compensation</v>
      </c>
      <c r="G962" s="148">
        <f>G961/G958</f>
        <v>-0.21085225884908995</v>
      </c>
      <c r="H962" s="149">
        <f t="shared" ref="H962:R962" si="2772">H961/H958</f>
        <v>-0.21609010019879552</v>
      </c>
      <c r="I962" s="149">
        <f t="shared" si="2772"/>
        <v>-0.22023951349310916</v>
      </c>
      <c r="J962" s="149">
        <f t="shared" si="2772"/>
        <v>-0.29778910445317708</v>
      </c>
      <c r="K962" s="149">
        <f t="shared" si="2772"/>
        <v>-0.33301666206380315</v>
      </c>
      <c r="L962" s="149">
        <f t="shared" si="2772"/>
        <v>-0.29980769495998022</v>
      </c>
      <c r="M962" s="149">
        <f t="shared" si="2772"/>
        <v>-0.2254020298662337</v>
      </c>
      <c r="N962" s="149">
        <f t="shared" si="2772"/>
        <v>-0.22613643033841041</v>
      </c>
      <c r="O962" s="149">
        <f t="shared" si="2772"/>
        <v>-0.22796332163964025</v>
      </c>
      <c r="P962" s="149">
        <f t="shared" si="2772"/>
        <v>-0.22765331629045976</v>
      </c>
      <c r="Q962" s="149">
        <f t="shared" si="2772"/>
        <v>-0.17800035593306149</v>
      </c>
      <c r="R962" s="149">
        <f t="shared" si="2772"/>
        <v>-0.17746320801371235</v>
      </c>
      <c r="S962" s="245">
        <f>_xlfn.XLOOKUP($F962,'Budget Assumption Driver'!$A$33:$A$39,'Budget Assumption Driver'!E$33:E$39)+G962</f>
        <v>-0.21085225884908995</v>
      </c>
      <c r="T962" s="246">
        <f>_xlfn.XLOOKUP($F962,'Budget Assumption Driver'!$A$33:$A$39,'Budget Assumption Driver'!F$33:F$39)+H962</f>
        <v>-0.21609010019879552</v>
      </c>
      <c r="U962" s="246">
        <f>_xlfn.XLOOKUP($F962,'Budget Assumption Driver'!$A$33:$A$39,'Budget Assumption Driver'!G$33:G$39)+I962</f>
        <v>-0.22023951349310916</v>
      </c>
      <c r="V962" s="246">
        <f>_xlfn.XLOOKUP($F962,'Budget Assumption Driver'!$A$33:$A$39,'Budget Assumption Driver'!H$33:H$39)+J962</f>
        <v>-0.29778910445317708</v>
      </c>
      <c r="W962" s="246">
        <f>_xlfn.XLOOKUP($F962,'Budget Assumption Driver'!$A$33:$A$39,'Budget Assumption Driver'!I$33:I$39)+K962</f>
        <v>-0.33301666206380315</v>
      </c>
      <c r="X962" s="246">
        <f>_xlfn.XLOOKUP($F962,'Budget Assumption Driver'!$A$33:$A$39,'Budget Assumption Driver'!J$33:J$39)+L962</f>
        <v>-0.29980769495998022</v>
      </c>
      <c r="Y962" s="246">
        <f>_xlfn.XLOOKUP($F962,'Budget Assumption Driver'!$A$33:$A$39,'Budget Assumption Driver'!K$33:K$39)+M962</f>
        <v>-0.2254020298662337</v>
      </c>
      <c r="Z962" s="246">
        <f>_xlfn.XLOOKUP($F962,'Budget Assumption Driver'!$A$33:$A$39,'Budget Assumption Driver'!L$33:L$39)+N962</f>
        <v>-0.22613643033841041</v>
      </c>
      <c r="AA962" s="246">
        <f>_xlfn.XLOOKUP($F962,'Budget Assumption Driver'!$A$33:$A$39,'Budget Assumption Driver'!M$33:M$39)+O962</f>
        <v>-0.22796332163964025</v>
      </c>
      <c r="AB962" s="246">
        <f>_xlfn.XLOOKUP($F962,'Budget Assumption Driver'!$A$33:$A$39,'Budget Assumption Driver'!N$33:N$39)+P962</f>
        <v>-0.22765331629045976</v>
      </c>
      <c r="AC962" s="246">
        <f>_xlfn.XLOOKUP($F962,'Budget Assumption Driver'!$A$33:$A$39,'Budget Assumption Driver'!O$33:O$39)+Q962</f>
        <v>-0.17800035593306149</v>
      </c>
      <c r="AD962" s="296">
        <f>_xlfn.XLOOKUP($F962,'Budget Assumption Driver'!$A$33:$A$39,'Budget Assumption Driver'!P$33:P$39)+R962</f>
        <v>-0.17746320801371235</v>
      </c>
      <c r="AE962" s="15"/>
      <c r="AF962" s="232">
        <f>_xlfn.XLOOKUP($C962,'Site Level Financials - ''23 ''24'!$C$2:$C$1577,'Site Level Financials - ''23 ''24'!$AF$2:$AF$1577)</f>
        <v>-0.1985023156221592</v>
      </c>
      <c r="AG962" s="97">
        <f t="shared" ref="AG962:AH962" si="2773">AG961/AG958</f>
        <v>-0.23621562050123149</v>
      </c>
      <c r="AH962" s="97">
        <f t="shared" si="2773"/>
        <v>-0.2433504104039744</v>
      </c>
    </row>
    <row r="963" spans="2:34" ht="3" customHeight="1" x14ac:dyDescent="0.2">
      <c r="B963" s="9">
        <f>G946</f>
        <v>20</v>
      </c>
      <c r="C963" s="9" t="str">
        <f t="shared" si="2740"/>
        <v xml:space="preserve">20 - </v>
      </c>
      <c r="D963" s="9" t="s">
        <v>56</v>
      </c>
      <c r="F963" s="16"/>
      <c r="G963" s="84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4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6"/>
      <c r="AE963" s="15"/>
      <c r="AF963" s="36"/>
      <c r="AG963" s="38"/>
      <c r="AH963" s="38"/>
    </row>
    <row r="964" spans="2:34" x14ac:dyDescent="0.2">
      <c r="B964" s="9">
        <f>G946</f>
        <v>20</v>
      </c>
      <c r="C964" s="9" t="str">
        <f t="shared" si="2740"/>
        <v>20 - Administrative Staff Compensation</v>
      </c>
      <c r="D964" s="9" t="s">
        <v>56</v>
      </c>
      <c r="F964" t="s">
        <v>5</v>
      </c>
      <c r="G964" s="178">
        <f>_xlfn.XLOOKUP($C964,'Site Level Financials - ''23 ''24'!$C$2:$C$1577,'Site Level Financials - ''23 ''24'!S$2:S$1577)</f>
        <v>-63.253959347363264</v>
      </c>
      <c r="H964" s="179">
        <f>_xlfn.XLOOKUP($C964,'Site Level Financials - ''23 ''24'!$C$2:$C$1577,'Site Level Financials - ''23 ''24'!T$2:T$1577)</f>
        <v>-68.647467128876798</v>
      </c>
      <c r="I964" s="179">
        <f>_xlfn.XLOOKUP($C964,'Site Level Financials - ''23 ''24'!$C$2:$C$1577,'Site Level Financials - ''23 ''24'!U$2:U$1577)</f>
        <v>-66.828987534984634</v>
      </c>
      <c r="J964" s="179">
        <f>_xlfn.XLOOKUP($C964,'Site Level Financials - ''23 ''24'!$C$2:$C$1577,'Site Level Financials - ''23 ''24'!V$2:V$1577)</f>
        <v>-73.898395103325882</v>
      </c>
      <c r="K964" s="179">
        <f>_xlfn.XLOOKUP($C964,'Site Level Financials - ''23 ''24'!$C$2:$C$1577,'Site Level Financials - ''23 ''24'!W$2:W$1577)</f>
        <v>-95.953472168037891</v>
      </c>
      <c r="L964" s="179">
        <f>_xlfn.XLOOKUP($C964,'Site Level Financials - ''23 ''24'!$C$2:$C$1577,'Site Level Financials - ''23 ''24'!X$2:X$1577)</f>
        <v>-72.560678717766862</v>
      </c>
      <c r="M964" s="179">
        <f>_xlfn.XLOOKUP($C964,'Site Level Financials - ''23 ''24'!$C$2:$C$1577,'Site Level Financials - ''23 ''24'!Y$2:Y$1577)</f>
        <v>-70.20588740493308</v>
      </c>
      <c r="N964" s="179">
        <f>_xlfn.XLOOKUP($C964,'Site Level Financials - ''23 ''24'!$C$2:$C$1577,'Site Level Financials - ''23 ''24'!Z$2:Z$1577)</f>
        <v>-72.398434105162778</v>
      </c>
      <c r="O964" s="179">
        <f>_xlfn.XLOOKUP($C964,'Site Level Financials - ''23 ''24'!$C$2:$C$1577,'Site Level Financials - ''23 ''24'!AA$2:AA$1577)</f>
        <v>-64.741417750876195</v>
      </c>
      <c r="P964" s="179">
        <f>_xlfn.XLOOKUP($C964,'Site Level Financials - ''23 ''24'!$C$2:$C$1577,'Site Level Financials - ''23 ''24'!AB$2:AB$1577)</f>
        <v>-73.064283536380017</v>
      </c>
      <c r="Q964" s="179">
        <f>_xlfn.XLOOKUP($C964,'Site Level Financials - ''23 ''24'!$C$2:$C$1577,'Site Level Financials - ''23 ''24'!AC$2:AC$1577)</f>
        <v>-58.184040395427843</v>
      </c>
      <c r="R964" s="179">
        <f>_xlfn.XLOOKUP($C964,'Site Level Financials - ''23 ''24'!$C$2:$C$1577,'Site Level Financials - ''23 ''24'!AD$2:AD$1577)</f>
        <v>-43.606022179226095</v>
      </c>
      <c r="S964" s="155">
        <f>S965*S958</f>
        <v>-71.431355325517202</v>
      </c>
      <c r="T964" s="154">
        <f t="shared" ref="T964" si="2774">T965*T958</f>
        <v>-77.0299757677803</v>
      </c>
      <c r="U964" s="154">
        <f t="shared" ref="U964" si="2775">U965*U958</f>
        <v>-84.456383463365285</v>
      </c>
      <c r="V964" s="154">
        <f t="shared" ref="V964" si="2776">V965*V958</f>
        <v>-116.89142220682693</v>
      </c>
      <c r="W964" s="154">
        <f t="shared" ref="W964" si="2777">W965*W958</f>
        <v>-151.60275779255463</v>
      </c>
      <c r="X964" s="154">
        <f t="shared" ref="X964" si="2778">X965*X958</f>
        <v>-119.00903884488402</v>
      </c>
      <c r="Y964" s="154">
        <f t="shared" ref="Y964" si="2779">Y965*Y958</f>
        <v>-90.608412346457811</v>
      </c>
      <c r="Z964" s="154">
        <f t="shared" ref="Z964" si="2780">Z965*Z958</f>
        <v>-79.674785089151129</v>
      </c>
      <c r="AA964" s="154">
        <f t="shared" ref="AA964" si="2781">AA965*AA958</f>
        <v>-74.06637083843178</v>
      </c>
      <c r="AB964" s="154">
        <f t="shared" ref="AB964" si="2782">AB965*AB958</f>
        <v>-87.03615837834549</v>
      </c>
      <c r="AC964" s="154">
        <f t="shared" ref="AC964" si="2783">AC965*AC958</f>
        <v>-57.04999521140396</v>
      </c>
      <c r="AD964" s="156">
        <f t="shared" ref="AD964" si="2784">AD965*AD958</f>
        <v>-45.430521129983788</v>
      </c>
      <c r="AE964" s="15"/>
      <c r="AF964" s="115">
        <f>_xlfn.XLOOKUP($C964,'Site Level Financials - ''23 ''24'!$C$2:$C$1577,'Site Level Financials - ''23 ''24'!$AF$2:$AF$1577)</f>
        <v>-423.15058419210368</v>
      </c>
      <c r="AG964" s="93">
        <f>SUM(G964:R964)</f>
        <v>-823.34304537236119</v>
      </c>
      <c r="AH964" s="93">
        <f t="shared" ref="AH964" si="2785">SUM(S964:AD964)</f>
        <v>-1054.2871763947023</v>
      </c>
    </row>
    <row r="965" spans="2:34" x14ac:dyDescent="0.2">
      <c r="B965" s="9">
        <f>G946</f>
        <v>20</v>
      </c>
      <c r="C965" s="9" t="str">
        <f t="shared" si="2740"/>
        <v>20 - % of Revenue - Administrative Staff Compensation</v>
      </c>
      <c r="D965" s="9" t="s">
        <v>56</v>
      </c>
      <c r="F965" s="16" t="str">
        <f>"% of Revenue - "&amp;F964</f>
        <v>% of Revenue - Administrative Staff Compensation</v>
      </c>
      <c r="G965" s="148">
        <f>G964/G958</f>
        <v>-9.4497047480254281E-2</v>
      </c>
      <c r="H965" s="149">
        <f t="shared" ref="H965:R965" si="2786">H964/H958</f>
        <v>-9.8411962713731399E-2</v>
      </c>
      <c r="I965" s="149">
        <f t="shared" si="2786"/>
        <v>-0.10048507642489861</v>
      </c>
      <c r="J965" s="149">
        <f t="shared" si="2786"/>
        <v>-0.1298364873989899</v>
      </c>
      <c r="K965" s="149">
        <f t="shared" si="2786"/>
        <v>-0.1416830052220773</v>
      </c>
      <c r="L965" s="149">
        <f t="shared" si="2786"/>
        <v>-0.13244673053849554</v>
      </c>
      <c r="M965" s="149">
        <f t="shared" si="2786"/>
        <v>-0.10009487749206179</v>
      </c>
      <c r="N965" s="149">
        <f t="shared" si="2786"/>
        <v>-0.10264427875763199</v>
      </c>
      <c r="O965" s="149">
        <f t="shared" si="2786"/>
        <v>-0.10407412375052662</v>
      </c>
      <c r="P965" s="149">
        <f t="shared" si="2786"/>
        <v>-0.10648615771823614</v>
      </c>
      <c r="Q965" s="149">
        <f t="shared" si="2786"/>
        <v>-8.8300717873062956E-2</v>
      </c>
      <c r="R965" s="149">
        <f t="shared" si="2786"/>
        <v>-8.6149561466060509E-2</v>
      </c>
      <c r="S965" s="245">
        <f>_xlfn.XLOOKUP($F965,'Budget Assumption Driver'!$A$33:$A$39,'Budget Assumption Driver'!E$33:E$39)+G965</f>
        <v>-9.4497047480254281E-2</v>
      </c>
      <c r="T965" s="246">
        <f>_xlfn.XLOOKUP($F965,'Budget Assumption Driver'!$A$33:$A$39,'Budget Assumption Driver'!F$33:F$39)+H965</f>
        <v>-9.8411962713731399E-2</v>
      </c>
      <c r="U965" s="246">
        <f>_xlfn.XLOOKUP($F965,'Budget Assumption Driver'!$A$33:$A$39,'Budget Assumption Driver'!G$33:G$39)+I965</f>
        <v>-0.10048507642489861</v>
      </c>
      <c r="V965" s="246">
        <f>_xlfn.XLOOKUP($F965,'Budget Assumption Driver'!$A$33:$A$39,'Budget Assumption Driver'!H$33:H$39)+J965</f>
        <v>-0.1298364873989899</v>
      </c>
      <c r="W965" s="246">
        <f>_xlfn.XLOOKUP($F965,'Budget Assumption Driver'!$A$33:$A$39,'Budget Assumption Driver'!I$33:I$39)+K965</f>
        <v>-0.1416830052220773</v>
      </c>
      <c r="X965" s="246">
        <f>_xlfn.XLOOKUP($F965,'Budget Assumption Driver'!$A$33:$A$39,'Budget Assumption Driver'!J$33:J$39)+L965</f>
        <v>-0.13244673053849554</v>
      </c>
      <c r="Y965" s="246">
        <f>_xlfn.XLOOKUP($F965,'Budget Assumption Driver'!$A$33:$A$39,'Budget Assumption Driver'!K$33:K$39)+M965</f>
        <v>-0.10009487749206179</v>
      </c>
      <c r="Z965" s="246">
        <f>_xlfn.XLOOKUP($F965,'Budget Assumption Driver'!$A$33:$A$39,'Budget Assumption Driver'!L$33:L$39)+N965</f>
        <v>-0.10264427875763199</v>
      </c>
      <c r="AA965" s="246">
        <f>_xlfn.XLOOKUP($F965,'Budget Assumption Driver'!$A$33:$A$39,'Budget Assumption Driver'!M$33:M$39)+O965</f>
        <v>-0.10407412375052662</v>
      </c>
      <c r="AB965" s="246">
        <f>_xlfn.XLOOKUP($F965,'Budget Assumption Driver'!$A$33:$A$39,'Budget Assumption Driver'!N$33:N$39)+P965</f>
        <v>-0.10648615771823614</v>
      </c>
      <c r="AC965" s="246">
        <f>_xlfn.XLOOKUP($F965,'Budget Assumption Driver'!$A$33:$A$39,'Budget Assumption Driver'!O$33:O$39)+Q965</f>
        <v>-8.8300717873062956E-2</v>
      </c>
      <c r="AD965" s="296">
        <f>_xlfn.XLOOKUP($F965,'Budget Assumption Driver'!$A$33:$A$39,'Budget Assumption Driver'!P$33:P$39)+R965</f>
        <v>-8.6149561466060509E-2</v>
      </c>
      <c r="AE965" s="15"/>
      <c r="AF965" s="232">
        <f>_xlfn.XLOOKUP($C965,'Site Level Financials - ''23 ''24'!$C$2:$C$1577,'Site Level Financials - ''23 ''24'!$AF$2:$AF$1577)</f>
        <v>-0.10335784465374923</v>
      </c>
      <c r="AG965" s="97">
        <f t="shared" ref="AG965:AH965" si="2787">AG964/AG958</f>
        <v>-0.10684056759061565</v>
      </c>
      <c r="AH965" s="97">
        <f t="shared" si="2787"/>
        <v>-0.1094581149793258</v>
      </c>
    </row>
    <row r="966" spans="2:34" ht="3" customHeight="1" x14ac:dyDescent="0.2">
      <c r="B966" s="9">
        <f>G946</f>
        <v>20</v>
      </c>
      <c r="C966" s="9" t="str">
        <f t="shared" si="2740"/>
        <v xml:space="preserve">20 - </v>
      </c>
      <c r="D966" s="9" t="s">
        <v>56</v>
      </c>
      <c r="F966" s="16"/>
      <c r="G966" s="84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4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6"/>
      <c r="AE966" s="15"/>
      <c r="AF966" s="36"/>
      <c r="AG966" s="38"/>
      <c r="AH966" s="38"/>
    </row>
    <row r="967" spans="2:34" x14ac:dyDescent="0.2">
      <c r="B967" s="9">
        <f>G946</f>
        <v>20</v>
      </c>
      <c r="C967" s="9" t="str">
        <f t="shared" si="2740"/>
        <v>20 - Office Supplies</v>
      </c>
      <c r="D967" s="9" t="s">
        <v>56</v>
      </c>
      <c r="F967" t="s">
        <v>6</v>
      </c>
      <c r="G967" s="178">
        <f>_xlfn.XLOOKUP($C967,'Site Level Financials - ''23 ''24'!$C$2:$C$1577,'Site Level Financials - ''23 ''24'!S$2:S$1577)</f>
        <v>-18.504019627250887</v>
      </c>
      <c r="H967" s="179">
        <f>_xlfn.XLOOKUP($C967,'Site Level Financials - ''23 ''24'!$C$2:$C$1577,'Site Level Financials - ''23 ''24'!T$2:T$1577)</f>
        <v>-19.360494407098692</v>
      </c>
      <c r="I967" s="179">
        <f>_xlfn.XLOOKUP($C967,'Site Level Financials - ''23 ''24'!$C$2:$C$1577,'Site Level Financials - ''23 ''24'!U$2:U$1577)</f>
        <v>-18.819769620716801</v>
      </c>
      <c r="J967" s="179">
        <f>_xlfn.XLOOKUP($C967,'Site Level Financials - ''23 ''24'!$C$2:$C$1577,'Site Level Financials - ''23 ''24'!V$2:V$1577)</f>
        <v>-22.428510018452119</v>
      </c>
      <c r="K967" s="179">
        <f>_xlfn.XLOOKUP($C967,'Site Level Financials - ''23 ''24'!$C$2:$C$1577,'Site Level Financials - ''23 ''24'!W$2:W$1577)</f>
        <v>-29.579973646142911</v>
      </c>
      <c r="L967" s="179">
        <f>_xlfn.XLOOKUP($C967,'Site Level Financials - ''23 ''24'!$C$2:$C$1577,'Site Level Financials - ''23 ''24'!X$2:X$1577)</f>
        <v>-21.794736653482335</v>
      </c>
      <c r="M967" s="179">
        <f>_xlfn.XLOOKUP($C967,'Site Level Financials - ''23 ''24'!$C$2:$C$1577,'Site Level Financials - ''23 ''24'!Y$2:Y$1577)</f>
        <v>-20.719354174032048</v>
      </c>
      <c r="N967" s="179">
        <f>_xlfn.XLOOKUP($C967,'Site Level Financials - ''23 ''24'!$C$2:$C$1577,'Site Level Financials - ''23 ''24'!Z$2:Z$1577)</f>
        <v>-21.276713145461326</v>
      </c>
      <c r="O967" s="179">
        <f>_xlfn.XLOOKUP($C967,'Site Level Financials - ''23 ''24'!$C$2:$C$1577,'Site Level Financials - ''23 ''24'!AA$2:AA$1577)</f>
        <v>-19.484510743166489</v>
      </c>
      <c r="P967" s="179">
        <f>_xlfn.XLOOKUP($C967,'Site Level Financials - ''23 ''24'!$C$2:$C$1577,'Site Level Financials - ''23 ''24'!AB$2:AB$1577)</f>
        <v>-21.93443187027972</v>
      </c>
      <c r="Q967" s="179">
        <f>_xlfn.XLOOKUP($C967,'Site Level Financials - ''23 ''24'!$C$2:$C$1577,'Site Level Financials - ''23 ''24'!AC$2:AC$1577)</f>
        <v>-16.609921727637609</v>
      </c>
      <c r="R967" s="179">
        <f>_xlfn.XLOOKUP($C967,'Site Level Financials - ''23 ''24'!$C$2:$C$1577,'Site Level Financials - ''23 ''24'!AD$2:AD$1577)</f>
        <v>-12.310595438329724</v>
      </c>
      <c r="S967" s="155">
        <f>S968*S958</f>
        <v>-20.896197085243806</v>
      </c>
      <c r="T967" s="154">
        <f t="shared" ref="T967" si="2788">T968*T958</f>
        <v>-21.724594910854641</v>
      </c>
      <c r="U967" s="154">
        <f t="shared" ref="U967" si="2789">U968*U958</f>
        <v>-23.783836003012645</v>
      </c>
      <c r="V967" s="154">
        <f t="shared" ref="V967" si="2790">V968*V958</f>
        <v>-35.477095684841764</v>
      </c>
      <c r="W967" s="154">
        <f t="shared" ref="W967" si="2791">W968*W958</f>
        <v>-46.735209043119006</v>
      </c>
      <c r="X967" s="154">
        <f t="shared" ref="X967" si="2792">X968*X958</f>
        <v>-35.746229319285554</v>
      </c>
      <c r="Y967" s="154">
        <f t="shared" ref="Y967" si="2793">Y968*Y958</f>
        <v>-26.740603330385138</v>
      </c>
      <c r="Z967" s="154">
        <f t="shared" ref="Z967" si="2794">Z968*Z958</f>
        <v>-23.415113437477796</v>
      </c>
      <c r="AA967" s="154">
        <f t="shared" ref="AA967" si="2795">AA968*AA958</f>
        <v>-22.290939068742375</v>
      </c>
      <c r="AB967" s="154">
        <f t="shared" ref="AB967" si="2796">AB968*AB958</f>
        <v>-26.128890804083849</v>
      </c>
      <c r="AC967" s="154">
        <f t="shared" ref="AC967" si="2797">AC968*AC958</f>
        <v>-16.286183437649051</v>
      </c>
      <c r="AD967" s="156">
        <f t="shared" ref="AD967" si="2798">AD968*AD958</f>
        <v>-12.825677239832252</v>
      </c>
      <c r="AE967" s="15"/>
      <c r="AF967" s="115">
        <f>_xlfn.XLOOKUP($C967,'Site Level Financials - ''23 ''24'!$C$2:$C$1577,'Site Level Financials - ''23 ''24'!$AF$2:$AF$1577)</f>
        <v>-158.84955090656391</v>
      </c>
      <c r="AG967" s="93">
        <f>SUM(G967:R967)</f>
        <v>-242.82303107205067</v>
      </c>
      <c r="AH967" s="93">
        <f t="shared" ref="AH967" si="2799">SUM(S967:AD967)</f>
        <v>-312.05056936452792</v>
      </c>
    </row>
    <row r="968" spans="2:34" x14ac:dyDescent="0.2">
      <c r="B968" s="9">
        <f>G946</f>
        <v>20</v>
      </c>
      <c r="C968" s="9" t="str">
        <f t="shared" si="2740"/>
        <v>20 - % of Revenue - Office Supplies</v>
      </c>
      <c r="D968" s="9" t="s">
        <v>56</v>
      </c>
      <c r="F968" s="16" t="str">
        <f>"% of Revenue - "&amp;F967</f>
        <v>% of Revenue - Office Supplies</v>
      </c>
      <c r="G968" s="148">
        <f>G967/G958</f>
        <v>-2.764372759165112E-2</v>
      </c>
      <c r="H968" s="149">
        <f t="shared" ref="H968:R968" si="2800">H967/H958</f>
        <v>-2.7754909735181313E-2</v>
      </c>
      <c r="I968" s="149">
        <f t="shared" si="2800"/>
        <v>-2.8297690244771832E-2</v>
      </c>
      <c r="J968" s="149">
        <f t="shared" si="2800"/>
        <v>-3.9405983774305507E-2</v>
      </c>
      <c r="K968" s="149">
        <f t="shared" si="2800"/>
        <v>-4.3677205898666693E-2</v>
      </c>
      <c r="L968" s="149">
        <f t="shared" si="2800"/>
        <v>-3.9782450546378884E-2</v>
      </c>
      <c r="M968" s="149">
        <f t="shared" si="2800"/>
        <v>-2.9540274960168832E-2</v>
      </c>
      <c r="N968" s="149">
        <f t="shared" si="2800"/>
        <v>-3.0165471147851355E-2</v>
      </c>
      <c r="O968" s="149">
        <f t="shared" si="2800"/>
        <v>-3.1322041635013939E-2</v>
      </c>
      <c r="P968" s="149">
        <f t="shared" si="2800"/>
        <v>-3.1967922746214544E-2</v>
      </c>
      <c r="Q968" s="149">
        <f t="shared" si="2800"/>
        <v>-2.5207393683870725E-2</v>
      </c>
      <c r="R968" s="149">
        <f t="shared" si="2800"/>
        <v>-2.4321236962160646E-2</v>
      </c>
      <c r="S968" s="245">
        <f>_xlfn.XLOOKUP($F968,'Budget Assumption Driver'!$A$33:$A$39,'Budget Assumption Driver'!E$33:E$39)+G968</f>
        <v>-2.764372759165112E-2</v>
      </c>
      <c r="T968" s="246">
        <f>_xlfn.XLOOKUP($F968,'Budget Assumption Driver'!$A$33:$A$39,'Budget Assumption Driver'!F$33:F$39)+H968</f>
        <v>-2.7754909735181313E-2</v>
      </c>
      <c r="U968" s="246">
        <f>_xlfn.XLOOKUP($F968,'Budget Assumption Driver'!$A$33:$A$39,'Budget Assumption Driver'!G$33:G$39)+I968</f>
        <v>-2.8297690244771832E-2</v>
      </c>
      <c r="V968" s="246">
        <f>_xlfn.XLOOKUP($F968,'Budget Assumption Driver'!$A$33:$A$39,'Budget Assumption Driver'!H$33:H$39)+J968</f>
        <v>-3.9405983774305507E-2</v>
      </c>
      <c r="W968" s="246">
        <f>_xlfn.XLOOKUP($F968,'Budget Assumption Driver'!$A$33:$A$39,'Budget Assumption Driver'!I$33:I$39)+K968</f>
        <v>-4.3677205898666693E-2</v>
      </c>
      <c r="X968" s="246">
        <f>_xlfn.XLOOKUP($F968,'Budget Assumption Driver'!$A$33:$A$39,'Budget Assumption Driver'!J$33:J$39)+L968</f>
        <v>-3.9782450546378884E-2</v>
      </c>
      <c r="Y968" s="246">
        <f>_xlfn.XLOOKUP($F968,'Budget Assumption Driver'!$A$33:$A$39,'Budget Assumption Driver'!K$33:K$39)+M968</f>
        <v>-2.9540274960168832E-2</v>
      </c>
      <c r="Z968" s="246">
        <f>_xlfn.XLOOKUP($F968,'Budget Assumption Driver'!$A$33:$A$39,'Budget Assumption Driver'!L$33:L$39)+N968</f>
        <v>-3.0165471147851355E-2</v>
      </c>
      <c r="AA968" s="246">
        <f>_xlfn.XLOOKUP($F968,'Budget Assumption Driver'!$A$33:$A$39,'Budget Assumption Driver'!M$33:M$39)+O968</f>
        <v>-3.1322041635013939E-2</v>
      </c>
      <c r="AB968" s="246">
        <f>_xlfn.XLOOKUP($F968,'Budget Assumption Driver'!$A$33:$A$39,'Budget Assumption Driver'!N$33:N$39)+P968</f>
        <v>-3.1967922746214544E-2</v>
      </c>
      <c r="AC968" s="246">
        <f>_xlfn.XLOOKUP($F968,'Budget Assumption Driver'!$A$33:$A$39,'Budget Assumption Driver'!O$33:O$39)+Q968</f>
        <v>-2.5207393683870725E-2</v>
      </c>
      <c r="AD968" s="296">
        <f>_xlfn.XLOOKUP($F968,'Budget Assumption Driver'!$A$33:$A$39,'Budget Assumption Driver'!P$33:P$39)+R968</f>
        <v>-2.4321236962160646E-2</v>
      </c>
      <c r="AE968" s="15"/>
      <c r="AF968" s="232">
        <f>_xlfn.XLOOKUP($C968,'Site Level Financials - ''23 ''24'!$C$2:$C$1577,'Site Level Financials - ''23 ''24'!$AF$2:$AF$1577)</f>
        <v>-3.8800247049794435E-2</v>
      </c>
      <c r="AG968" s="97">
        <f t="shared" ref="AG968:AH968" si="2801">AG967/AG958</f>
        <v>-3.150977057452229E-2</v>
      </c>
      <c r="AH968" s="97">
        <f t="shared" si="2801"/>
        <v>-3.2397688092602898E-2</v>
      </c>
    </row>
    <row r="969" spans="2:34" ht="6" customHeight="1" x14ac:dyDescent="0.2">
      <c r="B969" s="9">
        <f>G946</f>
        <v>20</v>
      </c>
      <c r="C969" s="9" t="str">
        <f t="shared" si="2740"/>
        <v xml:space="preserve">20 - </v>
      </c>
      <c r="D969" s="9" t="s">
        <v>56</v>
      </c>
      <c r="F969" s="16"/>
      <c r="G969" s="80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80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81"/>
      <c r="AE969" s="15"/>
      <c r="AF969" s="11"/>
      <c r="AG969" s="15"/>
      <c r="AH969" s="15"/>
    </row>
    <row r="970" spans="2:34" x14ac:dyDescent="0.2">
      <c r="B970" s="9">
        <f>G946</f>
        <v>20</v>
      </c>
      <c r="C970" s="9" t="str">
        <f t="shared" si="2740"/>
        <v>20 - Office Gross Profit</v>
      </c>
      <c r="D970" s="9" t="s">
        <v>56</v>
      </c>
      <c r="F970" s="8" t="s">
        <v>11</v>
      </c>
      <c r="G970" s="241">
        <f>_xlfn.XLOOKUP($C970,'Site Level Financials - ''23 ''24'!$C$2:$C$1577,'Site Level Financials - ''23 ''24'!S$2:S$1577)</f>
        <v>446.47777514514928</v>
      </c>
      <c r="H970" s="242">
        <f>_xlfn.XLOOKUP($C970,'Site Level Financials - ''23 ''24'!$C$2:$C$1577,'Site Level Financials - ''23 ''24'!T$2:T$1577)</f>
        <v>458.81000240547235</v>
      </c>
      <c r="I970" s="242">
        <f>_xlfn.XLOOKUP($C970,'Site Level Financials - ''23 ''24'!$C$2:$C$1577,'Site Level Financials - ''23 ''24'!U$2:U$1577)</f>
        <v>432.94172102330879</v>
      </c>
      <c r="J970" s="242">
        <f>_xlfn.XLOOKUP($C970,'Site Level Financials - ''23 ''24'!$C$2:$C$1577,'Site Level Financials - ''23 ''24'!V$2:V$1577)</f>
        <v>303.34701739827261</v>
      </c>
      <c r="K970" s="242">
        <f>_xlfn.XLOOKUP($C970,'Site Level Financials - ''23 ''24'!$C$2:$C$1577,'Site Level Financials - ''23 ''24'!W$2:W$1577)</f>
        <v>326.17469697183475</v>
      </c>
      <c r="L970" s="242">
        <f>_xlfn.XLOOKUP($C970,'Site Level Financials - ''23 ''24'!$C$2:$C$1577,'Site Level Financials - ''23 ''24'!X$2:X$1577)</f>
        <v>289.24355064395672</v>
      </c>
      <c r="M970" s="242">
        <f>_xlfn.XLOOKUP($C970,'Site Level Financials - ''23 ''24'!$C$2:$C$1577,'Site Level Financials - ''23 ''24'!Y$2:Y$1577)</f>
        <v>452.37266974135923</v>
      </c>
      <c r="N970" s="242">
        <f>_xlfn.XLOOKUP($C970,'Site Level Financials - ''23 ''24'!$C$2:$C$1577,'Site Level Financials - ''23 ''24'!Z$2:Z$1577)</f>
        <v>452.15664515568045</v>
      </c>
      <c r="O970" s="242">
        <f>_xlfn.XLOOKUP($C970,'Site Level Financials - ''23 ''24'!$C$2:$C$1577,'Site Level Financials - ''23 ''24'!AA$2:AA$1577)</f>
        <v>396.03513267558327</v>
      </c>
      <c r="P970" s="242">
        <f>_xlfn.XLOOKUP($C970,'Site Level Financials - ''23 ''24'!$C$2:$C$1577,'Site Level Financials - ''23 ''24'!AB$2:AB$1577)</f>
        <v>434.93830454154579</v>
      </c>
      <c r="Q970" s="242">
        <f>_xlfn.XLOOKUP($C970,'Site Level Financials - ''23 ''24'!$C$2:$C$1577,'Site Level Financials - ''23 ''24'!AC$2:AC$1577)</f>
        <v>466.84671359796698</v>
      </c>
      <c r="R970" s="242">
        <f>_xlfn.XLOOKUP($C970,'Site Level Financials - ''23 ''24'!$C$2:$C$1577,'Site Level Financials - ''23 ''24'!AD$2:AD$1577)</f>
        <v>360.42395317819836</v>
      </c>
      <c r="S970" s="134">
        <f t="shared" ref="S970:AD970" si="2802">S958+S961+S964+S967</f>
        <v>504.19788627301114</v>
      </c>
      <c r="T970" s="135">
        <f t="shared" si="2802"/>
        <v>514.83506741710448</v>
      </c>
      <c r="U970" s="135">
        <f t="shared" si="2802"/>
        <v>547.13820090260162</v>
      </c>
      <c r="V970" s="135">
        <f t="shared" si="2802"/>
        <v>479.82996432201685</v>
      </c>
      <c r="W970" s="135">
        <f t="shared" si="2802"/>
        <v>515.3433478309546</v>
      </c>
      <c r="X970" s="135">
        <f t="shared" si="2802"/>
        <v>474.39739487704475</v>
      </c>
      <c r="Y970" s="135">
        <f t="shared" si="2802"/>
        <v>583.8366397646721</v>
      </c>
      <c r="Z970" s="135">
        <f t="shared" si="2802"/>
        <v>497.60031380072917</v>
      </c>
      <c r="AA970" s="135">
        <f t="shared" si="2802"/>
        <v>453.07758187609812</v>
      </c>
      <c r="AB970" s="135">
        <f t="shared" si="2802"/>
        <v>518.11031774558069</v>
      </c>
      <c r="AC970" s="135">
        <f t="shared" si="2802"/>
        <v>457.74756435300054</v>
      </c>
      <c r="AD970" s="136">
        <f t="shared" si="2802"/>
        <v>375.5042813424775</v>
      </c>
      <c r="AE970" s="15"/>
      <c r="AF970" s="114">
        <f>_xlfn.XLOOKUP($C970,'Site Level Financials - ''23 ''24'!$C$2:$C$1577,'Site Level Financials - ''23 ''24'!$AF$2:$AF$1577)</f>
        <v>2699.3590545136435</v>
      </c>
      <c r="AG970" s="95">
        <f>SUM(G970:R970)</f>
        <v>4819.7681824783285</v>
      </c>
      <c r="AH970" s="95">
        <f t="shared" ref="AH970" si="2803">SUM(S970:AD970)</f>
        <v>5921.6185605052924</v>
      </c>
    </row>
    <row r="971" spans="2:34" x14ac:dyDescent="0.2">
      <c r="B971" s="9">
        <f>G946</f>
        <v>20</v>
      </c>
      <c r="C971" s="9" t="str">
        <f t="shared" si="2740"/>
        <v>20 - % of Revenue - Office Gross Profit</v>
      </c>
      <c r="D971" s="9" t="s">
        <v>56</v>
      </c>
      <c r="F971" s="16" t="str">
        <f>"% of Revenue - "&amp;F970</f>
        <v>% of Revenue - Office Gross Profit</v>
      </c>
      <c r="G971" s="148">
        <f>G970/G958</f>
        <v>0.66700696607900467</v>
      </c>
      <c r="H971" s="149">
        <f t="shared" ref="H971:AD971" si="2804">H970/H958</f>
        <v>0.65774302735229173</v>
      </c>
      <c r="I971" s="149">
        <f t="shared" si="2804"/>
        <v>0.6509777198372203</v>
      </c>
      <c r="J971" s="149">
        <f t="shared" si="2804"/>
        <v>0.53296842437352743</v>
      </c>
      <c r="K971" s="149">
        <f t="shared" si="2804"/>
        <v>0.48162312681545288</v>
      </c>
      <c r="L971" s="149">
        <f t="shared" si="2804"/>
        <v>0.52796312395514533</v>
      </c>
      <c r="M971" s="149">
        <f t="shared" si="2804"/>
        <v>0.64496281768153574</v>
      </c>
      <c r="N971" s="149">
        <f t="shared" si="2804"/>
        <v>0.64105381975610631</v>
      </c>
      <c r="O971" s="149">
        <f t="shared" si="2804"/>
        <v>0.63664051297481916</v>
      </c>
      <c r="P971" s="149">
        <f t="shared" si="2804"/>
        <v>0.63389260324508956</v>
      </c>
      <c r="Q971" s="149">
        <f t="shared" si="2804"/>
        <v>0.70849153251000496</v>
      </c>
      <c r="R971" s="149">
        <f t="shared" si="2804"/>
        <v>0.71206599355806655</v>
      </c>
      <c r="S971" s="148">
        <f t="shared" si="2804"/>
        <v>0.66700696607900467</v>
      </c>
      <c r="T971" s="149">
        <f t="shared" si="2804"/>
        <v>0.65774302735229162</v>
      </c>
      <c r="U971" s="149">
        <f t="shared" si="2804"/>
        <v>0.6509777198372203</v>
      </c>
      <c r="V971" s="149">
        <f t="shared" si="2804"/>
        <v>0.53296842437352743</v>
      </c>
      <c r="W971" s="149">
        <f t="shared" si="2804"/>
        <v>0.481623126815453</v>
      </c>
      <c r="X971" s="149">
        <f t="shared" si="2804"/>
        <v>0.52796312395514533</v>
      </c>
      <c r="Y971" s="149">
        <f t="shared" si="2804"/>
        <v>0.64496281768153563</v>
      </c>
      <c r="Z971" s="149">
        <f t="shared" si="2804"/>
        <v>0.64105381975610642</v>
      </c>
      <c r="AA971" s="149">
        <f t="shared" si="2804"/>
        <v>0.63664051297481916</v>
      </c>
      <c r="AB971" s="149">
        <f t="shared" si="2804"/>
        <v>0.63389260324508967</v>
      </c>
      <c r="AC971" s="149">
        <f t="shared" si="2804"/>
        <v>0.70849153251000485</v>
      </c>
      <c r="AD971" s="150">
        <f t="shared" si="2804"/>
        <v>0.71206599355806655</v>
      </c>
      <c r="AE971" s="15"/>
      <c r="AF971" s="233">
        <f>_xlfn.XLOOKUP($C971,'Site Level Financials - ''23 ''24'!$C$2:$C$1577,'Site Level Financials - ''23 ''24'!$AF$2:$AF$1577)</f>
        <v>0.6593395926742972</v>
      </c>
      <c r="AG971" s="97">
        <f t="shared" ref="AG971:AH971" si="2805">AG970/AG958</f>
        <v>0.62543404133363056</v>
      </c>
      <c r="AH971" s="97">
        <f t="shared" si="2805"/>
        <v>0.61479378652409733</v>
      </c>
    </row>
    <row r="972" spans="2:34" ht="6" customHeight="1" x14ac:dyDescent="0.2">
      <c r="B972" s="9">
        <f>G946</f>
        <v>20</v>
      </c>
      <c r="C972" s="9" t="str">
        <f t="shared" si="2740"/>
        <v xml:space="preserve">20 - </v>
      </c>
      <c r="D972" s="9" t="s">
        <v>56</v>
      </c>
      <c r="F972" s="16"/>
      <c r="G972" s="80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80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81"/>
      <c r="AE972" s="15"/>
      <c r="AF972" s="11"/>
      <c r="AG972" s="15"/>
      <c r="AH972" s="15"/>
    </row>
    <row r="973" spans="2:34" x14ac:dyDescent="0.2">
      <c r="B973" s="9">
        <f>G946</f>
        <v>20</v>
      </c>
      <c r="C973" s="9" t="str">
        <f t="shared" si="2740"/>
        <v>20 - General and Administrative Expense</v>
      </c>
      <c r="D973" s="9" t="s">
        <v>56</v>
      </c>
      <c r="F973" t="s">
        <v>10</v>
      </c>
      <c r="G973" s="178">
        <f>_xlfn.XLOOKUP($C973,'Site Level Financials - ''23 ''24'!$C$2:$C$1577,'Site Level Financials - ''23 ''24'!S$2:S$1577)</f>
        <v>-10.050455987047073</v>
      </c>
      <c r="H973" s="179">
        <f>_xlfn.XLOOKUP($C973,'Site Level Financials - ''23 ''24'!$C$2:$C$1577,'Site Level Financials - ''23 ''24'!T$2:T$1577)</f>
        <v>-9.6391776343146045</v>
      </c>
      <c r="I973" s="179">
        <f>_xlfn.XLOOKUP($C973,'Site Level Financials - ''23 ''24'!$C$2:$C$1577,'Site Level Financials - ''23 ''24'!U$2:U$1577)</f>
        <v>-9.0575971689547217</v>
      </c>
      <c r="J973" s="179">
        <f>_xlfn.XLOOKUP($C973,'Site Level Financials - ''23 ''24'!$C$2:$C$1577,'Site Level Financials - ''23 ''24'!V$2:V$1577)</f>
        <v>-9.63151799500117</v>
      </c>
      <c r="K973" s="179">
        <f>_xlfn.XLOOKUP($C973,'Site Level Financials - ''23 ''24'!$C$2:$C$1577,'Site Level Financials - ''23 ''24'!W$2:W$1577)</f>
        <v>-13.532839708158797</v>
      </c>
      <c r="L973" s="179">
        <f>_xlfn.XLOOKUP($C973,'Site Level Financials - ''23 ''24'!$C$2:$C$1577,'Site Level Financials - ''23 ''24'!X$2:X$1577)</f>
        <v>-10.85160322084085</v>
      </c>
      <c r="M973" s="179">
        <f>_xlfn.XLOOKUP($C973,'Site Level Financials - ''23 ''24'!$C$2:$C$1577,'Site Level Financials - ''23 ''24'!Y$2:Y$1577)</f>
        <v>-10.357276860982306</v>
      </c>
      <c r="N973" s="179">
        <f>_xlfn.XLOOKUP($C973,'Site Level Financials - ''23 ''24'!$C$2:$C$1577,'Site Level Financials - ''23 ''24'!Z$2:Z$1577)</f>
        <v>-9.6955676912736273</v>
      </c>
      <c r="O973" s="179">
        <f>_xlfn.XLOOKUP($C973,'Site Level Financials - ''23 ''24'!$C$2:$C$1577,'Site Level Financials - ''23 ''24'!AA$2:AA$1577)</f>
        <v>-8.2678897676148448</v>
      </c>
      <c r="P973" s="179">
        <f>_xlfn.XLOOKUP($C973,'Site Level Financials - ''23 ''24'!$C$2:$C$1577,'Site Level Financials - ''23 ''24'!AB$2:AB$1577)</f>
        <v>-8.4359275193795646</v>
      </c>
      <c r="Q973" s="179">
        <f>_xlfn.XLOOKUP($C973,'Site Level Financials - ''23 ''24'!$C$2:$C$1577,'Site Level Financials - ''23 ''24'!AC$2:AC$1577)</f>
        <v>-6.2035713484216854</v>
      </c>
      <c r="R973" s="179">
        <f>_xlfn.XLOOKUP($C973,'Site Level Financials - ''23 ''24'!$C$2:$C$1577,'Site Level Financials - ''23 ''24'!AD$2:AD$1577)</f>
        <v>-4.8589621973901718</v>
      </c>
      <c r="S973" s="155">
        <f>S974*S958</f>
        <v>-11.349766879441319</v>
      </c>
      <c r="T973" s="154">
        <f t="shared" ref="T973" si="2806">T974*T958</f>
        <v>-10.816212901178494</v>
      </c>
      <c r="U973" s="154">
        <f t="shared" ref="U973" si="2807">U974*U958</f>
        <v>-11.446707902876319</v>
      </c>
      <c r="V973" s="154">
        <f t="shared" ref="V973" si="2808">V974*V958</f>
        <v>-15.234997118302278</v>
      </c>
      <c r="W973" s="154">
        <f t="shared" ref="W973" si="2809">W974*W958</f>
        <v>-21.38136092593486</v>
      </c>
      <c r="X973" s="154">
        <f t="shared" ref="X973" si="2810">X974*X958</f>
        <v>-17.798053877934603</v>
      </c>
      <c r="Y973" s="154">
        <f t="shared" ref="Y973" si="2811">Y974*Y958</f>
        <v>-13.367203909744605</v>
      </c>
      <c r="Z973" s="154">
        <f t="shared" ref="Z973" si="2812">Z974*Z958</f>
        <v>-10.670013539207977</v>
      </c>
      <c r="AA973" s="154">
        <f t="shared" ref="AA973" si="2813">AA974*AA958</f>
        <v>-9.4587454345815427</v>
      </c>
      <c r="AB973" s="154">
        <f t="shared" ref="AB973" si="2814">AB974*AB958</f>
        <v>-10.049105912047661</v>
      </c>
      <c r="AC973" s="154">
        <f t="shared" ref="AC973" si="2815">AC974*AC958</f>
        <v>-6.0826596660494356</v>
      </c>
      <c r="AD973" s="156">
        <f t="shared" ref="AD973" si="2816">AD974*AD958</f>
        <v>-5.0622637366700616</v>
      </c>
      <c r="AE973" s="15"/>
      <c r="AF973" s="115">
        <f>_xlfn.XLOOKUP($C973,'Site Level Financials - ''23 ''24'!$C$2:$C$1577,'Site Level Financials - ''23 ''24'!$AF$2:$AF$1577)</f>
        <v>-135.79553237219321</v>
      </c>
      <c r="AG973" s="93">
        <f>SUM(G973:R973)</f>
        <v>-110.58238709937942</v>
      </c>
      <c r="AH973" s="93">
        <f t="shared" ref="AH973" si="2817">SUM(S973:AD973)</f>
        <v>-142.71709180396914</v>
      </c>
    </row>
    <row r="974" spans="2:34" x14ac:dyDescent="0.2">
      <c r="B974" s="9">
        <f>G946</f>
        <v>20</v>
      </c>
      <c r="C974" s="9" t="str">
        <f t="shared" si="2740"/>
        <v>20 - % of Revenue - General and Administrative Expense</v>
      </c>
      <c r="D974" s="9" t="s">
        <v>56</v>
      </c>
      <c r="F974" s="16" t="str">
        <f>"% of Revenue - "&amp;F973</f>
        <v>% of Revenue - General and Administrative Expense</v>
      </c>
      <c r="G974" s="148">
        <f>G973/G958</f>
        <v>-1.501468724496189E-2</v>
      </c>
      <c r="H974" s="149">
        <f t="shared" ref="H974:R974" si="2818">H973/H958</f>
        <v>-1.3818578159020907E-2</v>
      </c>
      <c r="I974" s="149">
        <f t="shared" si="2818"/>
        <v>-1.3619140096532209E-2</v>
      </c>
      <c r="J974" s="149">
        <f t="shared" si="2818"/>
        <v>-1.6922187052135759E-2</v>
      </c>
      <c r="K974" s="149">
        <f t="shared" si="2818"/>
        <v>-1.99823243048757E-2</v>
      </c>
      <c r="L974" s="149">
        <f t="shared" si="2818"/>
        <v>-1.9807689138242005E-2</v>
      </c>
      <c r="M974" s="149">
        <f t="shared" si="2818"/>
        <v>-1.4766715397696759E-2</v>
      </c>
      <c r="N974" s="149">
        <f t="shared" si="2818"/>
        <v>-1.3746078421682503E-2</v>
      </c>
      <c r="O974" s="149">
        <f t="shared" si="2818"/>
        <v>-1.3290925851230911E-2</v>
      </c>
      <c r="P974" s="149">
        <f t="shared" si="2818"/>
        <v>-1.2294782961650154E-2</v>
      </c>
      <c r="Q974" s="149">
        <f t="shared" si="2818"/>
        <v>-9.4146057874221652E-3</v>
      </c>
      <c r="R974" s="149">
        <f t="shared" si="2818"/>
        <v>-9.599533311358743E-3</v>
      </c>
      <c r="S974" s="245">
        <f>_xlfn.XLOOKUP($F974,'Budget Assumption Driver'!$A$33:$A$39,'Budget Assumption Driver'!E$33:E$39)+G974</f>
        <v>-1.501468724496189E-2</v>
      </c>
      <c r="T974" s="246">
        <f>_xlfn.XLOOKUP($F974,'Budget Assumption Driver'!$A$33:$A$39,'Budget Assumption Driver'!F$33:F$39)+H974</f>
        <v>-1.3818578159020907E-2</v>
      </c>
      <c r="U974" s="246">
        <f>_xlfn.XLOOKUP($F974,'Budget Assumption Driver'!$A$33:$A$39,'Budget Assumption Driver'!G$33:G$39)+I974</f>
        <v>-1.3619140096532209E-2</v>
      </c>
      <c r="V974" s="246">
        <f>_xlfn.XLOOKUP($F974,'Budget Assumption Driver'!$A$33:$A$39,'Budget Assumption Driver'!H$33:H$39)+J974</f>
        <v>-1.6922187052135759E-2</v>
      </c>
      <c r="W974" s="246">
        <f>_xlfn.XLOOKUP($F974,'Budget Assumption Driver'!$A$33:$A$39,'Budget Assumption Driver'!I$33:I$39)+K974</f>
        <v>-1.99823243048757E-2</v>
      </c>
      <c r="X974" s="246">
        <f>_xlfn.XLOOKUP($F974,'Budget Assumption Driver'!$A$33:$A$39,'Budget Assumption Driver'!J$33:J$39)+L974</f>
        <v>-1.9807689138242005E-2</v>
      </c>
      <c r="Y974" s="246">
        <f>_xlfn.XLOOKUP($F974,'Budget Assumption Driver'!$A$33:$A$39,'Budget Assumption Driver'!K$33:K$39)+M974</f>
        <v>-1.4766715397696759E-2</v>
      </c>
      <c r="Z974" s="246">
        <f>_xlfn.XLOOKUP($F974,'Budget Assumption Driver'!$A$33:$A$39,'Budget Assumption Driver'!L$33:L$39)+N974</f>
        <v>-1.3746078421682503E-2</v>
      </c>
      <c r="AA974" s="246">
        <f>_xlfn.XLOOKUP($F974,'Budget Assumption Driver'!$A$33:$A$39,'Budget Assumption Driver'!M$33:M$39)+O974</f>
        <v>-1.3290925851230911E-2</v>
      </c>
      <c r="AB974" s="246">
        <f>_xlfn.XLOOKUP($F974,'Budget Assumption Driver'!$A$33:$A$39,'Budget Assumption Driver'!N$33:N$39)+P974</f>
        <v>-1.2294782961650154E-2</v>
      </c>
      <c r="AC974" s="246">
        <f>_xlfn.XLOOKUP($F974,'Budget Assumption Driver'!$A$33:$A$39,'Budget Assumption Driver'!O$33:O$39)+Q974</f>
        <v>-9.4146057874221652E-3</v>
      </c>
      <c r="AD974" s="296">
        <f>_xlfn.XLOOKUP($F974,'Budget Assumption Driver'!$A$33:$A$39,'Budget Assumption Driver'!P$33:P$39)+R974</f>
        <v>-9.599533311358743E-3</v>
      </c>
      <c r="AE974" s="15"/>
      <c r="AF974" s="232">
        <f>_xlfn.XLOOKUP($C974,'Site Level Financials - ''23 ''24'!$C$2:$C$1577,'Site Level Financials - ''23 ''24'!$AF$2:$AF$1577)</f>
        <v>-3.3169122444662413E-2</v>
      </c>
      <c r="AG974" s="97">
        <f t="shared" ref="AG974:AH974" si="2819">AG973/AG958</f>
        <v>-1.4349650573509877E-2</v>
      </c>
      <c r="AH974" s="97">
        <f t="shared" si="2819"/>
        <v>-1.4817161959243522E-2</v>
      </c>
    </row>
    <row r="975" spans="2:34" ht="3" customHeight="1" x14ac:dyDescent="0.2">
      <c r="B975" s="9">
        <f>G946</f>
        <v>20</v>
      </c>
      <c r="C975" s="9" t="str">
        <f t="shared" si="2740"/>
        <v xml:space="preserve">20 - </v>
      </c>
      <c r="D975" s="9" t="s">
        <v>56</v>
      </c>
      <c r="F975" s="16"/>
      <c r="G975" s="84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4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6"/>
      <c r="AE975" s="15"/>
      <c r="AF975" s="36"/>
      <c r="AG975" s="38"/>
      <c r="AH975" s="38"/>
    </row>
    <row r="976" spans="2:34" x14ac:dyDescent="0.2">
      <c r="B976" s="9">
        <f>G946</f>
        <v>20</v>
      </c>
      <c r="C976" s="9" t="str">
        <f t="shared" si="2740"/>
        <v>20 - Marketing</v>
      </c>
      <c r="D976" s="9" t="s">
        <v>56</v>
      </c>
      <c r="F976" t="s">
        <v>7</v>
      </c>
      <c r="G976" s="178">
        <f>_xlfn.XLOOKUP($C976,'Site Level Financials - ''23 ''24'!$C$2:$C$1577,'Site Level Financials - ''23 ''24'!S$2:S$1577)</f>
        <v>-3.5673966375207025</v>
      </c>
      <c r="H976" s="179">
        <f>_xlfn.XLOOKUP($C976,'Site Level Financials - ''23 ''24'!$C$2:$C$1577,'Site Level Financials - ''23 ''24'!T$2:T$1577)</f>
        <v>-3.9721129886805824</v>
      </c>
      <c r="I976" s="179">
        <f>_xlfn.XLOOKUP($C976,'Site Level Financials - ''23 ''24'!$C$2:$C$1577,'Site Level Financials - ''23 ''24'!U$2:U$1577)</f>
        <v>-3.8381941793075574</v>
      </c>
      <c r="J976" s="179">
        <f>_xlfn.XLOOKUP($C976,'Site Level Financials - ''23 ''24'!$C$2:$C$1577,'Site Level Financials - ''23 ''24'!V$2:V$1577)</f>
        <v>-3.8545060267150162</v>
      </c>
      <c r="K976" s="179">
        <f>_xlfn.XLOOKUP($C976,'Site Level Financials - ''23 ''24'!$C$2:$C$1577,'Site Level Financials - ''23 ''24'!W$2:W$1577)</f>
        <v>-4.2892296335938251</v>
      </c>
      <c r="L976" s="179">
        <f>_xlfn.XLOOKUP($C976,'Site Level Financials - ''23 ''24'!$C$2:$C$1577,'Site Level Financials - ''23 ''24'!X$2:X$1577)</f>
        <v>-2.9582804405229925</v>
      </c>
      <c r="M976" s="179">
        <f>_xlfn.XLOOKUP($C976,'Site Level Financials - ''23 ''24'!$C$2:$C$1577,'Site Level Financials - ''23 ''24'!Y$2:Y$1577)</f>
        <v>-2.9180275161130473</v>
      </c>
      <c r="N976" s="179">
        <f>_xlfn.XLOOKUP($C976,'Site Level Financials - ''23 ''24'!$C$2:$C$1577,'Site Level Financials - ''23 ''24'!Z$2:Z$1577)</f>
        <v>-3.2151305078529542</v>
      </c>
      <c r="O976" s="179">
        <f>_xlfn.XLOOKUP($C976,'Site Level Financials - ''23 ''24'!$C$2:$C$1577,'Site Level Financials - ''23 ''24'!AA$2:AA$1577)</f>
        <v>-2.4901497385902678</v>
      </c>
      <c r="P976" s="179">
        <f>_xlfn.XLOOKUP($C976,'Site Level Financials - ''23 ''24'!$C$2:$C$1577,'Site Level Financials - ''23 ''24'!AB$2:AB$1577)</f>
        <v>-3.5250886432160753</v>
      </c>
      <c r="Q976" s="179">
        <f>_xlfn.XLOOKUP($C976,'Site Level Financials - ''23 ''24'!$C$2:$C$1577,'Site Level Financials - ''23 ''24'!AC$2:AC$1577)</f>
        <v>-2.1072680732797147</v>
      </c>
      <c r="R976" s="179">
        <f>_xlfn.XLOOKUP($C976,'Site Level Financials - ''23 ''24'!$C$2:$C$1577,'Site Level Financials - ''23 ''24'!AD$2:AD$1577)</f>
        <v>-2.0850757846752468</v>
      </c>
      <c r="S976" s="155">
        <f>S977*S958</f>
        <v>-4.0285853949855372</v>
      </c>
      <c r="T976" s="154">
        <f t="shared" ref="T976" si="2820">T977*T958</f>
        <v>-4.4571457631572624</v>
      </c>
      <c r="U976" s="154">
        <f t="shared" ref="U976" si="2821">U977*U958</f>
        <v>-4.8505897122077384</v>
      </c>
      <c r="V976" s="154">
        <f t="shared" ref="V976" si="2822">V977*V958</f>
        <v>-6.0970023873661363</v>
      </c>
      <c r="W976" s="154">
        <f t="shared" ref="W976" si="2823">W977*W958</f>
        <v>-6.7768161648138232</v>
      </c>
      <c r="X976" s="154">
        <f t="shared" ref="X976" si="2824">X977*X958</f>
        <v>-4.8519682847737364</v>
      </c>
      <c r="Y976" s="154">
        <f t="shared" ref="Y976" si="2825">Y977*Y958</f>
        <v>-3.7660351601752264</v>
      </c>
      <c r="Z976" s="154">
        <f t="shared" ref="Z976" si="2826">Z977*Z958</f>
        <v>-3.5382648176432063</v>
      </c>
      <c r="AA976" s="154">
        <f t="shared" ref="AA976" si="2827">AA977*AA958</f>
        <v>-2.8488154938367041</v>
      </c>
      <c r="AB976" s="154">
        <f t="shared" ref="AB976" si="2828">AB977*AB958</f>
        <v>-4.1991813044453536</v>
      </c>
      <c r="AC976" s="154">
        <f t="shared" ref="AC976" si="2829">AC977*AC958</f>
        <v>-2.0661960337013507</v>
      </c>
      <c r="AD976" s="156">
        <f t="shared" ref="AD976" si="2830">AD977*AD958</f>
        <v>-2.1723164544560047</v>
      </c>
      <c r="AE976" s="15"/>
      <c r="AF976" s="115">
        <f>_xlfn.XLOOKUP($C976,'Site Level Financials - ''23 ''24'!$C$2:$C$1577,'Site Level Financials - ''23 ''24'!$AF$2:$AF$1577)</f>
        <v>-51.108367925973567</v>
      </c>
      <c r="AG976" s="93">
        <f>SUM(G976:R976)</f>
        <v>-38.820460170067982</v>
      </c>
      <c r="AH976" s="93">
        <f t="shared" ref="AH976" si="2831">SUM(S976:AD976)</f>
        <v>-49.652916971562078</v>
      </c>
    </row>
    <row r="977" spans="2:34" x14ac:dyDescent="0.2">
      <c r="B977" s="9">
        <f>G946</f>
        <v>20</v>
      </c>
      <c r="C977" s="9" t="str">
        <f t="shared" si="2740"/>
        <v>20 - % of Revenue - Marketing</v>
      </c>
      <c r="D977" s="9" t="s">
        <v>56</v>
      </c>
      <c r="F977" s="16" t="str">
        <f>"% of Revenue - "&amp;F976</f>
        <v>% of Revenue - Marketing</v>
      </c>
      <c r="G977" s="148">
        <f>G976/G958</f>
        <v>-5.3294442421452249E-3</v>
      </c>
      <c r="H977" s="149">
        <f t="shared" ref="H977:R977" si="2832">H976/H958</f>
        <v>-5.6943606470270889E-3</v>
      </c>
      <c r="I977" s="149">
        <f t="shared" si="2832"/>
        <v>-5.7711668194796268E-3</v>
      </c>
      <c r="J977" s="149">
        <f t="shared" si="2832"/>
        <v>-6.772210986005449E-3</v>
      </c>
      <c r="K977" s="149">
        <f t="shared" si="2832"/>
        <v>-6.3333919121854477E-3</v>
      </c>
      <c r="L977" s="149">
        <f t="shared" si="2832"/>
        <v>-5.3998195618767389E-3</v>
      </c>
      <c r="M977" s="149">
        <f t="shared" si="2832"/>
        <v>-4.1603292478755508E-3</v>
      </c>
      <c r="N977" s="149">
        <f t="shared" si="2832"/>
        <v>-4.5583133968182333E-3</v>
      </c>
      <c r="O977" s="149">
        <f t="shared" si="2832"/>
        <v>-4.0030039664659279E-3</v>
      </c>
      <c r="P977" s="149">
        <f t="shared" si="2832"/>
        <v>-5.1375737510019519E-3</v>
      </c>
      <c r="Q977" s="149">
        <f t="shared" si="2832"/>
        <v>-3.1980124164118183E-3</v>
      </c>
      <c r="R977" s="149">
        <f t="shared" si="2832"/>
        <v>-4.119347638153738E-3</v>
      </c>
      <c r="S977" s="245">
        <f>_xlfn.XLOOKUP($F977,'Budget Assumption Driver'!$A$33:$A$39,'Budget Assumption Driver'!E$33:E$39)+G977</f>
        <v>-5.3294442421452249E-3</v>
      </c>
      <c r="T977" s="246">
        <f>_xlfn.XLOOKUP($F977,'Budget Assumption Driver'!$A$33:$A$39,'Budget Assumption Driver'!F$33:F$39)+H977</f>
        <v>-5.6943606470270889E-3</v>
      </c>
      <c r="U977" s="246">
        <f>_xlfn.XLOOKUP($F977,'Budget Assumption Driver'!$A$33:$A$39,'Budget Assumption Driver'!G$33:G$39)+I977</f>
        <v>-5.7711668194796268E-3</v>
      </c>
      <c r="V977" s="246">
        <f>_xlfn.XLOOKUP($F977,'Budget Assumption Driver'!$A$33:$A$39,'Budget Assumption Driver'!H$33:H$39)+J977</f>
        <v>-6.772210986005449E-3</v>
      </c>
      <c r="W977" s="246">
        <f>_xlfn.XLOOKUP($F977,'Budget Assumption Driver'!$A$33:$A$39,'Budget Assumption Driver'!I$33:I$39)+K977</f>
        <v>-6.3333919121854477E-3</v>
      </c>
      <c r="X977" s="246">
        <f>_xlfn.XLOOKUP($F977,'Budget Assumption Driver'!$A$33:$A$39,'Budget Assumption Driver'!J$33:J$39)+L977</f>
        <v>-5.3998195618767389E-3</v>
      </c>
      <c r="Y977" s="246">
        <f>_xlfn.XLOOKUP($F977,'Budget Assumption Driver'!$A$33:$A$39,'Budget Assumption Driver'!K$33:K$39)+M977</f>
        <v>-4.1603292478755508E-3</v>
      </c>
      <c r="Z977" s="246">
        <f>_xlfn.XLOOKUP($F977,'Budget Assumption Driver'!$A$33:$A$39,'Budget Assumption Driver'!L$33:L$39)+N977</f>
        <v>-4.5583133968182333E-3</v>
      </c>
      <c r="AA977" s="246">
        <f>_xlfn.XLOOKUP($F977,'Budget Assumption Driver'!$A$33:$A$39,'Budget Assumption Driver'!M$33:M$39)+O977</f>
        <v>-4.0030039664659279E-3</v>
      </c>
      <c r="AB977" s="246">
        <f>_xlfn.XLOOKUP($F977,'Budget Assumption Driver'!$A$33:$A$39,'Budget Assumption Driver'!N$33:N$39)+P977</f>
        <v>-5.1375737510019519E-3</v>
      </c>
      <c r="AC977" s="246">
        <f>_xlfn.XLOOKUP($F977,'Budget Assumption Driver'!$A$33:$A$39,'Budget Assumption Driver'!O$33:O$39)+Q977</f>
        <v>-3.1980124164118183E-3</v>
      </c>
      <c r="AD977" s="296">
        <f>_xlfn.XLOOKUP($F977,'Budget Assumption Driver'!$A$33:$A$39,'Budget Assumption Driver'!P$33:P$39)+R977</f>
        <v>-4.119347638153738E-3</v>
      </c>
      <c r="AE977" s="15"/>
      <c r="AF977" s="232">
        <f>_xlfn.XLOOKUP($C977,'Site Level Financials - ''23 ''24'!$C$2:$C$1577,'Site Level Financials - ''23 ''24'!$AF$2:$AF$1577)</f>
        <v>-1.2483619188863712E-2</v>
      </c>
      <c r="AG977" s="97">
        <f t="shared" ref="AG977:AH977" si="2833">AG976/AG958</f>
        <v>-5.0375114261433729E-3</v>
      </c>
      <c r="AH977" s="97">
        <f t="shared" si="2833"/>
        <v>-5.1550609896609846E-3</v>
      </c>
    </row>
    <row r="978" spans="2:34" ht="3" customHeight="1" x14ac:dyDescent="0.2">
      <c r="B978" s="9">
        <f>G946</f>
        <v>20</v>
      </c>
      <c r="C978" s="9" t="str">
        <f t="shared" si="2740"/>
        <v xml:space="preserve">20 - </v>
      </c>
      <c r="D978" s="9" t="s">
        <v>56</v>
      </c>
      <c r="F978" s="16"/>
      <c r="G978" s="84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4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6"/>
      <c r="AE978" s="15"/>
      <c r="AF978" s="36"/>
      <c r="AG978" s="38"/>
      <c r="AH978" s="38"/>
    </row>
    <row r="979" spans="2:34" x14ac:dyDescent="0.2">
      <c r="B979" s="9">
        <f>G946</f>
        <v>20</v>
      </c>
      <c r="C979" s="9" t="str">
        <f t="shared" si="2740"/>
        <v>20 - Office Rent</v>
      </c>
      <c r="D979" s="9" t="s">
        <v>56</v>
      </c>
      <c r="F979" t="s">
        <v>162</v>
      </c>
      <c r="G979" s="178">
        <f>_xlfn.XLOOKUP($C979,'Site Level Financials - ''23 ''24'!$C$2:$C$1577,'Site Level Financials - ''23 ''24'!S$2:S$1577)</f>
        <v>-16.812527041649751</v>
      </c>
      <c r="H979" s="179">
        <f>_xlfn.XLOOKUP($C979,'Site Level Financials - ''23 ''24'!$C$2:$C$1577,'Site Level Financials - ''23 ''24'!T$2:T$1577)</f>
        <v>-16.812527041649751</v>
      </c>
      <c r="I979" s="179">
        <f>_xlfn.XLOOKUP($C979,'Site Level Financials - ''23 ''24'!$C$2:$C$1577,'Site Level Financials - ''23 ''24'!U$2:U$1577)</f>
        <v>-17.316902852899247</v>
      </c>
      <c r="J979" s="179">
        <f>_xlfn.XLOOKUP($C979,'Site Level Financials - ''23 ''24'!$C$2:$C$1577,'Site Level Financials - ''23 ''24'!V$2:V$1577)</f>
        <v>-17.316902852899247</v>
      </c>
      <c r="K979" s="179">
        <f>_xlfn.XLOOKUP($C979,'Site Level Financials - ''23 ''24'!$C$2:$C$1577,'Site Level Financials - ''23 ''24'!W$2:W$1577)</f>
        <v>-17.316902852899247</v>
      </c>
      <c r="L979" s="179">
        <f>_xlfn.XLOOKUP($C979,'Site Level Financials - ''23 ''24'!$C$2:$C$1577,'Site Level Financials - ''23 ''24'!X$2:X$1577)</f>
        <v>-17.316902852899247</v>
      </c>
      <c r="M979" s="179">
        <f>_xlfn.XLOOKUP($C979,'Site Level Financials - ''23 ''24'!$C$2:$C$1577,'Site Level Financials - ''23 ''24'!Y$2:Y$1577)</f>
        <v>-17.316902852899247</v>
      </c>
      <c r="N979" s="179">
        <f>_xlfn.XLOOKUP($C979,'Site Level Financials - ''23 ''24'!$C$2:$C$1577,'Site Level Financials - ''23 ''24'!Z$2:Z$1577)</f>
        <v>-17.316902852899247</v>
      </c>
      <c r="O979" s="179">
        <f>_xlfn.XLOOKUP($C979,'Site Level Financials - ''23 ''24'!$C$2:$C$1577,'Site Level Financials - ''23 ''24'!AA$2:AA$1577)</f>
        <v>-17.316902852899247</v>
      </c>
      <c r="P979" s="179">
        <f>_xlfn.XLOOKUP($C979,'Site Level Financials - ''23 ''24'!$C$2:$C$1577,'Site Level Financials - ''23 ''24'!AB$2:AB$1577)</f>
        <v>-17.316902852899247</v>
      </c>
      <c r="Q979" s="179">
        <f>_xlfn.XLOOKUP($C979,'Site Level Financials - ''23 ''24'!$C$2:$C$1577,'Site Level Financials - ''23 ''24'!AC$2:AC$1577)</f>
        <v>-17.316902852899247</v>
      </c>
      <c r="R979" s="179">
        <f>_xlfn.XLOOKUP($C979,'Site Level Financials - ''23 ''24'!$C$2:$C$1577,'Site Level Financials - ''23 ''24'!AD$2:AD$1577)</f>
        <v>-17.316902852899247</v>
      </c>
      <c r="S979" s="155">
        <f>G979*(1+S980)</f>
        <v>-17.316902852899243</v>
      </c>
      <c r="T979" s="154">
        <f t="shared" ref="T979" si="2834">H979*(1+T980)</f>
        <v>-17.316902852899243</v>
      </c>
      <c r="U979" s="154">
        <f t="shared" ref="U979" si="2835">I979*(1+U980)</f>
        <v>-17.836409938486224</v>
      </c>
      <c r="V979" s="154">
        <f t="shared" ref="V979" si="2836">J979*(1+V980)</f>
        <v>-17.836409938486224</v>
      </c>
      <c r="W979" s="154">
        <f t="shared" ref="W979" si="2837">K979*(1+W980)</f>
        <v>-17.836409938486224</v>
      </c>
      <c r="X979" s="154">
        <f t="shared" ref="X979" si="2838">L979*(1+X980)</f>
        <v>-17.836409938486224</v>
      </c>
      <c r="Y979" s="154">
        <f t="shared" ref="Y979" si="2839">M979*(1+Y980)</f>
        <v>-17.836409938486224</v>
      </c>
      <c r="Z979" s="154">
        <f t="shared" ref="Z979" si="2840">N979*(1+Z980)</f>
        <v>-17.836409938486224</v>
      </c>
      <c r="AA979" s="154">
        <f t="shared" ref="AA979" si="2841">O979*(1+AA980)</f>
        <v>-17.836409938486224</v>
      </c>
      <c r="AB979" s="154">
        <f t="shared" ref="AB979" si="2842">P979*(1+AB980)</f>
        <v>-17.836409938486224</v>
      </c>
      <c r="AC979" s="154">
        <f t="shared" ref="AC979" si="2843">Q979*(1+AC980)</f>
        <v>-17.836409938486224</v>
      </c>
      <c r="AD979" s="156">
        <f t="shared" ref="AD979" si="2844">R979*(1+AD980)</f>
        <v>-17.836409938486224</v>
      </c>
      <c r="AE979" s="15"/>
      <c r="AF979" s="115">
        <f>_xlfn.XLOOKUP($C979,'Site Level Financials - ''23 ''24'!$C$2:$C$1577,'Site Level Financials - ''23 ''24'!$AF$2:$AF$1577)</f>
        <v>-200.76673244957658</v>
      </c>
      <c r="AG979" s="93">
        <f>SUM(G979:R979)</f>
        <v>-206.79408261229202</v>
      </c>
      <c r="AH979" s="93">
        <f t="shared" ref="AH979" si="2845">SUM(S979:AD979)</f>
        <v>-212.99790509066068</v>
      </c>
    </row>
    <row r="980" spans="2:34" x14ac:dyDescent="0.2">
      <c r="B980" s="9">
        <f>G946</f>
        <v>20</v>
      </c>
      <c r="C980" s="9" t="str">
        <f t="shared" si="2740"/>
        <v>20 - % YoY Growth</v>
      </c>
      <c r="D980" s="9" t="s">
        <v>56</v>
      </c>
      <c r="F980" s="16" t="s">
        <v>8</v>
      </c>
      <c r="G980" s="245">
        <f>_xlfn.XLOOKUP($C980,'Site Level Financials - ''23 ''24'!$C$2:$C$1577,'Site Level Financials - ''23 ''24'!S$2:S$1577)</f>
        <v>3.0021657917001843E-2</v>
      </c>
      <c r="H980" s="246">
        <f>_xlfn.XLOOKUP($C980,'Site Level Financials - ''23 ''24'!$C$2:$C$1577,'Site Level Financials - ''23 ''24'!T$2:T$1577)</f>
        <v>3.0021657917001843E-2</v>
      </c>
      <c r="I980" s="246">
        <f>_xlfn.XLOOKUP($C980,'Site Level Financials - ''23 ''24'!$C$2:$C$1577,'Site Level Financials - ''23 ''24'!U$2:U$1577)</f>
        <v>3.0021657917002065E-2</v>
      </c>
      <c r="J980" s="246">
        <f>_xlfn.XLOOKUP($C980,'Site Level Financials - ''23 ''24'!$C$2:$C$1577,'Site Level Financials - ''23 ''24'!V$2:V$1577)</f>
        <v>3.0021657917002065E-2</v>
      </c>
      <c r="K980" s="246">
        <f>_xlfn.XLOOKUP($C980,'Site Level Financials - ''23 ''24'!$C$2:$C$1577,'Site Level Financials - ''23 ''24'!W$2:W$1577)</f>
        <v>3.0021657917002065E-2</v>
      </c>
      <c r="L980" s="246">
        <f>_xlfn.XLOOKUP($C980,'Site Level Financials - ''23 ''24'!$C$2:$C$1577,'Site Level Financials - ''23 ''24'!X$2:X$1577)</f>
        <v>3.0021657917002065E-2</v>
      </c>
      <c r="M980" s="246">
        <f>_xlfn.XLOOKUP($C980,'Site Level Financials - ''23 ''24'!$C$2:$C$1577,'Site Level Financials - ''23 ''24'!Y$2:Y$1577)</f>
        <v>3.0021657917002065E-2</v>
      </c>
      <c r="N980" s="246">
        <f>_xlfn.XLOOKUP($C980,'Site Level Financials - ''23 ''24'!$C$2:$C$1577,'Site Level Financials - ''23 ''24'!Z$2:Z$1577)</f>
        <v>3.0021657917002065E-2</v>
      </c>
      <c r="O980" s="246">
        <f>_xlfn.XLOOKUP($C980,'Site Level Financials - ''23 ''24'!$C$2:$C$1577,'Site Level Financials - ''23 ''24'!AA$2:AA$1577)</f>
        <v>3.0021657917002065E-2</v>
      </c>
      <c r="P980" s="246">
        <f>_xlfn.XLOOKUP($C980,'Site Level Financials - ''23 ''24'!$C$2:$C$1577,'Site Level Financials - ''23 ''24'!AB$2:AB$1577)</f>
        <v>3.0021657917002065E-2</v>
      </c>
      <c r="Q980" s="246">
        <f>_xlfn.XLOOKUP($C980,'Site Level Financials - ''23 ''24'!$C$2:$C$1577,'Site Level Financials - ''23 ''24'!AC$2:AC$1577)</f>
        <v>3.0021657917002065E-2</v>
      </c>
      <c r="R980" s="246">
        <f>_xlfn.XLOOKUP($C980,'Site Level Financials - ''23 ''24'!$C$2:$C$1577,'Site Level Financials - ''23 ''24'!AD$2:AD$1577)</f>
        <v>3.0021657917002065E-2</v>
      </c>
      <c r="S980" s="245">
        <f>_xlfn.XLOOKUP($F980,'Budget Assumption Driver'!$A$33:$A$39,'Budget Assumption Driver'!E$33:E$39)</f>
        <v>0.03</v>
      </c>
      <c r="T980" s="246">
        <f>_xlfn.XLOOKUP($F980,'Budget Assumption Driver'!$A$33:$A$39,'Budget Assumption Driver'!F$33:F$39)</f>
        <v>0.03</v>
      </c>
      <c r="U980" s="246">
        <f>_xlfn.XLOOKUP($F980,'Budget Assumption Driver'!$A$33:$A$39,'Budget Assumption Driver'!G$33:G$39)</f>
        <v>0.03</v>
      </c>
      <c r="V980" s="246">
        <f>_xlfn.XLOOKUP($F980,'Budget Assumption Driver'!$A$33:$A$39,'Budget Assumption Driver'!H$33:H$39)</f>
        <v>0.03</v>
      </c>
      <c r="W980" s="246">
        <f>_xlfn.XLOOKUP($F980,'Budget Assumption Driver'!$A$33:$A$39,'Budget Assumption Driver'!I$33:I$39)</f>
        <v>0.03</v>
      </c>
      <c r="X980" s="246">
        <f>_xlfn.XLOOKUP($F980,'Budget Assumption Driver'!$A$33:$A$39,'Budget Assumption Driver'!J$33:J$39)</f>
        <v>0.03</v>
      </c>
      <c r="Y980" s="246">
        <f>_xlfn.XLOOKUP($F980,'Budget Assumption Driver'!$A$33:$A$39,'Budget Assumption Driver'!K$33:K$39)</f>
        <v>0.03</v>
      </c>
      <c r="Z980" s="246">
        <f>_xlfn.XLOOKUP($F980,'Budget Assumption Driver'!$A$33:$A$39,'Budget Assumption Driver'!L$33:L$39)</f>
        <v>0.03</v>
      </c>
      <c r="AA980" s="246">
        <f>_xlfn.XLOOKUP($F980,'Budget Assumption Driver'!$A$33:$A$39,'Budget Assumption Driver'!M$33:M$39)</f>
        <v>0.03</v>
      </c>
      <c r="AB980" s="246">
        <f>_xlfn.XLOOKUP($F980,'Budget Assumption Driver'!$A$33:$A$39,'Budget Assumption Driver'!N$33:N$39)</f>
        <v>0.03</v>
      </c>
      <c r="AC980" s="246">
        <f>_xlfn.XLOOKUP($F980,'Budget Assumption Driver'!$A$33:$A$39,'Budget Assumption Driver'!O$33:O$39)</f>
        <v>0.03</v>
      </c>
      <c r="AD980" s="296">
        <f>_xlfn.XLOOKUP($F980,'Budget Assumption Driver'!$A$33:$A$39,'Budget Assumption Driver'!P$33:P$39)</f>
        <v>0.03</v>
      </c>
      <c r="AE980" s="15"/>
      <c r="AF980" s="11"/>
      <c r="AG980" s="97">
        <f>AG979/AF979-1</f>
        <v>3.0021657917001843E-2</v>
      </c>
      <c r="AH980" s="97">
        <f>AH979/AG979-1</f>
        <v>2.9999999999999583E-2</v>
      </c>
    </row>
    <row r="981" spans="2:34" ht="6" customHeight="1" x14ac:dyDescent="0.2">
      <c r="B981" s="9">
        <f>G946</f>
        <v>20</v>
      </c>
      <c r="C981" s="9" t="str">
        <f t="shared" si="2740"/>
        <v xml:space="preserve">20 - </v>
      </c>
      <c r="D981" s="9" t="s">
        <v>56</v>
      </c>
      <c r="F981" s="16"/>
      <c r="G981" s="80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80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81"/>
      <c r="AE981" s="15"/>
      <c r="AF981" s="11"/>
      <c r="AG981" s="15"/>
      <c r="AH981" s="15"/>
    </row>
    <row r="982" spans="2:34" x14ac:dyDescent="0.2">
      <c r="B982" s="9">
        <f>G946</f>
        <v>20</v>
      </c>
      <c r="C982" s="9" t="str">
        <f t="shared" si="2740"/>
        <v>20 - Office EBITDA</v>
      </c>
      <c r="D982" s="9" t="s">
        <v>56</v>
      </c>
      <c r="F982" s="8" t="s">
        <v>12</v>
      </c>
      <c r="G982" s="241">
        <f>_xlfn.XLOOKUP($C982,'Site Level Financials - ''23 ''24'!$C$2:$C$1577,'Site Level Financials - ''23 ''24'!S$2:S$1577)</f>
        <v>416.04739547893178</v>
      </c>
      <c r="H982" s="242">
        <f>_xlfn.XLOOKUP($C982,'Site Level Financials - ''23 ''24'!$C$2:$C$1577,'Site Level Financials - ''23 ''24'!T$2:T$1577)</f>
        <v>428.38618474082745</v>
      </c>
      <c r="I982" s="242">
        <f>_xlfn.XLOOKUP($C982,'Site Level Financials - ''23 ''24'!$C$2:$C$1577,'Site Level Financials - ''23 ''24'!U$2:U$1577)</f>
        <v>402.72902682214726</v>
      </c>
      <c r="J982" s="242">
        <f>_xlfn.XLOOKUP($C982,'Site Level Financials - ''23 ''24'!$C$2:$C$1577,'Site Level Financials - ''23 ''24'!V$2:V$1577)</f>
        <v>272.54409052365719</v>
      </c>
      <c r="K982" s="242">
        <f>_xlfn.XLOOKUP($C982,'Site Level Financials - ''23 ''24'!$C$2:$C$1577,'Site Level Financials - ''23 ''24'!W$2:W$1577)</f>
        <v>291.03572477718285</v>
      </c>
      <c r="L982" s="242">
        <f>_xlfn.XLOOKUP($C982,'Site Level Financials - ''23 ''24'!$C$2:$C$1577,'Site Level Financials - ''23 ''24'!X$2:X$1577)</f>
        <v>258.11676412969365</v>
      </c>
      <c r="M982" s="242">
        <f>_xlfn.XLOOKUP($C982,'Site Level Financials - ''23 ''24'!$C$2:$C$1577,'Site Level Financials - ''23 ''24'!Y$2:Y$1577)</f>
        <v>421.78046251136459</v>
      </c>
      <c r="N982" s="242">
        <f>_xlfn.XLOOKUP($C982,'Site Level Financials - ''23 ''24'!$C$2:$C$1577,'Site Level Financials - ''23 ''24'!Z$2:Z$1577)</f>
        <v>421.92904410365458</v>
      </c>
      <c r="O982" s="242">
        <f>_xlfn.XLOOKUP($C982,'Site Level Financials - ''23 ''24'!$C$2:$C$1577,'Site Level Financials - ''23 ''24'!AA$2:AA$1577)</f>
        <v>367.96019031647887</v>
      </c>
      <c r="P982" s="242">
        <f>_xlfn.XLOOKUP($C982,'Site Level Financials - ''23 ''24'!$C$2:$C$1577,'Site Level Financials - ''23 ''24'!AB$2:AB$1577)</f>
        <v>405.6603855260509</v>
      </c>
      <c r="Q982" s="242">
        <f>_xlfn.XLOOKUP($C982,'Site Level Financials - ''23 ''24'!$C$2:$C$1577,'Site Level Financials - ''23 ''24'!AC$2:AC$1577)</f>
        <v>441.2189713233663</v>
      </c>
      <c r="R982" s="242">
        <f>_xlfn.XLOOKUP($C982,'Site Level Financials - ''23 ''24'!$C$2:$C$1577,'Site Level Financials - ''23 ''24'!AD$2:AD$1577)</f>
        <v>336.16301234323367</v>
      </c>
      <c r="S982" s="134">
        <f t="shared" ref="S982:AD982" si="2846">S970+S973+S976+S979</f>
        <v>471.50263114568503</v>
      </c>
      <c r="T982" s="135">
        <f t="shared" si="2846"/>
        <v>482.24480589986945</v>
      </c>
      <c r="U982" s="135">
        <f t="shared" si="2846"/>
        <v>513.00449334903135</v>
      </c>
      <c r="V982" s="135">
        <f t="shared" si="2846"/>
        <v>440.66155487786222</v>
      </c>
      <c r="W982" s="135">
        <f t="shared" si="2846"/>
        <v>469.34876080171966</v>
      </c>
      <c r="X982" s="135">
        <f t="shared" si="2846"/>
        <v>433.91096277585018</v>
      </c>
      <c r="Y982" s="135">
        <f t="shared" si="2846"/>
        <v>548.86699075626609</v>
      </c>
      <c r="Z982" s="135">
        <f t="shared" si="2846"/>
        <v>465.55562550539179</v>
      </c>
      <c r="AA982" s="135">
        <f t="shared" si="2846"/>
        <v>422.93361100919367</v>
      </c>
      <c r="AB982" s="135">
        <f t="shared" si="2846"/>
        <v>486.02562059060148</v>
      </c>
      <c r="AC982" s="135">
        <f t="shared" si="2846"/>
        <v>431.76229871476352</v>
      </c>
      <c r="AD982" s="136">
        <f t="shared" si="2846"/>
        <v>350.43329121286524</v>
      </c>
      <c r="AE982" s="15"/>
      <c r="AF982" s="113">
        <f>_xlfn.XLOOKUP($C982,'Site Level Financials - ''23 ''24'!$C$2:$C$1577,'Site Level Financials - ''23 ''24'!$AF$2:$AF$1577)</f>
        <v>2311.6884217658999</v>
      </c>
      <c r="AG982" s="95">
        <f>SUM(G982:R982)</f>
        <v>4463.5712525965891</v>
      </c>
      <c r="AH982" s="95">
        <f t="shared" ref="AH982" si="2847">SUM(S982:AD982)</f>
        <v>5516.2506466391005</v>
      </c>
    </row>
    <row r="983" spans="2:34" x14ac:dyDescent="0.2">
      <c r="B983" s="9">
        <f>G946</f>
        <v>20</v>
      </c>
      <c r="C983" s="9" t="str">
        <f t="shared" si="2740"/>
        <v>20 - % of Revenue - Office EBITDA</v>
      </c>
      <c r="D983" s="9" t="s">
        <v>56</v>
      </c>
      <c r="F983" s="16" t="str">
        <f>"% of Revenue - "&amp;F982</f>
        <v>% of Revenue - Office EBITDA</v>
      </c>
      <c r="G983" s="148">
        <f>G982/G958</f>
        <v>0.62154608012292911</v>
      </c>
      <c r="H983" s="149">
        <f t="shared" ref="H983:AD983" si="2848">H982/H958</f>
        <v>0.6141279059960818</v>
      </c>
      <c r="I983" s="149">
        <f t="shared" si="2848"/>
        <v>0.60554945587891162</v>
      </c>
      <c r="J983" s="149">
        <f t="shared" si="2848"/>
        <v>0.47884892933691581</v>
      </c>
      <c r="K983" s="149">
        <f t="shared" si="2848"/>
        <v>0.42973761325910587</v>
      </c>
      <c r="L983" s="149">
        <f t="shared" si="2848"/>
        <v>0.4711466611155492</v>
      </c>
      <c r="M983" s="149">
        <f t="shared" si="2848"/>
        <v>0.60134648651494305</v>
      </c>
      <c r="N983" s="149">
        <f t="shared" si="2848"/>
        <v>0.59819805433924933</v>
      </c>
      <c r="O983" s="149">
        <f t="shared" si="2848"/>
        <v>0.59150904803511617</v>
      </c>
      <c r="P983" s="149">
        <f t="shared" si="2848"/>
        <v>0.59122205409239204</v>
      </c>
      <c r="Q983" s="149">
        <f t="shared" si="2848"/>
        <v>0.66959859855537185</v>
      </c>
      <c r="R983" s="149">
        <f t="shared" si="2848"/>
        <v>0.6641352420417781</v>
      </c>
      <c r="S983" s="148">
        <f t="shared" si="2848"/>
        <v>0.62375418077111799</v>
      </c>
      <c r="T983" s="149">
        <f t="shared" si="2848"/>
        <v>0.61610635838937067</v>
      </c>
      <c r="U983" s="149">
        <f t="shared" si="2848"/>
        <v>0.61036589073050218</v>
      </c>
      <c r="V983" s="149">
        <f t="shared" si="2848"/>
        <v>0.48946233467743133</v>
      </c>
      <c r="W983" s="149">
        <f t="shared" si="2848"/>
        <v>0.4386380821557283</v>
      </c>
      <c r="X983" s="149">
        <f t="shared" si="2848"/>
        <v>0.48290523915060363</v>
      </c>
      <c r="Y983" s="149">
        <f t="shared" si="2848"/>
        <v>0.60633193736048074</v>
      </c>
      <c r="Z983" s="149">
        <f t="shared" si="2848"/>
        <v>0.59977094821264854</v>
      </c>
      <c r="AA983" s="149">
        <f t="shared" si="2848"/>
        <v>0.59428380886172061</v>
      </c>
      <c r="AB983" s="149">
        <f t="shared" si="2848"/>
        <v>0.59463792811644789</v>
      </c>
      <c r="AC983" s="149">
        <f t="shared" si="2848"/>
        <v>0.66827211441056378</v>
      </c>
      <c r="AD983" s="150">
        <f t="shared" si="2848"/>
        <v>0.66452406026158628</v>
      </c>
      <c r="AE983" s="15"/>
      <c r="AF983" s="232">
        <f>_xlfn.XLOOKUP($C983,'Site Level Financials - ''23 ''24'!$C$2:$C$1577,'Site Level Financials - ''23 ''24'!$AF$2:$AF$1577)</f>
        <v>0.5646480040691132</v>
      </c>
      <c r="AG983" s="97">
        <f t="shared" ref="AG983:AH983" si="2849">AG982/AG958</f>
        <v>0.57921238150848608</v>
      </c>
      <c r="AH983" s="97">
        <f t="shared" si="2849"/>
        <v>0.57270771290170175</v>
      </c>
    </row>
    <row r="984" spans="2:34" ht="6" customHeight="1" x14ac:dyDescent="0.2">
      <c r="B984" s="9">
        <f>G946</f>
        <v>20</v>
      </c>
      <c r="C984" s="9" t="str">
        <f t="shared" si="2740"/>
        <v xml:space="preserve">20 - </v>
      </c>
      <c r="D984" s="9" t="s">
        <v>56</v>
      </c>
      <c r="G984" s="80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80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81"/>
      <c r="AE984" s="15"/>
      <c r="AF984" s="11"/>
      <c r="AG984" s="15"/>
      <c r="AH984" s="15"/>
    </row>
    <row r="985" spans="2:34" x14ac:dyDescent="0.2">
      <c r="B985" s="9">
        <f>G946</f>
        <v>20</v>
      </c>
      <c r="C985" s="9" t="str">
        <f t="shared" si="2740"/>
        <v>20 - Memo:</v>
      </c>
      <c r="D985" s="9" t="s">
        <v>56</v>
      </c>
      <c r="F985" s="6" t="s">
        <v>13</v>
      </c>
      <c r="G985" s="80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80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81"/>
      <c r="AE985" s="15"/>
      <c r="AF985" s="11"/>
      <c r="AG985" s="15"/>
      <c r="AH985" s="15"/>
    </row>
    <row r="986" spans="2:34" s="24" customFormat="1" x14ac:dyDescent="0.2">
      <c r="B986" s="9">
        <f>G946</f>
        <v>20</v>
      </c>
      <c r="C986" s="9" t="str">
        <f t="shared" si="2740"/>
        <v>20 - Collections</v>
      </c>
      <c r="D986" s="9" t="s">
        <v>56</v>
      </c>
      <c r="E986" s="49"/>
      <c r="F986" s="24" t="s">
        <v>15</v>
      </c>
      <c r="G986" s="247">
        <f>_xlfn.XLOOKUP($C986,'Site Level Financials - ''23 ''24'!$C$2:$C$1577,'Site Level Financials - ''23 ''24'!S$2:S$1577)</f>
        <v>683.27536475401041</v>
      </c>
      <c r="H986" s="248">
        <f>_xlfn.XLOOKUP($C986,'Site Level Financials - ''23 ''24'!$C$2:$C$1577,'Site Level Financials - ''23 ''24'!T$2:T$1577)</f>
        <v>702.79110577537608</v>
      </c>
      <c r="I986" s="248">
        <f>_xlfn.XLOOKUP($C986,'Site Level Financials - ''23 ''24'!$C$2:$C$1577,'Site Level Financials - ''23 ''24'!U$2:U$1577)</f>
        <v>675.60110114288022</v>
      </c>
      <c r="J986" s="248">
        <f>_xlfn.XLOOKUP($C986,'Site Level Financials - ''23 ''24'!$C$2:$C$1577,'Site Level Financials - ''23 ''24'!V$2:V$1577)</f>
        <v>584.73434127619703</v>
      </c>
      <c r="K986" s="248">
        <f>_xlfn.XLOOKUP($C986,'Site Level Financials - ''23 ''24'!$C$2:$C$1577,'Site Level Financials - ''23 ''24'!W$2:W$1577)</f>
        <v>672.36316909230163</v>
      </c>
      <c r="L986" s="248">
        <f>_xlfn.XLOOKUP($C986,'Site Level Financials - ''23 ''24'!$C$2:$C$1577,'Site Level Financials - ''23 ''24'!X$2:X$1577)</f>
        <v>558.79773889865112</v>
      </c>
      <c r="M986" s="248">
        <f>_xlfn.XLOOKUP($C986,'Site Level Financials - ''23 ''24'!$C$2:$C$1577,'Site Level Financials - ''23 ''24'!Y$2:Y$1577)</f>
        <v>715.28525417680521</v>
      </c>
      <c r="N986" s="248">
        <f>_xlfn.XLOOKUP($C986,'Site Level Financials - ''23 ''24'!$C$2:$C$1577,'Site Level Financials - ''23 ''24'!Z$2:Z$1577)</f>
        <v>705.61352006164088</v>
      </c>
      <c r="O986" s="248">
        <f>_xlfn.XLOOKUP($C986,'Site Level Financials - ''23 ''24'!$C$2:$C$1577,'Site Level Financials - ''23 ''24'!AA$2:AA$1577)</f>
        <v>621.5021437170609</v>
      </c>
      <c r="P986" s="248">
        <f>_xlfn.XLOOKUP($C986,'Site Level Financials - ''23 ''24'!$C$2:$C$1577,'Site Level Financials - ''23 ''24'!AB$2:AB$1577)</f>
        <v>699.41322625597411</v>
      </c>
      <c r="Q986" s="248">
        <f>_xlfn.XLOOKUP($C986,'Site Level Financials - ''23 ''24'!$C$2:$C$1577,'Site Level Financials - ''23 ''24'!AC$2:AC$1577)</f>
        <v>656.62524542537892</v>
      </c>
      <c r="R986" s="248">
        <f>_xlfn.XLOOKUP($C986,'Site Level Financials - ''23 ''24'!$C$2:$C$1577,'Site Level Financials - ''23 ''24'!AD$2:AD$1577)</f>
        <v>504.70357902190614</v>
      </c>
      <c r="S986" s="169">
        <f t="shared" ref="S986:AD986" si="2850">S987*S956</f>
        <v>755.91097531849562</v>
      </c>
      <c r="T986" s="170">
        <f t="shared" si="2850"/>
        <v>782.72979873240877</v>
      </c>
      <c r="U986" s="170">
        <f t="shared" si="2850"/>
        <v>840.4868311613119</v>
      </c>
      <c r="V986" s="170">
        <f t="shared" si="2850"/>
        <v>900.29717029865003</v>
      </c>
      <c r="W986" s="170">
        <f t="shared" si="2850"/>
        <v>1070.0137081009036</v>
      </c>
      <c r="X986" s="170">
        <f t="shared" si="2850"/>
        <v>898.54266965309603</v>
      </c>
      <c r="Y986" s="170">
        <f t="shared" si="2850"/>
        <v>905.22526843237983</v>
      </c>
      <c r="Z986" s="170">
        <f t="shared" si="2850"/>
        <v>776.22236771016333</v>
      </c>
      <c r="AA986" s="170">
        <f t="shared" si="2850"/>
        <v>711.66941569428297</v>
      </c>
      <c r="AB986" s="170">
        <f t="shared" si="2850"/>
        <v>817.34715800944184</v>
      </c>
      <c r="AC986" s="170">
        <f t="shared" si="2850"/>
        <v>646.08755835276907</v>
      </c>
      <c r="AD986" s="171">
        <f t="shared" si="2850"/>
        <v>527.34477525903139</v>
      </c>
      <c r="AE986" s="26"/>
      <c r="AF986" s="234">
        <f>_xlfn.XLOOKUP($C986,'Site Level Financials - ''23 ''24'!$C$2:$C$1577,'Site Level Financials - ''23 ''24'!$AF$2:$AF$1577)</f>
        <v>4113.7407690469017</v>
      </c>
      <c r="AG986" s="99">
        <f>SUM(G986:R986)</f>
        <v>7780.7057895981825</v>
      </c>
      <c r="AH986" s="99">
        <f t="shared" ref="AH986" si="2851">SUM(S986:AD986)</f>
        <v>9631.8776967229314</v>
      </c>
    </row>
    <row r="987" spans="2:34" x14ac:dyDescent="0.2">
      <c r="B987" s="9">
        <f>G946</f>
        <v>20</v>
      </c>
      <c r="C987" s="9" t="str">
        <f t="shared" si="2740"/>
        <v>20 - Collections as a % of Production</v>
      </c>
      <c r="D987" s="9" t="s">
        <v>56</v>
      </c>
      <c r="F987" s="16" t="s">
        <v>17</v>
      </c>
      <c r="G987" s="245">
        <f>_xlfn.XLOOKUP($C987,'Site Level Financials - ''23 ''24'!$C$2:$C$1577,'Site Level Financials - ''23 ''24'!S$2:S$1577)</f>
        <v>0.99011834568817414</v>
      </c>
      <c r="H987" s="246">
        <f>_xlfn.XLOOKUP($C987,'Site Level Financials - ''23 ''24'!$C$2:$C$1577,'Site Level Financials - ''23 ''24'!T$2:T$1577)</f>
        <v>0.97726074189113188</v>
      </c>
      <c r="I987" s="246">
        <f>_xlfn.XLOOKUP($C987,'Site Level Financials - ''23 ''24'!$C$2:$C$1577,'Site Level Financials - ''23 ''24'!U$2:U$1577)</f>
        <v>0.98534395128200525</v>
      </c>
      <c r="J987" s="246">
        <f>_xlfn.XLOOKUP($C987,'Site Level Financials - ''23 ''24'!$C$2:$C$1577,'Site Level Financials - ''23 ''24'!V$2:V$1577)</f>
        <v>0.99650887767088292</v>
      </c>
      <c r="K987" s="246">
        <f>_xlfn.XLOOKUP($C987,'Site Level Financials - ''23 ''24'!$C$2:$C$1577,'Site Level Financials - ''23 ''24'!W$2:W$1577)</f>
        <v>0.96299005356925882</v>
      </c>
      <c r="L987" s="246">
        <f>_xlfn.XLOOKUP($C987,'Site Level Financials - ''23 ''24'!$C$2:$C$1577,'Site Level Financials - ''23 ''24'!X$2:X$1577)</f>
        <v>0.98936232079800446</v>
      </c>
      <c r="M987" s="246">
        <f>_xlfn.XLOOKUP($C987,'Site Level Financials - ''23 ''24'!$C$2:$C$1577,'Site Level Financials - ''23 ''24'!Y$2:Y$1577)</f>
        <v>0.98918702642360856</v>
      </c>
      <c r="N987" s="246">
        <f>_xlfn.XLOOKUP($C987,'Site Level Financials - ''23 ''24'!$C$2:$C$1577,'Site Level Financials - ''23 ''24'!Z$2:Z$1577)</f>
        <v>0.97036090003284814</v>
      </c>
      <c r="O987" s="246">
        <f>_xlfn.XLOOKUP($C987,'Site Level Financials - ''23 ''24'!$C$2:$C$1577,'Site Level Financials - ''23 ''24'!AA$2:AA$1577)</f>
        <v>0.96908976984312079</v>
      </c>
      <c r="P987" s="246">
        <f>_xlfn.XLOOKUP($C987,'Site Level Financials - ''23 ''24'!$C$2:$C$1577,'Site Level Financials - ''23 ''24'!AB$2:AB$1577)</f>
        <v>0.98874132999491016</v>
      </c>
      <c r="Q987" s="246">
        <f>_xlfn.XLOOKUP($C987,'Site Level Financials - ''23 ''24'!$C$2:$C$1577,'Site Level Financials - ''23 ''24'!AC$2:AC$1577)</f>
        <v>0.96658211508090186</v>
      </c>
      <c r="R987" s="246">
        <f>_xlfn.XLOOKUP($C987,'Site Level Financials - ''23 ''24'!$C$2:$C$1577,'Site Level Financials - ''23 ''24'!AD$2:AD$1577)</f>
        <v>0.96717219989273295</v>
      </c>
      <c r="S987" s="148">
        <f>S957</f>
        <v>0.97934380267523324</v>
      </c>
      <c r="T987" s="149">
        <f t="shared" ref="T987:AD987" si="2852">T957</f>
        <v>0.97934380267523324</v>
      </c>
      <c r="U987" s="149">
        <f t="shared" si="2852"/>
        <v>0.97934380267523324</v>
      </c>
      <c r="V987" s="149">
        <f t="shared" si="2852"/>
        <v>0.97934380267523324</v>
      </c>
      <c r="W987" s="149">
        <f t="shared" si="2852"/>
        <v>0.97934380267523324</v>
      </c>
      <c r="X987" s="149">
        <f t="shared" si="2852"/>
        <v>0.97934380267523324</v>
      </c>
      <c r="Y987" s="149">
        <f t="shared" si="2852"/>
        <v>0.97934380267523324</v>
      </c>
      <c r="Z987" s="149">
        <f t="shared" si="2852"/>
        <v>0.97934380267523324</v>
      </c>
      <c r="AA987" s="149">
        <f t="shared" si="2852"/>
        <v>0.97934380267523324</v>
      </c>
      <c r="AB987" s="149">
        <f t="shared" si="2852"/>
        <v>0.97934380267523324</v>
      </c>
      <c r="AC987" s="149">
        <f t="shared" si="2852"/>
        <v>0.97934380267523324</v>
      </c>
      <c r="AD987" s="150">
        <f t="shared" si="2852"/>
        <v>0.97934380267523324</v>
      </c>
      <c r="AE987" s="15"/>
      <c r="AF987" s="232">
        <f>_xlfn.XLOOKUP($C987,'Site Level Financials - ''23 ''24'!$C$2:$C$1577,'Site Level Financials - ''23 ''24'!$AF$2:$AF$1577)</f>
        <v>0.98227459206795098</v>
      </c>
      <c r="AG987" s="97">
        <f t="shared" ref="AG987:AH987" si="2853">AG986/AG956</f>
        <v>0.97934380267523324</v>
      </c>
      <c r="AH987" s="97">
        <f t="shared" si="2853"/>
        <v>0.97934380267523291</v>
      </c>
    </row>
    <row r="988" spans="2:34" ht="6" customHeight="1" x14ac:dyDescent="0.2">
      <c r="B988" s="9">
        <f>G946</f>
        <v>20</v>
      </c>
      <c r="C988" s="9" t="str">
        <f t="shared" si="2740"/>
        <v xml:space="preserve">20 - </v>
      </c>
      <c r="D988" s="9" t="s">
        <v>56</v>
      </c>
      <c r="F988" s="27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81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81"/>
      <c r="AE988" s="15"/>
      <c r="AF988" s="11"/>
      <c r="AH988" s="224"/>
    </row>
    <row r="989" spans="2:34" s="24" customFormat="1" x14ac:dyDescent="0.2">
      <c r="B989" s="9">
        <f>G946</f>
        <v>20</v>
      </c>
      <c r="C989" s="9" t="str">
        <f t="shared" si="2740"/>
        <v>20 - Production per Vet Workday - YoY Change</v>
      </c>
      <c r="D989" s="9" t="s">
        <v>56</v>
      </c>
      <c r="E989" s="49"/>
      <c r="F989" s="24" t="s">
        <v>55</v>
      </c>
      <c r="G989" s="249">
        <f>_xlfn.XLOOKUP($C989,'Site Level Financials - ''23 ''24'!$C$2:$C$1577,'Site Level Financials - ''23 ''24'!S$2:S$1577)</f>
        <v>3.7099514601189876E-2</v>
      </c>
      <c r="H989" s="250">
        <f>_xlfn.XLOOKUP($C989,'Site Level Financials - ''23 ''24'!$C$2:$C$1577,'Site Level Financials - ''23 ''24'!T$2:T$1577)</f>
        <v>7.3820083816303672E-2</v>
      </c>
      <c r="I989" s="250">
        <f>_xlfn.XLOOKUP($C989,'Site Level Financials - ''23 ''24'!$C$2:$C$1577,'Site Level Financials - ''23 ''24'!U$2:U$1577)</f>
        <v>-9.475765600604058E-2</v>
      </c>
      <c r="J989" s="250">
        <f>_xlfn.XLOOKUP($C989,'Site Level Financials - ''23 ''24'!$C$2:$C$1577,'Site Level Financials - ''23 ''24'!V$2:V$1577)</f>
        <v>-9.0590237279808417E-4</v>
      </c>
      <c r="K989" s="250">
        <f>_xlfn.XLOOKUP($C989,'Site Level Financials - ''23 ''24'!$C$2:$C$1577,'Site Level Financials - ''23 ''24'!W$2:W$1577)</f>
        <v>-1.8799822721856541E-2</v>
      </c>
      <c r="L989" s="250">
        <f>_xlfn.XLOOKUP($C989,'Site Level Financials - ''23 ''24'!$C$2:$C$1577,'Site Level Financials - ''23 ''24'!X$2:X$1577)</f>
        <v>-0.10591750768734953</v>
      </c>
      <c r="M989" s="250">
        <f>_xlfn.XLOOKUP($C989,'Site Level Financials - ''23 ''24'!$C$2:$C$1577,'Site Level Financials - ''23 ''24'!Y$2:Y$1577)</f>
        <v>-0.1118276170745458</v>
      </c>
      <c r="N989" s="250">
        <f>_xlfn.XLOOKUP($C989,'Site Level Financials - ''23 ''24'!$C$2:$C$1577,'Site Level Financials - ''23 ''24'!Z$2:Z$1577)</f>
        <v>6.2125109900917019E-2</v>
      </c>
      <c r="O989" s="250">
        <f>_xlfn.XLOOKUP($C989,'Site Level Financials - ''23 ''24'!$C$2:$C$1577,'Site Level Financials - ''23 ''24'!AA$2:AA$1577)</f>
        <v>6.6069742569018874E-2</v>
      </c>
      <c r="P989" s="250">
        <f>_xlfn.XLOOKUP($C989,'Site Level Financials - ''23 ''24'!$C$2:$C$1577,'Site Level Financials - ''23 ''24'!AB$2:AB$1577)</f>
        <v>2.168913232279257E-2</v>
      </c>
      <c r="Q989" s="250">
        <f>_xlfn.XLOOKUP($C989,'Site Level Financials - ''23 ''24'!$C$2:$C$1577,'Site Level Financials - ''23 ''24'!AC$2:AC$1577)</f>
        <v>-1.638200961071179E-2</v>
      </c>
      <c r="R989" s="251">
        <f>_xlfn.XLOOKUP($C989,'Site Level Financials - ''23 ''24'!$C$2:$C$1577,'Site Level Financials - ''23 ''24'!AD$2:AD$1577)</f>
        <v>-7.8339887603326552E-2</v>
      </c>
      <c r="S989" s="151">
        <f>S955/G955-1</f>
        <v>-0.10521889727471723</v>
      </c>
      <c r="T989" s="152">
        <f t="shared" ref="T989" si="2854">T955/H955-1</f>
        <v>-0.11089946492880487</v>
      </c>
      <c r="U989" s="152">
        <f t="shared" ref="U989" si="2855">U955/I955-1</f>
        <v>1.3438319323360037E-3</v>
      </c>
      <c r="V989" s="152">
        <f t="shared" ref="V989" si="2856">V955/J955-1</f>
        <v>-6.0007198900217551E-2</v>
      </c>
      <c r="W989" s="152">
        <f t="shared" ref="W989" si="2857">W955/K955-1</f>
        <v>-6.1091440227477589E-2</v>
      </c>
      <c r="X989" s="152">
        <f t="shared" ref="X989" si="2858">X955/L955-1</f>
        <v>-2.5334703842104012E-2</v>
      </c>
      <c r="Y989" s="152">
        <f t="shared" ref="Y989" si="2859">Y955/M955-1</f>
        <v>2.2611366443907821E-2</v>
      </c>
      <c r="Z989" s="152">
        <f t="shared" ref="Z989" si="2860">Z955/N955-1</f>
        <v>-0.12801832965503968</v>
      </c>
      <c r="AA989" s="152">
        <f t="shared" ref="AA989" si="2861">AA955/O955-1</f>
        <v>-9.3527803643333574E-2</v>
      </c>
      <c r="AB989" s="152">
        <f t="shared" ref="AB989" si="2862">AB955/P955-1</f>
        <v>-5.6134283008886121E-2</v>
      </c>
      <c r="AC989" s="152">
        <f t="shared" ref="AC989" si="2863">AC955/Q955-1</f>
        <v>-2.8869984559743989E-2</v>
      </c>
      <c r="AD989" s="153">
        <f t="shared" ref="AD989" si="2864">AD955/R955-1</f>
        <v>3.1874519628317666E-2</v>
      </c>
      <c r="AF989" s="43"/>
      <c r="AG989" s="177">
        <f>AG955/AF955-1</f>
        <v>-4.1503611321538458E-2</v>
      </c>
      <c r="AH989" s="225">
        <f>AH955/AG955-1</f>
        <v>-3.0834262076611108E-2</v>
      </c>
    </row>
    <row r="990" spans="2:34" s="24" customFormat="1" ht="6" customHeight="1" x14ac:dyDescent="0.2">
      <c r="D990" s="9" t="s">
        <v>56</v>
      </c>
      <c r="E990" s="49"/>
      <c r="G990" s="28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29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29"/>
      <c r="AE990" s="25"/>
      <c r="AF990" s="28"/>
      <c r="AG990" s="30"/>
      <c r="AH990" s="226"/>
    </row>
    <row r="991" spans="2:34" s="24" customFormat="1" ht="6" customHeight="1" x14ac:dyDescent="0.2">
      <c r="D991" s="9" t="s">
        <v>56</v>
      </c>
      <c r="E991" s="49"/>
    </row>
    <row r="992" spans="2:34" x14ac:dyDescent="0.2">
      <c r="D992" s="9" t="s">
        <v>56</v>
      </c>
      <c r="F992" s="16"/>
    </row>
    <row r="993" spans="2:35" ht="15.75" thickBot="1" x14ac:dyDescent="0.4">
      <c r="B993" s="35" t="s">
        <v>52</v>
      </c>
      <c r="C993" s="35"/>
      <c r="D993" s="9" t="s">
        <v>56</v>
      </c>
      <c r="E993" s="48" t="s">
        <v>0</v>
      </c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74"/>
      <c r="AH993" s="3">
        <f ca="1">TODAY()</f>
        <v>45999</v>
      </c>
      <c r="AI993" s="1"/>
    </row>
    <row r="994" spans="2:35" x14ac:dyDescent="0.2">
      <c r="B994" s="9">
        <f>G995</f>
        <v>21</v>
      </c>
      <c r="C994" s="9"/>
      <c r="D994" s="9" t="s">
        <v>56</v>
      </c>
      <c r="F994" t="s">
        <v>159</v>
      </c>
      <c r="AG994" s="6"/>
      <c r="AH994" s="6" t="s">
        <v>16</v>
      </c>
    </row>
    <row r="995" spans="2:35" x14ac:dyDescent="0.2">
      <c r="B995" s="9">
        <f>G995</f>
        <v>21</v>
      </c>
      <c r="C995" s="9"/>
      <c r="D995" s="9" t="s">
        <v>56</v>
      </c>
      <c r="F995" s="40" t="s">
        <v>53</v>
      </c>
      <c r="G995" s="42">
        <v>21</v>
      </c>
    </row>
    <row r="996" spans="2:35" x14ac:dyDescent="0.2">
      <c r="B996" s="9">
        <f>G995</f>
        <v>21</v>
      </c>
      <c r="C996" s="9"/>
      <c r="D996" s="9" t="s">
        <v>56</v>
      </c>
      <c r="F996" s="39" t="s">
        <v>38</v>
      </c>
      <c r="G996" s="41"/>
      <c r="H996" s="11"/>
    </row>
    <row r="997" spans="2:35" x14ac:dyDescent="0.2">
      <c r="B997" s="9">
        <f>G995</f>
        <v>21</v>
      </c>
      <c r="C997" s="9"/>
      <c r="D997" s="9" t="s">
        <v>56</v>
      </c>
      <c r="G997" s="23"/>
    </row>
    <row r="998" spans="2:35" x14ac:dyDescent="0.2">
      <c r="B998" s="9">
        <f>G995</f>
        <v>21</v>
      </c>
      <c r="C998" s="9"/>
      <c r="D998" s="9" t="s">
        <v>56</v>
      </c>
      <c r="G998" s="208" t="s">
        <v>229</v>
      </c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10"/>
      <c r="S998" s="266" t="s">
        <v>230</v>
      </c>
      <c r="T998" s="267"/>
      <c r="U998" s="267"/>
      <c r="V998" s="267"/>
      <c r="W998" s="267"/>
      <c r="X998" s="267"/>
      <c r="Y998" s="267"/>
      <c r="Z998" s="267"/>
      <c r="AA998" s="267"/>
      <c r="AB998" s="267"/>
      <c r="AC998" s="267"/>
      <c r="AD998" s="268"/>
      <c r="AF998" s="17" t="s">
        <v>231</v>
      </c>
      <c r="AG998" s="50"/>
      <c r="AH998" s="269" t="s">
        <v>232</v>
      </c>
    </row>
    <row r="999" spans="2:35" ht="15" customHeight="1" x14ac:dyDescent="0.35">
      <c r="B999" s="9">
        <f>G995</f>
        <v>21</v>
      </c>
      <c r="C999" s="9"/>
      <c r="D999" s="9" t="s">
        <v>56</v>
      </c>
      <c r="G999" s="211">
        <v>44957</v>
      </c>
      <c r="H999" s="212">
        <f>EOMONTH(G999,1)</f>
        <v>44985</v>
      </c>
      <c r="I999" s="212">
        <f t="shared" ref="I999" si="2865">EOMONTH(H999,1)</f>
        <v>45016</v>
      </c>
      <c r="J999" s="212">
        <f t="shared" ref="J999" si="2866">EOMONTH(I999,1)</f>
        <v>45046</v>
      </c>
      <c r="K999" s="212">
        <f t="shared" ref="K999" si="2867">EOMONTH(J999,1)</f>
        <v>45077</v>
      </c>
      <c r="L999" s="212">
        <f t="shared" ref="L999" si="2868">EOMONTH(K999,1)</f>
        <v>45107</v>
      </c>
      <c r="M999" s="212">
        <f t="shared" ref="M999" si="2869">EOMONTH(L999,1)</f>
        <v>45138</v>
      </c>
      <c r="N999" s="212">
        <f t="shared" ref="N999" si="2870">EOMONTH(M999,1)</f>
        <v>45169</v>
      </c>
      <c r="O999" s="212">
        <f t="shared" ref="O999" si="2871">EOMONTH(N999,1)</f>
        <v>45199</v>
      </c>
      <c r="P999" s="212">
        <f t="shared" ref="P999" si="2872">EOMONTH(O999,1)</f>
        <v>45230</v>
      </c>
      <c r="Q999" s="212">
        <f t="shared" ref="Q999" si="2873">EOMONTH(P999,1)</f>
        <v>45260</v>
      </c>
      <c r="R999" s="213">
        <f t="shared" ref="R999" si="2874">EOMONTH(Q999,1)</f>
        <v>45291</v>
      </c>
      <c r="S999" s="4">
        <f t="shared" ref="S999" si="2875">EOMONTH(R999,1)</f>
        <v>45322</v>
      </c>
      <c r="T999" s="19">
        <f t="shared" ref="T999" si="2876">EOMONTH(S999,1)</f>
        <v>45351</v>
      </c>
      <c r="U999" s="19">
        <f t="shared" ref="U999" si="2877">EOMONTH(T999,1)</f>
        <v>45382</v>
      </c>
      <c r="V999" s="19">
        <f t="shared" ref="V999" si="2878">EOMONTH(U999,1)</f>
        <v>45412</v>
      </c>
      <c r="W999" s="19">
        <f t="shared" ref="W999" si="2879">EOMONTH(V999,1)</f>
        <v>45443</v>
      </c>
      <c r="X999" s="19">
        <f t="shared" ref="X999" si="2880">EOMONTH(W999,1)</f>
        <v>45473</v>
      </c>
      <c r="Y999" s="19">
        <f t="shared" ref="Y999" si="2881">EOMONTH(X999,1)</f>
        <v>45504</v>
      </c>
      <c r="Z999" s="19">
        <f t="shared" ref="Z999" si="2882">EOMONTH(Y999,1)</f>
        <v>45535</v>
      </c>
      <c r="AA999" s="19">
        <f t="shared" ref="AA999" si="2883">EOMONTH(Z999,1)</f>
        <v>45565</v>
      </c>
      <c r="AB999" s="19">
        <f t="shared" ref="AB999" si="2884">EOMONTH(AA999,1)</f>
        <v>45596</v>
      </c>
      <c r="AC999" s="19">
        <f t="shared" ref="AC999" si="2885">EOMONTH(AB999,1)</f>
        <v>45626</v>
      </c>
      <c r="AD999" s="5">
        <f t="shared" ref="AD999" si="2886">EOMONTH(AC999,1)</f>
        <v>45657</v>
      </c>
      <c r="AE999" s="168"/>
      <c r="AF999" s="13">
        <v>45291</v>
      </c>
      <c r="AG999" s="14">
        <v>45657</v>
      </c>
      <c r="AH999" s="14">
        <v>46022</v>
      </c>
    </row>
    <row r="1000" spans="2:35" ht="0.95" customHeight="1" x14ac:dyDescent="0.2">
      <c r="B1000" s="9">
        <f>G995</f>
        <v>21</v>
      </c>
      <c r="C1000" s="9"/>
      <c r="D1000" s="9" t="s">
        <v>56</v>
      </c>
      <c r="G1000" s="11"/>
      <c r="S1000" s="11"/>
      <c r="AD1000" s="15"/>
      <c r="AE1000" s="15"/>
      <c r="AF1000" s="11"/>
      <c r="AG1000" s="15"/>
      <c r="AH1000" s="15"/>
    </row>
    <row r="1001" spans="2:35" x14ac:dyDescent="0.2">
      <c r="B1001" s="9">
        <f>G995</f>
        <v>21</v>
      </c>
      <c r="C1001" s="9" t="str">
        <f>B1001&amp;" - "&amp;F1001</f>
        <v>21 - Employed Vets</v>
      </c>
      <c r="D1001" s="9" t="s">
        <v>56</v>
      </c>
      <c r="F1001" s="7" t="s">
        <v>160</v>
      </c>
      <c r="G1001" s="178">
        <f>_xlfn.XLOOKUP($C1001,'Site Level Financials - ''23 ''24'!$C$2:$C$1577,'Site Level Financials - ''23 ''24'!S$2:S$1577)</f>
        <v>4</v>
      </c>
      <c r="H1001" s="179">
        <f>_xlfn.XLOOKUP($C1001,'Site Level Financials - ''23 ''24'!$C$2:$C$1577,'Site Level Financials - ''23 ''24'!T$2:T$1577)</f>
        <v>4</v>
      </c>
      <c r="I1001" s="179">
        <f>_xlfn.XLOOKUP($C1001,'Site Level Financials - ''23 ''24'!$C$2:$C$1577,'Site Level Financials - ''23 ''24'!U$2:U$1577)</f>
        <v>3</v>
      </c>
      <c r="J1001" s="179">
        <f>_xlfn.XLOOKUP($C1001,'Site Level Financials - ''23 ''24'!$C$2:$C$1577,'Site Level Financials - ''23 ''24'!V$2:V$1577)</f>
        <v>2</v>
      </c>
      <c r="K1001" s="179">
        <f>_xlfn.XLOOKUP($C1001,'Site Level Financials - ''23 ''24'!$C$2:$C$1577,'Site Level Financials - ''23 ''24'!W$2:W$1577)</f>
        <v>2</v>
      </c>
      <c r="L1001" s="179">
        <f>_xlfn.XLOOKUP($C1001,'Site Level Financials - ''23 ''24'!$C$2:$C$1577,'Site Level Financials - ''23 ''24'!X$2:X$1577)</f>
        <v>2</v>
      </c>
      <c r="M1001" s="179">
        <f>_xlfn.XLOOKUP($C1001,'Site Level Financials - ''23 ''24'!$C$2:$C$1577,'Site Level Financials - ''23 ''24'!Y$2:Y$1577)</f>
        <v>2</v>
      </c>
      <c r="N1001" s="179">
        <f>_xlfn.XLOOKUP($C1001,'Site Level Financials - ''23 ''24'!$C$2:$C$1577,'Site Level Financials - ''23 ''24'!Z$2:Z$1577)</f>
        <v>3</v>
      </c>
      <c r="O1001" s="179">
        <f>_xlfn.XLOOKUP($C1001,'Site Level Financials - ''23 ''24'!$C$2:$C$1577,'Site Level Financials - ''23 ''24'!AA$2:AA$1577)</f>
        <v>3</v>
      </c>
      <c r="P1001" s="179">
        <f>_xlfn.XLOOKUP($C1001,'Site Level Financials - ''23 ''24'!$C$2:$C$1577,'Site Level Financials - ''23 ''24'!AB$2:AB$1577)</f>
        <v>3</v>
      </c>
      <c r="Q1001" s="179">
        <f>_xlfn.XLOOKUP($C1001,'Site Level Financials - ''23 ''24'!$C$2:$C$1577,'Site Level Financials - ''23 ''24'!AC$2:AC$1577)</f>
        <v>4</v>
      </c>
      <c r="R1001" s="179">
        <f>_xlfn.XLOOKUP($C1001,'Site Level Financials - ''23 ''24'!$C$2:$C$1577,'Site Level Financials - ''23 ''24'!AD$2:AD$1577)</f>
        <v>5</v>
      </c>
      <c r="S1001" s="178">
        <f>R1001+_xlfn.XLOOKUP($R1001,'Budget Assumption Driver'!$A$7:$A$11,'Budget Assumption Driver'!E$7:E$11)</f>
        <v>5</v>
      </c>
      <c r="T1001" s="179">
        <f>S1001+_xlfn.XLOOKUP($R1001,'Budget Assumption Driver'!$A$7:$A$11,'Budget Assumption Driver'!F$7:F$11)</f>
        <v>5</v>
      </c>
      <c r="U1001" s="179">
        <f>T1001+_xlfn.XLOOKUP($R1001,'Budget Assumption Driver'!$A$7:$A$11,'Budget Assumption Driver'!G$7:G$11)</f>
        <v>5</v>
      </c>
      <c r="V1001" s="179">
        <f>U1001+_xlfn.XLOOKUP($R1001,'Budget Assumption Driver'!$A$7:$A$11,'Budget Assumption Driver'!H$7:H$11)</f>
        <v>5</v>
      </c>
      <c r="W1001" s="179">
        <f>V1001+_xlfn.XLOOKUP($R1001,'Budget Assumption Driver'!$A$7:$A$11,'Budget Assumption Driver'!I$7:I$11)</f>
        <v>5</v>
      </c>
      <c r="X1001" s="179">
        <f>W1001+_xlfn.XLOOKUP($R1001,'Budget Assumption Driver'!$A$7:$A$11,'Budget Assumption Driver'!J$7:J$11)</f>
        <v>5</v>
      </c>
      <c r="Y1001" s="179">
        <f>X1001+_xlfn.XLOOKUP($R1001,'Budget Assumption Driver'!$A$7:$A$11,'Budget Assumption Driver'!K$7:K$11)</f>
        <v>5</v>
      </c>
      <c r="Z1001" s="179">
        <f>Y1001+_xlfn.XLOOKUP($R1001,'Budget Assumption Driver'!$A$7:$A$11,'Budget Assumption Driver'!L$7:L$11)</f>
        <v>5</v>
      </c>
      <c r="AA1001" s="179">
        <f>Z1001+_xlfn.XLOOKUP($R1001,'Budget Assumption Driver'!$A$7:$A$11,'Budget Assumption Driver'!M$7:M$11)</f>
        <v>5</v>
      </c>
      <c r="AB1001" s="179">
        <f>AA1001+_xlfn.XLOOKUP($R1001,'Budget Assumption Driver'!$A$7:$A$11,'Budget Assumption Driver'!N$7:N$11)</f>
        <v>5</v>
      </c>
      <c r="AC1001" s="179">
        <f>AB1001+_xlfn.XLOOKUP($R1001,'Budget Assumption Driver'!$A$7:$A$11,'Budget Assumption Driver'!O$7:O$11)</f>
        <v>5</v>
      </c>
      <c r="AD1001" s="290">
        <f>AC1001+_xlfn.XLOOKUP($R1001,'Budget Assumption Driver'!$A$7:$A$11,'Budget Assumption Driver'!P$7:P$11)</f>
        <v>5</v>
      </c>
      <c r="AE1001" s="15"/>
      <c r="AF1001" s="229">
        <f>_xlfn.XLOOKUP($C1001,'Site Level Financials - ''23 ''24'!$C$2:$C$1577,'Site Level Financials - ''23 ''24'!$AF$2:$AF$1577)</f>
        <v>3.3333333333333335</v>
      </c>
      <c r="AG1001" s="91">
        <f t="shared" ref="AG1001:AH1001" si="2887">AG1003/AG1002</f>
        <v>3.0780669144981414</v>
      </c>
      <c r="AH1001" s="91">
        <f t="shared" si="2887"/>
        <v>5</v>
      </c>
    </row>
    <row r="1002" spans="2:35" x14ac:dyDescent="0.2">
      <c r="B1002" s="9">
        <f>G995</f>
        <v>21</v>
      </c>
      <c r="C1002" s="9" t="str">
        <f t="shared" ref="C1002:C1038" si="2888">B1002&amp;" - "&amp;F1002</f>
        <v>21 - Workdays in Month / Year</v>
      </c>
      <c r="D1002" s="9" t="s">
        <v>56</v>
      </c>
      <c r="F1002" s="7" t="s">
        <v>54</v>
      </c>
      <c r="G1002" s="178">
        <f>_xlfn.XLOOKUP($C1002,'Site Level Financials - ''23 ''24'!$C$2:$C$1577,'Site Level Financials - ''23 ''24'!S$2:S$1577)</f>
        <v>23</v>
      </c>
      <c r="H1002" s="235">
        <f>_xlfn.XLOOKUP($C1002,'Site Level Financials - ''23 ''24'!$C$2:$C$1577,'Site Level Financials - ''23 ''24'!T$2:T$1577)</f>
        <v>22</v>
      </c>
      <c r="I1002" s="235">
        <f>_xlfn.XLOOKUP($C1002,'Site Level Financials - ''23 ''24'!$C$2:$C$1577,'Site Level Financials - ''23 ''24'!U$2:U$1577)</f>
        <v>22</v>
      </c>
      <c r="J1002" s="179">
        <f>_xlfn.XLOOKUP($C1002,'Site Level Financials - ''23 ''24'!$C$2:$C$1577,'Site Level Financials - ''23 ''24'!V$2:V$1577)</f>
        <v>22</v>
      </c>
      <c r="K1002" s="179">
        <f>_xlfn.XLOOKUP($C1002,'Site Level Financials - ''23 ''24'!$C$2:$C$1577,'Site Level Financials - ''23 ''24'!W$2:W$1577)</f>
        <v>24</v>
      </c>
      <c r="L1002" s="179">
        <f>_xlfn.XLOOKUP($C1002,'Site Level Financials - ''23 ''24'!$C$2:$C$1577,'Site Level Financials - ''23 ''24'!X$2:X$1577)</f>
        <v>21</v>
      </c>
      <c r="M1002" s="179">
        <f>_xlfn.XLOOKUP($C1002,'Site Level Financials - ''23 ''24'!$C$2:$C$1577,'Site Level Financials - ''23 ''24'!Y$2:Y$1577)</f>
        <v>23</v>
      </c>
      <c r="N1002" s="179">
        <f>_xlfn.XLOOKUP($C1002,'Site Level Financials - ''23 ''24'!$C$2:$C$1577,'Site Level Financials - ''23 ''24'!Z$2:Z$1577)</f>
        <v>23</v>
      </c>
      <c r="O1002" s="179">
        <f>_xlfn.XLOOKUP($C1002,'Site Level Financials - ''23 ''24'!$C$2:$C$1577,'Site Level Financials - ''23 ''24'!AA$2:AA$1577)</f>
        <v>21</v>
      </c>
      <c r="P1002" s="179">
        <f>_xlfn.XLOOKUP($C1002,'Site Level Financials - ''23 ''24'!$C$2:$C$1577,'Site Level Financials - ''23 ''24'!AB$2:AB$1577)</f>
        <v>24</v>
      </c>
      <c r="Q1002" s="179">
        <f>_xlfn.XLOOKUP($C1002,'Site Level Financials - ''23 ''24'!$C$2:$C$1577,'Site Level Financials - ''23 ''24'!AC$2:AC$1577)</f>
        <v>22</v>
      </c>
      <c r="R1002" s="179">
        <f>_xlfn.XLOOKUP($C1002,'Site Level Financials - ''23 ''24'!$C$2:$C$1577,'Site Level Financials - ''23 ''24'!AD$2:AD$1577)</f>
        <v>22</v>
      </c>
      <c r="S1002" s="155">
        <f>NETWORKDAYS(R999,S999)</f>
        <v>23</v>
      </c>
      <c r="T1002" s="154">
        <f t="shared" ref="T1002:AD1002" si="2889">NETWORKDAYS(S999,T999)</f>
        <v>22</v>
      </c>
      <c r="U1002" s="154">
        <f t="shared" si="2889"/>
        <v>22</v>
      </c>
      <c r="V1002" s="154">
        <f t="shared" si="2889"/>
        <v>22</v>
      </c>
      <c r="W1002" s="154">
        <f t="shared" si="2889"/>
        <v>24</v>
      </c>
      <c r="X1002" s="154">
        <f t="shared" si="2889"/>
        <v>21</v>
      </c>
      <c r="Y1002" s="154">
        <f t="shared" si="2889"/>
        <v>23</v>
      </c>
      <c r="Z1002" s="154">
        <f t="shared" si="2889"/>
        <v>23</v>
      </c>
      <c r="AA1002" s="154">
        <f t="shared" si="2889"/>
        <v>21</v>
      </c>
      <c r="AB1002" s="154">
        <f t="shared" si="2889"/>
        <v>24</v>
      </c>
      <c r="AC1002" s="154">
        <f t="shared" si="2889"/>
        <v>22</v>
      </c>
      <c r="AD1002" s="156">
        <f t="shared" si="2889"/>
        <v>22</v>
      </c>
      <c r="AE1002" s="15"/>
      <c r="AF1002" s="115">
        <f>_xlfn.XLOOKUP($C1002,'Site Level Financials - ''23 ''24'!$C$2:$C$1577,'Site Level Financials - ''23 ''24'!$AF$2:$AF$1577)</f>
        <v>269</v>
      </c>
      <c r="AG1002" s="93">
        <f>SUM(G1002:R1002)</f>
        <v>269</v>
      </c>
      <c r="AH1002" s="93">
        <f>SUM(S1002:AD1002)</f>
        <v>269</v>
      </c>
    </row>
    <row r="1003" spans="2:35" x14ac:dyDescent="0.2">
      <c r="B1003" s="9">
        <f>G995</f>
        <v>21</v>
      </c>
      <c r="C1003" s="9" t="str">
        <f t="shared" si="2888"/>
        <v>21 - Total Vet Days</v>
      </c>
      <c r="D1003" s="9" t="s">
        <v>56</v>
      </c>
      <c r="F1003" s="8" t="s">
        <v>51</v>
      </c>
      <c r="G1003" s="236">
        <f>_xlfn.XLOOKUP($C1003,'Site Level Financials - ''23 ''24'!$C$2:$C$1577,'Site Level Financials - ''23 ''24'!S$2:S$1577)</f>
        <v>92</v>
      </c>
      <c r="H1003" s="237">
        <f>_xlfn.XLOOKUP($C1003,'Site Level Financials - ''23 ''24'!$C$2:$C$1577,'Site Level Financials - ''23 ''24'!T$2:T$1577)</f>
        <v>88</v>
      </c>
      <c r="I1003" s="237">
        <f>_xlfn.XLOOKUP($C1003,'Site Level Financials - ''23 ''24'!$C$2:$C$1577,'Site Level Financials - ''23 ''24'!U$2:U$1577)</f>
        <v>66</v>
      </c>
      <c r="J1003" s="238">
        <f>_xlfn.XLOOKUP($C1003,'Site Level Financials - ''23 ''24'!$C$2:$C$1577,'Site Level Financials - ''23 ''24'!V$2:V$1577)</f>
        <v>44</v>
      </c>
      <c r="K1003" s="238">
        <f>_xlfn.XLOOKUP($C1003,'Site Level Financials - ''23 ''24'!$C$2:$C$1577,'Site Level Financials - ''23 ''24'!W$2:W$1577)</f>
        <v>48</v>
      </c>
      <c r="L1003" s="238">
        <f>_xlfn.XLOOKUP($C1003,'Site Level Financials - ''23 ''24'!$C$2:$C$1577,'Site Level Financials - ''23 ''24'!X$2:X$1577)</f>
        <v>42</v>
      </c>
      <c r="M1003" s="238">
        <f>_xlfn.XLOOKUP($C1003,'Site Level Financials - ''23 ''24'!$C$2:$C$1577,'Site Level Financials - ''23 ''24'!Y$2:Y$1577)</f>
        <v>46</v>
      </c>
      <c r="N1003" s="238">
        <f>_xlfn.XLOOKUP($C1003,'Site Level Financials - ''23 ''24'!$C$2:$C$1577,'Site Level Financials - ''23 ''24'!Z$2:Z$1577)</f>
        <v>69</v>
      </c>
      <c r="O1003" s="238">
        <f>_xlfn.XLOOKUP($C1003,'Site Level Financials - ''23 ''24'!$C$2:$C$1577,'Site Level Financials - ''23 ''24'!AA$2:AA$1577)</f>
        <v>63</v>
      </c>
      <c r="P1003" s="238">
        <f>_xlfn.XLOOKUP($C1003,'Site Level Financials - ''23 ''24'!$C$2:$C$1577,'Site Level Financials - ''23 ''24'!AB$2:AB$1577)</f>
        <v>72</v>
      </c>
      <c r="Q1003" s="238">
        <f>_xlfn.XLOOKUP($C1003,'Site Level Financials - ''23 ''24'!$C$2:$C$1577,'Site Level Financials - ''23 ''24'!AC$2:AC$1577)</f>
        <v>88</v>
      </c>
      <c r="R1003" s="238">
        <f>_xlfn.XLOOKUP($C1003,'Site Level Financials - ''23 ''24'!$C$2:$C$1577,'Site Level Financials - ''23 ''24'!AD$2:AD$1577)</f>
        <v>110</v>
      </c>
      <c r="S1003" s="125">
        <f t="shared" ref="S1003:AD1003" si="2890">S1001*S1002</f>
        <v>115</v>
      </c>
      <c r="T1003" s="127">
        <f t="shared" si="2890"/>
        <v>110</v>
      </c>
      <c r="U1003" s="127">
        <f t="shared" si="2890"/>
        <v>110</v>
      </c>
      <c r="V1003" s="127">
        <f t="shared" si="2890"/>
        <v>110</v>
      </c>
      <c r="W1003" s="127">
        <f t="shared" si="2890"/>
        <v>120</v>
      </c>
      <c r="X1003" s="127">
        <f t="shared" si="2890"/>
        <v>105</v>
      </c>
      <c r="Y1003" s="127">
        <f t="shared" si="2890"/>
        <v>115</v>
      </c>
      <c r="Z1003" s="127">
        <f t="shared" si="2890"/>
        <v>115</v>
      </c>
      <c r="AA1003" s="127">
        <f t="shared" si="2890"/>
        <v>105</v>
      </c>
      <c r="AB1003" s="127">
        <f t="shared" si="2890"/>
        <v>120</v>
      </c>
      <c r="AC1003" s="127">
        <f t="shared" si="2890"/>
        <v>110</v>
      </c>
      <c r="AD1003" s="128">
        <f t="shared" si="2890"/>
        <v>110</v>
      </c>
      <c r="AF1003" s="112">
        <f>_xlfn.XLOOKUP($C1003,'Site Level Financials - ''23 ''24'!$C$2:$C$1577,'Site Level Financials - ''23 ''24'!$AF$2:$AF$1577)</f>
        <v>896</v>
      </c>
      <c r="AG1003" s="120">
        <f>SUM(G1003:R1003)</f>
        <v>828</v>
      </c>
      <c r="AH1003" s="120">
        <f t="shared" ref="AH1003" si="2891">SUM(S1003:AD1003)</f>
        <v>1345</v>
      </c>
    </row>
    <row r="1004" spans="2:35" x14ac:dyDescent="0.2">
      <c r="B1004" s="9">
        <f>G995</f>
        <v>21</v>
      </c>
      <c r="C1004" s="9" t="str">
        <f t="shared" si="2888"/>
        <v>21 - Production per Vet Workday</v>
      </c>
      <c r="D1004" s="9" t="s">
        <v>56</v>
      </c>
      <c r="F1004" s="7" t="s">
        <v>50</v>
      </c>
      <c r="G1004" s="239">
        <f>_xlfn.XLOOKUP($C1004,'Site Level Financials - ''23 ''24'!$C$2:$C$1577,'Site Level Financials - ''23 ''24'!S$2:S$1577)</f>
        <v>4.7386763243156977</v>
      </c>
      <c r="H1004" s="240">
        <f>_xlfn.XLOOKUP($C1004,'Site Level Financials - ''23 ''24'!$C$2:$C$1577,'Site Level Financials - ''23 ''24'!T$2:T$1577)</f>
        <v>4.6081934162434166</v>
      </c>
      <c r="I1004" s="240">
        <f>_xlfn.XLOOKUP($C1004,'Site Level Financials - ''23 ''24'!$C$2:$C$1577,'Site Level Financials - ''23 ''24'!U$2:U$1577)</f>
        <v>5.3799574058777413</v>
      </c>
      <c r="J1004" s="240">
        <f>_xlfn.XLOOKUP($C1004,'Site Level Financials - ''23 ''24'!$C$2:$C$1577,'Site Level Financials - ''23 ''24'!V$2:V$1577)</f>
        <v>6.5106822825386317</v>
      </c>
      <c r="K1004" s="240">
        <f>_xlfn.XLOOKUP($C1004,'Site Level Financials - ''23 ''24'!$C$2:$C$1577,'Site Level Financials - ''23 ''24'!W$2:W$1577)</f>
        <v>6.3472786034228745</v>
      </c>
      <c r="L1004" s="240">
        <f>_xlfn.XLOOKUP($C1004,'Site Level Financials - ''23 ''24'!$C$2:$C$1577,'Site Level Financials - ''23 ''24'!X$2:X$1577)</f>
        <v>6.3047314627554689</v>
      </c>
      <c r="M1004" s="240">
        <f>_xlfn.XLOOKUP($C1004,'Site Level Financials - ''23 ''24'!$C$2:$C$1577,'Site Level Financials - ''23 ''24'!Y$2:Y$1577)</f>
        <v>5.8400816579873664</v>
      </c>
      <c r="N1004" s="240">
        <f>_xlfn.XLOOKUP($C1004,'Site Level Financials - ''23 ''24'!$C$2:$C$1577,'Site Level Financials - ''23 ''24'!Z$2:Z$1577)</f>
        <v>4.4565459656037447</v>
      </c>
      <c r="O1004" s="240">
        <f>_xlfn.XLOOKUP($C1004,'Site Level Financials - ''23 ''24'!$C$2:$C$1577,'Site Level Financials - ''23 ''24'!AA$2:AA$1577)</f>
        <v>4.1579689867093199</v>
      </c>
      <c r="P1004" s="240">
        <f>_xlfn.XLOOKUP($C1004,'Site Level Financials - ''23 ''24'!$C$2:$C$1577,'Site Level Financials - ''23 ''24'!AB$2:AB$1577)</f>
        <v>4.4514134299594401</v>
      </c>
      <c r="Q1004" s="240">
        <f>_xlfn.XLOOKUP($C1004,'Site Level Financials - ''23 ''24'!$C$2:$C$1577,'Site Level Financials - ''23 ''24'!AC$2:AC$1577)</f>
        <v>3.7300681888819485</v>
      </c>
      <c r="R1004" s="240">
        <f>_xlfn.XLOOKUP($C1004,'Site Level Financials - ''23 ''24'!$C$2:$C$1577,'Site Level Financials - ''23 ''24'!AD$2:AD$1577)</f>
        <v>2.7112117323325413</v>
      </c>
      <c r="S1004" s="239">
        <f>R1004*(1+_xlfn.XLOOKUP($R1001,'Budget Assumption Driver'!$A$15:$A$19,'Budget Assumption Driver'!E$15:E$19))</f>
        <v>3.8358460790724251</v>
      </c>
      <c r="T1004" s="240">
        <f>S1004*(1+_xlfn.XLOOKUP($R1001,'Budget Assumption Driver'!$A$15:$A$19,'Budget Assumption Driver'!F$15:F$19))</f>
        <v>4.1524799475496028</v>
      </c>
      <c r="U1004" s="240">
        <f>T1004*(1+_xlfn.XLOOKUP($R1001,'Budget Assumption Driver'!$A$15:$A$19,'Budget Assumption Driver'!G$15:G$19))</f>
        <v>4.4588882628831872</v>
      </c>
      <c r="V1004" s="240">
        <f>U1004*(1+_xlfn.XLOOKUP($R1001,'Budget Assumption Driver'!$A$15:$A$19,'Budget Assumption Driver'!H$15:H$19))</f>
        <v>4.7761896283430758</v>
      </c>
      <c r="W1004" s="240">
        <f>V1004*(1+_xlfn.XLOOKUP($R1001,'Budget Assumption Driver'!$A$15:$A$19,'Budget Assumption Driver'!I$15:I$19))</f>
        <v>5.2035107571141035</v>
      </c>
      <c r="X1004" s="240">
        <f>W1004*(1+_xlfn.XLOOKUP($R1001,'Budget Assumption Driver'!$A$15:$A$19,'Budget Assumption Driver'!J$15:J$19))</f>
        <v>4.9938761524993174</v>
      </c>
      <c r="Y1004" s="240">
        <f>X1004*(1+_xlfn.XLOOKUP($R1001,'Budget Assumption Driver'!$A$15:$A$19,'Budget Assumption Driver'!K$15:K$19))</f>
        <v>4.593536686156205</v>
      </c>
      <c r="Z1004" s="240">
        <f>Y1004*(1+_xlfn.XLOOKUP($R1001,'Budget Assumption Driver'!$A$15:$A$19,'Budget Assumption Driver'!L$15:L$19))</f>
        <v>3.9389155904434596</v>
      </c>
      <c r="AA1004" s="240">
        <f>Z1004*(1+_xlfn.XLOOKUP($R1001,'Budget Assumption Driver'!$A$15:$A$19,'Budget Assumption Driver'!M$15:M$19))</f>
        <v>3.9552811942374491</v>
      </c>
      <c r="AB1004" s="240">
        <f>AA1004*(1+_xlfn.XLOOKUP($R1001,'Budget Assumption Driver'!$A$15:$A$19,'Budget Assumption Driver'!N$15:N$19))</f>
        <v>3.9747852731225954</v>
      </c>
      <c r="AC1004" s="240">
        <f>AB1004*(1+_xlfn.XLOOKUP($R1001,'Budget Assumption Driver'!$A$15:$A$19,'Budget Assumption Driver'!O$15:O$19))</f>
        <v>3.4275756905715382</v>
      </c>
      <c r="AD1004" s="291">
        <f>AC1004*(1+_xlfn.XLOOKUP($R1001,'Budget Assumption Driver'!$A$15:$A$19,'Budget Assumption Driver'!P$15:P$19))</f>
        <v>2.7976303039113</v>
      </c>
      <c r="AE1004" s="15"/>
      <c r="AF1004" s="230">
        <f>_xlfn.XLOOKUP($C1004,'Site Level Financials - ''23 ''24'!$C$2:$C$1577,'Site Level Financials - ''23 ''24'!$AF$2:$AF$1577)</f>
        <v>5.1241279315603698</v>
      </c>
      <c r="AG1004" s="101">
        <f>AG1005/AG1003</f>
        <v>4.6347500945388385</v>
      </c>
      <c r="AH1004" s="101">
        <f>AH1005/AH1003</f>
        <v>4.1790448904063293</v>
      </c>
    </row>
    <row r="1005" spans="2:35" x14ac:dyDescent="0.2">
      <c r="B1005" s="9">
        <f>G995</f>
        <v>21</v>
      </c>
      <c r="C1005" s="9" t="str">
        <f t="shared" si="2888"/>
        <v>21 - Total Production</v>
      </c>
      <c r="D1005" s="9" t="s">
        <v>56</v>
      </c>
      <c r="F1005" s="8" t="s">
        <v>1</v>
      </c>
      <c r="G1005" s="241">
        <f>_xlfn.XLOOKUP($C1005,'Site Level Financials - ''23 ''24'!$C$2:$C$1577,'Site Level Financials - ''23 ''24'!S$2:S$1577)</f>
        <v>435.95822183704422</v>
      </c>
      <c r="H1005" s="242">
        <f>_xlfn.XLOOKUP($C1005,'Site Level Financials - ''23 ''24'!$C$2:$C$1577,'Site Level Financials - ''23 ''24'!T$2:T$1577)</f>
        <v>405.52102062942066</v>
      </c>
      <c r="I1005" s="242">
        <f>_xlfn.XLOOKUP($C1005,'Site Level Financials - ''23 ''24'!$C$2:$C$1577,'Site Level Financials - ''23 ''24'!U$2:U$1577)</f>
        <v>355.07718878793094</v>
      </c>
      <c r="J1005" s="242">
        <f>_xlfn.XLOOKUP($C1005,'Site Level Financials - ''23 ''24'!$C$2:$C$1577,'Site Level Financials - ''23 ''24'!V$2:V$1577)</f>
        <v>286.47002043169982</v>
      </c>
      <c r="K1005" s="242">
        <f>_xlfn.XLOOKUP($C1005,'Site Level Financials - ''23 ''24'!$C$2:$C$1577,'Site Level Financials - ''23 ''24'!W$2:W$1577)</f>
        <v>304.66937296429796</v>
      </c>
      <c r="L1005" s="242">
        <f>_xlfn.XLOOKUP($C1005,'Site Level Financials - ''23 ''24'!$C$2:$C$1577,'Site Level Financials - ''23 ''24'!X$2:X$1577)</f>
        <v>264.7987214357297</v>
      </c>
      <c r="M1005" s="242">
        <f>_xlfn.XLOOKUP($C1005,'Site Level Financials - ''23 ''24'!$C$2:$C$1577,'Site Level Financials - ''23 ''24'!Y$2:Y$1577)</f>
        <v>268.64375626741884</v>
      </c>
      <c r="N1005" s="242">
        <f>_xlfn.XLOOKUP($C1005,'Site Level Financials - ''23 ''24'!$C$2:$C$1577,'Site Level Financials - ''23 ''24'!Z$2:Z$1577)</f>
        <v>307.50167162665838</v>
      </c>
      <c r="O1005" s="242">
        <f>_xlfn.XLOOKUP($C1005,'Site Level Financials - ''23 ''24'!$C$2:$C$1577,'Site Level Financials - ''23 ''24'!AA$2:AA$1577)</f>
        <v>261.95204616268717</v>
      </c>
      <c r="P1005" s="242">
        <f>_xlfn.XLOOKUP($C1005,'Site Level Financials - ''23 ''24'!$C$2:$C$1577,'Site Level Financials - ''23 ''24'!AB$2:AB$1577)</f>
        <v>320.50176695707967</v>
      </c>
      <c r="Q1005" s="242">
        <f>_xlfn.XLOOKUP($C1005,'Site Level Financials - ''23 ''24'!$C$2:$C$1577,'Site Level Financials - ''23 ''24'!AC$2:AC$1577)</f>
        <v>328.24600062161147</v>
      </c>
      <c r="R1005" s="242">
        <f>_xlfn.XLOOKUP($C1005,'Site Level Financials - ''23 ''24'!$C$2:$C$1577,'Site Level Financials - ''23 ''24'!AD$2:AD$1577)</f>
        <v>298.23329055657956</v>
      </c>
      <c r="S1005" s="134">
        <f t="shared" ref="S1005:AD1005" si="2892">S1004*S1003</f>
        <v>441.12229909332888</v>
      </c>
      <c r="T1005" s="135">
        <f t="shared" si="2892"/>
        <v>456.77279423045633</v>
      </c>
      <c r="U1005" s="135">
        <f t="shared" si="2892"/>
        <v>490.47770891715061</v>
      </c>
      <c r="V1005" s="135">
        <f t="shared" si="2892"/>
        <v>525.38085911773828</v>
      </c>
      <c r="W1005" s="135">
        <f t="shared" si="2892"/>
        <v>624.42129085369243</v>
      </c>
      <c r="X1005" s="135">
        <f t="shared" si="2892"/>
        <v>524.35699601242834</v>
      </c>
      <c r="Y1005" s="135">
        <f t="shared" si="2892"/>
        <v>528.25671890796355</v>
      </c>
      <c r="Z1005" s="135">
        <f t="shared" si="2892"/>
        <v>452.97529290099783</v>
      </c>
      <c r="AA1005" s="135">
        <f t="shared" si="2892"/>
        <v>415.30452539493217</v>
      </c>
      <c r="AB1005" s="135">
        <f t="shared" si="2892"/>
        <v>476.97423277471148</v>
      </c>
      <c r="AC1005" s="135">
        <f t="shared" si="2892"/>
        <v>377.03332596286918</v>
      </c>
      <c r="AD1005" s="136">
        <f t="shared" si="2892"/>
        <v>307.73933343024299</v>
      </c>
      <c r="AE1005" s="15"/>
      <c r="AF1005" s="113">
        <f>_xlfn.XLOOKUP($C1005,'Site Level Financials - ''23 ''24'!$C$2:$C$1577,'Site Level Financials - ''23 ''24'!$AF$2:$AF$1577)</f>
        <v>4262.0232952050392</v>
      </c>
      <c r="AG1005" s="95">
        <f>SUM(G1005:R1005)</f>
        <v>3837.5730782781584</v>
      </c>
      <c r="AH1005" s="95">
        <f t="shared" ref="AH1005" si="2893">SUM(S1005:AD1005)</f>
        <v>5620.8153775965129</v>
      </c>
    </row>
    <row r="1006" spans="2:35" x14ac:dyDescent="0.2">
      <c r="B1006" s="9">
        <f>G995</f>
        <v>21</v>
      </c>
      <c r="C1006" s="9" t="str">
        <f t="shared" si="2888"/>
        <v>21 - Revenue as a % of Production</v>
      </c>
      <c r="D1006" s="9" t="s">
        <v>56</v>
      </c>
      <c r="F1006" s="7" t="s">
        <v>2</v>
      </c>
      <c r="G1006" s="243">
        <f>_xlfn.XLOOKUP($C1006,'Site Level Financials - ''23 ''24'!$C$2:$C$1577,'Site Level Financials - ''23 ''24'!S$2:S$1577)</f>
        <v>0.97300427886042717</v>
      </c>
      <c r="H1006" s="244">
        <f>_xlfn.XLOOKUP($C1006,'Site Level Financials - ''23 ''24'!$C$2:$C$1577,'Site Level Financials - ''23 ''24'!T$2:T$1577)</f>
        <v>0.97300427886042717</v>
      </c>
      <c r="I1006" s="244">
        <f>_xlfn.XLOOKUP($C1006,'Site Level Financials - ''23 ''24'!$C$2:$C$1577,'Site Level Financials - ''23 ''24'!U$2:U$1577)</f>
        <v>0.97300427886042717</v>
      </c>
      <c r="J1006" s="244">
        <f>_xlfn.XLOOKUP($C1006,'Site Level Financials - ''23 ''24'!$C$2:$C$1577,'Site Level Financials - ''23 ''24'!V$2:V$1577)</f>
        <v>0.97300427886042717</v>
      </c>
      <c r="K1006" s="244">
        <f>_xlfn.XLOOKUP($C1006,'Site Level Financials - ''23 ''24'!$C$2:$C$1577,'Site Level Financials - ''23 ''24'!W$2:W$1577)</f>
        <v>0.97300427886042717</v>
      </c>
      <c r="L1006" s="244">
        <f>_xlfn.XLOOKUP($C1006,'Site Level Financials - ''23 ''24'!$C$2:$C$1577,'Site Level Financials - ''23 ''24'!X$2:X$1577)</f>
        <v>0.97300427886042717</v>
      </c>
      <c r="M1006" s="244">
        <f>_xlfn.XLOOKUP($C1006,'Site Level Financials - ''23 ''24'!$C$2:$C$1577,'Site Level Financials - ''23 ''24'!Y$2:Y$1577)</f>
        <v>0.97300427886042717</v>
      </c>
      <c r="N1006" s="244">
        <f>_xlfn.XLOOKUP($C1006,'Site Level Financials - ''23 ''24'!$C$2:$C$1577,'Site Level Financials - ''23 ''24'!Z$2:Z$1577)</f>
        <v>0.97300427886042717</v>
      </c>
      <c r="O1006" s="244">
        <f>_xlfn.XLOOKUP($C1006,'Site Level Financials - ''23 ''24'!$C$2:$C$1577,'Site Level Financials - ''23 ''24'!AA$2:AA$1577)</f>
        <v>0.97300427886042717</v>
      </c>
      <c r="P1006" s="244">
        <f>_xlfn.XLOOKUP($C1006,'Site Level Financials - ''23 ''24'!$C$2:$C$1577,'Site Level Financials - ''23 ''24'!AB$2:AB$1577)</f>
        <v>0.97300427886042717</v>
      </c>
      <c r="Q1006" s="244">
        <f>_xlfn.XLOOKUP($C1006,'Site Level Financials - ''23 ''24'!$C$2:$C$1577,'Site Level Financials - ''23 ''24'!AC$2:AC$1577)</f>
        <v>0.97300427886042717</v>
      </c>
      <c r="R1006" s="244">
        <f>_xlfn.XLOOKUP($C1006,'Site Level Financials - ''23 ''24'!$C$2:$C$1577,'Site Level Financials - ''23 ''24'!AD$2:AD$1577)</f>
        <v>0.97300427886042717</v>
      </c>
      <c r="S1006" s="292">
        <f>SUM(G1035:R1035)/SUM(G1005:R1005)</f>
        <v>0.98170910353807128</v>
      </c>
      <c r="T1006" s="203">
        <f>S1006</f>
        <v>0.98170910353807128</v>
      </c>
      <c r="U1006" s="203">
        <f t="shared" ref="U1006:AD1006" si="2894">T1006</f>
        <v>0.98170910353807128</v>
      </c>
      <c r="V1006" s="203">
        <f t="shared" si="2894"/>
        <v>0.98170910353807128</v>
      </c>
      <c r="W1006" s="203">
        <f t="shared" si="2894"/>
        <v>0.98170910353807128</v>
      </c>
      <c r="X1006" s="203">
        <f t="shared" si="2894"/>
        <v>0.98170910353807128</v>
      </c>
      <c r="Y1006" s="203">
        <f t="shared" si="2894"/>
        <v>0.98170910353807128</v>
      </c>
      <c r="Z1006" s="203">
        <f t="shared" si="2894"/>
        <v>0.98170910353807128</v>
      </c>
      <c r="AA1006" s="203">
        <f t="shared" si="2894"/>
        <v>0.98170910353807128</v>
      </c>
      <c r="AB1006" s="203">
        <f t="shared" si="2894"/>
        <v>0.98170910353807128</v>
      </c>
      <c r="AC1006" s="203">
        <f t="shared" si="2894"/>
        <v>0.98170910353807128</v>
      </c>
      <c r="AD1006" s="204">
        <f t="shared" si="2894"/>
        <v>0.98170910353807128</v>
      </c>
      <c r="AE1006" s="15"/>
      <c r="AF1006" s="231">
        <f>_xlfn.XLOOKUP($C1006,'Site Level Financials - ''23 ''24'!$C$2:$C$1577,'Site Level Financials - ''23 ''24'!$AF$2:$AF$1577)</f>
        <v>0.98801662544124824</v>
      </c>
      <c r="AG1006" s="103">
        <f>AG1007/AG1005</f>
        <v>0.97300427886042717</v>
      </c>
      <c r="AH1006" s="103">
        <f>AH1007/AH1005</f>
        <v>0.98170910353807106</v>
      </c>
    </row>
    <row r="1007" spans="2:35" x14ac:dyDescent="0.2">
      <c r="B1007" s="9">
        <f>G995</f>
        <v>21</v>
      </c>
      <c r="C1007" s="9" t="str">
        <f t="shared" si="2888"/>
        <v>21 - Total Revenue</v>
      </c>
      <c r="D1007" s="9" t="s">
        <v>56</v>
      </c>
      <c r="F1007" s="8" t="s">
        <v>3</v>
      </c>
      <c r="G1007" s="241">
        <f>_xlfn.XLOOKUP($C1007,'Site Level Financials - ''23 ''24'!$C$2:$C$1577,'Site Level Financials - ''23 ''24'!S$2:S$1577)</f>
        <v>424.18921525182736</v>
      </c>
      <c r="H1007" s="242">
        <f>_xlfn.XLOOKUP($C1007,'Site Level Financials - ''23 ''24'!$C$2:$C$1577,'Site Level Financials - ''23 ''24'!T$2:T$1577)</f>
        <v>394.57368824027384</v>
      </c>
      <c r="I1007" s="242">
        <f>_xlfn.XLOOKUP($C1007,'Site Level Financials - ''23 ''24'!$C$2:$C$1577,'Site Level Financials - ''23 ''24'!U$2:U$1577)</f>
        <v>345.49162401638847</v>
      </c>
      <c r="J1007" s="242">
        <f>_xlfn.XLOOKUP($C1007,'Site Level Financials - ''23 ''24'!$C$2:$C$1577,'Site Level Financials - ''23 ''24'!V$2:V$1577)</f>
        <v>278.73655564527792</v>
      </c>
      <c r="K1007" s="242">
        <f>_xlfn.XLOOKUP($C1007,'Site Level Financials - ''23 ''24'!$C$2:$C$1577,'Site Level Financials - ''23 ''24'!W$2:W$1577)</f>
        <v>296.44460353198525</v>
      </c>
      <c r="L1007" s="242">
        <f>_xlfn.XLOOKUP($C1007,'Site Level Financials - ''23 ''24'!$C$2:$C$1577,'Site Level Financials - ''23 ''24'!X$2:X$1577)</f>
        <v>257.65028899373533</v>
      </c>
      <c r="M1007" s="242">
        <f>_xlfn.XLOOKUP($C1007,'Site Level Financials - ''23 ''24'!$C$2:$C$1577,'Site Level Financials - ''23 ''24'!Y$2:Y$1577)</f>
        <v>261.39152433733625</v>
      </c>
      <c r="N1007" s="242">
        <f>_xlfn.XLOOKUP($C1007,'Site Level Financials - ''23 ''24'!$C$2:$C$1577,'Site Level Financials - ''23 ''24'!Z$2:Z$1577)</f>
        <v>299.20044224947259</v>
      </c>
      <c r="O1007" s="242">
        <f>_xlfn.XLOOKUP($C1007,'Site Level Financials - ''23 ''24'!$C$2:$C$1577,'Site Level Financials - ''23 ''24'!AA$2:AA$1577)</f>
        <v>254.88046177253875</v>
      </c>
      <c r="P1007" s="242">
        <f>_xlfn.XLOOKUP($C1007,'Site Level Financials - ''23 ''24'!$C$2:$C$1577,'Site Level Financials - ''23 ''24'!AB$2:AB$1577)</f>
        <v>311.849590631566</v>
      </c>
      <c r="Q1007" s="242">
        <f>_xlfn.XLOOKUP($C1007,'Site Level Financials - ''23 ''24'!$C$2:$C$1577,'Site Level Financials - ''23 ''24'!AC$2:AC$1577)</f>
        <v>319.38476312365037</v>
      </c>
      <c r="R1007" s="242">
        <f>_xlfn.XLOOKUP($C1007,'Site Level Financials - ''23 ''24'!$C$2:$C$1577,'Site Level Financials - ''23 ''24'!AD$2:AD$1577)</f>
        <v>290.18226781017694</v>
      </c>
      <c r="S1007" s="134">
        <f t="shared" ref="S1007:AD1007" si="2895">S1006*S1005</f>
        <v>433.05377679356485</v>
      </c>
      <c r="T1007" s="135">
        <f t="shared" si="2895"/>
        <v>448.4180103445612</v>
      </c>
      <c r="U1007" s="135">
        <f t="shared" si="2895"/>
        <v>481.50643192646299</v>
      </c>
      <c r="V1007" s="135">
        <f t="shared" si="2895"/>
        <v>515.77117222053653</v>
      </c>
      <c r="W1007" s="135">
        <f t="shared" si="2895"/>
        <v>613.00006567406365</v>
      </c>
      <c r="X1007" s="135">
        <f t="shared" si="2895"/>
        <v>514.7660364892771</v>
      </c>
      <c r="Y1007" s="135">
        <f t="shared" si="2895"/>
        <v>518.59442995709981</v>
      </c>
      <c r="Z1007" s="135">
        <f t="shared" si="2895"/>
        <v>444.68996871873384</v>
      </c>
      <c r="AA1007" s="135">
        <f t="shared" si="2895"/>
        <v>407.70823332076304</v>
      </c>
      <c r="AB1007" s="135">
        <f t="shared" si="2895"/>
        <v>468.24994646802134</v>
      </c>
      <c r="AC1007" s="135">
        <f t="shared" si="2895"/>
        <v>370.13704843498573</v>
      </c>
      <c r="AD1007" s="136">
        <f t="shared" si="2895"/>
        <v>302.11050514520747</v>
      </c>
      <c r="AE1007" s="15"/>
      <c r="AF1007" s="113">
        <f>_xlfn.XLOOKUP($C1007,'Site Level Financials - ''23 ''24'!$C$2:$C$1577,'Site Level Financials - ''23 ''24'!$AF$2:$AF$1577)</f>
        <v>4210.9498736804726</v>
      </c>
      <c r="AG1007" s="95">
        <f>SUM(G1007:R1007)</f>
        <v>3733.9750256042294</v>
      </c>
      <c r="AH1007" s="95">
        <f t="shared" ref="AH1007" si="2896">SUM(S1007:AD1007)</f>
        <v>5518.005625493277</v>
      </c>
    </row>
    <row r="1008" spans="2:35" x14ac:dyDescent="0.2">
      <c r="B1008" s="9">
        <f>G995</f>
        <v>21</v>
      </c>
      <c r="C1008" s="9" t="str">
        <f t="shared" si="2888"/>
        <v>21 - % YoY Revenue Growth</v>
      </c>
      <c r="D1008" s="9" t="s">
        <v>56</v>
      </c>
      <c r="F1008" s="16" t="s">
        <v>174</v>
      </c>
      <c r="G1008" s="245">
        <f>_xlfn.XLOOKUP($C1008,'Site Level Financials - ''23 ''24'!$C$2:$C$1577,'Site Level Financials - ''23 ''24'!S$2:S$1577)</f>
        <v>1.4462240807586069E-2</v>
      </c>
      <c r="H1008" s="246">
        <f>_xlfn.XLOOKUP($C1008,'Site Level Financials - ''23 ''24'!$C$2:$C$1577,'Site Level Financials - ''23 ''24'!T$2:T$1577)</f>
        <v>0.19449469540103514</v>
      </c>
      <c r="I1008" s="246">
        <f>_xlfn.XLOOKUP($C1008,'Site Level Financials - ''23 ''24'!$C$2:$C$1577,'Site Level Financials - ''23 ''24'!U$2:U$1577)</f>
        <v>0.18911709065232984</v>
      </c>
      <c r="J1008" s="246">
        <f>_xlfn.XLOOKUP($C1008,'Site Level Financials - ''23 ''24'!$C$2:$C$1577,'Site Level Financials - ''23 ''24'!V$2:V$1577)</f>
        <v>5.7475492647458326E-2</v>
      </c>
      <c r="K1008" s="246">
        <f>_xlfn.XLOOKUP($C1008,'Site Level Financials - ''23 ''24'!$C$2:$C$1577,'Site Level Financials - ''23 ''24'!W$2:W$1577)</f>
        <v>-3.358646878039484E-2</v>
      </c>
      <c r="L1008" s="246">
        <f>_xlfn.XLOOKUP($C1008,'Site Level Financials - ''23 ''24'!$C$2:$C$1577,'Site Level Financials - ''23 ''24'!X$2:X$1577)</f>
        <v>-0.10440500907844219</v>
      </c>
      <c r="M1008" s="246">
        <f>_xlfn.XLOOKUP($C1008,'Site Level Financials - ''23 ''24'!$C$2:$C$1577,'Site Level Financials - ''23 ''24'!Y$2:Y$1577)</f>
        <v>-0.27356231217395044</v>
      </c>
      <c r="N1008" s="246">
        <f>_xlfn.XLOOKUP($C1008,'Site Level Financials - ''23 ''24'!$C$2:$C$1577,'Site Level Financials - ''23 ''24'!Z$2:Z$1577)</f>
        <v>-0.34010165463614983</v>
      </c>
      <c r="O1008" s="246">
        <f>_xlfn.XLOOKUP($C1008,'Site Level Financials - ''23 ''24'!$C$2:$C$1577,'Site Level Financials - ''23 ''24'!AA$2:AA$1577)</f>
        <v>-0.36203293380400359</v>
      </c>
      <c r="P1008" s="246">
        <f>_xlfn.XLOOKUP($C1008,'Site Level Financials - ''23 ''24'!$C$2:$C$1577,'Site Level Financials - ''23 ''24'!AB$2:AB$1577)</f>
        <v>-0.20200277810421419</v>
      </c>
      <c r="Q1008" s="246">
        <f>_xlfn.XLOOKUP($C1008,'Site Level Financials - ''23 ''24'!$C$2:$C$1577,'Site Level Financials - ''23 ''24'!AC$2:AC$1577)</f>
        <v>-0.23017093416884971</v>
      </c>
      <c r="R1008" s="246">
        <f>_xlfn.XLOOKUP($C1008,'Site Level Financials - ''23 ''24'!$C$2:$C$1577,'Site Level Financials - ''23 ''24'!AD$2:AD$1577)</f>
        <v>-1.7990275931101585E-2</v>
      </c>
      <c r="S1008" s="148">
        <f>S1007/G1007-1</f>
        <v>2.0897658929105223E-2</v>
      </c>
      <c r="T1008" s="149">
        <f t="shared" ref="T1008" si="2897">T1007/H1007-1</f>
        <v>0.13646201890557674</v>
      </c>
      <c r="U1008" s="149">
        <f t="shared" ref="U1008" si="2898">U1007/I1007-1</f>
        <v>0.39368482028271301</v>
      </c>
      <c r="V1008" s="149">
        <f t="shared" ref="V1008" si="2899">V1007/J1007-1</f>
        <v>0.85038941529043832</v>
      </c>
      <c r="W1008" s="149">
        <f t="shared" ref="W1008" si="2900">W1007/K1007-1</f>
        <v>1.0678401912886342</v>
      </c>
      <c r="X1008" s="149">
        <f t="shared" ref="X1008" si="2901">X1007/L1007-1</f>
        <v>0.99792532156559477</v>
      </c>
      <c r="Y1008" s="149">
        <f t="shared" ref="Y1008" si="2902">Y1007/M1007-1</f>
        <v>0.98397569038173138</v>
      </c>
      <c r="Z1008" s="149">
        <f t="shared" ref="Z1008" si="2903">Z1007/N1007-1</f>
        <v>0.48626106758208754</v>
      </c>
      <c r="AA1008" s="149">
        <f t="shared" ref="AA1008" si="2904">AA1007/O1007-1</f>
        <v>0.59960567587409397</v>
      </c>
      <c r="AB1008" s="149">
        <f t="shared" ref="AB1008" si="2905">AB1007/P1007-1</f>
        <v>0.50152496759642751</v>
      </c>
      <c r="AC1008" s="149">
        <f t="shared" ref="AC1008" si="2906">AC1007/Q1007-1</f>
        <v>0.15890640747845097</v>
      </c>
      <c r="AD1008" s="150">
        <f t="shared" ref="AD1008" si="2907">AD1007/R1007-1</f>
        <v>4.110601734918351E-2</v>
      </c>
      <c r="AE1008" s="15"/>
      <c r="AF1008" s="11"/>
      <c r="AG1008" s="97">
        <f>AG1007/AF1007-1</f>
        <v>-0.11327013200927882</v>
      </c>
      <c r="AH1008" s="97">
        <f>AH1007/AG1007-1</f>
        <v>0.47778321698880588</v>
      </c>
    </row>
    <row r="1009" spans="2:34" ht="6" customHeight="1" x14ac:dyDescent="0.2">
      <c r="B1009" s="9">
        <f>G995</f>
        <v>21</v>
      </c>
      <c r="C1009" s="9" t="str">
        <f t="shared" si="2888"/>
        <v xml:space="preserve">21 - </v>
      </c>
      <c r="D1009" s="9" t="s">
        <v>56</v>
      </c>
      <c r="G1009" s="80"/>
      <c r="H1009" s="63"/>
      <c r="I1009" s="63"/>
      <c r="J1009" s="63"/>
      <c r="K1009" s="63"/>
      <c r="L1009" s="63"/>
      <c r="M1009" s="63"/>
      <c r="N1009" s="63"/>
      <c r="O1009" s="63"/>
      <c r="P1009" s="63"/>
      <c r="Q1009" s="63"/>
      <c r="R1009" s="63"/>
      <c r="S1009" s="80"/>
      <c r="T1009" s="63"/>
      <c r="U1009" s="63"/>
      <c r="V1009" s="63"/>
      <c r="W1009" s="63"/>
      <c r="X1009" s="63"/>
      <c r="Y1009" s="63"/>
      <c r="Z1009" s="63"/>
      <c r="AA1009" s="63"/>
      <c r="AB1009" s="63"/>
      <c r="AC1009" s="63"/>
      <c r="AD1009" s="81"/>
      <c r="AE1009" s="15"/>
      <c r="AF1009" s="11"/>
      <c r="AG1009" s="15"/>
      <c r="AH1009" s="15"/>
    </row>
    <row r="1010" spans="2:34" x14ac:dyDescent="0.2">
      <c r="B1010" s="9">
        <f>G995</f>
        <v>21</v>
      </c>
      <c r="C1010" s="9" t="str">
        <f t="shared" si="2888"/>
        <v>21 - Doctor Compensation</v>
      </c>
      <c r="D1010" s="9" t="s">
        <v>56</v>
      </c>
      <c r="F1010" t="s">
        <v>4</v>
      </c>
      <c r="G1010" s="178">
        <f>_xlfn.XLOOKUP($C1010,'Site Level Financials - ''23 ''24'!$C$2:$C$1577,'Site Level Financials - ''23 ''24'!S$2:S$1577)</f>
        <v>-164.11872817774804</v>
      </c>
      <c r="H1010" s="179">
        <f>_xlfn.XLOOKUP($C1010,'Site Level Financials - ''23 ''24'!$C$2:$C$1577,'Site Level Financials - ''23 ''24'!T$2:T$1577)</f>
        <v>-149.1625543548214</v>
      </c>
      <c r="I1010" s="179">
        <f>_xlfn.XLOOKUP($C1010,'Site Level Financials - ''23 ''24'!$C$2:$C$1577,'Site Level Financials - ''23 ''24'!U$2:U$1577)</f>
        <v>-118.21899190900598</v>
      </c>
      <c r="J1010" s="179">
        <f>_xlfn.XLOOKUP($C1010,'Site Level Financials - ''23 ''24'!$C$2:$C$1577,'Site Level Financials - ''23 ''24'!V$2:V$1577)</f>
        <v>-97.1934322988253</v>
      </c>
      <c r="K1010" s="179">
        <f>_xlfn.XLOOKUP($C1010,'Site Level Financials - ''23 ''24'!$C$2:$C$1577,'Site Level Financials - ''23 ''24'!W$2:W$1577)</f>
        <v>-102.32562931788426</v>
      </c>
      <c r="L1010" s="179">
        <f>_xlfn.XLOOKUP($C1010,'Site Level Financials - ''23 ''24'!$C$2:$C$1577,'Site Level Financials - ''23 ''24'!X$2:X$1577)</f>
        <v>-90.782975362812735</v>
      </c>
      <c r="M1010" s="179">
        <f>_xlfn.XLOOKUP($C1010,'Site Level Financials - ''23 ''24'!$C$2:$C$1577,'Site Level Financials - ''23 ''24'!Y$2:Y$1577)</f>
        <v>-90.806440217063709</v>
      </c>
      <c r="N1010" s="179">
        <f>_xlfn.XLOOKUP($C1010,'Site Level Financials - ''23 ''24'!$C$2:$C$1577,'Site Level Financials - ''23 ''24'!Z$2:Z$1577)</f>
        <v>-106.55617500099669</v>
      </c>
      <c r="O1010" s="179">
        <f>_xlfn.XLOOKUP($C1010,'Site Level Financials - ''23 ''24'!$C$2:$C$1577,'Site Level Financials - ''23 ''24'!AA$2:AA$1577)</f>
        <v>-92.824445672781749</v>
      </c>
      <c r="P1010" s="179">
        <f>_xlfn.XLOOKUP($C1010,'Site Level Financials - ''23 ''24'!$C$2:$C$1577,'Site Level Financials - ''23 ''24'!AB$2:AB$1577)</f>
        <v>-112.17551181051856</v>
      </c>
      <c r="Q1010" s="179">
        <f>_xlfn.XLOOKUP($C1010,'Site Level Financials - ''23 ''24'!$C$2:$C$1577,'Site Level Financials - ''23 ''24'!AC$2:AC$1577)</f>
        <v>-128.44569809806487</v>
      </c>
      <c r="R1010" s="179">
        <f>_xlfn.XLOOKUP($C1010,'Site Level Financials - ''23 ''24'!$C$2:$C$1577,'Site Level Financials - ''23 ''24'!AD$2:AD$1577)</f>
        <v>-92.131622521286161</v>
      </c>
      <c r="S1010" s="155">
        <f>S1011*S1007</f>
        <v>-167.54842538308515</v>
      </c>
      <c r="T1010" s="154">
        <f t="shared" ref="T1010" si="2908">T1011*T1007</f>
        <v>-169.51757766719314</v>
      </c>
      <c r="U1010" s="154">
        <f t="shared" ref="U1010" si="2909">U1011*U1007</f>
        <v>-164.76001449270649</v>
      </c>
      <c r="V1010" s="154">
        <f t="shared" ref="V1010" si="2910">V1011*V1007</f>
        <v>-179.84569836149413</v>
      </c>
      <c r="W1010" s="154">
        <f t="shared" ref="W1010" si="2911">W1011*W1007</f>
        <v>-211.59304890242365</v>
      </c>
      <c r="X1010" s="154">
        <f t="shared" ref="X1010" si="2912">X1011*X1007</f>
        <v>-181.37760524442911</v>
      </c>
      <c r="Y1010" s="154">
        <f t="shared" ref="Y1010" si="2913">Y1011*Y1007</f>
        <v>-180.15776992075638</v>
      </c>
      <c r="Z1010" s="154">
        <f t="shared" ref="Z1010" si="2914">Z1011*Z1007</f>
        <v>-158.37029441444508</v>
      </c>
      <c r="AA1010" s="154">
        <f t="shared" ref="AA1010" si="2915">AA1011*AA1007</f>
        <v>-148.4825101580482</v>
      </c>
      <c r="AB1010" s="154">
        <f t="shared" ref="AB1010" si="2916">AB1011*AB1007</f>
        <v>-168.43433173640156</v>
      </c>
      <c r="AC1010" s="154">
        <f t="shared" ref="AC1010" si="2917">AC1011*AC1007</f>
        <v>-148.85654253889007</v>
      </c>
      <c r="AD1010" s="156">
        <f t="shared" ref="AD1010" si="2918">AD1011*AD1007</f>
        <v>-95.91878659505457</v>
      </c>
      <c r="AE1010" s="15"/>
      <c r="AF1010" s="115">
        <f>_xlfn.XLOOKUP($C1010,'Site Level Financials - ''23 ''24'!$C$2:$C$1577,'Site Level Financials - ''23 ''24'!$AF$2:$AF$1577)</f>
        <v>-1336.5362647030422</v>
      </c>
      <c r="AG1010" s="93">
        <f>SUM(G1010:R1010)</f>
        <v>-1344.7422047418092</v>
      </c>
      <c r="AH1010" s="93">
        <f t="shared" ref="AH1010" si="2919">SUM(S1010:AD1010)</f>
        <v>-1974.8626054149277</v>
      </c>
    </row>
    <row r="1011" spans="2:34" x14ac:dyDescent="0.2">
      <c r="B1011" s="9">
        <f>G995</f>
        <v>21</v>
      </c>
      <c r="C1011" s="9" t="str">
        <f t="shared" si="2888"/>
        <v>21 - % of Revenue - Doctor Compensation</v>
      </c>
      <c r="D1011" s="9" t="s">
        <v>56</v>
      </c>
      <c r="F1011" s="16" t="str">
        <f>"% of Revenue - "&amp;F1010</f>
        <v>% of Revenue - Doctor Compensation</v>
      </c>
      <c r="G1011" s="148">
        <f>G1010/G1007</f>
        <v>-0.38689981328336243</v>
      </c>
      <c r="H1011" s="149">
        <f t="shared" ref="H1011:R1011" si="2920">H1010/H1007</f>
        <v>-0.37803472152453699</v>
      </c>
      <c r="I1011" s="149">
        <f t="shared" si="2920"/>
        <v>-0.34217614463324364</v>
      </c>
      <c r="J1011" s="149">
        <f t="shared" si="2920"/>
        <v>-0.34869280806681968</v>
      </c>
      <c r="K1011" s="149">
        <f t="shared" si="2920"/>
        <v>-0.34517622550293353</v>
      </c>
      <c r="L1011" s="149">
        <f t="shared" si="2920"/>
        <v>-0.35234959649131264</v>
      </c>
      <c r="M1011" s="149">
        <f t="shared" si="2920"/>
        <v>-0.34739626867118445</v>
      </c>
      <c r="N1011" s="149">
        <f t="shared" si="2920"/>
        <v>-0.35613642212517327</v>
      </c>
      <c r="O1011" s="149">
        <f t="shared" si="2920"/>
        <v>-0.36418815717471686</v>
      </c>
      <c r="P1011" s="149">
        <f t="shared" si="2920"/>
        <v>-0.35971030644400642</v>
      </c>
      <c r="Q1011" s="149">
        <f t="shared" si="2920"/>
        <v>-0.40216601706931426</v>
      </c>
      <c r="R1011" s="149">
        <f t="shared" si="2920"/>
        <v>-0.31749570094873669</v>
      </c>
      <c r="S1011" s="245">
        <f>_xlfn.XLOOKUP($F1011,'Budget Assumption Driver'!$A$33:$A$39,'Budget Assumption Driver'!E$33:E$39)+G1011</f>
        <v>-0.38689981328336243</v>
      </c>
      <c r="T1011" s="246">
        <f>_xlfn.XLOOKUP($F1011,'Budget Assumption Driver'!$A$33:$A$39,'Budget Assumption Driver'!F$33:F$39)+H1011</f>
        <v>-0.37803472152453699</v>
      </c>
      <c r="U1011" s="246">
        <f>_xlfn.XLOOKUP($F1011,'Budget Assumption Driver'!$A$33:$A$39,'Budget Assumption Driver'!G$33:G$39)+I1011</f>
        <v>-0.34217614463324364</v>
      </c>
      <c r="V1011" s="246">
        <f>_xlfn.XLOOKUP($F1011,'Budget Assumption Driver'!$A$33:$A$39,'Budget Assumption Driver'!H$33:H$39)+J1011</f>
        <v>-0.34869280806681968</v>
      </c>
      <c r="W1011" s="246">
        <f>_xlfn.XLOOKUP($F1011,'Budget Assumption Driver'!$A$33:$A$39,'Budget Assumption Driver'!I$33:I$39)+K1011</f>
        <v>-0.34517622550293353</v>
      </c>
      <c r="X1011" s="246">
        <f>_xlfn.XLOOKUP($F1011,'Budget Assumption Driver'!$A$33:$A$39,'Budget Assumption Driver'!J$33:J$39)+L1011</f>
        <v>-0.35234959649131264</v>
      </c>
      <c r="Y1011" s="246">
        <f>_xlfn.XLOOKUP($F1011,'Budget Assumption Driver'!$A$33:$A$39,'Budget Assumption Driver'!K$33:K$39)+M1011</f>
        <v>-0.34739626867118445</v>
      </c>
      <c r="Z1011" s="246">
        <f>_xlfn.XLOOKUP($F1011,'Budget Assumption Driver'!$A$33:$A$39,'Budget Assumption Driver'!L$33:L$39)+N1011</f>
        <v>-0.35613642212517327</v>
      </c>
      <c r="AA1011" s="246">
        <f>_xlfn.XLOOKUP($F1011,'Budget Assumption Driver'!$A$33:$A$39,'Budget Assumption Driver'!M$33:M$39)+O1011</f>
        <v>-0.36418815717471686</v>
      </c>
      <c r="AB1011" s="246">
        <f>_xlfn.XLOOKUP($F1011,'Budget Assumption Driver'!$A$33:$A$39,'Budget Assumption Driver'!N$33:N$39)+P1011</f>
        <v>-0.35971030644400642</v>
      </c>
      <c r="AC1011" s="246">
        <f>_xlfn.XLOOKUP($F1011,'Budget Assumption Driver'!$A$33:$A$39,'Budget Assumption Driver'!O$33:O$39)+Q1011</f>
        <v>-0.40216601706931426</v>
      </c>
      <c r="AD1011" s="296">
        <f>_xlfn.XLOOKUP($F1011,'Budget Assumption Driver'!$A$33:$A$39,'Budget Assumption Driver'!P$33:P$39)+R1011</f>
        <v>-0.31749570094873669</v>
      </c>
      <c r="AE1011" s="15"/>
      <c r="AF1011" s="232">
        <f>_xlfn.XLOOKUP($C1011,'Site Level Financials - ''23 ''24'!$C$2:$C$1577,'Site Level Financials - ''23 ''24'!$AF$2:$AF$1577)</f>
        <v>-0.31739543447352342</v>
      </c>
      <c r="AG1011" s="97">
        <f t="shared" ref="AG1011:AH1011" si="2921">AG1010/AG1007</f>
        <v>-0.36013690384129016</v>
      </c>
      <c r="AH1011" s="97">
        <f t="shared" si="2921"/>
        <v>-0.35789427185268347</v>
      </c>
    </row>
    <row r="1012" spans="2:34" ht="3" customHeight="1" x14ac:dyDescent="0.2">
      <c r="B1012" s="9">
        <f>G995</f>
        <v>21</v>
      </c>
      <c r="C1012" s="9" t="str">
        <f t="shared" si="2888"/>
        <v xml:space="preserve">21 - </v>
      </c>
      <c r="D1012" s="9" t="s">
        <v>56</v>
      </c>
      <c r="F1012" s="16"/>
      <c r="G1012" s="84"/>
      <c r="H1012" s="85"/>
      <c r="I1012" s="85"/>
      <c r="J1012" s="85"/>
      <c r="K1012" s="85"/>
      <c r="L1012" s="85"/>
      <c r="M1012" s="85"/>
      <c r="N1012" s="85"/>
      <c r="O1012" s="85"/>
      <c r="P1012" s="85"/>
      <c r="Q1012" s="85"/>
      <c r="R1012" s="85"/>
      <c r="S1012" s="84"/>
      <c r="T1012" s="85"/>
      <c r="U1012" s="85"/>
      <c r="V1012" s="85"/>
      <c r="W1012" s="85"/>
      <c r="X1012" s="85"/>
      <c r="Y1012" s="85"/>
      <c r="Z1012" s="85"/>
      <c r="AA1012" s="85"/>
      <c r="AB1012" s="85"/>
      <c r="AC1012" s="85"/>
      <c r="AD1012" s="86"/>
      <c r="AE1012" s="15"/>
      <c r="AF1012" s="36"/>
      <c r="AG1012" s="38"/>
      <c r="AH1012" s="38"/>
    </row>
    <row r="1013" spans="2:34" x14ac:dyDescent="0.2">
      <c r="B1013" s="9">
        <f>G995</f>
        <v>21</v>
      </c>
      <c r="C1013" s="9" t="str">
        <f t="shared" si="2888"/>
        <v>21 - Administrative Staff Compensation</v>
      </c>
      <c r="D1013" s="9" t="s">
        <v>56</v>
      </c>
      <c r="F1013" t="s">
        <v>5</v>
      </c>
      <c r="G1013" s="178">
        <f>_xlfn.XLOOKUP($C1013,'Site Level Financials - ''23 ''24'!$C$2:$C$1577,'Site Level Financials - ''23 ''24'!S$2:S$1577)</f>
        <v>-70.592966252016026</v>
      </c>
      <c r="H1013" s="179">
        <f>_xlfn.XLOOKUP($C1013,'Site Level Financials - ''23 ''24'!$C$2:$C$1577,'Site Level Financials - ''23 ''24'!T$2:T$1577)</f>
        <v>-68.99320474583881</v>
      </c>
      <c r="I1013" s="179">
        <f>_xlfn.XLOOKUP($C1013,'Site Level Financials - ''23 ''24'!$C$2:$C$1577,'Site Level Financials - ''23 ''24'!U$2:U$1577)</f>
        <v>-81.136846660053081</v>
      </c>
      <c r="J1013" s="179">
        <f>_xlfn.XLOOKUP($C1013,'Site Level Financials - ''23 ''24'!$C$2:$C$1577,'Site Level Financials - ''23 ''24'!V$2:V$1577)</f>
        <v>-97.083866218680839</v>
      </c>
      <c r="K1013" s="179">
        <f>_xlfn.XLOOKUP($C1013,'Site Level Financials - ''23 ''24'!$C$2:$C$1577,'Site Level Financials - ''23 ''24'!W$2:W$1577)</f>
        <v>-97.490984390634225</v>
      </c>
      <c r="L1013" s="179">
        <f>_xlfn.XLOOKUP($C1013,'Site Level Financials - ''23 ''24'!$C$2:$C$1577,'Site Level Financials - ''23 ''24'!X$2:X$1577)</f>
        <v>-84.612264365087412</v>
      </c>
      <c r="M1013" s="179">
        <f>_xlfn.XLOOKUP($C1013,'Site Level Financials - ''23 ''24'!$C$2:$C$1577,'Site Level Financials - ''23 ''24'!Y$2:Y$1577)</f>
        <v>-87.930274193450074</v>
      </c>
      <c r="N1013" s="179">
        <f>_xlfn.XLOOKUP($C1013,'Site Level Financials - ''23 ''24'!$C$2:$C$1577,'Site Level Financials - ''23 ''24'!Z$2:Z$1577)</f>
        <v>-63.244189092224609</v>
      </c>
      <c r="O1013" s="179">
        <f>_xlfn.XLOOKUP($C1013,'Site Level Financials - ''23 ''24'!$C$2:$C$1577,'Site Level Financials - ''23 ''24'!AA$2:AA$1577)</f>
        <v>-57.262986212385059</v>
      </c>
      <c r="P1013" s="179">
        <f>_xlfn.XLOOKUP($C1013,'Site Level Financials - ''23 ''24'!$C$2:$C$1577,'Site Level Financials - ''23 ''24'!AB$2:AB$1577)</f>
        <v>-69.379504761968363</v>
      </c>
      <c r="Q1013" s="179">
        <f>_xlfn.XLOOKUP($C1013,'Site Level Financials - ''23 ''24'!$C$2:$C$1577,'Site Level Financials - ''23 ''24'!AC$2:AC$1577)</f>
        <v>-51.911650805146969</v>
      </c>
      <c r="R1013" s="179">
        <f>_xlfn.XLOOKUP($C1013,'Site Level Financials - ''23 ''24'!$C$2:$C$1577,'Site Level Financials - ''23 ''24'!AD$2:AD$1577)</f>
        <v>-39.625351768158623</v>
      </c>
      <c r="S1013" s="155">
        <f>S1014*S1007</f>
        <v>-72.068193983544489</v>
      </c>
      <c r="T1013" s="154">
        <f t="shared" ref="T1013" si="2922">T1014*T1007</f>
        <v>-78.408156756221786</v>
      </c>
      <c r="U1013" s="154">
        <f t="shared" ref="U1013" si="2923">U1014*U1007</f>
        <v>-113.07919155572212</v>
      </c>
      <c r="V1013" s="154">
        <f t="shared" ref="V1013" si="2924">V1014*V1007</f>
        <v>-179.64295844651997</v>
      </c>
      <c r="W1013" s="154">
        <f t="shared" ref="W1013" si="2925">W1014*W1007</f>
        <v>-201.59577581124631</v>
      </c>
      <c r="X1013" s="154">
        <f t="shared" ref="X1013" si="2926">X1014*X1007</f>
        <v>-169.04898549001038</v>
      </c>
      <c r="Y1013" s="154">
        <f t="shared" ref="Y1013" si="2927">Y1014*Y1007</f>
        <v>-174.45152644840505</v>
      </c>
      <c r="Z1013" s="154">
        <f t="shared" ref="Z1013" si="2928">Z1014*Z1007</f>
        <v>-93.997375998573162</v>
      </c>
      <c r="AA1013" s="154">
        <f t="shared" ref="AA1013" si="2929">AA1014*AA1007</f>
        <v>-91.598197762831134</v>
      </c>
      <c r="AB1013" s="154">
        <f t="shared" ref="AB1013" si="2930">AB1014*AB1007</f>
        <v>-104.17505863957074</v>
      </c>
      <c r="AC1013" s="154">
        <f t="shared" ref="AC1013" si="2931">AC1014*AC1007</f>
        <v>-60.160744740868715</v>
      </c>
      <c r="AD1013" s="156">
        <f t="shared" ref="AD1013" si="2932">AD1014*AD1007</f>
        <v>-41.254192165408043</v>
      </c>
      <c r="AE1013" s="15"/>
      <c r="AF1013" s="115">
        <f>_xlfn.XLOOKUP($C1013,'Site Level Financials - ''23 ''24'!$C$2:$C$1577,'Site Level Financials - ''23 ''24'!$AF$2:$AF$1577)</f>
        <v>-868.05295083267345</v>
      </c>
      <c r="AG1013" s="93">
        <f>SUM(G1013:R1013)</f>
        <v>-869.26408946564402</v>
      </c>
      <c r="AH1013" s="93">
        <f t="shared" ref="AH1013" si="2933">SUM(S1013:AD1013)</f>
        <v>-1379.4803577989221</v>
      </c>
    </row>
    <row r="1014" spans="2:34" x14ac:dyDescent="0.2">
      <c r="B1014" s="9">
        <f>G995</f>
        <v>21</v>
      </c>
      <c r="C1014" s="9" t="str">
        <f t="shared" si="2888"/>
        <v>21 - % of Revenue - Administrative Staff Compensation</v>
      </c>
      <c r="D1014" s="9" t="s">
        <v>56</v>
      </c>
      <c r="F1014" s="16" t="str">
        <f>"% of Revenue - "&amp;F1013</f>
        <v>% of Revenue - Administrative Staff Compensation</v>
      </c>
      <c r="G1014" s="148">
        <f>G1013/G1007</f>
        <v>-0.16641857858198322</v>
      </c>
      <c r="H1014" s="149">
        <f t="shared" ref="H1014:R1014" si="2934">H1013/H1007</f>
        <v>-0.17485505699464104</v>
      </c>
      <c r="I1014" s="149">
        <f t="shared" si="2934"/>
        <v>-0.23484461277765836</v>
      </c>
      <c r="J1014" s="149">
        <f t="shared" si="2934"/>
        <v>-0.34829972693725342</v>
      </c>
      <c r="K1014" s="149">
        <f t="shared" si="2934"/>
        <v>-0.3288674620117189</v>
      </c>
      <c r="L1014" s="149">
        <f t="shared" si="2934"/>
        <v>-0.32839964859167975</v>
      </c>
      <c r="M1014" s="149">
        <f t="shared" si="2934"/>
        <v>-0.33639298143413604</v>
      </c>
      <c r="N1014" s="149">
        <f t="shared" si="2934"/>
        <v>-0.2113773249021195</v>
      </c>
      <c r="O1014" s="149">
        <f t="shared" si="2934"/>
        <v>-0.22466604860237532</v>
      </c>
      <c r="P1014" s="149">
        <f t="shared" si="2934"/>
        <v>-0.22247745979547115</v>
      </c>
      <c r="Q1014" s="149">
        <f t="shared" si="2934"/>
        <v>-0.16253640373272685</v>
      </c>
      <c r="R1014" s="149">
        <f t="shared" si="2934"/>
        <v>-0.13655331894393902</v>
      </c>
      <c r="S1014" s="245">
        <f>_xlfn.XLOOKUP($F1014,'Budget Assumption Driver'!$A$33:$A$39,'Budget Assumption Driver'!E$33:E$39)+G1014</f>
        <v>-0.16641857858198322</v>
      </c>
      <c r="T1014" s="246">
        <f>_xlfn.XLOOKUP($F1014,'Budget Assumption Driver'!$A$33:$A$39,'Budget Assumption Driver'!F$33:F$39)+H1014</f>
        <v>-0.17485505699464104</v>
      </c>
      <c r="U1014" s="246">
        <f>_xlfn.XLOOKUP($F1014,'Budget Assumption Driver'!$A$33:$A$39,'Budget Assumption Driver'!G$33:G$39)+I1014</f>
        <v>-0.23484461277765836</v>
      </c>
      <c r="V1014" s="246">
        <f>_xlfn.XLOOKUP($F1014,'Budget Assumption Driver'!$A$33:$A$39,'Budget Assumption Driver'!H$33:H$39)+J1014</f>
        <v>-0.34829972693725342</v>
      </c>
      <c r="W1014" s="246">
        <f>_xlfn.XLOOKUP($F1014,'Budget Assumption Driver'!$A$33:$A$39,'Budget Assumption Driver'!I$33:I$39)+K1014</f>
        <v>-0.3288674620117189</v>
      </c>
      <c r="X1014" s="246">
        <f>_xlfn.XLOOKUP($F1014,'Budget Assumption Driver'!$A$33:$A$39,'Budget Assumption Driver'!J$33:J$39)+L1014</f>
        <v>-0.32839964859167975</v>
      </c>
      <c r="Y1014" s="246">
        <f>_xlfn.XLOOKUP($F1014,'Budget Assumption Driver'!$A$33:$A$39,'Budget Assumption Driver'!K$33:K$39)+M1014</f>
        <v>-0.33639298143413604</v>
      </c>
      <c r="Z1014" s="246">
        <f>_xlfn.XLOOKUP($F1014,'Budget Assumption Driver'!$A$33:$A$39,'Budget Assumption Driver'!L$33:L$39)+N1014</f>
        <v>-0.2113773249021195</v>
      </c>
      <c r="AA1014" s="246">
        <f>_xlfn.XLOOKUP($F1014,'Budget Assumption Driver'!$A$33:$A$39,'Budget Assumption Driver'!M$33:M$39)+O1014</f>
        <v>-0.22466604860237532</v>
      </c>
      <c r="AB1014" s="246">
        <f>_xlfn.XLOOKUP($F1014,'Budget Assumption Driver'!$A$33:$A$39,'Budget Assumption Driver'!N$33:N$39)+P1014</f>
        <v>-0.22247745979547115</v>
      </c>
      <c r="AC1014" s="246">
        <f>_xlfn.XLOOKUP($F1014,'Budget Assumption Driver'!$A$33:$A$39,'Budget Assumption Driver'!O$33:O$39)+Q1014</f>
        <v>-0.16253640373272685</v>
      </c>
      <c r="AD1014" s="296">
        <f>_xlfn.XLOOKUP($F1014,'Budget Assumption Driver'!$A$33:$A$39,'Budget Assumption Driver'!P$33:P$39)+R1014</f>
        <v>-0.13655331894393902</v>
      </c>
      <c r="AE1014" s="15"/>
      <c r="AF1014" s="232">
        <f>_xlfn.XLOOKUP($C1014,'Site Level Financials - ''23 ''24'!$C$2:$C$1577,'Site Level Financials - ''23 ''24'!$AF$2:$AF$1577)</f>
        <v>-0.2061418389846503</v>
      </c>
      <c r="AG1014" s="97">
        <f t="shared" ref="AG1014:AH1014" si="2935">AG1013/AG1007</f>
        <v>-0.23279858153978422</v>
      </c>
      <c r="AH1014" s="97">
        <f t="shared" si="2935"/>
        <v>-0.24999618547427718</v>
      </c>
    </row>
    <row r="1015" spans="2:34" ht="3" customHeight="1" x14ac:dyDescent="0.2">
      <c r="B1015" s="9">
        <f>G995</f>
        <v>21</v>
      </c>
      <c r="C1015" s="9" t="str">
        <f t="shared" si="2888"/>
        <v xml:space="preserve">21 - </v>
      </c>
      <c r="D1015" s="9" t="s">
        <v>56</v>
      </c>
      <c r="F1015" s="16"/>
      <c r="G1015" s="84"/>
      <c r="H1015" s="85"/>
      <c r="I1015" s="85"/>
      <c r="J1015" s="85"/>
      <c r="K1015" s="85"/>
      <c r="L1015" s="85"/>
      <c r="M1015" s="85"/>
      <c r="N1015" s="85"/>
      <c r="O1015" s="85"/>
      <c r="P1015" s="85"/>
      <c r="Q1015" s="85"/>
      <c r="R1015" s="85"/>
      <c r="S1015" s="84"/>
      <c r="T1015" s="85"/>
      <c r="U1015" s="85"/>
      <c r="V1015" s="85"/>
      <c r="W1015" s="85"/>
      <c r="X1015" s="85"/>
      <c r="Y1015" s="85"/>
      <c r="Z1015" s="85"/>
      <c r="AA1015" s="85"/>
      <c r="AB1015" s="85"/>
      <c r="AC1015" s="85"/>
      <c r="AD1015" s="86"/>
      <c r="AE1015" s="15"/>
      <c r="AF1015" s="36"/>
      <c r="AG1015" s="38"/>
      <c r="AH1015" s="38"/>
    </row>
    <row r="1016" spans="2:34" x14ac:dyDescent="0.2">
      <c r="B1016" s="9">
        <f>G995</f>
        <v>21</v>
      </c>
      <c r="C1016" s="9" t="str">
        <f t="shared" si="2888"/>
        <v>21 - Office Supplies</v>
      </c>
      <c r="D1016" s="9" t="s">
        <v>56</v>
      </c>
      <c r="F1016" t="s">
        <v>6</v>
      </c>
      <c r="G1016" s="178">
        <f>_xlfn.XLOOKUP($C1016,'Site Level Financials - ''23 ''24'!$C$2:$C$1577,'Site Level Financials - ''23 ''24'!S$2:S$1577)</f>
        <v>-41.812428734985367</v>
      </c>
      <c r="H1016" s="179">
        <f>_xlfn.XLOOKUP($C1016,'Site Level Financials - ''23 ''24'!$C$2:$C$1577,'Site Level Financials - ''23 ''24'!T$2:T$1577)</f>
        <v>-37.559821065479241</v>
      </c>
      <c r="I1016" s="179">
        <f>_xlfn.XLOOKUP($C1016,'Site Level Financials - ''23 ''24'!$C$2:$C$1577,'Site Level Financials - ''23 ''24'!U$2:U$1577)</f>
        <v>-43.099467432603994</v>
      </c>
      <c r="J1016" s="179">
        <f>_xlfn.XLOOKUP($C1016,'Site Level Financials - ''23 ''24'!$C$2:$C$1577,'Site Level Financials - ''23 ''24'!V$2:V$1577)</f>
        <v>-50.976843228109161</v>
      </c>
      <c r="K1016" s="179">
        <f>_xlfn.XLOOKUP($C1016,'Site Level Financials - ''23 ''24'!$C$2:$C$1577,'Site Level Financials - ''23 ''24'!W$2:W$1577)</f>
        <v>-53.534466585466795</v>
      </c>
      <c r="L1016" s="179">
        <f>_xlfn.XLOOKUP($C1016,'Site Level Financials - ''23 ''24'!$C$2:$C$1577,'Site Level Financials - ''23 ''24'!X$2:X$1577)</f>
        <v>-48.03682995646674</v>
      </c>
      <c r="M1016" s="179">
        <f>_xlfn.XLOOKUP($C1016,'Site Level Financials - ''23 ''24'!$C$2:$C$1577,'Site Level Financials - ''23 ''24'!Y$2:Y$1577)</f>
        <v>-50.353889303724515</v>
      </c>
      <c r="N1016" s="179">
        <f>_xlfn.XLOOKUP($C1016,'Site Level Financials - ''23 ''24'!$C$2:$C$1577,'Site Level Financials - ''23 ''24'!Z$2:Z$1577)</f>
        <v>-38.474445811734689</v>
      </c>
      <c r="O1016" s="179">
        <f>_xlfn.XLOOKUP($C1016,'Site Level Financials - ''23 ''24'!$C$2:$C$1577,'Site Level Financials - ''23 ''24'!AA$2:AA$1577)</f>
        <v>-32.432553745404881</v>
      </c>
      <c r="P1016" s="179">
        <f>_xlfn.XLOOKUP($C1016,'Site Level Financials - ''23 ''24'!$C$2:$C$1577,'Site Level Financials - ''23 ''24'!AB$2:AB$1577)</f>
        <v>-40.121772579084201</v>
      </c>
      <c r="Q1016" s="179">
        <f>_xlfn.XLOOKUP($C1016,'Site Level Financials - ''23 ''24'!$C$2:$C$1577,'Site Level Financials - ''23 ''24'!AC$2:AC$1577)</f>
        <v>-31.151457946258834</v>
      </c>
      <c r="R1016" s="179">
        <f>_xlfn.XLOOKUP($C1016,'Site Level Financials - ''23 ''24'!$C$2:$C$1577,'Site Level Financials - ''23 ''24'!AD$2:AD$1577)</f>
        <v>-22.174347394211114</v>
      </c>
      <c r="S1016" s="155">
        <f>S1017*S1007</f>
        <v>-42.686210609686611</v>
      </c>
      <c r="T1016" s="154">
        <f t="shared" ref="T1016" si="2936">T1017*T1007</f>
        <v>-42.68531007780674</v>
      </c>
      <c r="U1016" s="154">
        <f t="shared" ref="U1016" si="2937">U1017*U1007</f>
        <v>-60.067073523089341</v>
      </c>
      <c r="V1016" s="154">
        <f t="shared" ref="V1016" si="2938">V1017*V1007</f>
        <v>-94.327011134213251</v>
      </c>
      <c r="W1016" s="154">
        <f t="shared" ref="W1016" si="2939">W1017*W1007</f>
        <v>-110.70072162462664</v>
      </c>
      <c r="X1016" s="154">
        <f t="shared" ref="X1016" si="2940">X1017*X1007</f>
        <v>-95.973998937765614</v>
      </c>
      <c r="Y1016" s="154">
        <f t="shared" ref="Y1016" si="2941">Y1017*Y1007</f>
        <v>-99.900892294762116</v>
      </c>
      <c r="Z1016" s="154">
        <f t="shared" ref="Z1016" si="2942">Z1017*Z1007</f>
        <v>-57.183070906777978</v>
      </c>
      <c r="AA1016" s="154">
        <f t="shared" ref="AA1016" si="2943">AA1017*AA1007</f>
        <v>-51.879297054241249</v>
      </c>
      <c r="AB1016" s="154">
        <f t="shared" ref="AB1016" si="2944">AB1017*AB1007</f>
        <v>-60.243843271720642</v>
      </c>
      <c r="AC1016" s="154">
        <f t="shared" ref="AC1016" si="2945">AC1017*AC1007</f>
        <v>-36.101624216214873</v>
      </c>
      <c r="AD1016" s="156">
        <f t="shared" ref="AD1016" si="2946">AD1017*AD1007</f>
        <v>-23.085846502904378</v>
      </c>
      <c r="AE1016" s="15"/>
      <c r="AF1016" s="115">
        <f>_xlfn.XLOOKUP($C1016,'Site Level Financials - ''23 ''24'!$C$2:$C$1577,'Site Level Financials - ''23 ''24'!$AF$2:$AF$1577)</f>
        <v>-495.56134870633349</v>
      </c>
      <c r="AG1016" s="93">
        <f>SUM(G1016:R1016)</f>
        <v>-489.72832378352956</v>
      </c>
      <c r="AH1016" s="93">
        <f t="shared" ref="AH1016" si="2947">SUM(S1016:AD1016)</f>
        <v>-774.83490015380937</v>
      </c>
    </row>
    <row r="1017" spans="2:34" x14ac:dyDescent="0.2">
      <c r="B1017" s="9">
        <f>G995</f>
        <v>21</v>
      </c>
      <c r="C1017" s="9" t="str">
        <f t="shared" si="2888"/>
        <v>21 - % of Revenue - Office Supplies</v>
      </c>
      <c r="D1017" s="9" t="s">
        <v>56</v>
      </c>
      <c r="F1017" s="16" t="str">
        <f>"% of Revenue - "&amp;F1016</f>
        <v>% of Revenue - Office Supplies</v>
      </c>
      <c r="G1017" s="148">
        <f>G1016/G1007</f>
        <v>-9.8570230528286035E-2</v>
      </c>
      <c r="H1017" s="149">
        <f t="shared" ref="H1017:R1017" si="2948">H1016/H1007</f>
        <v>-9.5190891295841698E-2</v>
      </c>
      <c r="I1017" s="149">
        <f t="shared" si="2948"/>
        <v>-0.12474822669090109</v>
      </c>
      <c r="J1017" s="149">
        <f t="shared" si="2948"/>
        <v>-0.18288538835567247</v>
      </c>
      <c r="K1017" s="149">
        <f t="shared" si="2948"/>
        <v>-0.18058843354755361</v>
      </c>
      <c r="L1017" s="149">
        <f t="shared" si="2948"/>
        <v>-0.18644197972405432</v>
      </c>
      <c r="M1017" s="149">
        <f t="shared" si="2948"/>
        <v>-0.19263780427226401</v>
      </c>
      <c r="N1017" s="149">
        <f t="shared" si="2948"/>
        <v>-0.12859087213398834</v>
      </c>
      <c r="O1017" s="149">
        <f t="shared" si="2948"/>
        <v>-0.12724613538384297</v>
      </c>
      <c r="P1017" s="149">
        <f t="shared" si="2948"/>
        <v>-0.12865744828405429</v>
      </c>
      <c r="Q1017" s="149">
        <f t="shared" si="2948"/>
        <v>-9.7535829955039191E-2</v>
      </c>
      <c r="R1017" s="149">
        <f t="shared" si="2948"/>
        <v>-7.6415239158295123E-2</v>
      </c>
      <c r="S1017" s="245">
        <f>_xlfn.XLOOKUP($F1017,'Budget Assumption Driver'!$A$33:$A$39,'Budget Assumption Driver'!E$33:E$39)+G1017</f>
        <v>-9.8570230528286035E-2</v>
      </c>
      <c r="T1017" s="246">
        <f>_xlfn.XLOOKUP($F1017,'Budget Assumption Driver'!$A$33:$A$39,'Budget Assumption Driver'!F$33:F$39)+H1017</f>
        <v>-9.5190891295841698E-2</v>
      </c>
      <c r="U1017" s="246">
        <f>_xlfn.XLOOKUP($F1017,'Budget Assumption Driver'!$A$33:$A$39,'Budget Assumption Driver'!G$33:G$39)+I1017</f>
        <v>-0.12474822669090109</v>
      </c>
      <c r="V1017" s="246">
        <f>_xlfn.XLOOKUP($F1017,'Budget Assumption Driver'!$A$33:$A$39,'Budget Assumption Driver'!H$33:H$39)+J1017</f>
        <v>-0.18288538835567247</v>
      </c>
      <c r="W1017" s="246">
        <f>_xlfn.XLOOKUP($F1017,'Budget Assumption Driver'!$A$33:$A$39,'Budget Assumption Driver'!I$33:I$39)+K1017</f>
        <v>-0.18058843354755361</v>
      </c>
      <c r="X1017" s="246">
        <f>_xlfn.XLOOKUP($F1017,'Budget Assumption Driver'!$A$33:$A$39,'Budget Assumption Driver'!J$33:J$39)+L1017</f>
        <v>-0.18644197972405432</v>
      </c>
      <c r="Y1017" s="246">
        <f>_xlfn.XLOOKUP($F1017,'Budget Assumption Driver'!$A$33:$A$39,'Budget Assumption Driver'!K$33:K$39)+M1017</f>
        <v>-0.19263780427226401</v>
      </c>
      <c r="Z1017" s="246">
        <f>_xlfn.XLOOKUP($F1017,'Budget Assumption Driver'!$A$33:$A$39,'Budget Assumption Driver'!L$33:L$39)+N1017</f>
        <v>-0.12859087213398834</v>
      </c>
      <c r="AA1017" s="246">
        <f>_xlfn.XLOOKUP($F1017,'Budget Assumption Driver'!$A$33:$A$39,'Budget Assumption Driver'!M$33:M$39)+O1017</f>
        <v>-0.12724613538384297</v>
      </c>
      <c r="AB1017" s="246">
        <f>_xlfn.XLOOKUP($F1017,'Budget Assumption Driver'!$A$33:$A$39,'Budget Assumption Driver'!N$33:N$39)+P1017</f>
        <v>-0.12865744828405429</v>
      </c>
      <c r="AC1017" s="246">
        <f>_xlfn.XLOOKUP($F1017,'Budget Assumption Driver'!$A$33:$A$39,'Budget Assumption Driver'!O$33:O$39)+Q1017</f>
        <v>-9.7535829955039191E-2</v>
      </c>
      <c r="AD1017" s="296">
        <f>_xlfn.XLOOKUP($F1017,'Budget Assumption Driver'!$A$33:$A$39,'Budget Assumption Driver'!P$33:P$39)+R1017</f>
        <v>-7.6415239158295123E-2</v>
      </c>
      <c r="AE1017" s="15"/>
      <c r="AF1017" s="232">
        <f>_xlfn.XLOOKUP($C1017,'Site Level Financials - ''23 ''24'!$C$2:$C$1577,'Site Level Financials - ''23 ''24'!$AF$2:$AF$1577)</f>
        <v>-0.11768398189769969</v>
      </c>
      <c r="AG1017" s="97">
        <f t="shared" ref="AG1017:AH1017" si="2949">AG1016/AG1007</f>
        <v>-0.13115468647364134</v>
      </c>
      <c r="AH1017" s="97">
        <f t="shared" si="2949"/>
        <v>-0.14041937481434585</v>
      </c>
    </row>
    <row r="1018" spans="2:34" ht="6" customHeight="1" x14ac:dyDescent="0.2">
      <c r="B1018" s="9">
        <f>G995</f>
        <v>21</v>
      </c>
      <c r="C1018" s="9" t="str">
        <f t="shared" si="2888"/>
        <v xml:space="preserve">21 - </v>
      </c>
      <c r="D1018" s="9" t="s">
        <v>56</v>
      </c>
      <c r="F1018" s="16"/>
      <c r="G1018" s="80"/>
      <c r="H1018" s="63"/>
      <c r="I1018" s="63"/>
      <c r="J1018" s="63"/>
      <c r="K1018" s="63"/>
      <c r="L1018" s="63"/>
      <c r="M1018" s="63"/>
      <c r="N1018" s="63"/>
      <c r="O1018" s="63"/>
      <c r="P1018" s="63"/>
      <c r="Q1018" s="63"/>
      <c r="R1018" s="63"/>
      <c r="S1018" s="80"/>
      <c r="T1018" s="63"/>
      <c r="U1018" s="63"/>
      <c r="V1018" s="63"/>
      <c r="W1018" s="63"/>
      <c r="X1018" s="63"/>
      <c r="Y1018" s="63"/>
      <c r="Z1018" s="63"/>
      <c r="AA1018" s="63"/>
      <c r="AB1018" s="63"/>
      <c r="AC1018" s="63"/>
      <c r="AD1018" s="81"/>
      <c r="AE1018" s="15"/>
      <c r="AF1018" s="11"/>
      <c r="AG1018" s="15"/>
      <c r="AH1018" s="15"/>
    </row>
    <row r="1019" spans="2:34" x14ac:dyDescent="0.2">
      <c r="B1019" s="9">
        <f>G995</f>
        <v>21</v>
      </c>
      <c r="C1019" s="9" t="str">
        <f t="shared" si="2888"/>
        <v>21 - Office Gross Profit</v>
      </c>
      <c r="D1019" s="9" t="s">
        <v>56</v>
      </c>
      <c r="F1019" s="8" t="s">
        <v>11</v>
      </c>
      <c r="G1019" s="241">
        <f>_xlfn.XLOOKUP($C1019,'Site Level Financials - ''23 ''24'!$C$2:$C$1577,'Site Level Financials - ''23 ''24'!S$2:S$1577)</f>
        <v>147.66509208707794</v>
      </c>
      <c r="H1019" s="242">
        <f>_xlfn.XLOOKUP($C1019,'Site Level Financials - ''23 ''24'!$C$2:$C$1577,'Site Level Financials - ''23 ''24'!T$2:T$1577)</f>
        <v>138.85810807413441</v>
      </c>
      <c r="I1019" s="242">
        <f>_xlfn.XLOOKUP($C1019,'Site Level Financials - ''23 ''24'!$C$2:$C$1577,'Site Level Financials - ''23 ''24'!U$2:U$1577)</f>
        <v>103.0363180147254</v>
      </c>
      <c r="J1019" s="242">
        <f>_xlfn.XLOOKUP($C1019,'Site Level Financials - ''23 ''24'!$C$2:$C$1577,'Site Level Financials - ''23 ''24'!V$2:V$1577)</f>
        <v>33.482413899662603</v>
      </c>
      <c r="K1019" s="242">
        <f>_xlfn.XLOOKUP($C1019,'Site Level Financials - ''23 ''24'!$C$2:$C$1577,'Site Level Financials - ''23 ''24'!W$2:W$1577)</f>
        <v>43.093523237999982</v>
      </c>
      <c r="L1019" s="242">
        <f>_xlfn.XLOOKUP($C1019,'Site Level Financials - ''23 ''24'!$C$2:$C$1577,'Site Level Financials - ''23 ''24'!X$2:X$1577)</f>
        <v>34.218219309368429</v>
      </c>
      <c r="M1019" s="242">
        <f>_xlfn.XLOOKUP($C1019,'Site Level Financials - ''23 ''24'!$C$2:$C$1577,'Site Level Financials - ''23 ''24'!Y$2:Y$1577)</f>
        <v>32.300920623097952</v>
      </c>
      <c r="N1019" s="242">
        <f>_xlfn.XLOOKUP($C1019,'Site Level Financials - ''23 ''24'!$C$2:$C$1577,'Site Level Financials - ''23 ''24'!Z$2:Z$1577)</f>
        <v>90.9256323445166</v>
      </c>
      <c r="O1019" s="242">
        <f>_xlfn.XLOOKUP($C1019,'Site Level Financials - ''23 ''24'!$C$2:$C$1577,'Site Level Financials - ''23 ''24'!AA$2:AA$1577)</f>
        <v>72.360476141967069</v>
      </c>
      <c r="P1019" s="242">
        <f>_xlfn.XLOOKUP($C1019,'Site Level Financials - ''23 ''24'!$C$2:$C$1577,'Site Level Financials - ''23 ''24'!AB$2:AB$1577)</f>
        <v>90.172801479994888</v>
      </c>
      <c r="Q1019" s="242">
        <f>_xlfn.XLOOKUP($C1019,'Site Level Financials - ''23 ''24'!$C$2:$C$1577,'Site Level Financials - ''23 ''24'!AC$2:AC$1577)</f>
        <v>107.87595627417971</v>
      </c>
      <c r="R1019" s="242">
        <f>_xlfn.XLOOKUP($C1019,'Site Level Financials - ''23 ''24'!$C$2:$C$1577,'Site Level Financials - ''23 ''24'!AD$2:AD$1577)</f>
        <v>136.25094612652106</v>
      </c>
      <c r="S1019" s="134">
        <f t="shared" ref="S1019:AD1019" si="2950">S1007+S1010+S1013+S1016</f>
        <v>150.7509468172486</v>
      </c>
      <c r="T1019" s="135">
        <f t="shared" si="2950"/>
        <v>157.8069658433395</v>
      </c>
      <c r="U1019" s="135">
        <f t="shared" si="2950"/>
        <v>143.60015235494507</v>
      </c>
      <c r="V1019" s="135">
        <f t="shared" si="2950"/>
        <v>61.955504278309206</v>
      </c>
      <c r="W1019" s="135">
        <f t="shared" si="2950"/>
        <v>89.110519335767023</v>
      </c>
      <c r="X1019" s="135">
        <f t="shared" si="2950"/>
        <v>68.365446817071998</v>
      </c>
      <c r="Y1019" s="135">
        <f t="shared" si="2950"/>
        <v>64.084241293176262</v>
      </c>
      <c r="Z1019" s="135">
        <f t="shared" si="2950"/>
        <v>135.13922739893763</v>
      </c>
      <c r="AA1019" s="135">
        <f t="shared" si="2950"/>
        <v>115.74822834564247</v>
      </c>
      <c r="AB1019" s="135">
        <f t="shared" si="2950"/>
        <v>135.39671282032842</v>
      </c>
      <c r="AC1019" s="135">
        <f t="shared" si="2950"/>
        <v>125.01813693901207</v>
      </c>
      <c r="AD1019" s="136">
        <f t="shared" si="2950"/>
        <v>141.85167988184045</v>
      </c>
      <c r="AE1019" s="15"/>
      <c r="AF1019" s="114">
        <f>_xlfn.XLOOKUP($C1019,'Site Level Financials - ''23 ''24'!$C$2:$C$1577,'Site Level Financials - ''23 ''24'!$AF$2:$AF$1577)</f>
        <v>1510.7993094384231</v>
      </c>
      <c r="AG1019" s="95">
        <f>SUM(G1019:R1019)</f>
        <v>1030.2404076132459</v>
      </c>
      <c r="AH1019" s="95">
        <f t="shared" ref="AH1019" si="2951">SUM(S1019:AD1019)</f>
        <v>1388.8277621256188</v>
      </c>
    </row>
    <row r="1020" spans="2:34" x14ac:dyDescent="0.2">
      <c r="B1020" s="9">
        <f>G995</f>
        <v>21</v>
      </c>
      <c r="C1020" s="9" t="str">
        <f t="shared" si="2888"/>
        <v>21 - % of Revenue - Office Gross Profit</v>
      </c>
      <c r="D1020" s="9" t="s">
        <v>56</v>
      </c>
      <c r="F1020" s="16" t="str">
        <f>"% of Revenue - "&amp;F1019</f>
        <v>% of Revenue - Office Gross Profit</v>
      </c>
      <c r="G1020" s="148">
        <f>G1019/G1007</f>
        <v>0.34811137760636834</v>
      </c>
      <c r="H1020" s="149">
        <f t="shared" ref="H1020:AD1020" si="2952">H1019/H1007</f>
        <v>0.35191933018498028</v>
      </c>
      <c r="I1020" s="149">
        <f t="shared" si="2952"/>
        <v>0.29823101589819684</v>
      </c>
      <c r="J1020" s="149">
        <f t="shared" si="2952"/>
        <v>0.12012207664025439</v>
      </c>
      <c r="K1020" s="149">
        <f t="shared" si="2952"/>
        <v>0.14536787893779404</v>
      </c>
      <c r="L1020" s="149">
        <f t="shared" si="2952"/>
        <v>0.13280877519295323</v>
      </c>
      <c r="M1020" s="149">
        <f t="shared" si="2952"/>
        <v>0.12357294562241551</v>
      </c>
      <c r="N1020" s="149">
        <f t="shared" si="2952"/>
        <v>0.30389538083871892</v>
      </c>
      <c r="O1020" s="149">
        <f t="shared" si="2952"/>
        <v>0.28389965883906487</v>
      </c>
      <c r="P1020" s="149">
        <f t="shared" si="2952"/>
        <v>0.28915478547646817</v>
      </c>
      <c r="Q1020" s="149">
        <f t="shared" si="2952"/>
        <v>0.33776174924291974</v>
      </c>
      <c r="R1020" s="149">
        <f t="shared" si="2952"/>
        <v>0.46953574094902922</v>
      </c>
      <c r="S1020" s="148">
        <f t="shared" si="2952"/>
        <v>0.34811137760636834</v>
      </c>
      <c r="T1020" s="149">
        <f t="shared" si="2952"/>
        <v>0.35191933018498017</v>
      </c>
      <c r="U1020" s="149">
        <f t="shared" si="2952"/>
        <v>0.29823101589819695</v>
      </c>
      <c r="V1020" s="149">
        <f t="shared" si="2952"/>
        <v>0.12012207664025452</v>
      </c>
      <c r="W1020" s="149">
        <f t="shared" si="2952"/>
        <v>0.14536787893779396</v>
      </c>
      <c r="X1020" s="149">
        <f t="shared" si="2952"/>
        <v>0.13280877519295331</v>
      </c>
      <c r="Y1020" s="149">
        <f t="shared" si="2952"/>
        <v>0.12357294562241551</v>
      </c>
      <c r="Z1020" s="149">
        <f t="shared" si="2952"/>
        <v>0.30389538083871892</v>
      </c>
      <c r="AA1020" s="149">
        <f t="shared" si="2952"/>
        <v>0.28389965883906482</v>
      </c>
      <c r="AB1020" s="149">
        <f t="shared" si="2952"/>
        <v>0.28915478547646817</v>
      </c>
      <c r="AC1020" s="149">
        <f t="shared" si="2952"/>
        <v>0.33776174924291968</v>
      </c>
      <c r="AD1020" s="150">
        <f t="shared" si="2952"/>
        <v>0.46953574094902911</v>
      </c>
      <c r="AE1020" s="15"/>
      <c r="AF1020" s="233">
        <f>_xlfn.XLOOKUP($C1020,'Site Level Financials - ''23 ''24'!$C$2:$C$1577,'Site Level Financials - ''23 ''24'!$AF$2:$AF$1577)</f>
        <v>0.35877874464412651</v>
      </c>
      <c r="AG1020" s="97">
        <f t="shared" ref="AG1020:AH1020" si="2953">AG1019/AG1007</f>
        <v>0.27590982814528414</v>
      </c>
      <c r="AH1020" s="97">
        <f t="shared" si="2953"/>
        <v>0.25169016785869369</v>
      </c>
    </row>
    <row r="1021" spans="2:34" ht="6" customHeight="1" x14ac:dyDescent="0.2">
      <c r="B1021" s="9">
        <f>G995</f>
        <v>21</v>
      </c>
      <c r="C1021" s="9" t="str">
        <f t="shared" si="2888"/>
        <v xml:space="preserve">21 - </v>
      </c>
      <c r="D1021" s="9" t="s">
        <v>56</v>
      </c>
      <c r="F1021" s="16"/>
      <c r="G1021" s="80"/>
      <c r="H1021" s="63"/>
      <c r="I1021" s="63"/>
      <c r="J1021" s="63"/>
      <c r="K1021" s="63"/>
      <c r="L1021" s="63"/>
      <c r="M1021" s="63"/>
      <c r="N1021" s="63"/>
      <c r="O1021" s="63"/>
      <c r="P1021" s="63"/>
      <c r="Q1021" s="63"/>
      <c r="R1021" s="63"/>
      <c r="S1021" s="80"/>
      <c r="T1021" s="63"/>
      <c r="U1021" s="63"/>
      <c r="V1021" s="63"/>
      <c r="W1021" s="63"/>
      <c r="X1021" s="63"/>
      <c r="Y1021" s="63"/>
      <c r="Z1021" s="63"/>
      <c r="AA1021" s="63"/>
      <c r="AB1021" s="63"/>
      <c r="AC1021" s="63"/>
      <c r="AD1021" s="81"/>
      <c r="AE1021" s="15"/>
      <c r="AF1021" s="11"/>
      <c r="AG1021" s="15"/>
      <c r="AH1021" s="15"/>
    </row>
    <row r="1022" spans="2:34" x14ac:dyDescent="0.2">
      <c r="B1022" s="9">
        <f>G995</f>
        <v>21</v>
      </c>
      <c r="C1022" s="9" t="str">
        <f t="shared" si="2888"/>
        <v>21 - General and Administrative Expense</v>
      </c>
      <c r="D1022" s="9" t="s">
        <v>56</v>
      </c>
      <c r="F1022" t="s">
        <v>10</v>
      </c>
      <c r="G1022" s="178">
        <f>_xlfn.XLOOKUP($C1022,'Site Level Financials - ''23 ''24'!$C$2:$C$1577,'Site Level Financials - ''23 ''24'!S$2:S$1577)</f>
        <v>-28.353355848917005</v>
      </c>
      <c r="H1022" s="179">
        <f>_xlfn.XLOOKUP($C1022,'Site Level Financials - ''23 ''24'!$C$2:$C$1577,'Site Level Financials - ''23 ''24'!T$2:T$1577)</f>
        <v>-28.125178010275874</v>
      </c>
      <c r="I1022" s="179">
        <f>_xlfn.XLOOKUP($C1022,'Site Level Financials - ''23 ''24'!$C$2:$C$1577,'Site Level Financials - ''23 ''24'!U$2:U$1577)</f>
        <v>-33.686379314343078</v>
      </c>
      <c r="J1022" s="179">
        <f>_xlfn.XLOOKUP($C1022,'Site Level Financials - ''23 ''24'!$C$2:$C$1577,'Site Level Financials - ''23 ''24'!V$2:V$1577)</f>
        <v>-42.197338728959885</v>
      </c>
      <c r="K1022" s="179">
        <f>_xlfn.XLOOKUP($C1022,'Site Level Financials - ''23 ''24'!$C$2:$C$1577,'Site Level Financials - ''23 ''24'!W$2:W$1577)</f>
        <v>-47.641408389792957</v>
      </c>
      <c r="L1022" s="179">
        <f>_xlfn.XLOOKUP($C1022,'Site Level Financials - ''23 ''24'!$C$2:$C$1577,'Site Level Financials - ''23 ''24'!X$2:X$1577)</f>
        <v>-42.749702834839724</v>
      </c>
      <c r="M1022" s="179">
        <f>_xlfn.XLOOKUP($C1022,'Site Level Financials - ''23 ''24'!$C$2:$C$1577,'Site Level Financials - ''23 ''24'!Y$2:Y$1577)</f>
        <v>-42.598989849067884</v>
      </c>
      <c r="N1022" s="179">
        <f>_xlfn.XLOOKUP($C1022,'Site Level Financials - ''23 ''24'!$C$2:$C$1577,'Site Level Financials - ''23 ''24'!Z$2:Z$1577)</f>
        <v>-32.077340152389908</v>
      </c>
      <c r="O1022" s="179">
        <f>_xlfn.XLOOKUP($C1022,'Site Level Financials - ''23 ''24'!$C$2:$C$1577,'Site Level Financials - ''23 ''24'!AA$2:AA$1577)</f>
        <v>-28.278934007891586</v>
      </c>
      <c r="P1022" s="179">
        <f>_xlfn.XLOOKUP($C1022,'Site Level Financials - ''23 ''24'!$C$2:$C$1577,'Site Level Financials - ''23 ''24'!AB$2:AB$1577)</f>
        <v>-35.062005406483841</v>
      </c>
      <c r="Q1022" s="179">
        <f>_xlfn.XLOOKUP($C1022,'Site Level Financials - ''23 ''24'!$C$2:$C$1577,'Site Level Financials - ''23 ''24'!AC$2:AC$1577)</f>
        <v>-27.868756163427101</v>
      </c>
      <c r="R1022" s="179">
        <f>_xlfn.XLOOKUP($C1022,'Site Level Financials - ''23 ''24'!$C$2:$C$1577,'Site Level Financials - ''23 ''24'!AD$2:AD$1577)</f>
        <v>-20.310853927848282</v>
      </c>
      <c r="S1022" s="155">
        <f>S1023*S1007</f>
        <v>-28.945874608943225</v>
      </c>
      <c r="T1022" s="154">
        <f t="shared" ref="T1022" si="2954">T1023*T1007</f>
        <v>-31.963196583636851</v>
      </c>
      <c r="U1022" s="154">
        <f t="shared" ref="U1022" si="2955">U1023*U1007</f>
        <v>-46.948195500685536</v>
      </c>
      <c r="V1022" s="154">
        <f t="shared" ref="V1022" si="2956">V1023*V1007</f>
        <v>-78.081508937492657</v>
      </c>
      <c r="W1022" s="154">
        <f t="shared" ref="W1022" si="2957">W1023*W1007</f>
        <v>-98.514819038009392</v>
      </c>
      <c r="X1022" s="154">
        <f t="shared" ref="X1022" si="2958">X1023*X1007</f>
        <v>-85.410713783130774</v>
      </c>
      <c r="Y1022" s="154">
        <f t="shared" ref="Y1022" si="2959">Y1023*Y1007</f>
        <v>-84.515360295368822</v>
      </c>
      <c r="Z1022" s="154">
        <f t="shared" ref="Z1022" si="2960">Z1023*Z1007</f>
        <v>-47.67530182008479</v>
      </c>
      <c r="AA1022" s="154">
        <f t="shared" ref="AA1022" si="2961">AA1023*AA1007</f>
        <v>-45.235143346692325</v>
      </c>
      <c r="AB1022" s="154">
        <f t="shared" ref="AB1022" si="2962">AB1023*AB1007</f>
        <v>-52.646476531836413</v>
      </c>
      <c r="AC1022" s="154">
        <f t="shared" ref="AC1022" si="2963">AC1023*AC1007</f>
        <v>-32.297280086250247</v>
      </c>
      <c r="AD1022" s="156">
        <f t="shared" ref="AD1022" si="2964">AD1023*AD1007</f>
        <v>-21.145752241783143</v>
      </c>
      <c r="AE1022" s="15"/>
      <c r="AF1022" s="115">
        <f>_xlfn.XLOOKUP($C1022,'Site Level Financials - ''23 ''24'!$C$2:$C$1577,'Site Level Financials - ''23 ''24'!$AF$2:$AF$1577)</f>
        <v>-350.70340270585166</v>
      </c>
      <c r="AG1022" s="93">
        <f>SUM(G1022:R1022)</f>
        <v>-408.9502426342371</v>
      </c>
      <c r="AH1022" s="93">
        <f t="shared" ref="AH1022" si="2965">SUM(S1022:AD1022)</f>
        <v>-653.37962277391409</v>
      </c>
    </row>
    <row r="1023" spans="2:34" x14ac:dyDescent="0.2">
      <c r="B1023" s="9">
        <f>G995</f>
        <v>21</v>
      </c>
      <c r="C1023" s="9" t="str">
        <f t="shared" si="2888"/>
        <v>21 - % of Revenue - General and Administrative Expense</v>
      </c>
      <c r="D1023" s="9" t="s">
        <v>56</v>
      </c>
      <c r="F1023" s="16" t="str">
        <f>"% of Revenue - "&amp;F1022</f>
        <v>% of Revenue - General and Administrative Expense</v>
      </c>
      <c r="G1023" s="148">
        <f>G1022/G1007</f>
        <v>-6.6841293530021828E-2</v>
      </c>
      <c r="H1023" s="149">
        <f t="shared" ref="H1023:R1023" si="2966">H1022/H1007</f>
        <v>-7.1279912595563585E-2</v>
      </c>
      <c r="I1023" s="149">
        <f t="shared" si="2966"/>
        <v>-9.7502738048275112E-2</v>
      </c>
      <c r="J1023" s="149">
        <f t="shared" si="2966"/>
        <v>-0.15138788893789917</v>
      </c>
      <c r="K1023" s="149">
        <f t="shared" si="2966"/>
        <v>-0.16070931237124925</v>
      </c>
      <c r="L1023" s="149">
        <f t="shared" si="2966"/>
        <v>-0.16592142396502091</v>
      </c>
      <c r="M1023" s="149">
        <f t="shared" si="2966"/>
        <v>-0.16297005022279215</v>
      </c>
      <c r="N1023" s="149">
        <f t="shared" si="2966"/>
        <v>-0.10721020300379069</v>
      </c>
      <c r="O1023" s="149">
        <f t="shared" si="2966"/>
        <v>-0.11094979117359087</v>
      </c>
      <c r="P1023" s="149">
        <f t="shared" si="2966"/>
        <v>-0.11243242402683724</v>
      </c>
      <c r="Q1023" s="149">
        <f t="shared" si="2966"/>
        <v>-8.7257625851855883E-2</v>
      </c>
      <c r="R1023" s="149">
        <f t="shared" si="2966"/>
        <v>-6.9993435784762179E-2</v>
      </c>
      <c r="S1023" s="245">
        <f>_xlfn.XLOOKUP($F1023,'Budget Assumption Driver'!$A$33:$A$39,'Budget Assumption Driver'!E$33:E$39)+G1023</f>
        <v>-6.6841293530021828E-2</v>
      </c>
      <c r="T1023" s="246">
        <f>_xlfn.XLOOKUP($F1023,'Budget Assumption Driver'!$A$33:$A$39,'Budget Assumption Driver'!F$33:F$39)+H1023</f>
        <v>-7.1279912595563585E-2</v>
      </c>
      <c r="U1023" s="246">
        <f>_xlfn.XLOOKUP($F1023,'Budget Assumption Driver'!$A$33:$A$39,'Budget Assumption Driver'!G$33:G$39)+I1023</f>
        <v>-9.7502738048275112E-2</v>
      </c>
      <c r="V1023" s="246">
        <f>_xlfn.XLOOKUP($F1023,'Budget Assumption Driver'!$A$33:$A$39,'Budget Assumption Driver'!H$33:H$39)+J1023</f>
        <v>-0.15138788893789917</v>
      </c>
      <c r="W1023" s="246">
        <f>_xlfn.XLOOKUP($F1023,'Budget Assumption Driver'!$A$33:$A$39,'Budget Assumption Driver'!I$33:I$39)+K1023</f>
        <v>-0.16070931237124925</v>
      </c>
      <c r="X1023" s="246">
        <f>_xlfn.XLOOKUP($F1023,'Budget Assumption Driver'!$A$33:$A$39,'Budget Assumption Driver'!J$33:J$39)+L1023</f>
        <v>-0.16592142396502091</v>
      </c>
      <c r="Y1023" s="246">
        <f>_xlfn.XLOOKUP($F1023,'Budget Assumption Driver'!$A$33:$A$39,'Budget Assumption Driver'!K$33:K$39)+M1023</f>
        <v>-0.16297005022279215</v>
      </c>
      <c r="Z1023" s="246">
        <f>_xlfn.XLOOKUP($F1023,'Budget Assumption Driver'!$A$33:$A$39,'Budget Assumption Driver'!L$33:L$39)+N1023</f>
        <v>-0.10721020300379069</v>
      </c>
      <c r="AA1023" s="246">
        <f>_xlfn.XLOOKUP($F1023,'Budget Assumption Driver'!$A$33:$A$39,'Budget Assumption Driver'!M$33:M$39)+O1023</f>
        <v>-0.11094979117359087</v>
      </c>
      <c r="AB1023" s="246">
        <f>_xlfn.XLOOKUP($F1023,'Budget Assumption Driver'!$A$33:$A$39,'Budget Assumption Driver'!N$33:N$39)+P1023</f>
        <v>-0.11243242402683724</v>
      </c>
      <c r="AC1023" s="246">
        <f>_xlfn.XLOOKUP($F1023,'Budget Assumption Driver'!$A$33:$A$39,'Budget Assumption Driver'!O$33:O$39)+Q1023</f>
        <v>-8.7257625851855883E-2</v>
      </c>
      <c r="AD1023" s="296">
        <f>_xlfn.XLOOKUP($F1023,'Budget Assumption Driver'!$A$33:$A$39,'Budget Assumption Driver'!P$33:P$39)+R1023</f>
        <v>-6.9993435784762179E-2</v>
      </c>
      <c r="AE1023" s="15"/>
      <c r="AF1023" s="232">
        <f>_xlfn.XLOOKUP($C1023,'Site Level Financials - ''23 ''24'!$C$2:$C$1577,'Site Level Financials - ''23 ''24'!$AF$2:$AF$1577)</f>
        <v>-8.3283680220901879E-2</v>
      </c>
      <c r="AG1023" s="97">
        <f t="shared" ref="AG1023:AH1023" si="2967">AG1022/AG1007</f>
        <v>-0.10952141881775469</v>
      </c>
      <c r="AH1023" s="97">
        <f t="shared" si="2967"/>
        <v>-0.11840865470583964</v>
      </c>
    </row>
    <row r="1024" spans="2:34" ht="3" customHeight="1" x14ac:dyDescent="0.2">
      <c r="B1024" s="9">
        <f>G995</f>
        <v>21</v>
      </c>
      <c r="C1024" s="9" t="str">
        <f t="shared" si="2888"/>
        <v xml:space="preserve">21 - </v>
      </c>
      <c r="D1024" s="9" t="s">
        <v>56</v>
      </c>
      <c r="F1024" s="16"/>
      <c r="G1024" s="84"/>
      <c r="H1024" s="85"/>
      <c r="I1024" s="85"/>
      <c r="J1024" s="85"/>
      <c r="K1024" s="85"/>
      <c r="L1024" s="85"/>
      <c r="M1024" s="85"/>
      <c r="N1024" s="85"/>
      <c r="O1024" s="85"/>
      <c r="P1024" s="85"/>
      <c r="Q1024" s="85"/>
      <c r="R1024" s="85"/>
      <c r="S1024" s="84"/>
      <c r="T1024" s="85"/>
      <c r="U1024" s="85"/>
      <c r="V1024" s="85"/>
      <c r="W1024" s="85"/>
      <c r="X1024" s="85"/>
      <c r="Y1024" s="85"/>
      <c r="Z1024" s="85"/>
      <c r="AA1024" s="85"/>
      <c r="AB1024" s="85"/>
      <c r="AC1024" s="85"/>
      <c r="AD1024" s="86"/>
      <c r="AE1024" s="15"/>
      <c r="AF1024" s="36"/>
      <c r="AG1024" s="38"/>
      <c r="AH1024" s="38"/>
    </row>
    <row r="1025" spans="2:34" x14ac:dyDescent="0.2">
      <c r="B1025" s="9">
        <f>G995</f>
        <v>21</v>
      </c>
      <c r="C1025" s="9" t="str">
        <f t="shared" si="2888"/>
        <v>21 - Marketing</v>
      </c>
      <c r="D1025" s="9" t="s">
        <v>56</v>
      </c>
      <c r="F1025" t="s">
        <v>7</v>
      </c>
      <c r="G1025" s="178">
        <f>_xlfn.XLOOKUP($C1025,'Site Level Financials - ''23 ''24'!$C$2:$C$1577,'Site Level Financials - ''23 ''24'!S$2:S$1577)</f>
        <v>-13.274494996865487</v>
      </c>
      <c r="H1025" s="179">
        <f>_xlfn.XLOOKUP($C1025,'Site Level Financials - ''23 ''24'!$C$2:$C$1577,'Site Level Financials - ''23 ''24'!T$2:T$1577)</f>
        <v>-11.58955963983211</v>
      </c>
      <c r="I1025" s="179">
        <f>_xlfn.XLOOKUP($C1025,'Site Level Financials - ''23 ''24'!$C$2:$C$1577,'Site Level Financials - ''23 ''24'!U$2:U$1577)</f>
        <v>-12.937910378722744</v>
      </c>
      <c r="J1025" s="179">
        <f>_xlfn.XLOOKUP($C1025,'Site Level Financials - ''23 ''24'!$C$2:$C$1577,'Site Level Financials - ''23 ''24'!V$2:V$1577)</f>
        <v>-13.057261831496287</v>
      </c>
      <c r="K1025" s="179">
        <f>_xlfn.XLOOKUP($C1025,'Site Level Financials - ''23 ''24'!$C$2:$C$1577,'Site Level Financials - ''23 ''24'!W$2:W$1577)</f>
        <v>-15.885315091656249</v>
      </c>
      <c r="L1025" s="179">
        <f>_xlfn.XLOOKUP($C1025,'Site Level Financials - ''23 ''24'!$C$2:$C$1577,'Site Level Financials - ''23 ''24'!X$2:X$1577)</f>
        <v>-16.309004079336528</v>
      </c>
      <c r="M1025" s="179">
        <f>_xlfn.XLOOKUP($C1025,'Site Level Financials - ''23 ''24'!$C$2:$C$1577,'Site Level Financials - ''23 ''24'!Y$2:Y$1577)</f>
        <v>-15.351006068426654</v>
      </c>
      <c r="N1025" s="179">
        <f>_xlfn.XLOOKUP($C1025,'Site Level Financials - ''23 ''24'!$C$2:$C$1577,'Site Level Financials - ''23 ''24'!Z$2:Z$1577)</f>
        <v>-13.693560715081555</v>
      </c>
      <c r="O1025" s="179">
        <f>_xlfn.XLOOKUP($C1025,'Site Level Financials - ''23 ''24'!$C$2:$C$1577,'Site Level Financials - ''23 ''24'!AA$2:AA$1577)</f>
        <v>-11.506453449977982</v>
      </c>
      <c r="P1025" s="179">
        <f>_xlfn.XLOOKUP($C1025,'Site Level Financials - ''23 ''24'!$C$2:$C$1577,'Site Level Financials - ''23 ''24'!AB$2:AB$1577)</f>
        <v>-14.826370698543093</v>
      </c>
      <c r="Q1025" s="179">
        <f>_xlfn.XLOOKUP($C1025,'Site Level Financials - ''23 ''24'!$C$2:$C$1577,'Site Level Financials - ''23 ''24'!AC$2:AC$1577)</f>
        <v>-12.187378241421635</v>
      </c>
      <c r="R1025" s="179">
        <f>_xlfn.XLOOKUP($C1025,'Site Level Financials - ''23 ''24'!$C$2:$C$1577,'Site Level Financials - ''23 ''24'!AD$2:AD$1577)</f>
        <v>-7.7824461335878441</v>
      </c>
      <c r="S1025" s="155">
        <f>S1026*S1007</f>
        <v>-13.551900865766095</v>
      </c>
      <c r="T1025" s="154">
        <f t="shared" ref="T1025" si="2968">T1026*T1007</f>
        <v>-13.171094346510188</v>
      </c>
      <c r="U1025" s="154">
        <f t="shared" ref="U1025" si="2969">U1026*U1007</f>
        <v>-18.031369301004055</v>
      </c>
      <c r="V1025" s="154">
        <f t="shared" ref="V1025" si="2970">V1026*V1007</f>
        <v>-24.161019085676575</v>
      </c>
      <c r="W1025" s="154">
        <f t="shared" ref="W1025" si="2971">W1026*W1007</f>
        <v>-32.848292997810681</v>
      </c>
      <c r="X1025" s="154">
        <f t="shared" ref="X1025" si="2972">X1026*X1007</f>
        <v>-32.584172219623035</v>
      </c>
      <c r="Y1025" s="154">
        <f t="shared" ref="Y1025" si="2973">Y1026*Y1007</f>
        <v>-30.45602286266092</v>
      </c>
      <c r="Z1025" s="154">
        <f t="shared" ref="Z1025" si="2974">Z1026*Z1007</f>
        <v>-20.352206167397245</v>
      </c>
      <c r="AA1025" s="154">
        <f t="shared" ref="AA1025" si="2975">AA1026*AA1007</f>
        <v>-18.40578824776583</v>
      </c>
      <c r="AB1025" s="154">
        <f t="shared" ref="AB1025" si="2976">AB1026*AB1007</f>
        <v>-22.262165782702539</v>
      </c>
      <c r="AC1025" s="154">
        <f t="shared" ref="AC1025" si="2977">AC1026*AC1007</f>
        <v>-14.12403073434699</v>
      </c>
      <c r="AD1025" s="156">
        <f t="shared" ref="AD1025" si="2978">AD1026*AD1007</f>
        <v>-8.1023514993741923</v>
      </c>
      <c r="AE1025" s="15"/>
      <c r="AF1025" s="115">
        <f>_xlfn.XLOOKUP($C1025,'Site Level Financials - ''23 ''24'!$C$2:$C$1577,'Site Level Financials - ''23 ''24'!$AF$2:$AF$1577)</f>
        <v>-197.02937326210812</v>
      </c>
      <c r="AG1025" s="93">
        <f>SUM(G1025:R1025)</f>
        <v>-158.40076132494821</v>
      </c>
      <c r="AH1025" s="93">
        <f t="shared" ref="AH1025" si="2979">SUM(S1025:AD1025)</f>
        <v>-248.05041411063834</v>
      </c>
    </row>
    <row r="1026" spans="2:34" x14ac:dyDescent="0.2">
      <c r="B1026" s="9">
        <f>G995</f>
        <v>21</v>
      </c>
      <c r="C1026" s="9" t="str">
        <f t="shared" si="2888"/>
        <v>21 - % of Revenue - Marketing</v>
      </c>
      <c r="D1026" s="9" t="s">
        <v>56</v>
      </c>
      <c r="F1026" s="16" t="str">
        <f>"% of Revenue - "&amp;F1025</f>
        <v>% of Revenue - Marketing</v>
      </c>
      <c r="G1026" s="148">
        <f>G1025/G1007</f>
        <v>-3.1293805970490904E-2</v>
      </c>
      <c r="H1026" s="149">
        <f t="shared" ref="H1026:R1026" si="2980">H1025/H1007</f>
        <v>-2.9372358029039942E-2</v>
      </c>
      <c r="I1026" s="149">
        <f t="shared" si="2980"/>
        <v>-3.7447826457607643E-2</v>
      </c>
      <c r="J1026" s="149">
        <f t="shared" si="2980"/>
        <v>-4.6844454259932271E-2</v>
      </c>
      <c r="K1026" s="149">
        <f t="shared" si="2980"/>
        <v>-5.3586116604555707E-2</v>
      </c>
      <c r="L1026" s="149">
        <f t="shared" si="2980"/>
        <v>-6.329899393100652E-2</v>
      </c>
      <c r="M1026" s="149">
        <f t="shared" si="2980"/>
        <v>-5.8728017701964834E-2</v>
      </c>
      <c r="N1026" s="149">
        <f t="shared" si="2980"/>
        <v>-4.5767180730514757E-2</v>
      </c>
      <c r="O1026" s="149">
        <f t="shared" si="2980"/>
        <v>-4.5144509586798415E-2</v>
      </c>
      <c r="P1026" s="149">
        <f t="shared" si="2980"/>
        <v>-4.7543338660526492E-2</v>
      </c>
      <c r="Q1026" s="149">
        <f t="shared" si="2980"/>
        <v>-3.8158921929232016E-2</v>
      </c>
      <c r="R1026" s="149">
        <f t="shared" si="2980"/>
        <v>-2.6819165045187186E-2</v>
      </c>
      <c r="S1026" s="245">
        <f>_xlfn.XLOOKUP($F1026,'Budget Assumption Driver'!$A$33:$A$39,'Budget Assumption Driver'!E$33:E$39)+G1026</f>
        <v>-3.1293805970490904E-2</v>
      </c>
      <c r="T1026" s="246">
        <f>_xlfn.XLOOKUP($F1026,'Budget Assumption Driver'!$A$33:$A$39,'Budget Assumption Driver'!F$33:F$39)+H1026</f>
        <v>-2.9372358029039942E-2</v>
      </c>
      <c r="U1026" s="246">
        <f>_xlfn.XLOOKUP($F1026,'Budget Assumption Driver'!$A$33:$A$39,'Budget Assumption Driver'!G$33:G$39)+I1026</f>
        <v>-3.7447826457607643E-2</v>
      </c>
      <c r="V1026" s="246">
        <f>_xlfn.XLOOKUP($F1026,'Budget Assumption Driver'!$A$33:$A$39,'Budget Assumption Driver'!H$33:H$39)+J1026</f>
        <v>-4.6844454259932271E-2</v>
      </c>
      <c r="W1026" s="246">
        <f>_xlfn.XLOOKUP($F1026,'Budget Assumption Driver'!$A$33:$A$39,'Budget Assumption Driver'!I$33:I$39)+K1026</f>
        <v>-5.3586116604555707E-2</v>
      </c>
      <c r="X1026" s="246">
        <f>_xlfn.XLOOKUP($F1026,'Budget Assumption Driver'!$A$33:$A$39,'Budget Assumption Driver'!J$33:J$39)+L1026</f>
        <v>-6.329899393100652E-2</v>
      </c>
      <c r="Y1026" s="246">
        <f>_xlfn.XLOOKUP($F1026,'Budget Assumption Driver'!$A$33:$A$39,'Budget Assumption Driver'!K$33:K$39)+M1026</f>
        <v>-5.8728017701964834E-2</v>
      </c>
      <c r="Z1026" s="246">
        <f>_xlfn.XLOOKUP($F1026,'Budget Assumption Driver'!$A$33:$A$39,'Budget Assumption Driver'!L$33:L$39)+N1026</f>
        <v>-4.5767180730514757E-2</v>
      </c>
      <c r="AA1026" s="246">
        <f>_xlfn.XLOOKUP($F1026,'Budget Assumption Driver'!$A$33:$A$39,'Budget Assumption Driver'!M$33:M$39)+O1026</f>
        <v>-4.5144509586798415E-2</v>
      </c>
      <c r="AB1026" s="246">
        <f>_xlfn.XLOOKUP($F1026,'Budget Assumption Driver'!$A$33:$A$39,'Budget Assumption Driver'!N$33:N$39)+P1026</f>
        <v>-4.7543338660526492E-2</v>
      </c>
      <c r="AC1026" s="246">
        <f>_xlfn.XLOOKUP($F1026,'Budget Assumption Driver'!$A$33:$A$39,'Budget Assumption Driver'!O$33:O$39)+Q1026</f>
        <v>-3.8158921929232016E-2</v>
      </c>
      <c r="AD1026" s="296">
        <f>_xlfn.XLOOKUP($F1026,'Budget Assumption Driver'!$A$33:$A$39,'Budget Assumption Driver'!P$33:P$39)+R1026</f>
        <v>-2.6819165045187186E-2</v>
      </c>
      <c r="AE1026" s="15"/>
      <c r="AF1026" s="232">
        <f>_xlfn.XLOOKUP($C1026,'Site Level Financials - ''23 ''24'!$C$2:$C$1577,'Site Level Financials - ''23 ''24'!$AF$2:$AF$1577)</f>
        <v>-4.6789769332946173E-2</v>
      </c>
      <c r="AG1026" s="97">
        <f t="shared" ref="AG1026:AH1026" si="2981">AG1025/AG1007</f>
        <v>-4.2421483871418211E-2</v>
      </c>
      <c r="AH1026" s="97">
        <f t="shared" si="2981"/>
        <v>-4.4952910697415992E-2</v>
      </c>
    </row>
    <row r="1027" spans="2:34" ht="3" customHeight="1" x14ac:dyDescent="0.2">
      <c r="B1027" s="9">
        <f>G995</f>
        <v>21</v>
      </c>
      <c r="C1027" s="9" t="str">
        <f t="shared" si="2888"/>
        <v xml:space="preserve">21 - </v>
      </c>
      <c r="D1027" s="9" t="s">
        <v>56</v>
      </c>
      <c r="F1027" s="16"/>
      <c r="G1027" s="84"/>
      <c r="H1027" s="85"/>
      <c r="I1027" s="85"/>
      <c r="J1027" s="85"/>
      <c r="K1027" s="85"/>
      <c r="L1027" s="85"/>
      <c r="M1027" s="85"/>
      <c r="N1027" s="85"/>
      <c r="O1027" s="85"/>
      <c r="P1027" s="85"/>
      <c r="Q1027" s="85"/>
      <c r="R1027" s="85"/>
      <c r="S1027" s="84"/>
      <c r="T1027" s="85"/>
      <c r="U1027" s="85"/>
      <c r="V1027" s="85"/>
      <c r="W1027" s="85"/>
      <c r="X1027" s="85"/>
      <c r="Y1027" s="85"/>
      <c r="Z1027" s="85"/>
      <c r="AA1027" s="85"/>
      <c r="AB1027" s="85"/>
      <c r="AC1027" s="85"/>
      <c r="AD1027" s="86"/>
      <c r="AE1027" s="15"/>
      <c r="AF1027" s="36"/>
      <c r="AG1027" s="38"/>
      <c r="AH1027" s="38"/>
    </row>
    <row r="1028" spans="2:34" x14ac:dyDescent="0.2">
      <c r="B1028" s="9">
        <f>G995</f>
        <v>21</v>
      </c>
      <c r="C1028" s="9" t="str">
        <f t="shared" si="2888"/>
        <v>21 - Office Rent</v>
      </c>
      <c r="D1028" s="9" t="s">
        <v>56</v>
      </c>
      <c r="F1028" t="s">
        <v>162</v>
      </c>
      <c r="G1028" s="178">
        <f>_xlfn.XLOOKUP($C1028,'Site Level Financials - ''23 ''24'!$C$2:$C$1577,'Site Level Financials - ''23 ''24'!S$2:S$1577)</f>
        <v>-31.464220868205167</v>
      </c>
      <c r="H1028" s="179">
        <f>_xlfn.XLOOKUP($C1028,'Site Level Financials - ''23 ''24'!$C$2:$C$1577,'Site Level Financials - ''23 ''24'!T$2:T$1577)</f>
        <v>-31.464220868205167</v>
      </c>
      <c r="I1028" s="179">
        <f>_xlfn.XLOOKUP($C1028,'Site Level Financials - ''23 ''24'!$C$2:$C$1577,'Site Level Financials - ''23 ''24'!U$2:U$1577)</f>
        <v>-31.464220868205167</v>
      </c>
      <c r="J1028" s="179">
        <f>_xlfn.XLOOKUP($C1028,'Site Level Financials - ''23 ''24'!$C$2:$C$1577,'Site Level Financials - ''23 ''24'!V$2:V$1577)</f>
        <v>-31.464220868205167</v>
      </c>
      <c r="K1028" s="179">
        <f>_xlfn.XLOOKUP($C1028,'Site Level Financials - ''23 ''24'!$C$2:$C$1577,'Site Level Financials - ''23 ''24'!W$2:W$1577)</f>
        <v>-31.464220868205167</v>
      </c>
      <c r="L1028" s="179">
        <f>_xlfn.XLOOKUP($C1028,'Site Level Financials - ''23 ''24'!$C$2:$C$1577,'Site Level Financials - ''23 ''24'!X$2:X$1577)</f>
        <v>-31.464220868205167</v>
      </c>
      <c r="M1028" s="179">
        <f>_xlfn.XLOOKUP($C1028,'Site Level Financials - ''23 ''24'!$C$2:$C$1577,'Site Level Financials - ''23 ''24'!Y$2:Y$1577)</f>
        <v>-32.408147494251317</v>
      </c>
      <c r="N1028" s="179">
        <f>_xlfn.XLOOKUP($C1028,'Site Level Financials - ''23 ''24'!$C$2:$C$1577,'Site Level Financials - ''23 ''24'!Z$2:Z$1577)</f>
        <v>-32.408147494251317</v>
      </c>
      <c r="O1028" s="179">
        <f>_xlfn.XLOOKUP($C1028,'Site Level Financials - ''23 ''24'!$C$2:$C$1577,'Site Level Financials - ''23 ''24'!AA$2:AA$1577)</f>
        <v>-32.408147494251317</v>
      </c>
      <c r="P1028" s="179">
        <f>_xlfn.XLOOKUP($C1028,'Site Level Financials - ''23 ''24'!$C$2:$C$1577,'Site Level Financials - ''23 ''24'!AB$2:AB$1577)</f>
        <v>-32.408147494251317</v>
      </c>
      <c r="Q1028" s="179">
        <f>_xlfn.XLOOKUP($C1028,'Site Level Financials - ''23 ''24'!$C$2:$C$1577,'Site Level Financials - ''23 ''24'!AC$2:AC$1577)</f>
        <v>-32.408147494251317</v>
      </c>
      <c r="R1028" s="179">
        <f>_xlfn.XLOOKUP($C1028,'Site Level Financials - ''23 ''24'!$C$2:$C$1577,'Site Level Financials - ''23 ''24'!AD$2:AD$1577)</f>
        <v>-32.408147494251317</v>
      </c>
      <c r="S1028" s="155">
        <f>G1028*(1+S1029)</f>
        <v>-32.408147494251324</v>
      </c>
      <c r="T1028" s="154">
        <f t="shared" ref="T1028" si="2982">H1028*(1+T1029)</f>
        <v>-32.408147494251324</v>
      </c>
      <c r="U1028" s="154">
        <f t="shared" ref="U1028" si="2983">I1028*(1+U1029)</f>
        <v>-32.408147494251324</v>
      </c>
      <c r="V1028" s="154">
        <f t="shared" ref="V1028" si="2984">J1028*(1+V1029)</f>
        <v>-32.408147494251324</v>
      </c>
      <c r="W1028" s="154">
        <f t="shared" ref="W1028" si="2985">K1028*(1+W1029)</f>
        <v>-32.408147494251324</v>
      </c>
      <c r="X1028" s="154">
        <f t="shared" ref="X1028" si="2986">L1028*(1+X1029)</f>
        <v>-32.408147494251324</v>
      </c>
      <c r="Y1028" s="154">
        <f t="shared" ref="Y1028" si="2987">M1028*(1+Y1029)</f>
        <v>-33.38039191907886</v>
      </c>
      <c r="Z1028" s="154">
        <f t="shared" ref="Z1028" si="2988">N1028*(1+Z1029)</f>
        <v>-33.38039191907886</v>
      </c>
      <c r="AA1028" s="154">
        <f t="shared" ref="AA1028" si="2989">O1028*(1+AA1029)</f>
        <v>-33.38039191907886</v>
      </c>
      <c r="AB1028" s="154">
        <f t="shared" ref="AB1028" si="2990">P1028*(1+AB1029)</f>
        <v>-33.38039191907886</v>
      </c>
      <c r="AC1028" s="154">
        <f t="shared" ref="AC1028" si="2991">Q1028*(1+AC1029)</f>
        <v>-33.38039191907886</v>
      </c>
      <c r="AD1028" s="156">
        <f t="shared" ref="AD1028" si="2992">R1028*(1+AD1029)</f>
        <v>-33.38039191907886</v>
      </c>
      <c r="AE1028" s="15"/>
      <c r="AF1028" s="115">
        <f>_xlfn.XLOOKUP($C1028,'Site Level Financials - ''23 ''24'!$C$2:$C$1577,'Site Level Financials - ''23 ''24'!$AF$2:$AF$1577)</f>
        <v>-372.06734199152339</v>
      </c>
      <c r="AG1028" s="93">
        <f>SUM(G1028:R1028)</f>
        <v>-383.23421017473885</v>
      </c>
      <c r="AH1028" s="93">
        <f t="shared" ref="AH1028" si="2993">SUM(S1028:AD1028)</f>
        <v>-394.73123647998119</v>
      </c>
    </row>
    <row r="1029" spans="2:34" x14ac:dyDescent="0.2">
      <c r="B1029" s="9">
        <f>G995</f>
        <v>21</v>
      </c>
      <c r="C1029" s="9" t="str">
        <f t="shared" si="2888"/>
        <v>21 - % YoY Growth</v>
      </c>
      <c r="D1029" s="9" t="s">
        <v>56</v>
      </c>
      <c r="F1029" s="16" t="s">
        <v>8</v>
      </c>
      <c r="G1029" s="245">
        <f>_xlfn.XLOOKUP($C1029,'Site Level Financials - ''23 ''24'!$C$2:$C$1577,'Site Level Financials - ''23 ''24'!S$2:S$1577)</f>
        <v>3.0013029693613635E-2</v>
      </c>
      <c r="H1029" s="246">
        <f>_xlfn.XLOOKUP($C1029,'Site Level Financials - ''23 ''24'!$C$2:$C$1577,'Site Level Financials - ''23 ''24'!T$2:T$1577)</f>
        <v>3.0013029693613635E-2</v>
      </c>
      <c r="I1029" s="246">
        <f>_xlfn.XLOOKUP($C1029,'Site Level Financials - ''23 ''24'!$C$2:$C$1577,'Site Level Financials - ''23 ''24'!U$2:U$1577)</f>
        <v>3.0013029693613635E-2</v>
      </c>
      <c r="J1029" s="246">
        <f>_xlfn.XLOOKUP($C1029,'Site Level Financials - ''23 ''24'!$C$2:$C$1577,'Site Level Financials - ''23 ''24'!V$2:V$1577)</f>
        <v>3.0013029693613635E-2</v>
      </c>
      <c r="K1029" s="246">
        <f>_xlfn.XLOOKUP($C1029,'Site Level Financials - ''23 ''24'!$C$2:$C$1577,'Site Level Financials - ''23 ''24'!W$2:W$1577)</f>
        <v>3.0013029693613635E-2</v>
      </c>
      <c r="L1029" s="246">
        <f>_xlfn.XLOOKUP($C1029,'Site Level Financials - ''23 ''24'!$C$2:$C$1577,'Site Level Financials - ''23 ''24'!X$2:X$1577)</f>
        <v>3.0013029693613635E-2</v>
      </c>
      <c r="M1029" s="246">
        <f>_xlfn.XLOOKUP($C1029,'Site Level Financials - ''23 ''24'!$C$2:$C$1577,'Site Level Financials - ''23 ''24'!Y$2:Y$1577)</f>
        <v>3.0013029693613413E-2</v>
      </c>
      <c r="N1029" s="246">
        <f>_xlfn.XLOOKUP($C1029,'Site Level Financials - ''23 ''24'!$C$2:$C$1577,'Site Level Financials - ''23 ''24'!Z$2:Z$1577)</f>
        <v>3.0013029693613413E-2</v>
      </c>
      <c r="O1029" s="246">
        <f>_xlfn.XLOOKUP($C1029,'Site Level Financials - ''23 ''24'!$C$2:$C$1577,'Site Level Financials - ''23 ''24'!AA$2:AA$1577)</f>
        <v>3.0013029693613413E-2</v>
      </c>
      <c r="P1029" s="246">
        <f>_xlfn.XLOOKUP($C1029,'Site Level Financials - ''23 ''24'!$C$2:$C$1577,'Site Level Financials - ''23 ''24'!AB$2:AB$1577)</f>
        <v>3.0013029693613413E-2</v>
      </c>
      <c r="Q1029" s="246">
        <f>_xlfn.XLOOKUP($C1029,'Site Level Financials - ''23 ''24'!$C$2:$C$1577,'Site Level Financials - ''23 ''24'!AC$2:AC$1577)</f>
        <v>3.0013029693613413E-2</v>
      </c>
      <c r="R1029" s="246">
        <f>_xlfn.XLOOKUP($C1029,'Site Level Financials - ''23 ''24'!$C$2:$C$1577,'Site Level Financials - ''23 ''24'!AD$2:AD$1577)</f>
        <v>3.0013029693613413E-2</v>
      </c>
      <c r="S1029" s="245">
        <f>_xlfn.XLOOKUP($F1029,'Budget Assumption Driver'!$A$33:$A$39,'Budget Assumption Driver'!E$33:E$39)</f>
        <v>0.03</v>
      </c>
      <c r="T1029" s="246">
        <f>_xlfn.XLOOKUP($F1029,'Budget Assumption Driver'!$A$33:$A$39,'Budget Assumption Driver'!F$33:F$39)</f>
        <v>0.03</v>
      </c>
      <c r="U1029" s="246">
        <f>_xlfn.XLOOKUP($F1029,'Budget Assumption Driver'!$A$33:$A$39,'Budget Assumption Driver'!G$33:G$39)</f>
        <v>0.03</v>
      </c>
      <c r="V1029" s="246">
        <f>_xlfn.XLOOKUP($F1029,'Budget Assumption Driver'!$A$33:$A$39,'Budget Assumption Driver'!H$33:H$39)</f>
        <v>0.03</v>
      </c>
      <c r="W1029" s="246">
        <f>_xlfn.XLOOKUP($F1029,'Budget Assumption Driver'!$A$33:$A$39,'Budget Assumption Driver'!I$33:I$39)</f>
        <v>0.03</v>
      </c>
      <c r="X1029" s="246">
        <f>_xlfn.XLOOKUP($F1029,'Budget Assumption Driver'!$A$33:$A$39,'Budget Assumption Driver'!J$33:J$39)</f>
        <v>0.03</v>
      </c>
      <c r="Y1029" s="246">
        <f>_xlfn.XLOOKUP($F1029,'Budget Assumption Driver'!$A$33:$A$39,'Budget Assumption Driver'!K$33:K$39)</f>
        <v>0.03</v>
      </c>
      <c r="Z1029" s="246">
        <f>_xlfn.XLOOKUP($F1029,'Budget Assumption Driver'!$A$33:$A$39,'Budget Assumption Driver'!L$33:L$39)</f>
        <v>0.03</v>
      </c>
      <c r="AA1029" s="246">
        <f>_xlfn.XLOOKUP($F1029,'Budget Assumption Driver'!$A$33:$A$39,'Budget Assumption Driver'!M$33:M$39)</f>
        <v>0.03</v>
      </c>
      <c r="AB1029" s="246">
        <f>_xlfn.XLOOKUP($F1029,'Budget Assumption Driver'!$A$33:$A$39,'Budget Assumption Driver'!N$33:N$39)</f>
        <v>0.03</v>
      </c>
      <c r="AC1029" s="246">
        <f>_xlfn.XLOOKUP($F1029,'Budget Assumption Driver'!$A$33:$A$39,'Budget Assumption Driver'!O$33:O$39)</f>
        <v>0.03</v>
      </c>
      <c r="AD1029" s="296">
        <f>_xlfn.XLOOKUP($F1029,'Budget Assumption Driver'!$A$33:$A$39,'Budget Assumption Driver'!P$33:P$39)</f>
        <v>0.03</v>
      </c>
      <c r="AE1029" s="15"/>
      <c r="AF1029" s="11"/>
      <c r="AG1029" s="97">
        <f>AG1028/AF1028-1</f>
        <v>3.0013029693613635E-2</v>
      </c>
      <c r="AH1029" s="97">
        <f>AH1028/AG1028-1</f>
        <v>3.0000000000000471E-2</v>
      </c>
    </row>
    <row r="1030" spans="2:34" ht="6" customHeight="1" x14ac:dyDescent="0.2">
      <c r="B1030" s="9">
        <f>G995</f>
        <v>21</v>
      </c>
      <c r="C1030" s="9" t="str">
        <f t="shared" si="2888"/>
        <v xml:space="preserve">21 - </v>
      </c>
      <c r="D1030" s="9" t="s">
        <v>56</v>
      </c>
      <c r="F1030" s="16"/>
      <c r="G1030" s="80"/>
      <c r="H1030" s="63"/>
      <c r="I1030" s="63"/>
      <c r="J1030" s="63"/>
      <c r="K1030" s="63"/>
      <c r="L1030" s="63"/>
      <c r="M1030" s="63"/>
      <c r="N1030" s="63"/>
      <c r="O1030" s="63"/>
      <c r="P1030" s="63"/>
      <c r="Q1030" s="63"/>
      <c r="R1030" s="63"/>
      <c r="S1030" s="80"/>
      <c r="T1030" s="63"/>
      <c r="U1030" s="63"/>
      <c r="V1030" s="63"/>
      <c r="W1030" s="63"/>
      <c r="X1030" s="63"/>
      <c r="Y1030" s="63"/>
      <c r="Z1030" s="63"/>
      <c r="AA1030" s="63"/>
      <c r="AB1030" s="63"/>
      <c r="AC1030" s="63"/>
      <c r="AD1030" s="81"/>
      <c r="AE1030" s="15"/>
      <c r="AF1030" s="11"/>
      <c r="AG1030" s="15"/>
      <c r="AH1030" s="15"/>
    </row>
    <row r="1031" spans="2:34" x14ac:dyDescent="0.2">
      <c r="B1031" s="9">
        <f>G995</f>
        <v>21</v>
      </c>
      <c r="C1031" s="9" t="str">
        <f t="shared" si="2888"/>
        <v>21 - Office EBITDA</v>
      </c>
      <c r="D1031" s="9" t="s">
        <v>56</v>
      </c>
      <c r="F1031" s="8" t="s">
        <v>12</v>
      </c>
      <c r="G1031" s="241">
        <f>_xlfn.XLOOKUP($C1031,'Site Level Financials - ''23 ''24'!$C$2:$C$1577,'Site Level Financials - ''23 ''24'!S$2:S$1577)</f>
        <v>74.573020373090287</v>
      </c>
      <c r="H1031" s="242">
        <f>_xlfn.XLOOKUP($C1031,'Site Level Financials - ''23 ''24'!$C$2:$C$1577,'Site Level Financials - ''23 ''24'!T$2:T$1577)</f>
        <v>67.679149555821255</v>
      </c>
      <c r="I1031" s="242">
        <f>_xlfn.XLOOKUP($C1031,'Site Level Financials - ''23 ''24'!$C$2:$C$1577,'Site Level Financials - ''23 ''24'!U$2:U$1577)</f>
        <v>24.947807453454409</v>
      </c>
      <c r="J1031" s="242">
        <f>_xlfn.XLOOKUP($C1031,'Site Level Financials - ''23 ''24'!$C$2:$C$1577,'Site Level Financials - ''23 ''24'!V$2:V$1577)</f>
        <v>-53.23640752899874</v>
      </c>
      <c r="K1031" s="242">
        <f>_xlfn.XLOOKUP($C1031,'Site Level Financials - ''23 ''24'!$C$2:$C$1577,'Site Level Financials - ''23 ''24'!W$2:W$1577)</f>
        <v>-51.897421111654396</v>
      </c>
      <c r="L1031" s="242">
        <f>_xlfn.XLOOKUP($C1031,'Site Level Financials - ''23 ''24'!$C$2:$C$1577,'Site Level Financials - ''23 ''24'!X$2:X$1577)</f>
        <v>-56.304708473012994</v>
      </c>
      <c r="M1031" s="242">
        <f>_xlfn.XLOOKUP($C1031,'Site Level Financials - ''23 ''24'!$C$2:$C$1577,'Site Level Financials - ''23 ''24'!Y$2:Y$1577)</f>
        <v>-58.057222788647906</v>
      </c>
      <c r="N1031" s="242">
        <f>_xlfn.XLOOKUP($C1031,'Site Level Financials - ''23 ''24'!$C$2:$C$1577,'Site Level Financials - ''23 ''24'!Z$2:Z$1577)</f>
        <v>12.746583982793823</v>
      </c>
      <c r="O1031" s="242">
        <f>_xlfn.XLOOKUP($C1031,'Site Level Financials - ''23 ''24'!$C$2:$C$1577,'Site Level Financials - ''23 ''24'!AA$2:AA$1577)</f>
        <v>0.16694118984618456</v>
      </c>
      <c r="P1031" s="242">
        <f>_xlfn.XLOOKUP($C1031,'Site Level Financials - ''23 ''24'!$C$2:$C$1577,'Site Level Financials - ''23 ''24'!AB$2:AB$1577)</f>
        <v>7.8762778807166356</v>
      </c>
      <c r="Q1031" s="242">
        <f>_xlfn.XLOOKUP($C1031,'Site Level Financials - ''23 ''24'!$C$2:$C$1577,'Site Level Financials - ''23 ''24'!AC$2:AC$1577)</f>
        <v>35.411674375079663</v>
      </c>
      <c r="R1031" s="242">
        <f>_xlfn.XLOOKUP($C1031,'Site Level Financials - ''23 ''24'!$C$2:$C$1577,'Site Level Financials - ''23 ''24'!AD$2:AD$1577)</f>
        <v>75.749498570833623</v>
      </c>
      <c r="S1031" s="134">
        <f t="shared" ref="S1031:AD1031" si="2994">S1019+S1022+S1025+S1028</f>
        <v>75.845023848287951</v>
      </c>
      <c r="T1031" s="135">
        <f t="shared" si="2994"/>
        <v>80.264527418941128</v>
      </c>
      <c r="U1031" s="135">
        <f t="shared" si="2994"/>
        <v>46.212440059004166</v>
      </c>
      <c r="V1031" s="135">
        <f t="shared" si="2994"/>
        <v>-72.695171239111346</v>
      </c>
      <c r="W1031" s="135">
        <f t="shared" si="2994"/>
        <v>-74.660740194304367</v>
      </c>
      <c r="X1031" s="135">
        <f t="shared" si="2994"/>
        <v>-82.037586679933128</v>
      </c>
      <c r="Y1031" s="135">
        <f t="shared" si="2994"/>
        <v>-84.267533783932336</v>
      </c>
      <c r="Z1031" s="135">
        <f t="shared" si="2994"/>
        <v>33.731327492376735</v>
      </c>
      <c r="AA1031" s="135">
        <f t="shared" si="2994"/>
        <v>18.726904832105461</v>
      </c>
      <c r="AB1031" s="135">
        <f t="shared" si="2994"/>
        <v>27.107678586710605</v>
      </c>
      <c r="AC1031" s="135">
        <f t="shared" si="2994"/>
        <v>45.216434199335964</v>
      </c>
      <c r="AD1031" s="136">
        <f t="shared" si="2994"/>
        <v>79.223184221604257</v>
      </c>
      <c r="AE1031" s="15"/>
      <c r="AF1031" s="113">
        <f>_xlfn.XLOOKUP($C1031,'Site Level Financials - ''23 ''24'!$C$2:$C$1577,'Site Level Financials - ''23 ''24'!$AF$2:$AF$1577)</f>
        <v>590.99919147893979</v>
      </c>
      <c r="AG1031" s="95">
        <f>SUM(G1031:R1031)</f>
        <v>79.655193479321838</v>
      </c>
      <c r="AH1031" s="95">
        <f t="shared" ref="AH1031" si="2995">SUM(S1031:AD1031)</f>
        <v>92.666488761085091</v>
      </c>
    </row>
    <row r="1032" spans="2:34" x14ac:dyDescent="0.2">
      <c r="B1032" s="9">
        <f>G995</f>
        <v>21</v>
      </c>
      <c r="C1032" s="9" t="str">
        <f t="shared" si="2888"/>
        <v>21 - % of Revenue - Office EBITDA</v>
      </c>
      <c r="D1032" s="9" t="s">
        <v>56</v>
      </c>
      <c r="F1032" s="16" t="str">
        <f>"% of Revenue - "&amp;F1031</f>
        <v>% of Revenue - Office EBITDA</v>
      </c>
      <c r="G1032" s="148">
        <f>G1031/G1007</f>
        <v>0.17580131151806561</v>
      </c>
      <c r="H1032" s="149">
        <f t="shared" ref="H1032:AD1032" si="2996">H1031/H1007</f>
        <v>0.17152474068318602</v>
      </c>
      <c r="I1032" s="149">
        <f t="shared" si="2996"/>
        <v>7.2209586916848104E-2</v>
      </c>
      <c r="J1032" s="149">
        <f t="shared" si="2996"/>
        <v>-0.1909918396091102</v>
      </c>
      <c r="K1032" s="149">
        <f t="shared" si="2996"/>
        <v>-0.17506616917064188</v>
      </c>
      <c r="L1032" s="149">
        <f t="shared" si="2996"/>
        <v>-0.218531516859203</v>
      </c>
      <c r="M1032" s="149">
        <f t="shared" si="2996"/>
        <v>-0.22210828348712153</v>
      </c>
      <c r="N1032" s="149">
        <f t="shared" si="2996"/>
        <v>4.2602156223304481E-2</v>
      </c>
      <c r="O1032" s="149">
        <f t="shared" si="2996"/>
        <v>6.5497837176380655E-4</v>
      </c>
      <c r="P1032" s="149">
        <f t="shared" si="2996"/>
        <v>2.525665614877156E-2</v>
      </c>
      <c r="Q1032" s="149">
        <f t="shared" si="2996"/>
        <v>0.11087465171708887</v>
      </c>
      <c r="R1032" s="149">
        <f t="shared" si="2996"/>
        <v>0.26104110062433328</v>
      </c>
      <c r="S1032" s="148">
        <f t="shared" si="2996"/>
        <v>0.17513996624128969</v>
      </c>
      <c r="T1032" s="149">
        <f t="shared" si="2996"/>
        <v>0.17899487881244208</v>
      </c>
      <c r="U1032" s="149">
        <f t="shared" si="2996"/>
        <v>9.5974709775137251E-2</v>
      </c>
      <c r="V1032" s="149">
        <f t="shared" si="2996"/>
        <v>-0.1409446187659901</v>
      </c>
      <c r="W1032" s="149">
        <f t="shared" si="2996"/>
        <v>-0.12179564795348978</v>
      </c>
      <c r="X1032" s="149">
        <f t="shared" si="2996"/>
        <v>-0.15936868570318358</v>
      </c>
      <c r="Y1032" s="149">
        <f t="shared" si="2996"/>
        <v>-0.16249216905569788</v>
      </c>
      <c r="Z1032" s="149">
        <f t="shared" si="2996"/>
        <v>7.5853583091980606E-2</v>
      </c>
      <c r="AA1032" s="149">
        <f t="shared" si="2996"/>
        <v>4.5932123272507314E-2</v>
      </c>
      <c r="AB1032" s="149">
        <f t="shared" si="2996"/>
        <v>5.7891471832900457E-2</v>
      </c>
      <c r="AC1032" s="149">
        <f t="shared" si="2996"/>
        <v>0.12216133021679454</v>
      </c>
      <c r="AD1032" s="150">
        <f t="shared" si="2996"/>
        <v>0.26223247080907081</v>
      </c>
      <c r="AE1032" s="15"/>
      <c r="AF1032" s="232">
        <f>_xlfn.XLOOKUP($C1032,'Site Level Financials - ''23 ''24'!$C$2:$C$1577,'Site Level Financials - ''23 ''24'!$AF$2:$AF$1577)</f>
        <v>0.14034818965023493</v>
      </c>
      <c r="AG1032" s="97">
        <f t="shared" ref="AG1032:AH1032" si="2997">AG1031/AG1007</f>
        <v>2.1332545861479639E-2</v>
      </c>
      <c r="AH1032" s="97">
        <f t="shared" si="2997"/>
        <v>1.6793474862179261E-2</v>
      </c>
    </row>
    <row r="1033" spans="2:34" ht="6" customHeight="1" x14ac:dyDescent="0.2">
      <c r="B1033" s="9">
        <f>G995</f>
        <v>21</v>
      </c>
      <c r="C1033" s="9" t="str">
        <f t="shared" si="2888"/>
        <v xml:space="preserve">21 - </v>
      </c>
      <c r="D1033" s="9" t="s">
        <v>56</v>
      </c>
      <c r="G1033" s="80"/>
      <c r="H1033" s="63"/>
      <c r="I1033" s="63"/>
      <c r="J1033" s="63"/>
      <c r="K1033" s="63"/>
      <c r="L1033" s="63"/>
      <c r="M1033" s="63"/>
      <c r="N1033" s="63"/>
      <c r="O1033" s="63"/>
      <c r="P1033" s="63"/>
      <c r="Q1033" s="63"/>
      <c r="R1033" s="63"/>
      <c r="S1033" s="80"/>
      <c r="T1033" s="63"/>
      <c r="U1033" s="63"/>
      <c r="V1033" s="63"/>
      <c r="W1033" s="63"/>
      <c r="X1033" s="63"/>
      <c r="Y1033" s="63"/>
      <c r="Z1033" s="63"/>
      <c r="AA1033" s="63"/>
      <c r="AB1033" s="63"/>
      <c r="AC1033" s="63"/>
      <c r="AD1033" s="81"/>
      <c r="AE1033" s="15"/>
      <c r="AF1033" s="11"/>
      <c r="AG1033" s="15"/>
      <c r="AH1033" s="15"/>
    </row>
    <row r="1034" spans="2:34" x14ac:dyDescent="0.2">
      <c r="B1034" s="9">
        <f>G995</f>
        <v>21</v>
      </c>
      <c r="C1034" s="9" t="str">
        <f t="shared" si="2888"/>
        <v>21 - Memo:</v>
      </c>
      <c r="D1034" s="9" t="s">
        <v>56</v>
      </c>
      <c r="F1034" s="6" t="s">
        <v>13</v>
      </c>
      <c r="G1034" s="80"/>
      <c r="H1034" s="63"/>
      <c r="I1034" s="63"/>
      <c r="J1034" s="63"/>
      <c r="K1034" s="63"/>
      <c r="L1034" s="63"/>
      <c r="M1034" s="63"/>
      <c r="N1034" s="63"/>
      <c r="O1034" s="63"/>
      <c r="P1034" s="63"/>
      <c r="Q1034" s="63"/>
      <c r="R1034" s="63"/>
      <c r="S1034" s="80"/>
      <c r="T1034" s="63"/>
      <c r="U1034" s="63"/>
      <c r="V1034" s="63"/>
      <c r="W1034" s="63"/>
      <c r="X1034" s="63"/>
      <c r="Y1034" s="63"/>
      <c r="Z1034" s="63"/>
      <c r="AA1034" s="63"/>
      <c r="AB1034" s="63"/>
      <c r="AC1034" s="63"/>
      <c r="AD1034" s="81"/>
      <c r="AE1034" s="15"/>
      <c r="AF1034" s="11"/>
      <c r="AG1034" s="15"/>
      <c r="AH1034" s="15"/>
    </row>
    <row r="1035" spans="2:34" s="24" customFormat="1" x14ac:dyDescent="0.2">
      <c r="B1035" s="9">
        <f>G995</f>
        <v>21</v>
      </c>
      <c r="C1035" s="9" t="str">
        <f t="shared" si="2888"/>
        <v>21 - Collections</v>
      </c>
      <c r="D1035" s="9" t="s">
        <v>56</v>
      </c>
      <c r="E1035" s="49"/>
      <c r="F1035" s="24" t="s">
        <v>15</v>
      </c>
      <c r="G1035" s="247">
        <f>_xlfn.XLOOKUP($C1035,'Site Level Financials - ''23 ''24'!$C$2:$C$1577,'Site Level Financials - ''23 ''24'!S$2:S$1577)</f>
        <v>423.01325737558517</v>
      </c>
      <c r="H1035" s="248">
        <f>_xlfn.XLOOKUP($C1035,'Site Level Financials - ''23 ''24'!$C$2:$C$1577,'Site Level Financials - ''23 ''24'!T$2:T$1577)</f>
        <v>399.06195870824513</v>
      </c>
      <c r="I1035" s="248">
        <f>_xlfn.XLOOKUP($C1035,'Site Level Financials - ''23 ''24'!$C$2:$C$1577,'Site Level Financials - ''23 ''24'!U$2:U$1577)</f>
        <v>352.59787654322787</v>
      </c>
      <c r="J1035" s="248">
        <f>_xlfn.XLOOKUP($C1035,'Site Level Financials - ''23 ''24'!$C$2:$C$1577,'Site Level Financials - ''23 ''24'!V$2:V$1577)</f>
        <v>278.88452495043896</v>
      </c>
      <c r="K1035" s="248">
        <f>_xlfn.XLOOKUP($C1035,'Site Level Financials - ''23 ''24'!$C$2:$C$1577,'Site Level Financials - ''23 ''24'!W$2:W$1577)</f>
        <v>295.96305242458425</v>
      </c>
      <c r="L1035" s="248">
        <f>_xlfn.XLOOKUP($C1035,'Site Level Financials - ''23 ''24'!$C$2:$C$1577,'Site Level Financials - ''23 ''24'!X$2:X$1577)</f>
        <v>264.37609571328323</v>
      </c>
      <c r="M1035" s="248">
        <f>_xlfn.XLOOKUP($C1035,'Site Level Financials - ''23 ''24'!$C$2:$C$1577,'Site Level Financials - ''23 ''24'!Y$2:Y$1577)</f>
        <v>266.76147210619433</v>
      </c>
      <c r="N1035" s="248">
        <f>_xlfn.XLOOKUP($C1035,'Site Level Financials - ''23 ''24'!$C$2:$C$1577,'Site Level Financials - ''23 ''24'!Z$2:Z$1577)</f>
        <v>297.20316508256548</v>
      </c>
      <c r="O1035" s="248">
        <f>_xlfn.XLOOKUP($C1035,'Site Level Financials - ''23 ''24'!$C$2:$C$1577,'Site Level Financials - ''23 ''24'!AA$2:AA$1577)</f>
        <v>259.17765135622477</v>
      </c>
      <c r="P1035" s="248">
        <f>_xlfn.XLOOKUP($C1035,'Site Level Financials - ''23 ''24'!$C$2:$C$1577,'Site Level Financials - ''23 ''24'!AB$2:AB$1577)</f>
        <v>316.11891833526209</v>
      </c>
      <c r="Q1035" s="248">
        <f>_xlfn.XLOOKUP($C1035,'Site Level Financials - ''23 ''24'!$C$2:$C$1577,'Site Level Financials - ''23 ''24'!AC$2:AC$1577)</f>
        <v>326.73441719805987</v>
      </c>
      <c r="R1035" s="248">
        <f>_xlfn.XLOOKUP($C1035,'Site Level Financials - ''23 ''24'!$C$2:$C$1577,'Site Level Financials - ''23 ''24'!AD$2:AD$1577)</f>
        <v>287.4880366446161</v>
      </c>
      <c r="S1035" s="169">
        <f t="shared" ref="S1035:AD1035" si="2998">S1036*S1005</f>
        <v>433.05377679356485</v>
      </c>
      <c r="T1035" s="170">
        <f t="shared" si="2998"/>
        <v>448.4180103445612</v>
      </c>
      <c r="U1035" s="170">
        <f t="shared" si="2998"/>
        <v>481.50643192646299</v>
      </c>
      <c r="V1035" s="170">
        <f t="shared" si="2998"/>
        <v>515.77117222053653</v>
      </c>
      <c r="W1035" s="170">
        <f t="shared" si="2998"/>
        <v>613.00006567406365</v>
      </c>
      <c r="X1035" s="170">
        <f t="shared" si="2998"/>
        <v>514.7660364892771</v>
      </c>
      <c r="Y1035" s="170">
        <f t="shared" si="2998"/>
        <v>518.59442995709981</v>
      </c>
      <c r="Z1035" s="170">
        <f t="shared" si="2998"/>
        <v>444.68996871873384</v>
      </c>
      <c r="AA1035" s="170">
        <f t="shared" si="2998"/>
        <v>407.70823332076304</v>
      </c>
      <c r="AB1035" s="170">
        <f t="shared" si="2998"/>
        <v>468.24994646802134</v>
      </c>
      <c r="AC1035" s="170">
        <f t="shared" si="2998"/>
        <v>370.13704843498573</v>
      </c>
      <c r="AD1035" s="171">
        <f t="shared" si="2998"/>
        <v>302.11050514520747</v>
      </c>
      <c r="AE1035" s="26"/>
      <c r="AF1035" s="234">
        <f>_xlfn.XLOOKUP($C1035,'Site Level Financials - ''23 ''24'!$C$2:$C$1577,'Site Level Financials - ''23 ''24'!$AF$2:$AF$1577)</f>
        <v>4176.9046289746029</v>
      </c>
      <c r="AG1035" s="99">
        <f>SUM(G1035:R1035)</f>
        <v>3767.3804264382875</v>
      </c>
      <c r="AH1035" s="99">
        <f t="shared" ref="AH1035" si="2999">SUM(S1035:AD1035)</f>
        <v>5518.005625493277</v>
      </c>
    </row>
    <row r="1036" spans="2:34" x14ac:dyDescent="0.2">
      <c r="B1036" s="9">
        <f>G995</f>
        <v>21</v>
      </c>
      <c r="C1036" s="9" t="str">
        <f t="shared" si="2888"/>
        <v>21 - Collections as a % of Production</v>
      </c>
      <c r="D1036" s="9" t="s">
        <v>56</v>
      </c>
      <c r="F1036" s="16" t="s">
        <v>17</v>
      </c>
      <c r="G1036" s="245">
        <f>_xlfn.XLOOKUP($C1036,'Site Level Financials - ''23 ''24'!$C$2:$C$1577,'Site Level Financials - ''23 ''24'!S$2:S$1577)</f>
        <v>0.97030686929836663</v>
      </c>
      <c r="H1036" s="246">
        <f>_xlfn.XLOOKUP($C1036,'Site Level Financials - ''23 ''24'!$C$2:$C$1577,'Site Level Financials - ''23 ''24'!T$2:T$1577)</f>
        <v>0.98407218962126741</v>
      </c>
      <c r="I1036" s="246">
        <f>_xlfn.XLOOKUP($C1036,'Site Level Financials - ''23 ''24'!$C$2:$C$1577,'Site Level Financials - ''23 ''24'!U$2:U$1577)</f>
        <v>0.99301754006455245</v>
      </c>
      <c r="J1036" s="246">
        <f>_xlfn.XLOOKUP($C1036,'Site Level Financials - ''23 ''24'!$C$2:$C$1577,'Site Level Financials - ''23 ''24'!V$2:V$1577)</f>
        <v>0.97352080517943973</v>
      </c>
      <c r="K1036" s="246">
        <f>_xlfn.XLOOKUP($C1036,'Site Level Financials - ''23 ''24'!$C$2:$C$1577,'Site Level Financials - ''23 ''24'!W$2:W$1577)</f>
        <v>0.97142370939682887</v>
      </c>
      <c r="L1036" s="246">
        <f>_xlfn.XLOOKUP($C1036,'Site Level Financials - ''23 ''24'!$C$2:$C$1577,'Site Level Financials - ''23 ''24'!X$2:X$1577)</f>
        <v>0.99840397370442346</v>
      </c>
      <c r="M1036" s="246">
        <f>_xlfn.XLOOKUP($C1036,'Site Level Financials - ''23 ''24'!$C$2:$C$1577,'Site Level Financials - ''23 ''24'!Y$2:Y$1577)</f>
        <v>0.99299338206337917</v>
      </c>
      <c r="N1036" s="246">
        <f>_xlfn.XLOOKUP($C1036,'Site Level Financials - ''23 ''24'!$C$2:$C$1577,'Site Level Financials - ''23 ''24'!Z$2:Z$1577)</f>
        <v>0.96650910387051014</v>
      </c>
      <c r="O1036" s="246">
        <f>_xlfn.XLOOKUP($C1036,'Site Level Financials - ''23 ''24'!$C$2:$C$1577,'Site Level Financials - ''23 ''24'!AA$2:AA$1577)</f>
        <v>0.98940876833334845</v>
      </c>
      <c r="P1036" s="246">
        <f>_xlfn.XLOOKUP($C1036,'Site Level Financials - ''23 ''24'!$C$2:$C$1577,'Site Level Financials - ''23 ''24'!AB$2:AB$1577)</f>
        <v>0.98632504069032323</v>
      </c>
      <c r="Q1036" s="246">
        <f>_xlfn.XLOOKUP($C1036,'Site Level Financials - ''23 ''24'!$C$2:$C$1577,'Site Level Financials - ''23 ''24'!AC$2:AC$1577)</f>
        <v>0.99539496773551217</v>
      </c>
      <c r="R1036" s="246">
        <f>_xlfn.XLOOKUP($C1036,'Site Level Financials - ''23 ''24'!$C$2:$C$1577,'Site Level Financials - ''23 ''24'!AD$2:AD$1577)</f>
        <v>0.96397030696368591</v>
      </c>
      <c r="S1036" s="148">
        <f>S1006</f>
        <v>0.98170910353807128</v>
      </c>
      <c r="T1036" s="149">
        <f t="shared" ref="T1036:AD1036" si="3000">T1006</f>
        <v>0.98170910353807128</v>
      </c>
      <c r="U1036" s="149">
        <f t="shared" si="3000"/>
        <v>0.98170910353807128</v>
      </c>
      <c r="V1036" s="149">
        <f t="shared" si="3000"/>
        <v>0.98170910353807128</v>
      </c>
      <c r="W1036" s="149">
        <f t="shared" si="3000"/>
        <v>0.98170910353807128</v>
      </c>
      <c r="X1036" s="149">
        <f t="shared" si="3000"/>
        <v>0.98170910353807128</v>
      </c>
      <c r="Y1036" s="149">
        <f t="shared" si="3000"/>
        <v>0.98170910353807128</v>
      </c>
      <c r="Z1036" s="149">
        <f t="shared" si="3000"/>
        <v>0.98170910353807128</v>
      </c>
      <c r="AA1036" s="149">
        <f t="shared" si="3000"/>
        <v>0.98170910353807128</v>
      </c>
      <c r="AB1036" s="149">
        <f t="shared" si="3000"/>
        <v>0.98170910353807128</v>
      </c>
      <c r="AC1036" s="149">
        <f t="shared" si="3000"/>
        <v>0.98170910353807128</v>
      </c>
      <c r="AD1036" s="150">
        <f t="shared" si="3000"/>
        <v>0.98170910353807128</v>
      </c>
      <c r="AE1036" s="15"/>
      <c r="AF1036" s="232">
        <f>_xlfn.XLOOKUP($C1036,'Site Level Financials - ''23 ''24'!$C$2:$C$1577,'Site Level Financials - ''23 ''24'!$AF$2:$AF$1577)</f>
        <v>0.98002857789956277</v>
      </c>
      <c r="AG1036" s="97">
        <f t="shared" ref="AG1036:AH1036" si="3001">AG1035/AG1005</f>
        <v>0.98170910353807128</v>
      </c>
      <c r="AH1036" s="97">
        <f t="shared" si="3001"/>
        <v>0.98170910353807106</v>
      </c>
    </row>
    <row r="1037" spans="2:34" ht="6" customHeight="1" x14ac:dyDescent="0.2">
      <c r="B1037" s="9">
        <f>G995</f>
        <v>21</v>
      </c>
      <c r="C1037" s="9" t="str">
        <f t="shared" si="2888"/>
        <v xml:space="preserve">21 - </v>
      </c>
      <c r="D1037" s="9" t="s">
        <v>56</v>
      </c>
      <c r="F1037" s="27"/>
      <c r="G1037" s="63"/>
      <c r="H1037" s="63"/>
      <c r="I1037" s="63"/>
      <c r="J1037" s="63"/>
      <c r="K1037" s="63"/>
      <c r="L1037" s="63"/>
      <c r="M1037" s="63"/>
      <c r="N1037" s="63"/>
      <c r="O1037" s="63"/>
      <c r="P1037" s="63"/>
      <c r="Q1037" s="63"/>
      <c r="R1037" s="81"/>
      <c r="S1037" s="63"/>
      <c r="T1037" s="63"/>
      <c r="U1037" s="63"/>
      <c r="V1037" s="63"/>
      <c r="W1037" s="63"/>
      <c r="X1037" s="63"/>
      <c r="Y1037" s="63"/>
      <c r="Z1037" s="63"/>
      <c r="AA1037" s="63"/>
      <c r="AB1037" s="63"/>
      <c r="AC1037" s="63"/>
      <c r="AD1037" s="81"/>
      <c r="AE1037" s="15"/>
      <c r="AF1037" s="11"/>
      <c r="AH1037" s="224"/>
    </row>
    <row r="1038" spans="2:34" s="24" customFormat="1" x14ac:dyDescent="0.2">
      <c r="B1038" s="9">
        <f>G995</f>
        <v>21</v>
      </c>
      <c r="C1038" s="9" t="str">
        <f t="shared" si="2888"/>
        <v>21 - Production per Vet Workday - YoY Change</v>
      </c>
      <c r="D1038" s="9" t="s">
        <v>56</v>
      </c>
      <c r="E1038" s="49"/>
      <c r="F1038" s="24" t="s">
        <v>55</v>
      </c>
      <c r="G1038" s="249">
        <f>_xlfn.XLOOKUP($C1038,'Site Level Financials - ''23 ''24'!$C$2:$C$1577,'Site Level Financials - ''23 ''24'!S$2:S$1577)</f>
        <v>-1.4673339028767995E-2</v>
      </c>
      <c r="H1038" s="250">
        <f>_xlfn.XLOOKUP($C1038,'Site Level Financials - ''23 ''24'!$C$2:$C$1577,'Site Level Financials - ''23 ''24'!T$2:T$1577)</f>
        <v>-0.13165640507594867</v>
      </c>
      <c r="I1038" s="250">
        <f>_xlfn.XLOOKUP($C1038,'Site Level Financials - ''23 ''24'!$C$2:$C$1577,'Site Level Financials - ''23 ''24'!U$2:U$1577)</f>
        <v>-0.12184450072562103</v>
      </c>
      <c r="J1038" s="250">
        <f>_xlfn.XLOOKUP($C1038,'Site Level Financials - ''23 ''24'!$C$2:$C$1577,'Site Level Financials - ''23 ''24'!V$2:V$1577)</f>
        <v>2.4982445843663381E-2</v>
      </c>
      <c r="K1038" s="250">
        <f>_xlfn.XLOOKUP($C1038,'Site Level Financials - ''23 ''24'!$C$2:$C$1577,'Site Level Financials - ''23 ''24'!W$2:W$1577)</f>
        <v>-5.9564317840717251E-2</v>
      </c>
      <c r="L1038" s="250">
        <f>_xlfn.XLOOKUP($C1038,'Site Level Financials - ''23 ''24'!$C$2:$C$1577,'Site Level Financials - ''23 ''24'!X$2:X$1577)</f>
        <v>-3.9762375987187903E-3</v>
      </c>
      <c r="M1038" s="250">
        <f>_xlfn.XLOOKUP($C1038,'Site Level Financials - ''23 ''24'!$C$2:$C$1577,'Site Level Financials - ''23 ''24'!Y$2:Y$1577)</f>
        <v>5.8361355242988244E-2</v>
      </c>
      <c r="N1038" s="250">
        <f>_xlfn.XLOOKUP($C1038,'Site Level Financials - ''23 ''24'!$C$2:$C$1577,'Site Level Financials - ''23 ''24'!Z$2:Z$1577)</f>
        <v>-6.7715026919721311E-2</v>
      </c>
      <c r="O1038" s="250">
        <f>_xlfn.XLOOKUP($C1038,'Site Level Financials - ''23 ''24'!$C$2:$C$1577,'Site Level Financials - ''23 ''24'!AA$2:AA$1577)</f>
        <v>-9.5122301380511365E-2</v>
      </c>
      <c r="P1038" s="250">
        <f>_xlfn.XLOOKUP($C1038,'Site Level Financials - ''23 ''24'!$C$2:$C$1577,'Site Level Financials - ''23 ''24'!AB$2:AB$1577)</f>
        <v>-9.6218332797635142E-3</v>
      </c>
      <c r="Q1038" s="250">
        <f>_xlfn.XLOOKUP($C1038,'Site Level Financials - ''23 ''24'!$C$2:$C$1577,'Site Level Financials - ''23 ''24'!AC$2:AC$1577)</f>
        <v>2.1548463773876092E-2</v>
      </c>
      <c r="R1038" s="251">
        <f>_xlfn.XLOOKUP($C1038,'Site Level Financials - ''23 ''24'!$C$2:$C$1577,'Site Level Financials - ''23 ''24'!AD$2:AD$1577)</f>
        <v>-2.8389855989306989E-3</v>
      </c>
      <c r="S1038" s="151">
        <f>S1004/G1004-1</f>
        <v>-0.19052372085650915</v>
      </c>
      <c r="T1038" s="152">
        <f t="shared" ref="T1038" si="3002">T1004/H1004-1</f>
        <v>-9.8892001166329013E-2</v>
      </c>
      <c r="U1038" s="152">
        <f t="shared" ref="U1038" si="3003">U1004/I1004-1</f>
        <v>-0.17120379837733701</v>
      </c>
      <c r="V1038" s="152">
        <f t="shared" ref="V1038" si="3004">V1004/J1004-1</f>
        <v>-0.26640720264409001</v>
      </c>
      <c r="W1038" s="152">
        <f t="shared" ref="W1038" si="3005">W1004/K1004-1</f>
        <v>-0.18019814754814378</v>
      </c>
      <c r="X1038" s="152">
        <f t="shared" ref="X1038" si="3006">X1004/L1004-1</f>
        <v>-0.20791612109094415</v>
      </c>
      <c r="Y1038" s="152">
        <f t="shared" ref="Y1038" si="3007">Y1004/M1004-1</f>
        <v>-0.21344649695544682</v>
      </c>
      <c r="Z1038" s="152">
        <f t="shared" ref="Z1038" si="3008">Z1004/N1004-1</f>
        <v>-0.11615057471760193</v>
      </c>
      <c r="AA1038" s="152">
        <f t="shared" ref="AA1038" si="3009">AA1004/O1004-1</f>
        <v>-4.8746826424090561E-2</v>
      </c>
      <c r="AB1038" s="152">
        <f t="shared" ref="AB1038" si="3010">AB1004/P1004-1</f>
        <v>-0.10707344180367173</v>
      </c>
      <c r="AC1038" s="152">
        <f t="shared" ref="AC1038" si="3011">AC1004/Q1004-1</f>
        <v>-8.1095702006745207E-2</v>
      </c>
      <c r="AD1038" s="153">
        <f t="shared" ref="AD1038" si="3012">AD1004/R1004-1</f>
        <v>3.1874519628317666E-2</v>
      </c>
      <c r="AF1038" s="43"/>
      <c r="AG1038" s="177">
        <f>AG1004/AF1004-1</f>
        <v>-9.5504609478496927E-2</v>
      </c>
      <c r="AH1038" s="225">
        <f>AH1004/AG1004-1</f>
        <v>-9.8323576209528585E-2</v>
      </c>
    </row>
    <row r="1039" spans="2:34" s="24" customFormat="1" ht="6" customHeight="1" x14ac:dyDescent="0.2">
      <c r="D1039" s="9" t="s">
        <v>56</v>
      </c>
      <c r="E1039" s="49"/>
      <c r="G1039" s="28"/>
      <c r="H1039" s="30"/>
      <c r="I1039" s="30"/>
      <c r="J1039" s="30"/>
      <c r="K1039" s="30"/>
      <c r="L1039" s="30"/>
      <c r="M1039" s="30"/>
      <c r="N1039" s="30"/>
      <c r="O1039" s="30"/>
      <c r="P1039" s="30"/>
      <c r="Q1039" s="30"/>
      <c r="R1039" s="29"/>
      <c r="S1039" s="30"/>
      <c r="T1039" s="30"/>
      <c r="U1039" s="30"/>
      <c r="V1039" s="30"/>
      <c r="W1039" s="30"/>
      <c r="X1039" s="30"/>
      <c r="Y1039" s="30"/>
      <c r="Z1039" s="30"/>
      <c r="AA1039" s="30"/>
      <c r="AB1039" s="30"/>
      <c r="AC1039" s="30"/>
      <c r="AD1039" s="29"/>
      <c r="AE1039" s="25"/>
      <c r="AF1039" s="28"/>
      <c r="AG1039" s="30"/>
      <c r="AH1039" s="226"/>
    </row>
    <row r="1040" spans="2:34" s="24" customFormat="1" ht="6" customHeight="1" x14ac:dyDescent="0.2">
      <c r="D1040" s="9" t="s">
        <v>56</v>
      </c>
      <c r="E1040" s="49"/>
    </row>
    <row r="1041" spans="2:35" x14ac:dyDescent="0.2">
      <c r="D1041" s="9" t="s">
        <v>56</v>
      </c>
      <c r="F1041" s="16"/>
    </row>
    <row r="1042" spans="2:35" ht="15.75" thickBot="1" x14ac:dyDescent="0.4">
      <c r="B1042" s="35" t="s">
        <v>52</v>
      </c>
      <c r="C1042" s="35"/>
      <c r="D1042" s="9" t="s">
        <v>56</v>
      </c>
      <c r="E1042" s="48" t="s">
        <v>0</v>
      </c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74"/>
      <c r="AH1042" s="3">
        <f ca="1">TODAY()</f>
        <v>45999</v>
      </c>
      <c r="AI1042" s="1"/>
    </row>
    <row r="1043" spans="2:35" x14ac:dyDescent="0.2">
      <c r="B1043" s="9">
        <f>G1044</f>
        <v>22</v>
      </c>
      <c r="C1043" s="9"/>
      <c r="D1043" s="9" t="s">
        <v>56</v>
      </c>
      <c r="F1043" t="s">
        <v>159</v>
      </c>
      <c r="AG1043" s="6"/>
      <c r="AH1043" s="6" t="s">
        <v>16</v>
      </c>
    </row>
    <row r="1044" spans="2:35" x14ac:dyDescent="0.2">
      <c r="B1044" s="9">
        <f>G1044</f>
        <v>22</v>
      </c>
      <c r="C1044" s="9"/>
      <c r="D1044" s="9" t="s">
        <v>56</v>
      </c>
      <c r="F1044" s="40" t="s">
        <v>53</v>
      </c>
      <c r="G1044" s="42">
        <v>22</v>
      </c>
    </row>
    <row r="1045" spans="2:35" x14ac:dyDescent="0.2">
      <c r="B1045" s="9">
        <f>G1044</f>
        <v>22</v>
      </c>
      <c r="C1045" s="9"/>
      <c r="D1045" s="9" t="s">
        <v>56</v>
      </c>
      <c r="F1045" s="39" t="s">
        <v>39</v>
      </c>
      <c r="G1045" s="41"/>
      <c r="H1045" s="11"/>
    </row>
    <row r="1046" spans="2:35" x14ac:dyDescent="0.2">
      <c r="B1046" s="9">
        <f>G1044</f>
        <v>22</v>
      </c>
      <c r="C1046" s="9"/>
      <c r="D1046" s="9" t="s">
        <v>56</v>
      </c>
      <c r="G1046" s="23"/>
    </row>
    <row r="1047" spans="2:35" x14ac:dyDescent="0.2">
      <c r="B1047" s="9">
        <f>G1044</f>
        <v>22</v>
      </c>
      <c r="C1047" s="9"/>
      <c r="D1047" s="9" t="s">
        <v>56</v>
      </c>
      <c r="G1047" s="208" t="s">
        <v>229</v>
      </c>
      <c r="H1047" s="209"/>
      <c r="I1047" s="209"/>
      <c r="J1047" s="209"/>
      <c r="K1047" s="209"/>
      <c r="L1047" s="209"/>
      <c r="M1047" s="209"/>
      <c r="N1047" s="209"/>
      <c r="O1047" s="209"/>
      <c r="P1047" s="209"/>
      <c r="Q1047" s="209"/>
      <c r="R1047" s="210"/>
      <c r="S1047" s="266" t="s">
        <v>230</v>
      </c>
      <c r="T1047" s="267"/>
      <c r="U1047" s="267"/>
      <c r="V1047" s="267"/>
      <c r="W1047" s="267"/>
      <c r="X1047" s="267"/>
      <c r="Y1047" s="267"/>
      <c r="Z1047" s="267"/>
      <c r="AA1047" s="267"/>
      <c r="AB1047" s="267"/>
      <c r="AC1047" s="267"/>
      <c r="AD1047" s="268"/>
      <c r="AF1047" s="17" t="s">
        <v>231</v>
      </c>
      <c r="AG1047" s="50"/>
      <c r="AH1047" s="269" t="s">
        <v>232</v>
      </c>
    </row>
    <row r="1048" spans="2:35" ht="15" customHeight="1" x14ac:dyDescent="0.35">
      <c r="B1048" s="9">
        <f>G1044</f>
        <v>22</v>
      </c>
      <c r="C1048" s="9"/>
      <c r="D1048" s="9" t="s">
        <v>56</v>
      </c>
      <c r="G1048" s="211">
        <v>44957</v>
      </c>
      <c r="H1048" s="212">
        <f>EOMONTH(G1048,1)</f>
        <v>44985</v>
      </c>
      <c r="I1048" s="212">
        <f t="shared" ref="I1048" si="3013">EOMONTH(H1048,1)</f>
        <v>45016</v>
      </c>
      <c r="J1048" s="212">
        <f t="shared" ref="J1048" si="3014">EOMONTH(I1048,1)</f>
        <v>45046</v>
      </c>
      <c r="K1048" s="212">
        <f t="shared" ref="K1048" si="3015">EOMONTH(J1048,1)</f>
        <v>45077</v>
      </c>
      <c r="L1048" s="212">
        <f t="shared" ref="L1048" si="3016">EOMONTH(K1048,1)</f>
        <v>45107</v>
      </c>
      <c r="M1048" s="212">
        <f t="shared" ref="M1048" si="3017">EOMONTH(L1048,1)</f>
        <v>45138</v>
      </c>
      <c r="N1048" s="212">
        <f t="shared" ref="N1048" si="3018">EOMONTH(M1048,1)</f>
        <v>45169</v>
      </c>
      <c r="O1048" s="212">
        <f t="shared" ref="O1048" si="3019">EOMONTH(N1048,1)</f>
        <v>45199</v>
      </c>
      <c r="P1048" s="212">
        <f t="shared" ref="P1048" si="3020">EOMONTH(O1048,1)</f>
        <v>45230</v>
      </c>
      <c r="Q1048" s="212">
        <f t="shared" ref="Q1048" si="3021">EOMONTH(P1048,1)</f>
        <v>45260</v>
      </c>
      <c r="R1048" s="213">
        <f t="shared" ref="R1048" si="3022">EOMONTH(Q1048,1)</f>
        <v>45291</v>
      </c>
      <c r="S1048" s="4">
        <f t="shared" ref="S1048" si="3023">EOMONTH(R1048,1)</f>
        <v>45322</v>
      </c>
      <c r="T1048" s="19">
        <f t="shared" ref="T1048" si="3024">EOMONTH(S1048,1)</f>
        <v>45351</v>
      </c>
      <c r="U1048" s="19">
        <f t="shared" ref="U1048" si="3025">EOMONTH(T1048,1)</f>
        <v>45382</v>
      </c>
      <c r="V1048" s="19">
        <f t="shared" ref="V1048" si="3026">EOMONTH(U1048,1)</f>
        <v>45412</v>
      </c>
      <c r="W1048" s="19">
        <f t="shared" ref="W1048" si="3027">EOMONTH(V1048,1)</f>
        <v>45443</v>
      </c>
      <c r="X1048" s="19">
        <f t="shared" ref="X1048" si="3028">EOMONTH(W1048,1)</f>
        <v>45473</v>
      </c>
      <c r="Y1048" s="19">
        <f t="shared" ref="Y1048" si="3029">EOMONTH(X1048,1)</f>
        <v>45504</v>
      </c>
      <c r="Z1048" s="19">
        <f t="shared" ref="Z1048" si="3030">EOMONTH(Y1048,1)</f>
        <v>45535</v>
      </c>
      <c r="AA1048" s="19">
        <f t="shared" ref="AA1048" si="3031">EOMONTH(Z1048,1)</f>
        <v>45565</v>
      </c>
      <c r="AB1048" s="19">
        <f t="shared" ref="AB1048" si="3032">EOMONTH(AA1048,1)</f>
        <v>45596</v>
      </c>
      <c r="AC1048" s="19">
        <f t="shared" ref="AC1048" si="3033">EOMONTH(AB1048,1)</f>
        <v>45626</v>
      </c>
      <c r="AD1048" s="5">
        <f t="shared" ref="AD1048" si="3034">EOMONTH(AC1048,1)</f>
        <v>45657</v>
      </c>
      <c r="AE1048" s="168"/>
      <c r="AF1048" s="13">
        <v>45291</v>
      </c>
      <c r="AG1048" s="14">
        <v>45657</v>
      </c>
      <c r="AH1048" s="14">
        <v>46022</v>
      </c>
    </row>
    <row r="1049" spans="2:35" ht="0.95" customHeight="1" x14ac:dyDescent="0.2">
      <c r="B1049" s="9">
        <f>G1044</f>
        <v>22</v>
      </c>
      <c r="C1049" s="9"/>
      <c r="D1049" s="9" t="s">
        <v>56</v>
      </c>
      <c r="G1049" s="11"/>
      <c r="S1049" s="11"/>
      <c r="AD1049" s="15"/>
      <c r="AE1049" s="15"/>
      <c r="AF1049" s="11"/>
      <c r="AG1049" s="15"/>
      <c r="AH1049" s="15"/>
    </row>
    <row r="1050" spans="2:35" x14ac:dyDescent="0.2">
      <c r="B1050" s="9">
        <f>G1044</f>
        <v>22</v>
      </c>
      <c r="C1050" s="9" t="str">
        <f>B1050&amp;" - "&amp;F1050</f>
        <v>22 - Employed Vets</v>
      </c>
      <c r="D1050" s="9" t="s">
        <v>56</v>
      </c>
      <c r="F1050" s="7" t="s">
        <v>160</v>
      </c>
      <c r="G1050" s="178">
        <f>_xlfn.XLOOKUP($C1050,'Site Level Financials - ''23 ''24'!$C$2:$C$1577,'Site Level Financials - ''23 ''24'!S$2:S$1577)</f>
        <v>4</v>
      </c>
      <c r="H1050" s="179">
        <f>_xlfn.XLOOKUP($C1050,'Site Level Financials - ''23 ''24'!$C$2:$C$1577,'Site Level Financials - ''23 ''24'!T$2:T$1577)</f>
        <v>4</v>
      </c>
      <c r="I1050" s="179">
        <f>_xlfn.XLOOKUP($C1050,'Site Level Financials - ''23 ''24'!$C$2:$C$1577,'Site Level Financials - ''23 ''24'!U$2:U$1577)</f>
        <v>4</v>
      </c>
      <c r="J1050" s="179">
        <f>_xlfn.XLOOKUP($C1050,'Site Level Financials - ''23 ''24'!$C$2:$C$1577,'Site Level Financials - ''23 ''24'!V$2:V$1577)</f>
        <v>4</v>
      </c>
      <c r="K1050" s="179">
        <f>_xlfn.XLOOKUP($C1050,'Site Level Financials - ''23 ''24'!$C$2:$C$1577,'Site Level Financials - ''23 ''24'!W$2:W$1577)</f>
        <v>4</v>
      </c>
      <c r="L1050" s="179">
        <f>_xlfn.XLOOKUP($C1050,'Site Level Financials - ''23 ''24'!$C$2:$C$1577,'Site Level Financials - ''23 ''24'!X$2:X$1577)</f>
        <v>4</v>
      </c>
      <c r="M1050" s="179">
        <f>_xlfn.XLOOKUP($C1050,'Site Level Financials - ''23 ''24'!$C$2:$C$1577,'Site Level Financials - ''23 ''24'!Y$2:Y$1577)</f>
        <v>4</v>
      </c>
      <c r="N1050" s="179">
        <f>_xlfn.XLOOKUP($C1050,'Site Level Financials - ''23 ''24'!$C$2:$C$1577,'Site Level Financials - ''23 ''24'!Z$2:Z$1577)</f>
        <v>5</v>
      </c>
      <c r="O1050" s="179">
        <f>_xlfn.XLOOKUP($C1050,'Site Level Financials - ''23 ''24'!$C$2:$C$1577,'Site Level Financials - ''23 ''24'!AA$2:AA$1577)</f>
        <v>5</v>
      </c>
      <c r="P1050" s="179">
        <f>_xlfn.XLOOKUP($C1050,'Site Level Financials - ''23 ''24'!$C$2:$C$1577,'Site Level Financials - ''23 ''24'!AB$2:AB$1577)</f>
        <v>4</v>
      </c>
      <c r="Q1050" s="179">
        <f>_xlfn.XLOOKUP($C1050,'Site Level Financials - ''23 ''24'!$C$2:$C$1577,'Site Level Financials - ''23 ''24'!AC$2:AC$1577)</f>
        <v>5</v>
      </c>
      <c r="R1050" s="179">
        <f>_xlfn.XLOOKUP($C1050,'Site Level Financials - ''23 ''24'!$C$2:$C$1577,'Site Level Financials - ''23 ''24'!AD$2:AD$1577)</f>
        <v>5</v>
      </c>
      <c r="S1050" s="178">
        <f>R1050+_xlfn.XLOOKUP($R1050,'Budget Assumption Driver'!$A$7:$A$11,'Budget Assumption Driver'!E$7:E$11)</f>
        <v>5</v>
      </c>
      <c r="T1050" s="179">
        <f>S1050+_xlfn.XLOOKUP($R1050,'Budget Assumption Driver'!$A$7:$A$11,'Budget Assumption Driver'!F$7:F$11)</f>
        <v>5</v>
      </c>
      <c r="U1050" s="179">
        <f>T1050+_xlfn.XLOOKUP($R1050,'Budget Assumption Driver'!$A$7:$A$11,'Budget Assumption Driver'!G$7:G$11)</f>
        <v>5</v>
      </c>
      <c r="V1050" s="179">
        <f>U1050+_xlfn.XLOOKUP($R1050,'Budget Assumption Driver'!$A$7:$A$11,'Budget Assumption Driver'!H$7:H$11)</f>
        <v>5</v>
      </c>
      <c r="W1050" s="179">
        <f>V1050+_xlfn.XLOOKUP($R1050,'Budget Assumption Driver'!$A$7:$A$11,'Budget Assumption Driver'!I$7:I$11)</f>
        <v>5</v>
      </c>
      <c r="X1050" s="179">
        <f>W1050+_xlfn.XLOOKUP($R1050,'Budget Assumption Driver'!$A$7:$A$11,'Budget Assumption Driver'!J$7:J$11)</f>
        <v>5</v>
      </c>
      <c r="Y1050" s="179">
        <f>X1050+_xlfn.XLOOKUP($R1050,'Budget Assumption Driver'!$A$7:$A$11,'Budget Assumption Driver'!K$7:K$11)</f>
        <v>5</v>
      </c>
      <c r="Z1050" s="179">
        <f>Y1050+_xlfn.XLOOKUP($R1050,'Budget Assumption Driver'!$A$7:$A$11,'Budget Assumption Driver'!L$7:L$11)</f>
        <v>5</v>
      </c>
      <c r="AA1050" s="179">
        <f>Z1050+_xlfn.XLOOKUP($R1050,'Budget Assumption Driver'!$A$7:$A$11,'Budget Assumption Driver'!M$7:M$11)</f>
        <v>5</v>
      </c>
      <c r="AB1050" s="179">
        <f>AA1050+_xlfn.XLOOKUP($R1050,'Budget Assumption Driver'!$A$7:$A$11,'Budget Assumption Driver'!N$7:N$11)</f>
        <v>5</v>
      </c>
      <c r="AC1050" s="179">
        <f>AB1050+_xlfn.XLOOKUP($R1050,'Budget Assumption Driver'!$A$7:$A$11,'Budget Assumption Driver'!O$7:O$11)</f>
        <v>5</v>
      </c>
      <c r="AD1050" s="290">
        <f>AC1050+_xlfn.XLOOKUP($R1050,'Budget Assumption Driver'!$A$7:$A$11,'Budget Assumption Driver'!P$7:P$11)</f>
        <v>5</v>
      </c>
      <c r="AE1050" s="15"/>
      <c r="AF1050" s="229">
        <f>_xlfn.XLOOKUP($C1050,'Site Level Financials - ''23 ''24'!$C$2:$C$1577,'Site Level Financials - ''23 ''24'!$AF$2:$AF$1577)</f>
        <v>3.75</v>
      </c>
      <c r="AG1050" s="91">
        <f t="shared" ref="AG1050:AH1050" si="3035">AG1052/AG1051</f>
        <v>4.3271375464684017</v>
      </c>
      <c r="AH1050" s="91">
        <f t="shared" si="3035"/>
        <v>5</v>
      </c>
    </row>
    <row r="1051" spans="2:35" x14ac:dyDescent="0.2">
      <c r="B1051" s="9">
        <f>G1044</f>
        <v>22</v>
      </c>
      <c r="C1051" s="9" t="str">
        <f t="shared" ref="C1051:C1087" si="3036">B1051&amp;" - "&amp;F1051</f>
        <v>22 - Workdays in Month / Year</v>
      </c>
      <c r="D1051" s="9" t="s">
        <v>56</v>
      </c>
      <c r="F1051" s="7" t="s">
        <v>54</v>
      </c>
      <c r="G1051" s="178">
        <f>_xlfn.XLOOKUP($C1051,'Site Level Financials - ''23 ''24'!$C$2:$C$1577,'Site Level Financials - ''23 ''24'!S$2:S$1577)</f>
        <v>23</v>
      </c>
      <c r="H1051" s="235">
        <f>_xlfn.XLOOKUP($C1051,'Site Level Financials - ''23 ''24'!$C$2:$C$1577,'Site Level Financials - ''23 ''24'!T$2:T$1577)</f>
        <v>22</v>
      </c>
      <c r="I1051" s="235">
        <f>_xlfn.XLOOKUP($C1051,'Site Level Financials - ''23 ''24'!$C$2:$C$1577,'Site Level Financials - ''23 ''24'!U$2:U$1577)</f>
        <v>22</v>
      </c>
      <c r="J1051" s="179">
        <f>_xlfn.XLOOKUP($C1051,'Site Level Financials - ''23 ''24'!$C$2:$C$1577,'Site Level Financials - ''23 ''24'!V$2:V$1577)</f>
        <v>22</v>
      </c>
      <c r="K1051" s="179">
        <f>_xlfn.XLOOKUP($C1051,'Site Level Financials - ''23 ''24'!$C$2:$C$1577,'Site Level Financials - ''23 ''24'!W$2:W$1577)</f>
        <v>24</v>
      </c>
      <c r="L1051" s="179">
        <f>_xlfn.XLOOKUP($C1051,'Site Level Financials - ''23 ''24'!$C$2:$C$1577,'Site Level Financials - ''23 ''24'!X$2:X$1577)</f>
        <v>21</v>
      </c>
      <c r="M1051" s="179">
        <f>_xlfn.XLOOKUP($C1051,'Site Level Financials - ''23 ''24'!$C$2:$C$1577,'Site Level Financials - ''23 ''24'!Y$2:Y$1577)</f>
        <v>23</v>
      </c>
      <c r="N1051" s="179">
        <f>_xlfn.XLOOKUP($C1051,'Site Level Financials - ''23 ''24'!$C$2:$C$1577,'Site Level Financials - ''23 ''24'!Z$2:Z$1577)</f>
        <v>23</v>
      </c>
      <c r="O1051" s="179">
        <f>_xlfn.XLOOKUP($C1051,'Site Level Financials - ''23 ''24'!$C$2:$C$1577,'Site Level Financials - ''23 ''24'!AA$2:AA$1577)</f>
        <v>21</v>
      </c>
      <c r="P1051" s="179">
        <f>_xlfn.XLOOKUP($C1051,'Site Level Financials - ''23 ''24'!$C$2:$C$1577,'Site Level Financials - ''23 ''24'!AB$2:AB$1577)</f>
        <v>24</v>
      </c>
      <c r="Q1051" s="179">
        <f>_xlfn.XLOOKUP($C1051,'Site Level Financials - ''23 ''24'!$C$2:$C$1577,'Site Level Financials - ''23 ''24'!AC$2:AC$1577)</f>
        <v>22</v>
      </c>
      <c r="R1051" s="179">
        <f>_xlfn.XLOOKUP($C1051,'Site Level Financials - ''23 ''24'!$C$2:$C$1577,'Site Level Financials - ''23 ''24'!AD$2:AD$1577)</f>
        <v>22</v>
      </c>
      <c r="S1051" s="155">
        <f>NETWORKDAYS(R1048,S1048)</f>
        <v>23</v>
      </c>
      <c r="T1051" s="154">
        <f t="shared" ref="T1051:AD1051" si="3037">NETWORKDAYS(S1048,T1048)</f>
        <v>22</v>
      </c>
      <c r="U1051" s="154">
        <f t="shared" si="3037"/>
        <v>22</v>
      </c>
      <c r="V1051" s="154">
        <f t="shared" si="3037"/>
        <v>22</v>
      </c>
      <c r="W1051" s="154">
        <f t="shared" si="3037"/>
        <v>24</v>
      </c>
      <c r="X1051" s="154">
        <f t="shared" si="3037"/>
        <v>21</v>
      </c>
      <c r="Y1051" s="154">
        <f t="shared" si="3037"/>
        <v>23</v>
      </c>
      <c r="Z1051" s="154">
        <f t="shared" si="3037"/>
        <v>23</v>
      </c>
      <c r="AA1051" s="154">
        <f t="shared" si="3037"/>
        <v>21</v>
      </c>
      <c r="AB1051" s="154">
        <f t="shared" si="3037"/>
        <v>24</v>
      </c>
      <c r="AC1051" s="154">
        <f t="shared" si="3037"/>
        <v>22</v>
      </c>
      <c r="AD1051" s="156">
        <f t="shared" si="3037"/>
        <v>22</v>
      </c>
      <c r="AE1051" s="15"/>
      <c r="AF1051" s="115">
        <f>_xlfn.XLOOKUP($C1051,'Site Level Financials - ''23 ''24'!$C$2:$C$1577,'Site Level Financials - ''23 ''24'!$AF$2:$AF$1577)</f>
        <v>269</v>
      </c>
      <c r="AG1051" s="93">
        <f>SUM(G1051:R1051)</f>
        <v>269</v>
      </c>
      <c r="AH1051" s="93">
        <f>SUM(S1051:AD1051)</f>
        <v>269</v>
      </c>
    </row>
    <row r="1052" spans="2:35" x14ac:dyDescent="0.2">
      <c r="B1052" s="9">
        <f>G1044</f>
        <v>22</v>
      </c>
      <c r="C1052" s="9" t="str">
        <f t="shared" si="3036"/>
        <v>22 - Total Vet Days</v>
      </c>
      <c r="D1052" s="9" t="s">
        <v>56</v>
      </c>
      <c r="F1052" s="8" t="s">
        <v>51</v>
      </c>
      <c r="G1052" s="236">
        <f>_xlfn.XLOOKUP($C1052,'Site Level Financials - ''23 ''24'!$C$2:$C$1577,'Site Level Financials - ''23 ''24'!S$2:S$1577)</f>
        <v>92</v>
      </c>
      <c r="H1052" s="237">
        <f>_xlfn.XLOOKUP($C1052,'Site Level Financials - ''23 ''24'!$C$2:$C$1577,'Site Level Financials - ''23 ''24'!T$2:T$1577)</f>
        <v>88</v>
      </c>
      <c r="I1052" s="237">
        <f>_xlfn.XLOOKUP($C1052,'Site Level Financials - ''23 ''24'!$C$2:$C$1577,'Site Level Financials - ''23 ''24'!U$2:U$1577)</f>
        <v>88</v>
      </c>
      <c r="J1052" s="238">
        <f>_xlfn.XLOOKUP($C1052,'Site Level Financials - ''23 ''24'!$C$2:$C$1577,'Site Level Financials - ''23 ''24'!V$2:V$1577)</f>
        <v>88</v>
      </c>
      <c r="K1052" s="238">
        <f>_xlfn.XLOOKUP($C1052,'Site Level Financials - ''23 ''24'!$C$2:$C$1577,'Site Level Financials - ''23 ''24'!W$2:W$1577)</f>
        <v>96</v>
      </c>
      <c r="L1052" s="238">
        <f>_xlfn.XLOOKUP($C1052,'Site Level Financials - ''23 ''24'!$C$2:$C$1577,'Site Level Financials - ''23 ''24'!X$2:X$1577)</f>
        <v>84</v>
      </c>
      <c r="M1052" s="238">
        <f>_xlfn.XLOOKUP($C1052,'Site Level Financials - ''23 ''24'!$C$2:$C$1577,'Site Level Financials - ''23 ''24'!Y$2:Y$1577)</f>
        <v>92</v>
      </c>
      <c r="N1052" s="238">
        <f>_xlfn.XLOOKUP($C1052,'Site Level Financials - ''23 ''24'!$C$2:$C$1577,'Site Level Financials - ''23 ''24'!Z$2:Z$1577)</f>
        <v>115</v>
      </c>
      <c r="O1052" s="238">
        <f>_xlfn.XLOOKUP($C1052,'Site Level Financials - ''23 ''24'!$C$2:$C$1577,'Site Level Financials - ''23 ''24'!AA$2:AA$1577)</f>
        <v>105</v>
      </c>
      <c r="P1052" s="238">
        <f>_xlfn.XLOOKUP($C1052,'Site Level Financials - ''23 ''24'!$C$2:$C$1577,'Site Level Financials - ''23 ''24'!AB$2:AB$1577)</f>
        <v>96</v>
      </c>
      <c r="Q1052" s="238">
        <f>_xlfn.XLOOKUP($C1052,'Site Level Financials - ''23 ''24'!$C$2:$C$1577,'Site Level Financials - ''23 ''24'!AC$2:AC$1577)</f>
        <v>110</v>
      </c>
      <c r="R1052" s="238">
        <f>_xlfn.XLOOKUP($C1052,'Site Level Financials - ''23 ''24'!$C$2:$C$1577,'Site Level Financials - ''23 ''24'!AD$2:AD$1577)</f>
        <v>110</v>
      </c>
      <c r="S1052" s="125">
        <f t="shared" ref="S1052:AD1052" si="3038">S1050*S1051</f>
        <v>115</v>
      </c>
      <c r="T1052" s="127">
        <f t="shared" si="3038"/>
        <v>110</v>
      </c>
      <c r="U1052" s="127">
        <f t="shared" si="3038"/>
        <v>110</v>
      </c>
      <c r="V1052" s="127">
        <f t="shared" si="3038"/>
        <v>110</v>
      </c>
      <c r="W1052" s="127">
        <f t="shared" si="3038"/>
        <v>120</v>
      </c>
      <c r="X1052" s="127">
        <f t="shared" si="3038"/>
        <v>105</v>
      </c>
      <c r="Y1052" s="127">
        <f t="shared" si="3038"/>
        <v>115</v>
      </c>
      <c r="Z1052" s="127">
        <f t="shared" si="3038"/>
        <v>115</v>
      </c>
      <c r="AA1052" s="127">
        <f t="shared" si="3038"/>
        <v>105</v>
      </c>
      <c r="AB1052" s="127">
        <f t="shared" si="3038"/>
        <v>120</v>
      </c>
      <c r="AC1052" s="127">
        <f t="shared" si="3038"/>
        <v>110</v>
      </c>
      <c r="AD1052" s="128">
        <f t="shared" si="3038"/>
        <v>110</v>
      </c>
      <c r="AF1052" s="112">
        <f>_xlfn.XLOOKUP($C1052,'Site Level Financials - ''23 ''24'!$C$2:$C$1577,'Site Level Financials - ''23 ''24'!$AF$2:$AF$1577)</f>
        <v>1008</v>
      </c>
      <c r="AG1052" s="120">
        <f>SUM(G1052:R1052)</f>
        <v>1164</v>
      </c>
      <c r="AH1052" s="120">
        <f t="shared" ref="AH1052" si="3039">SUM(S1052:AD1052)</f>
        <v>1345</v>
      </c>
    </row>
    <row r="1053" spans="2:35" x14ac:dyDescent="0.2">
      <c r="B1053" s="9">
        <f>G1044</f>
        <v>22</v>
      </c>
      <c r="C1053" s="9" t="str">
        <f t="shared" si="3036"/>
        <v>22 - Production per Vet Workday</v>
      </c>
      <c r="D1053" s="9" t="s">
        <v>56</v>
      </c>
      <c r="F1053" s="7" t="s">
        <v>50</v>
      </c>
      <c r="G1053" s="239">
        <f>_xlfn.XLOOKUP($C1053,'Site Level Financials - ''23 ''24'!$C$2:$C$1577,'Site Level Financials - ''23 ''24'!S$2:S$1577)</f>
        <v>5.4942604898342031</v>
      </c>
      <c r="H1053" s="240">
        <f>_xlfn.XLOOKUP($C1053,'Site Level Financials - ''23 ''24'!$C$2:$C$1577,'Site Level Financials - ''23 ''24'!T$2:T$1577)</f>
        <v>5.7792089098156607</v>
      </c>
      <c r="I1053" s="240">
        <f>_xlfn.XLOOKUP($C1053,'Site Level Financials - ''23 ''24'!$C$2:$C$1577,'Site Level Financials - ''23 ''24'!U$2:U$1577)</f>
        <v>6.1540816953577862</v>
      </c>
      <c r="J1053" s="240">
        <f>_xlfn.XLOOKUP($C1053,'Site Level Financials - ''23 ''24'!$C$2:$C$1577,'Site Level Financials - ''23 ''24'!V$2:V$1577)</f>
        <v>6.2613142329173979</v>
      </c>
      <c r="K1053" s="240">
        <f>_xlfn.XLOOKUP($C1053,'Site Level Financials - ''23 ''24'!$C$2:$C$1577,'Site Level Financials - ''23 ''24'!W$2:W$1577)</f>
        <v>6.6810210597695932</v>
      </c>
      <c r="L1053" s="240">
        <f>_xlfn.XLOOKUP($C1053,'Site Level Financials - ''23 ''24'!$C$2:$C$1577,'Site Level Financials - ''23 ''24'!X$2:X$1577)</f>
        <v>6.3772139788836206</v>
      </c>
      <c r="M1053" s="240">
        <f>_xlfn.XLOOKUP($C1053,'Site Level Financials - ''23 ''24'!$C$2:$C$1577,'Site Level Financials - ''23 ''24'!Y$2:Y$1577)</f>
        <v>6.5809644232992399</v>
      </c>
      <c r="N1053" s="240">
        <f>_xlfn.XLOOKUP($C1053,'Site Level Financials - ''23 ''24'!$C$2:$C$1577,'Site Level Financials - ''23 ''24'!Z$2:Z$1577)</f>
        <v>5.2785726375590052</v>
      </c>
      <c r="O1053" s="240">
        <f>_xlfn.XLOOKUP($C1053,'Site Level Financials - ''23 ''24'!$C$2:$C$1577,'Site Level Financials - ''23 ''24'!AA$2:AA$1577)</f>
        <v>5.421693254188229</v>
      </c>
      <c r="P1053" s="240">
        <f>_xlfn.XLOOKUP($C1053,'Site Level Financials - ''23 ''24'!$C$2:$C$1577,'Site Level Financials - ''23 ''24'!AB$2:AB$1577)</f>
        <v>6.0174646057632613</v>
      </c>
      <c r="Q1053" s="240">
        <f>_xlfn.XLOOKUP($C1053,'Site Level Financials - ''23 ''24'!$C$2:$C$1577,'Site Level Financials - ''23 ''24'!AC$2:AC$1577)</f>
        <v>5.4038160732518179</v>
      </c>
      <c r="R1053" s="240">
        <f>_xlfn.XLOOKUP($C1053,'Site Level Financials - ''23 ''24'!$C$2:$C$1577,'Site Level Financials - ''23 ''24'!AD$2:AD$1577)</f>
        <v>4.3050336282272035</v>
      </c>
      <c r="S1053" s="239">
        <f>R1053*(1+_xlfn.XLOOKUP($R1050,'Budget Assumption Driver'!$A$15:$A$19,'Budget Assumption Driver'!E$15:E$19))</f>
        <v>6.0907992416008074</v>
      </c>
      <c r="T1053" s="240">
        <f>S1053*(1+_xlfn.XLOOKUP($R1050,'Budget Assumption Driver'!$A$15:$A$19,'Budget Assumption Driver'!F$15:F$19))</f>
        <v>6.5935705432199478</v>
      </c>
      <c r="U1053" s="240">
        <f>T1053*(1+_xlfn.XLOOKUP($R1050,'Budget Assumption Driver'!$A$15:$A$19,'Budget Assumption Driver'!G$15:G$19))</f>
        <v>7.0801050642050223</v>
      </c>
      <c r="V1053" s="240">
        <f>U1053*(1+_xlfn.XLOOKUP($R1050,'Budget Assumption Driver'!$A$15:$A$19,'Budget Assumption Driver'!H$15:H$19))</f>
        <v>7.5839362597907769</v>
      </c>
      <c r="W1053" s="240">
        <f>V1053*(1+_xlfn.XLOOKUP($R1050,'Budget Assumption Driver'!$A$15:$A$19,'Budget Assumption Driver'!I$15:I$19))</f>
        <v>8.2624638006216014</v>
      </c>
      <c r="X1053" s="240">
        <f>W1053*(1+_xlfn.XLOOKUP($R1050,'Budget Assumption Driver'!$A$15:$A$19,'Budget Assumption Driver'!J$15:J$19))</f>
        <v>7.9295927040029941</v>
      </c>
      <c r="Y1053" s="240">
        <f>X1053*(1+_xlfn.XLOOKUP($R1050,'Budget Assumption Driver'!$A$15:$A$19,'Budget Assumption Driver'!K$15:K$19))</f>
        <v>7.2939083549127552</v>
      </c>
      <c r="Z1053" s="240">
        <f>Y1053*(1+_xlfn.XLOOKUP($R1050,'Budget Assumption Driver'!$A$15:$A$19,'Budget Assumption Driver'!L$15:L$19))</f>
        <v>6.2544595368133473</v>
      </c>
      <c r="AA1053" s="240">
        <f>Z1053*(1+_xlfn.XLOOKUP($R1050,'Budget Assumption Driver'!$A$15:$A$19,'Budget Assumption Driver'!M$15:M$19))</f>
        <v>6.2804458785804487</v>
      </c>
      <c r="AB1053" s="240">
        <f>AA1053*(1+_xlfn.XLOOKUP($R1050,'Budget Assumption Driver'!$A$15:$A$19,'Budget Assumption Driver'!N$15:N$19))</f>
        <v>6.3114156897858287</v>
      </c>
      <c r="AC1053" s="240">
        <f>AB1053*(1+_xlfn.XLOOKUP($R1050,'Budget Assumption Driver'!$A$15:$A$19,'Budget Assumption Driver'!O$15:O$19))</f>
        <v>5.4425216722227887</v>
      </c>
      <c r="AD1053" s="291">
        <f>AC1053*(1+_xlfn.XLOOKUP($R1050,'Budget Assumption Driver'!$A$15:$A$19,'Budget Assumption Driver'!P$15:P$19))</f>
        <v>4.4422545071106976</v>
      </c>
      <c r="AE1053" s="15"/>
      <c r="AF1053" s="230">
        <f>_xlfn.XLOOKUP($C1053,'Site Level Financials - ''23 ''24'!$C$2:$C$1577,'Site Level Financials - ''23 ''24'!$AF$2:$AF$1577)</f>
        <v>5.834923968193511</v>
      </c>
      <c r="AG1053" s="101">
        <f>AG1054/AG1052</f>
        <v>5.765527171863738</v>
      </c>
      <c r="AH1053" s="101">
        <f>AH1054/AH1052</f>
        <v>6.6357520412439879</v>
      </c>
    </row>
    <row r="1054" spans="2:35" x14ac:dyDescent="0.2">
      <c r="B1054" s="9">
        <f>G1044</f>
        <v>22</v>
      </c>
      <c r="C1054" s="9" t="str">
        <f t="shared" si="3036"/>
        <v>22 - Total Production</v>
      </c>
      <c r="D1054" s="9" t="s">
        <v>56</v>
      </c>
      <c r="F1054" s="8" t="s">
        <v>1</v>
      </c>
      <c r="G1054" s="241">
        <f>_xlfn.XLOOKUP($C1054,'Site Level Financials - ''23 ''24'!$C$2:$C$1577,'Site Level Financials - ''23 ''24'!S$2:S$1577)</f>
        <v>505.47196506474671</v>
      </c>
      <c r="H1054" s="242">
        <f>_xlfn.XLOOKUP($C1054,'Site Level Financials - ''23 ''24'!$C$2:$C$1577,'Site Level Financials - ''23 ''24'!T$2:T$1577)</f>
        <v>508.57038406377814</v>
      </c>
      <c r="I1054" s="242">
        <f>_xlfn.XLOOKUP($C1054,'Site Level Financials - ''23 ''24'!$C$2:$C$1577,'Site Level Financials - ''23 ''24'!U$2:U$1577)</f>
        <v>541.55918919148519</v>
      </c>
      <c r="J1054" s="242">
        <f>_xlfn.XLOOKUP($C1054,'Site Level Financials - ''23 ''24'!$C$2:$C$1577,'Site Level Financials - ''23 ''24'!V$2:V$1577)</f>
        <v>550.99565249673105</v>
      </c>
      <c r="K1054" s="242">
        <f>_xlfn.XLOOKUP($C1054,'Site Level Financials - ''23 ''24'!$C$2:$C$1577,'Site Level Financials - ''23 ''24'!W$2:W$1577)</f>
        <v>641.378021737881</v>
      </c>
      <c r="L1054" s="242">
        <f>_xlfn.XLOOKUP($C1054,'Site Level Financials - ''23 ''24'!$C$2:$C$1577,'Site Level Financials - ''23 ''24'!X$2:X$1577)</f>
        <v>535.68597422622418</v>
      </c>
      <c r="M1054" s="242">
        <f>_xlfn.XLOOKUP($C1054,'Site Level Financials - ''23 ''24'!$C$2:$C$1577,'Site Level Financials - ''23 ''24'!Y$2:Y$1577)</f>
        <v>605.44872694353012</v>
      </c>
      <c r="N1054" s="242">
        <f>_xlfn.XLOOKUP($C1054,'Site Level Financials - ''23 ''24'!$C$2:$C$1577,'Site Level Financials - ''23 ''24'!Z$2:Z$1577)</f>
        <v>607.03585331928559</v>
      </c>
      <c r="O1054" s="242">
        <f>_xlfn.XLOOKUP($C1054,'Site Level Financials - ''23 ''24'!$C$2:$C$1577,'Site Level Financials - ''23 ''24'!AA$2:AA$1577)</f>
        <v>569.27779168976406</v>
      </c>
      <c r="P1054" s="242">
        <f>_xlfn.XLOOKUP($C1054,'Site Level Financials - ''23 ''24'!$C$2:$C$1577,'Site Level Financials - ''23 ''24'!AB$2:AB$1577)</f>
        <v>577.67660215327305</v>
      </c>
      <c r="Q1054" s="242">
        <f>_xlfn.XLOOKUP($C1054,'Site Level Financials - ''23 ''24'!$C$2:$C$1577,'Site Level Financials - ''23 ''24'!AC$2:AC$1577)</f>
        <v>594.41976805769991</v>
      </c>
      <c r="R1054" s="242">
        <f>_xlfn.XLOOKUP($C1054,'Site Level Financials - ''23 ''24'!$C$2:$C$1577,'Site Level Financials - ''23 ''24'!AD$2:AD$1577)</f>
        <v>473.5536991049924</v>
      </c>
      <c r="S1054" s="134">
        <f t="shared" ref="S1054:AD1054" si="3040">S1053*S1052</f>
        <v>700.44191278409289</v>
      </c>
      <c r="T1054" s="135">
        <f t="shared" si="3040"/>
        <v>725.29275975419421</v>
      </c>
      <c r="U1054" s="135">
        <f t="shared" si="3040"/>
        <v>778.81155706255242</v>
      </c>
      <c r="V1054" s="135">
        <f t="shared" si="3040"/>
        <v>834.23298857698546</v>
      </c>
      <c r="W1054" s="135">
        <f t="shared" si="3040"/>
        <v>991.49565607459215</v>
      </c>
      <c r="X1054" s="135">
        <f t="shared" si="3040"/>
        <v>832.60723392031434</v>
      </c>
      <c r="Y1054" s="135">
        <f t="shared" si="3040"/>
        <v>838.79946081496689</v>
      </c>
      <c r="Z1054" s="135">
        <f t="shared" si="3040"/>
        <v>719.26284673353496</v>
      </c>
      <c r="AA1054" s="135">
        <f t="shared" si="3040"/>
        <v>659.44681725094711</v>
      </c>
      <c r="AB1054" s="135">
        <f t="shared" si="3040"/>
        <v>757.36988277429941</v>
      </c>
      <c r="AC1054" s="135">
        <f t="shared" si="3040"/>
        <v>598.6773839445068</v>
      </c>
      <c r="AD1054" s="136">
        <f t="shared" si="3040"/>
        <v>488.64799578217674</v>
      </c>
      <c r="AE1054" s="15"/>
      <c r="AF1054" s="113">
        <f>_xlfn.XLOOKUP($C1054,'Site Level Financials - ''23 ''24'!$C$2:$C$1577,'Site Level Financials - ''23 ''24'!$AF$2:$AF$1577)</f>
        <v>5741.6947450938897</v>
      </c>
      <c r="AG1054" s="95">
        <f>SUM(G1054:R1054)</f>
        <v>6711.0736280493911</v>
      </c>
      <c r="AH1054" s="95">
        <f t="shared" ref="AH1054" si="3041">SUM(S1054:AD1054)</f>
        <v>8925.0864954731642</v>
      </c>
    </row>
    <row r="1055" spans="2:35" x14ac:dyDescent="0.2">
      <c r="B1055" s="9">
        <f>G1044</f>
        <v>22</v>
      </c>
      <c r="C1055" s="9" t="str">
        <f t="shared" si="3036"/>
        <v>22 - Revenue as a % of Production</v>
      </c>
      <c r="D1055" s="9" t="s">
        <v>56</v>
      </c>
      <c r="F1055" s="7" t="s">
        <v>2</v>
      </c>
      <c r="G1055" s="243">
        <f>_xlfn.XLOOKUP($C1055,'Site Level Financials - ''23 ''24'!$C$2:$C$1577,'Site Level Financials - ''23 ''24'!S$2:S$1577)</f>
        <v>0.97786682828043414</v>
      </c>
      <c r="H1055" s="244">
        <f>_xlfn.XLOOKUP($C1055,'Site Level Financials - ''23 ''24'!$C$2:$C$1577,'Site Level Financials - ''23 ''24'!T$2:T$1577)</f>
        <v>0.97786682828043414</v>
      </c>
      <c r="I1055" s="244">
        <f>_xlfn.XLOOKUP($C1055,'Site Level Financials - ''23 ''24'!$C$2:$C$1577,'Site Level Financials - ''23 ''24'!U$2:U$1577)</f>
        <v>0.97786682828043414</v>
      </c>
      <c r="J1055" s="244">
        <f>_xlfn.XLOOKUP($C1055,'Site Level Financials - ''23 ''24'!$C$2:$C$1577,'Site Level Financials - ''23 ''24'!V$2:V$1577)</f>
        <v>0.97786682828043414</v>
      </c>
      <c r="K1055" s="244">
        <f>_xlfn.XLOOKUP($C1055,'Site Level Financials - ''23 ''24'!$C$2:$C$1577,'Site Level Financials - ''23 ''24'!W$2:W$1577)</f>
        <v>0.97786682828043414</v>
      </c>
      <c r="L1055" s="244">
        <f>_xlfn.XLOOKUP($C1055,'Site Level Financials - ''23 ''24'!$C$2:$C$1577,'Site Level Financials - ''23 ''24'!X$2:X$1577)</f>
        <v>0.97786682828043414</v>
      </c>
      <c r="M1055" s="244">
        <f>_xlfn.XLOOKUP($C1055,'Site Level Financials - ''23 ''24'!$C$2:$C$1577,'Site Level Financials - ''23 ''24'!Y$2:Y$1577)</f>
        <v>0.97786682828043414</v>
      </c>
      <c r="N1055" s="244">
        <f>_xlfn.XLOOKUP($C1055,'Site Level Financials - ''23 ''24'!$C$2:$C$1577,'Site Level Financials - ''23 ''24'!Z$2:Z$1577)</f>
        <v>0.97786682828043414</v>
      </c>
      <c r="O1055" s="244">
        <f>_xlfn.XLOOKUP($C1055,'Site Level Financials - ''23 ''24'!$C$2:$C$1577,'Site Level Financials - ''23 ''24'!AA$2:AA$1577)</f>
        <v>0.97786682828043414</v>
      </c>
      <c r="P1055" s="244">
        <f>_xlfn.XLOOKUP($C1055,'Site Level Financials - ''23 ''24'!$C$2:$C$1577,'Site Level Financials - ''23 ''24'!AB$2:AB$1577)</f>
        <v>0.97786682828043414</v>
      </c>
      <c r="Q1055" s="244">
        <f>_xlfn.XLOOKUP($C1055,'Site Level Financials - ''23 ''24'!$C$2:$C$1577,'Site Level Financials - ''23 ''24'!AC$2:AC$1577)</f>
        <v>0.97786682828043414</v>
      </c>
      <c r="R1055" s="244">
        <f>_xlfn.XLOOKUP($C1055,'Site Level Financials - ''23 ''24'!$C$2:$C$1577,'Site Level Financials - ''23 ''24'!AD$2:AD$1577)</f>
        <v>0.97786682828043414</v>
      </c>
      <c r="S1055" s="292">
        <f>SUM(G1084:R1084)/SUM(G1054:R1054)</f>
        <v>0.98136429451215001</v>
      </c>
      <c r="T1055" s="203">
        <f>S1055</f>
        <v>0.98136429451215001</v>
      </c>
      <c r="U1055" s="203">
        <f t="shared" ref="U1055:AD1055" si="3042">T1055</f>
        <v>0.98136429451215001</v>
      </c>
      <c r="V1055" s="203">
        <f t="shared" si="3042"/>
        <v>0.98136429451215001</v>
      </c>
      <c r="W1055" s="203">
        <f t="shared" si="3042"/>
        <v>0.98136429451215001</v>
      </c>
      <c r="X1055" s="203">
        <f t="shared" si="3042"/>
        <v>0.98136429451215001</v>
      </c>
      <c r="Y1055" s="203">
        <f t="shared" si="3042"/>
        <v>0.98136429451215001</v>
      </c>
      <c r="Z1055" s="203">
        <f t="shared" si="3042"/>
        <v>0.98136429451215001</v>
      </c>
      <c r="AA1055" s="203">
        <f t="shared" si="3042"/>
        <v>0.98136429451215001</v>
      </c>
      <c r="AB1055" s="203">
        <f t="shared" si="3042"/>
        <v>0.98136429451215001</v>
      </c>
      <c r="AC1055" s="203">
        <f t="shared" si="3042"/>
        <v>0.98136429451215001</v>
      </c>
      <c r="AD1055" s="204">
        <f t="shared" si="3042"/>
        <v>0.98136429451215001</v>
      </c>
      <c r="AE1055" s="15"/>
      <c r="AF1055" s="231">
        <f>_xlfn.XLOOKUP($C1055,'Site Level Financials - ''23 ''24'!$C$2:$C$1577,'Site Level Financials - ''23 ''24'!$AF$2:$AF$1577)</f>
        <v>0.98976343684679902</v>
      </c>
      <c r="AG1055" s="103">
        <f>AG1056/AG1054</f>
        <v>0.97786682828043414</v>
      </c>
      <c r="AH1055" s="103">
        <f>AH1056/AH1054</f>
        <v>0.98136429451214979</v>
      </c>
    </row>
    <row r="1056" spans="2:35" x14ac:dyDescent="0.2">
      <c r="B1056" s="9">
        <f>G1044</f>
        <v>22</v>
      </c>
      <c r="C1056" s="9" t="str">
        <f t="shared" si="3036"/>
        <v>22 - Total Revenue</v>
      </c>
      <c r="D1056" s="9" t="s">
        <v>56</v>
      </c>
      <c r="F1056" s="8" t="s">
        <v>3</v>
      </c>
      <c r="G1056" s="241">
        <f>_xlfn.XLOOKUP($C1056,'Site Level Financials - ''23 ''24'!$C$2:$C$1577,'Site Level Financials - ''23 ''24'!S$2:S$1577)</f>
        <v>494.2842672625423</v>
      </c>
      <c r="H1056" s="242">
        <f>_xlfn.XLOOKUP($C1056,'Site Level Financials - ''23 ''24'!$C$2:$C$1577,'Site Level Financials - ''23 ''24'!T$2:T$1577)</f>
        <v>497.31410842180895</v>
      </c>
      <c r="I1056" s="242">
        <f>_xlfn.XLOOKUP($C1056,'Site Level Financials - ''23 ''24'!$C$2:$C$1577,'Site Level Financials - ''23 ''24'!U$2:U$1577)</f>
        <v>529.57276666080122</v>
      </c>
      <c r="J1056" s="242">
        <f>_xlfn.XLOOKUP($C1056,'Site Level Financials - ''23 ''24'!$C$2:$C$1577,'Site Level Financials - ''23 ''24'!V$2:V$1577)</f>
        <v>538.80037110328669</v>
      </c>
      <c r="K1056" s="242">
        <f>_xlfn.XLOOKUP($C1056,'Site Level Financials - ''23 ''24'!$C$2:$C$1577,'Site Level Financials - ''23 ''24'!W$2:W$1577)</f>
        <v>627.18229184560107</v>
      </c>
      <c r="L1056" s="242">
        <f>_xlfn.XLOOKUP($C1056,'Site Level Financials - ''23 ''24'!$C$2:$C$1577,'Site Level Financials - ''23 ''24'!X$2:X$1577)</f>
        <v>523.82954457091228</v>
      </c>
      <c r="M1056" s="242">
        <f>_xlfn.XLOOKUP($C1056,'Site Level Financials - ''23 ''24'!$C$2:$C$1577,'Site Level Financials - ''23 ''24'!Y$2:Y$1577)</f>
        <v>592.04822630269643</v>
      </c>
      <c r="N1056" s="242">
        <f>_xlfn.XLOOKUP($C1056,'Site Level Financials - ''23 ''24'!$C$2:$C$1577,'Site Level Financials - ''23 ''24'!Z$2:Z$1577)</f>
        <v>593.60022453783665</v>
      </c>
      <c r="O1056" s="242">
        <f>_xlfn.XLOOKUP($C1056,'Site Level Financials - ''23 ''24'!$C$2:$C$1577,'Site Level Financials - ''23 ''24'!AA$2:AA$1577)</f>
        <v>556.67786857015926</v>
      </c>
      <c r="P1056" s="242">
        <f>_xlfn.XLOOKUP($C1056,'Site Level Financials - ''23 ''24'!$C$2:$C$1577,'Site Level Financials - ''23 ''24'!AB$2:AB$1577)</f>
        <v>564.89078671943935</v>
      </c>
      <c r="Q1056" s="242">
        <f>_xlfn.XLOOKUP($C1056,'Site Level Financials - ''23 ''24'!$C$2:$C$1577,'Site Level Financials - ''23 ''24'!AC$2:AC$1577)</f>
        <v>581.26337325777433</v>
      </c>
      <c r="R1056" s="242">
        <f>_xlfn.XLOOKUP($C1056,'Site Level Financials - ''23 ''24'!$C$2:$C$1577,'Site Level Financials - ''23 ''24'!AD$2:AD$1577)</f>
        <v>463.07245376426596</v>
      </c>
      <c r="S1056" s="134">
        <f t="shared" ref="S1056:AD1056" si="3043">S1055*S1054</f>
        <v>687.38868358610227</v>
      </c>
      <c r="T1056" s="135">
        <f t="shared" si="3043"/>
        <v>711.77641749094516</v>
      </c>
      <c r="U1056" s="135">
        <f t="shared" si="3043"/>
        <v>764.29785425460079</v>
      </c>
      <c r="V1056" s="135">
        <f t="shared" si="3043"/>
        <v>818.6864682936158</v>
      </c>
      <c r="W1056" s="135">
        <f t="shared" si="3043"/>
        <v>973.01843503550344</v>
      </c>
      <c r="X1056" s="135">
        <f t="shared" si="3043"/>
        <v>817.09101072192198</v>
      </c>
      <c r="Y1056" s="135">
        <f t="shared" si="3043"/>
        <v>823.16784109985178</v>
      </c>
      <c r="Z1056" s="135">
        <f t="shared" si="3043"/>
        <v>705.85887615345621</v>
      </c>
      <c r="AA1056" s="135">
        <f t="shared" si="3043"/>
        <v>647.15756057975841</v>
      </c>
      <c r="AB1056" s="135">
        <f t="shared" si="3043"/>
        <v>743.25576069355009</v>
      </c>
      <c r="AC1056" s="135">
        <f t="shared" si="3043"/>
        <v>587.52060853508044</v>
      </c>
      <c r="AD1056" s="136">
        <f t="shared" si="3043"/>
        <v>479.54169564555195</v>
      </c>
      <c r="AE1056" s="15"/>
      <c r="AF1056" s="113">
        <f>_xlfn.XLOOKUP($C1056,'Site Level Financials - ''23 ''24'!$C$2:$C$1577,'Site Level Financials - ''23 ''24'!$AF$2:$AF$1577)</f>
        <v>5682.9195242293345</v>
      </c>
      <c r="AG1056" s="95">
        <f>SUM(G1056:R1056)</f>
        <v>6562.5362830171243</v>
      </c>
      <c r="AH1056" s="95">
        <f t="shared" ref="AH1056" si="3044">SUM(S1056:AD1056)</f>
        <v>8758.7612120899375</v>
      </c>
    </row>
    <row r="1057" spans="2:34" x14ac:dyDescent="0.2">
      <c r="B1057" s="9">
        <f>G1044</f>
        <v>22</v>
      </c>
      <c r="C1057" s="9" t="str">
        <f t="shared" si="3036"/>
        <v>22 - % YoY Revenue Growth</v>
      </c>
      <c r="D1057" s="9" t="s">
        <v>56</v>
      </c>
      <c r="F1057" s="16" t="s">
        <v>174</v>
      </c>
      <c r="G1057" s="245">
        <f>_xlfn.XLOOKUP($C1057,'Site Level Financials - ''23 ''24'!$C$2:$C$1577,'Site Level Financials - ''23 ''24'!S$2:S$1577)</f>
        <v>8.7109780631285938E-2</v>
      </c>
      <c r="H1057" s="246">
        <f>_xlfn.XLOOKUP($C1057,'Site Level Financials - ''23 ''24'!$C$2:$C$1577,'Site Level Financials - ''23 ''24'!T$2:T$1577)</f>
        <v>9.2563643185481714E-2</v>
      </c>
      <c r="I1057" s="246">
        <f>_xlfn.XLOOKUP($C1057,'Site Level Financials - ''23 ''24'!$C$2:$C$1577,'Site Level Financials - ''23 ''24'!U$2:U$1577)</f>
        <v>0.22307983338053061</v>
      </c>
      <c r="J1057" s="246">
        <f>_xlfn.XLOOKUP($C1057,'Site Level Financials - ''23 ''24'!$C$2:$C$1577,'Site Level Financials - ''23 ''24'!V$2:V$1577)</f>
        <v>0.32437641642715254</v>
      </c>
      <c r="K1057" s="246">
        <f>_xlfn.XLOOKUP($C1057,'Site Level Financials - ''23 ''24'!$C$2:$C$1577,'Site Level Financials - ''23 ''24'!W$2:W$1577)</f>
        <v>0.28610296904233756</v>
      </c>
      <c r="L1057" s="246">
        <f>_xlfn.XLOOKUP($C1057,'Site Level Financials - ''23 ''24'!$C$2:$C$1577,'Site Level Financials - ''23 ''24'!X$2:X$1577)</f>
        <v>0.11237224605561358</v>
      </c>
      <c r="M1057" s="246">
        <f>_xlfn.XLOOKUP($C1057,'Site Level Financials - ''23 ''24'!$C$2:$C$1577,'Site Level Financials - ''23 ''24'!Y$2:Y$1577)</f>
        <v>0.39187831923238958</v>
      </c>
      <c r="N1057" s="246">
        <f>_xlfn.XLOOKUP($C1057,'Site Level Financials - ''23 ''24'!$C$2:$C$1577,'Site Level Financials - ''23 ''24'!Z$2:Z$1577)</f>
        <v>0.15831184733555448</v>
      </c>
      <c r="O1057" s="246">
        <f>_xlfn.XLOOKUP($C1057,'Site Level Financials - ''23 ''24'!$C$2:$C$1577,'Site Level Financials - ''23 ''24'!AA$2:AA$1577)</f>
        <v>0.15077692529937381</v>
      </c>
      <c r="P1057" s="246">
        <f>_xlfn.XLOOKUP($C1057,'Site Level Financials - ''23 ''24'!$C$2:$C$1577,'Site Level Financials - ''23 ''24'!AB$2:AB$1577)</f>
        <v>0.12348493861098842</v>
      </c>
      <c r="Q1057" s="246">
        <f>_xlfn.XLOOKUP($C1057,'Site Level Financials - ''23 ''24'!$C$2:$C$1577,'Site Level Financials - ''23 ''24'!AC$2:AC$1577)</f>
        <v>-5.7364348223503114E-3</v>
      </c>
      <c r="R1057" s="246">
        <f>_xlfn.XLOOKUP($C1057,'Site Level Financials - ''23 ''24'!$C$2:$C$1577,'Site Level Financials - ''23 ''24'!AD$2:AD$1577)</f>
        <v>-5.6044457867590047E-3</v>
      </c>
      <c r="S1057" s="148">
        <f>S1056/G1056-1</f>
        <v>0.3906748183449491</v>
      </c>
      <c r="T1057" s="149">
        <f t="shared" ref="T1057" si="3045">T1056/H1056-1</f>
        <v>0.43124115209543756</v>
      </c>
      <c r="U1057" s="149">
        <f t="shared" ref="U1057" si="3046">U1056/I1056-1</f>
        <v>0.44323481563043488</v>
      </c>
      <c r="V1057" s="149">
        <f t="shared" ref="V1057" si="3047">V1056/J1056-1</f>
        <v>0.51946158948854104</v>
      </c>
      <c r="W1057" s="149">
        <f t="shared" ref="W1057" si="3048">W1056/K1056-1</f>
        <v>0.55141248036868973</v>
      </c>
      <c r="X1057" s="149">
        <f t="shared" ref="X1057" si="3049">X1056/L1056-1</f>
        <v>0.55984140106345248</v>
      </c>
      <c r="Y1057" s="149">
        <f t="shared" ref="Y1057" si="3050">Y1056/M1056-1</f>
        <v>0.39037295363670399</v>
      </c>
      <c r="Z1057" s="149">
        <f t="shared" ref="Z1057" si="3051">Z1056/N1056-1</f>
        <v>0.18911490760136007</v>
      </c>
      <c r="AA1057" s="149">
        <f t="shared" ref="AA1057" si="3052">AA1056/O1056-1</f>
        <v>0.16253509815649481</v>
      </c>
      <c r="AB1057" s="149">
        <f t="shared" ref="AB1057" si="3053">AB1056/P1056-1</f>
        <v>0.31575125345901256</v>
      </c>
      <c r="AC1057" s="149">
        <f t="shared" ref="AC1057" si="3054">AC1056/Q1056-1</f>
        <v>1.0764888285041074E-2</v>
      </c>
      <c r="AD1057" s="150">
        <f t="shared" ref="AD1057" si="3055">AD1056/R1056-1</f>
        <v>3.556515130064275E-2</v>
      </c>
      <c r="AE1057" s="15"/>
      <c r="AF1057" s="11"/>
      <c r="AG1057" s="97">
        <f>AG1056/AF1056-1</f>
        <v>0.15478254707593719</v>
      </c>
      <c r="AH1057" s="97">
        <f>AH1056/AG1056-1</f>
        <v>0.33466099604756772</v>
      </c>
    </row>
    <row r="1058" spans="2:34" ht="6" customHeight="1" x14ac:dyDescent="0.2">
      <c r="B1058" s="9">
        <f>G1044</f>
        <v>22</v>
      </c>
      <c r="C1058" s="9" t="str">
        <f t="shared" si="3036"/>
        <v xml:space="preserve">22 - </v>
      </c>
      <c r="D1058" s="9" t="s">
        <v>56</v>
      </c>
      <c r="G1058" s="80"/>
      <c r="H1058" s="63"/>
      <c r="I1058" s="63"/>
      <c r="J1058" s="63"/>
      <c r="K1058" s="63"/>
      <c r="L1058" s="63"/>
      <c r="M1058" s="63"/>
      <c r="N1058" s="63"/>
      <c r="O1058" s="63"/>
      <c r="P1058" s="63"/>
      <c r="Q1058" s="63"/>
      <c r="R1058" s="63"/>
      <c r="S1058" s="80"/>
      <c r="T1058" s="63"/>
      <c r="U1058" s="63"/>
      <c r="V1058" s="63"/>
      <c r="W1058" s="63"/>
      <c r="X1058" s="63"/>
      <c r="Y1058" s="63"/>
      <c r="Z1058" s="63"/>
      <c r="AA1058" s="63"/>
      <c r="AB1058" s="63"/>
      <c r="AC1058" s="63"/>
      <c r="AD1058" s="81"/>
      <c r="AE1058" s="15"/>
      <c r="AF1058" s="11"/>
      <c r="AG1058" s="15"/>
      <c r="AH1058" s="15"/>
    </row>
    <row r="1059" spans="2:34" x14ac:dyDescent="0.2">
      <c r="B1059" s="9">
        <f>G1044</f>
        <v>22</v>
      </c>
      <c r="C1059" s="9" t="str">
        <f t="shared" si="3036"/>
        <v>22 - Doctor Compensation</v>
      </c>
      <c r="D1059" s="9" t="s">
        <v>56</v>
      </c>
      <c r="F1059" t="s">
        <v>4</v>
      </c>
      <c r="G1059" s="178">
        <f>_xlfn.XLOOKUP($C1059,'Site Level Financials - ''23 ''24'!$C$2:$C$1577,'Site Level Financials - ''23 ''24'!S$2:S$1577)</f>
        <v>-160.98120372320045</v>
      </c>
      <c r="H1059" s="179">
        <f>_xlfn.XLOOKUP($C1059,'Site Level Financials - ''23 ''24'!$C$2:$C$1577,'Site Level Financials - ''23 ''24'!T$2:T$1577)</f>
        <v>-162.97433564145746</v>
      </c>
      <c r="I1059" s="179">
        <f>_xlfn.XLOOKUP($C1059,'Site Level Financials - ''23 ''24'!$C$2:$C$1577,'Site Level Financials - ''23 ''24'!U$2:U$1577)</f>
        <v>-178.59478531212008</v>
      </c>
      <c r="J1059" s="179">
        <f>_xlfn.XLOOKUP($C1059,'Site Level Financials - ''23 ''24'!$C$2:$C$1577,'Site Level Financials - ''23 ''24'!V$2:V$1577)</f>
        <v>-183.46462696415944</v>
      </c>
      <c r="K1059" s="179">
        <f>_xlfn.XLOOKUP($C1059,'Site Level Financials - ''23 ''24'!$C$2:$C$1577,'Site Level Financials - ''23 ''24'!W$2:W$1577)</f>
        <v>-210.90066377683326</v>
      </c>
      <c r="L1059" s="179">
        <f>_xlfn.XLOOKUP($C1059,'Site Level Financials - ''23 ''24'!$C$2:$C$1577,'Site Level Financials - ''23 ''24'!X$2:X$1577)</f>
        <v>-171.25470734875552</v>
      </c>
      <c r="M1059" s="179">
        <f>_xlfn.XLOOKUP($C1059,'Site Level Financials - ''23 ''24'!$C$2:$C$1577,'Site Level Financials - ''23 ''24'!Y$2:Y$1577)</f>
        <v>-189.52909145361158</v>
      </c>
      <c r="N1059" s="179">
        <f>_xlfn.XLOOKUP($C1059,'Site Level Financials - ''23 ''24'!$C$2:$C$1577,'Site Level Financials - ''23 ''24'!Z$2:Z$1577)</f>
        <v>-151.93338739180481</v>
      </c>
      <c r="O1059" s="179">
        <f>_xlfn.XLOOKUP($C1059,'Site Level Financials - ''23 ''24'!$C$2:$C$1577,'Site Level Financials - ''23 ''24'!AA$2:AA$1577)</f>
        <v>-141.32499758986512</v>
      </c>
      <c r="P1059" s="179">
        <f>_xlfn.XLOOKUP($C1059,'Site Level Financials - ''23 ''24'!$C$2:$C$1577,'Site Level Financials - ''23 ''24'!AB$2:AB$1577)</f>
        <v>-184.41536826524032</v>
      </c>
      <c r="Q1059" s="179">
        <f>_xlfn.XLOOKUP($C1059,'Site Level Financials - ''23 ''24'!$C$2:$C$1577,'Site Level Financials - ''23 ''24'!AC$2:AC$1577)</f>
        <v>-148.16863674361085</v>
      </c>
      <c r="R1059" s="179">
        <f>_xlfn.XLOOKUP($C1059,'Site Level Financials - ''23 ''24'!$C$2:$C$1577,'Site Level Financials - ''23 ''24'!AD$2:AD$1577)</f>
        <v>-118.01029945487062</v>
      </c>
      <c r="S1059" s="155">
        <f>S1060*S1056</f>
        <v>-223.87250624471301</v>
      </c>
      <c r="T1059" s="154">
        <f t="shared" ref="T1059" si="3056">T1060*T1056</f>
        <v>-233.25557590546811</v>
      </c>
      <c r="U1059" s="154">
        <f t="shared" ref="U1059" si="3057">U1060*U1056</f>
        <v>-257.75421205249478</v>
      </c>
      <c r="V1059" s="154">
        <f t="shared" ref="V1059" si="3058">V1060*V1056</f>
        <v>-278.76745370188394</v>
      </c>
      <c r="W1059" s="154">
        <f t="shared" ref="W1059" si="3059">W1060*W1056</f>
        <v>-327.19392190141997</v>
      </c>
      <c r="X1059" s="154">
        <f t="shared" ref="X1059" si="3060">X1060*X1056</f>
        <v>-267.1301826495943</v>
      </c>
      <c r="Y1059" s="154">
        <f t="shared" ref="Y1059" si="3061">Y1060*Y1056</f>
        <v>-263.51612268443893</v>
      </c>
      <c r="Z1059" s="154">
        <f t="shared" ref="Z1059" si="3062">Z1060*Z1056</f>
        <v>-180.66625590996762</v>
      </c>
      <c r="AA1059" s="154">
        <f t="shared" ref="AA1059" si="3063">AA1060*AA1056</f>
        <v>-164.29526994510024</v>
      </c>
      <c r="AB1059" s="154">
        <f t="shared" ref="AB1059" si="3064">AB1060*AB1056</f>
        <v>-242.64475195209536</v>
      </c>
      <c r="AC1059" s="154">
        <f t="shared" ref="AC1059" si="3065">AC1060*AC1056</f>
        <v>-149.76365556550266</v>
      </c>
      <c r="AD1059" s="156">
        <f t="shared" ref="AD1059" si="3066">AD1060*AD1056</f>
        <v>-122.20735361001726</v>
      </c>
      <c r="AE1059" s="15"/>
      <c r="AF1059" s="115">
        <f>_xlfn.XLOOKUP($C1059,'Site Level Financials - ''23 ''24'!$C$2:$C$1577,'Site Level Financials - ''23 ''24'!$AF$2:$AF$1577)</f>
        <v>-1752.8807979773173</v>
      </c>
      <c r="AG1059" s="93">
        <f>SUM(G1059:R1059)</f>
        <v>-2001.5521036655296</v>
      </c>
      <c r="AH1059" s="93">
        <f t="shared" ref="AH1059" si="3067">SUM(S1059:AD1059)</f>
        <v>-2711.0672621226963</v>
      </c>
    </row>
    <row r="1060" spans="2:34" x14ac:dyDescent="0.2">
      <c r="B1060" s="9">
        <f>G1044</f>
        <v>22</v>
      </c>
      <c r="C1060" s="9" t="str">
        <f t="shared" si="3036"/>
        <v>22 - % of Revenue - Doctor Compensation</v>
      </c>
      <c r="D1060" s="9" t="s">
        <v>56</v>
      </c>
      <c r="F1060" s="16" t="str">
        <f>"% of Revenue - "&amp;F1059</f>
        <v>% of Revenue - Doctor Compensation</v>
      </c>
      <c r="G1060" s="148">
        <f>G1059/G1056</f>
        <v>-0.32568546964836781</v>
      </c>
      <c r="H1060" s="149">
        <f t="shared" ref="H1060:R1060" si="3068">H1059/H1056</f>
        <v>-0.32770905325538613</v>
      </c>
      <c r="I1060" s="149">
        <f t="shared" si="3068"/>
        <v>-0.33724314495672048</v>
      </c>
      <c r="J1060" s="149">
        <f t="shared" si="3068"/>
        <v>-0.34050575464245497</v>
      </c>
      <c r="K1060" s="149">
        <f t="shared" si="3068"/>
        <v>-0.33626692991637031</v>
      </c>
      <c r="L1060" s="149">
        <f t="shared" si="3068"/>
        <v>-0.32692830926334338</v>
      </c>
      <c r="M1060" s="149">
        <f t="shared" si="3068"/>
        <v>-0.32012441391338797</v>
      </c>
      <c r="N1060" s="149">
        <f t="shared" si="3068"/>
        <v>-0.2559523752035246</v>
      </c>
      <c r="O1060" s="149">
        <f t="shared" si="3068"/>
        <v>-0.25387213246479845</v>
      </c>
      <c r="P1060" s="149">
        <f t="shared" si="3068"/>
        <v>-0.32646198628272671</v>
      </c>
      <c r="Q1060" s="149">
        <f t="shared" si="3068"/>
        <v>-0.25490791878589969</v>
      </c>
      <c r="R1060" s="149">
        <f t="shared" si="3068"/>
        <v>-0.25484197666170305</v>
      </c>
      <c r="S1060" s="245">
        <f>_xlfn.XLOOKUP($F1060,'Budget Assumption Driver'!$A$33:$A$39,'Budget Assumption Driver'!E$33:E$39)+G1060</f>
        <v>-0.32568546964836781</v>
      </c>
      <c r="T1060" s="246">
        <f>_xlfn.XLOOKUP($F1060,'Budget Assumption Driver'!$A$33:$A$39,'Budget Assumption Driver'!F$33:F$39)+H1060</f>
        <v>-0.32770905325538613</v>
      </c>
      <c r="U1060" s="246">
        <f>_xlfn.XLOOKUP($F1060,'Budget Assumption Driver'!$A$33:$A$39,'Budget Assumption Driver'!G$33:G$39)+I1060</f>
        <v>-0.33724314495672048</v>
      </c>
      <c r="V1060" s="246">
        <f>_xlfn.XLOOKUP($F1060,'Budget Assumption Driver'!$A$33:$A$39,'Budget Assumption Driver'!H$33:H$39)+J1060</f>
        <v>-0.34050575464245497</v>
      </c>
      <c r="W1060" s="246">
        <f>_xlfn.XLOOKUP($F1060,'Budget Assumption Driver'!$A$33:$A$39,'Budget Assumption Driver'!I$33:I$39)+K1060</f>
        <v>-0.33626692991637031</v>
      </c>
      <c r="X1060" s="246">
        <f>_xlfn.XLOOKUP($F1060,'Budget Assumption Driver'!$A$33:$A$39,'Budget Assumption Driver'!J$33:J$39)+L1060</f>
        <v>-0.32692830926334338</v>
      </c>
      <c r="Y1060" s="246">
        <f>_xlfn.XLOOKUP($F1060,'Budget Assumption Driver'!$A$33:$A$39,'Budget Assumption Driver'!K$33:K$39)+M1060</f>
        <v>-0.32012441391338797</v>
      </c>
      <c r="Z1060" s="246">
        <f>_xlfn.XLOOKUP($F1060,'Budget Assumption Driver'!$A$33:$A$39,'Budget Assumption Driver'!L$33:L$39)+N1060</f>
        <v>-0.2559523752035246</v>
      </c>
      <c r="AA1060" s="246">
        <f>_xlfn.XLOOKUP($F1060,'Budget Assumption Driver'!$A$33:$A$39,'Budget Assumption Driver'!M$33:M$39)+O1060</f>
        <v>-0.25387213246479845</v>
      </c>
      <c r="AB1060" s="246">
        <f>_xlfn.XLOOKUP($F1060,'Budget Assumption Driver'!$A$33:$A$39,'Budget Assumption Driver'!N$33:N$39)+P1060</f>
        <v>-0.32646198628272671</v>
      </c>
      <c r="AC1060" s="246">
        <f>_xlfn.XLOOKUP($F1060,'Budget Assumption Driver'!$A$33:$A$39,'Budget Assumption Driver'!O$33:O$39)+Q1060</f>
        <v>-0.25490791878589969</v>
      </c>
      <c r="AD1060" s="296">
        <f>_xlfn.XLOOKUP($F1060,'Budget Assumption Driver'!$A$33:$A$39,'Budget Assumption Driver'!P$33:P$39)+R1060</f>
        <v>-0.25484197666170305</v>
      </c>
      <c r="AE1060" s="15"/>
      <c r="AF1060" s="232">
        <f>_xlfn.XLOOKUP($C1060,'Site Level Financials - ''23 ''24'!$C$2:$C$1577,'Site Level Financials - ''23 ''24'!$AF$2:$AF$1577)</f>
        <v>-0.30844723218476811</v>
      </c>
      <c r="AG1060" s="97">
        <f t="shared" ref="AG1060:AH1060" si="3069">AG1059/AG1056</f>
        <v>-0.30499672951831919</v>
      </c>
      <c r="AH1060" s="97">
        <f t="shared" si="3069"/>
        <v>-0.30952633557135251</v>
      </c>
    </row>
    <row r="1061" spans="2:34" ht="3" customHeight="1" x14ac:dyDescent="0.2">
      <c r="B1061" s="9">
        <f>G1044</f>
        <v>22</v>
      </c>
      <c r="C1061" s="9" t="str">
        <f t="shared" si="3036"/>
        <v xml:space="preserve">22 - </v>
      </c>
      <c r="D1061" s="9" t="s">
        <v>56</v>
      </c>
      <c r="F1061" s="16"/>
      <c r="G1061" s="84"/>
      <c r="H1061" s="85"/>
      <c r="I1061" s="85"/>
      <c r="J1061" s="85"/>
      <c r="K1061" s="85"/>
      <c r="L1061" s="85"/>
      <c r="M1061" s="85"/>
      <c r="N1061" s="85"/>
      <c r="O1061" s="85"/>
      <c r="P1061" s="85"/>
      <c r="Q1061" s="85"/>
      <c r="R1061" s="85"/>
      <c r="S1061" s="84"/>
      <c r="T1061" s="85"/>
      <c r="U1061" s="85"/>
      <c r="V1061" s="85"/>
      <c r="W1061" s="85"/>
      <c r="X1061" s="85"/>
      <c r="Y1061" s="85"/>
      <c r="Z1061" s="85"/>
      <c r="AA1061" s="85"/>
      <c r="AB1061" s="85"/>
      <c r="AC1061" s="85"/>
      <c r="AD1061" s="86"/>
      <c r="AE1061" s="15"/>
      <c r="AF1061" s="36"/>
      <c r="AG1061" s="38"/>
      <c r="AH1061" s="38"/>
    </row>
    <row r="1062" spans="2:34" x14ac:dyDescent="0.2">
      <c r="B1062" s="9">
        <f>G1044</f>
        <v>22</v>
      </c>
      <c r="C1062" s="9" t="str">
        <f t="shared" si="3036"/>
        <v>22 - Administrative Staff Compensation</v>
      </c>
      <c r="D1062" s="9" t="s">
        <v>56</v>
      </c>
      <c r="F1062" t="s">
        <v>5</v>
      </c>
      <c r="G1062" s="178">
        <f>_xlfn.XLOOKUP($C1062,'Site Level Financials - ''23 ''24'!$C$2:$C$1577,'Site Level Financials - ''23 ''24'!S$2:S$1577)</f>
        <v>-115.25783884947469</v>
      </c>
      <c r="H1062" s="179">
        <f>_xlfn.XLOOKUP($C1062,'Site Level Financials - ''23 ''24'!$C$2:$C$1577,'Site Level Financials - ''23 ''24'!T$2:T$1577)</f>
        <v>-119.60179088871806</v>
      </c>
      <c r="I1062" s="179">
        <f>_xlfn.XLOOKUP($C1062,'Site Level Financials - ''23 ''24'!$C$2:$C$1577,'Site Level Financials - ''23 ''24'!U$2:U$1577)</f>
        <v>-125.02531881983316</v>
      </c>
      <c r="J1062" s="179">
        <f>_xlfn.XLOOKUP($C1062,'Site Level Financials - ''23 ''24'!$C$2:$C$1577,'Site Level Financials - ''23 ''24'!V$2:V$1577)</f>
        <v>-122.78301002094511</v>
      </c>
      <c r="K1062" s="179">
        <f>_xlfn.XLOOKUP($C1062,'Site Level Financials - ''23 ''24'!$C$2:$C$1577,'Site Level Financials - ''23 ''24'!W$2:W$1577)</f>
        <v>-144.32282525513199</v>
      </c>
      <c r="L1062" s="179">
        <f>_xlfn.XLOOKUP($C1062,'Site Level Financials - ''23 ''24'!$C$2:$C$1577,'Site Level Financials - ''23 ''24'!X$2:X$1577)</f>
        <v>-126.28931788979648</v>
      </c>
      <c r="M1062" s="179">
        <f>_xlfn.XLOOKUP($C1062,'Site Level Financials - ''23 ''24'!$C$2:$C$1577,'Site Level Financials - ''23 ''24'!Y$2:Y$1577)</f>
        <v>-142.24409401212472</v>
      </c>
      <c r="N1062" s="179">
        <f>_xlfn.XLOOKUP($C1062,'Site Level Financials - ''23 ''24'!$C$2:$C$1577,'Site Level Financials - ''23 ''24'!Z$2:Z$1577)</f>
        <v>-111.03057722284927</v>
      </c>
      <c r="O1062" s="179">
        <f>_xlfn.XLOOKUP($C1062,'Site Level Financials - ''23 ''24'!$C$2:$C$1577,'Site Level Financials - ''23 ''24'!AA$2:AA$1577)</f>
        <v>-107.87020899294914</v>
      </c>
      <c r="P1062" s="179">
        <f>_xlfn.XLOOKUP($C1062,'Site Level Financials - ''23 ''24'!$C$2:$C$1577,'Site Level Financials - ''23 ''24'!AB$2:AB$1577)</f>
        <v>-131.66473746597944</v>
      </c>
      <c r="Q1062" s="179">
        <f>_xlfn.XLOOKUP($C1062,'Site Level Financials - ''23 ''24'!$C$2:$C$1577,'Site Level Financials - ''23 ''24'!AC$2:AC$1577)</f>
        <v>-108.18285730721571</v>
      </c>
      <c r="R1062" s="179">
        <f>_xlfn.XLOOKUP($C1062,'Site Level Financials - ''23 ''24'!$C$2:$C$1577,'Site Level Financials - ''23 ''24'!AD$2:AD$1577)</f>
        <v>-82.658898622056427</v>
      </c>
      <c r="S1062" s="155">
        <f>S1063*S1056</f>
        <v>-160.28617410482462</v>
      </c>
      <c r="T1062" s="154">
        <f t="shared" ref="T1062" si="3070">T1063*T1056</f>
        <v>-171.17900498424643</v>
      </c>
      <c r="U1062" s="154">
        <f t="shared" ref="U1062" si="3071">U1063*U1056</f>
        <v>-180.44089295607824</v>
      </c>
      <c r="V1062" s="154">
        <f t="shared" ref="V1062" si="3072">V1063*V1056</f>
        <v>-186.56406756861273</v>
      </c>
      <c r="W1062" s="154">
        <f t="shared" ref="W1062" si="3073">W1063*W1056</f>
        <v>-223.9042323028813</v>
      </c>
      <c r="X1062" s="154">
        <f t="shared" ref="X1062" si="3074">X1063*X1056</f>
        <v>-196.99130655656788</v>
      </c>
      <c r="Y1062" s="154">
        <f t="shared" ref="Y1062" si="3075">Y1063*Y1056</f>
        <v>-197.77234112901485</v>
      </c>
      <c r="Z1062" s="154">
        <f t="shared" ref="Z1062" si="3076">Z1063*Z1056</f>
        <v>-132.02811457527409</v>
      </c>
      <c r="AA1062" s="154">
        <f t="shared" ref="AA1062" si="3077">AA1063*AA1056</f>
        <v>-125.40290399977974</v>
      </c>
      <c r="AB1062" s="154">
        <f t="shared" ref="AB1062" si="3078">AB1063*AB1056</f>
        <v>-173.23804335721428</v>
      </c>
      <c r="AC1062" s="154">
        <f t="shared" ref="AC1062" si="3079">AC1063*AC1056</f>
        <v>-109.34743368048444</v>
      </c>
      <c r="AD1062" s="156">
        <f t="shared" ref="AD1062" si="3080">AD1063*AD1056</f>
        <v>-85.598674857894352</v>
      </c>
      <c r="AE1062" s="15"/>
      <c r="AF1062" s="115">
        <f>_xlfn.XLOOKUP($C1062,'Site Level Financials - ''23 ''24'!$C$2:$C$1577,'Site Level Financials - ''23 ''24'!$AF$2:$AF$1577)</f>
        <v>-1212.4646090511544</v>
      </c>
      <c r="AG1062" s="93">
        <f>SUM(G1062:R1062)</f>
        <v>-1436.9314753470744</v>
      </c>
      <c r="AH1062" s="93">
        <f t="shared" ref="AH1062" si="3081">SUM(S1062:AD1062)</f>
        <v>-1942.7531900728729</v>
      </c>
    </row>
    <row r="1063" spans="2:34" x14ac:dyDescent="0.2">
      <c r="B1063" s="9">
        <f>G1044</f>
        <v>22</v>
      </c>
      <c r="C1063" s="9" t="str">
        <f t="shared" si="3036"/>
        <v>22 - % of Revenue - Administrative Staff Compensation</v>
      </c>
      <c r="D1063" s="9" t="s">
        <v>56</v>
      </c>
      <c r="F1063" s="16" t="str">
        <f>"% of Revenue - "&amp;F1062</f>
        <v>% of Revenue - Administrative Staff Compensation</v>
      </c>
      <c r="G1063" s="148">
        <f>G1062/G1056</f>
        <v>-0.23318128146744097</v>
      </c>
      <c r="H1063" s="149">
        <f t="shared" ref="H1063:R1063" si="3082">H1062/H1056</f>
        <v>-0.24049547129934812</v>
      </c>
      <c r="I1063" s="149">
        <f t="shared" si="3082"/>
        <v>-0.23608713795495007</v>
      </c>
      <c r="J1063" s="149">
        <f t="shared" si="3082"/>
        <v>-0.22788219274891314</v>
      </c>
      <c r="K1063" s="149">
        <f t="shared" si="3082"/>
        <v>-0.23011304230295646</v>
      </c>
      <c r="L1063" s="149">
        <f t="shared" si="3082"/>
        <v>-0.24108857394296962</v>
      </c>
      <c r="M1063" s="149">
        <f t="shared" si="3082"/>
        <v>-0.24025761364142589</v>
      </c>
      <c r="N1063" s="149">
        <f t="shared" si="3082"/>
        <v>-0.18704604990554899</v>
      </c>
      <c r="O1063" s="149">
        <f t="shared" si="3082"/>
        <v>-0.19377491918264403</v>
      </c>
      <c r="P1063" s="149">
        <f t="shared" si="3082"/>
        <v>-0.23307998742661831</v>
      </c>
      <c r="Q1063" s="149">
        <f t="shared" si="3082"/>
        <v>-0.186116762700683</v>
      </c>
      <c r="R1063" s="149">
        <f t="shared" si="3082"/>
        <v>-0.17850100551248765</v>
      </c>
      <c r="S1063" s="245">
        <f>_xlfn.XLOOKUP($F1063,'Budget Assumption Driver'!$A$33:$A$39,'Budget Assumption Driver'!E$33:E$39)+G1063</f>
        <v>-0.23318128146744097</v>
      </c>
      <c r="T1063" s="246">
        <f>_xlfn.XLOOKUP($F1063,'Budget Assumption Driver'!$A$33:$A$39,'Budget Assumption Driver'!F$33:F$39)+H1063</f>
        <v>-0.24049547129934812</v>
      </c>
      <c r="U1063" s="246">
        <f>_xlfn.XLOOKUP($F1063,'Budget Assumption Driver'!$A$33:$A$39,'Budget Assumption Driver'!G$33:G$39)+I1063</f>
        <v>-0.23608713795495007</v>
      </c>
      <c r="V1063" s="246">
        <f>_xlfn.XLOOKUP($F1063,'Budget Assumption Driver'!$A$33:$A$39,'Budget Assumption Driver'!H$33:H$39)+J1063</f>
        <v>-0.22788219274891314</v>
      </c>
      <c r="W1063" s="246">
        <f>_xlfn.XLOOKUP($F1063,'Budget Assumption Driver'!$A$33:$A$39,'Budget Assumption Driver'!I$33:I$39)+K1063</f>
        <v>-0.23011304230295646</v>
      </c>
      <c r="X1063" s="246">
        <f>_xlfn.XLOOKUP($F1063,'Budget Assumption Driver'!$A$33:$A$39,'Budget Assumption Driver'!J$33:J$39)+L1063</f>
        <v>-0.24108857394296962</v>
      </c>
      <c r="Y1063" s="246">
        <f>_xlfn.XLOOKUP($F1063,'Budget Assumption Driver'!$A$33:$A$39,'Budget Assumption Driver'!K$33:K$39)+M1063</f>
        <v>-0.24025761364142589</v>
      </c>
      <c r="Z1063" s="246">
        <f>_xlfn.XLOOKUP($F1063,'Budget Assumption Driver'!$A$33:$A$39,'Budget Assumption Driver'!L$33:L$39)+N1063</f>
        <v>-0.18704604990554899</v>
      </c>
      <c r="AA1063" s="246">
        <f>_xlfn.XLOOKUP($F1063,'Budget Assumption Driver'!$A$33:$A$39,'Budget Assumption Driver'!M$33:M$39)+O1063</f>
        <v>-0.19377491918264403</v>
      </c>
      <c r="AB1063" s="246">
        <f>_xlfn.XLOOKUP($F1063,'Budget Assumption Driver'!$A$33:$A$39,'Budget Assumption Driver'!N$33:N$39)+P1063</f>
        <v>-0.23307998742661831</v>
      </c>
      <c r="AC1063" s="246">
        <f>_xlfn.XLOOKUP($F1063,'Budget Assumption Driver'!$A$33:$A$39,'Budget Assumption Driver'!O$33:O$39)+Q1063</f>
        <v>-0.186116762700683</v>
      </c>
      <c r="AD1063" s="296">
        <f>_xlfn.XLOOKUP($F1063,'Budget Assumption Driver'!$A$33:$A$39,'Budget Assumption Driver'!P$33:P$39)+R1063</f>
        <v>-0.17850100551248765</v>
      </c>
      <c r="AE1063" s="15"/>
      <c r="AF1063" s="232">
        <f>_xlfn.XLOOKUP($C1063,'Site Level Financials - ''23 ''24'!$C$2:$C$1577,'Site Level Financials - ''23 ''24'!$AF$2:$AF$1577)</f>
        <v>-0.21335241575773992</v>
      </c>
      <c r="AG1063" s="97">
        <f t="shared" ref="AG1063:AH1063" si="3083">AG1062/AG1056</f>
        <v>-0.21895977612583126</v>
      </c>
      <c r="AH1063" s="97">
        <f t="shared" si="3083"/>
        <v>-0.22180684494415057</v>
      </c>
    </row>
    <row r="1064" spans="2:34" ht="3" customHeight="1" x14ac:dyDescent="0.2">
      <c r="B1064" s="9">
        <f>G1044</f>
        <v>22</v>
      </c>
      <c r="C1064" s="9" t="str">
        <f t="shared" si="3036"/>
        <v xml:space="preserve">22 - </v>
      </c>
      <c r="D1064" s="9" t="s">
        <v>56</v>
      </c>
      <c r="F1064" s="16"/>
      <c r="G1064" s="84"/>
      <c r="H1064" s="85"/>
      <c r="I1064" s="85"/>
      <c r="J1064" s="85"/>
      <c r="K1064" s="85"/>
      <c r="L1064" s="85"/>
      <c r="M1064" s="85"/>
      <c r="N1064" s="85"/>
      <c r="O1064" s="85"/>
      <c r="P1064" s="85"/>
      <c r="Q1064" s="85"/>
      <c r="R1064" s="85"/>
      <c r="S1064" s="84"/>
      <c r="T1064" s="85"/>
      <c r="U1064" s="85"/>
      <c r="V1064" s="85"/>
      <c r="W1064" s="85"/>
      <c r="X1064" s="85"/>
      <c r="Y1064" s="85"/>
      <c r="Z1064" s="85"/>
      <c r="AA1064" s="85"/>
      <c r="AB1064" s="85"/>
      <c r="AC1064" s="85"/>
      <c r="AD1064" s="86"/>
      <c r="AE1064" s="15"/>
      <c r="AF1064" s="36"/>
      <c r="AG1064" s="38"/>
      <c r="AH1064" s="38"/>
    </row>
    <row r="1065" spans="2:34" x14ac:dyDescent="0.2">
      <c r="B1065" s="9">
        <f>G1044</f>
        <v>22</v>
      </c>
      <c r="C1065" s="9" t="str">
        <f t="shared" si="3036"/>
        <v>22 - Office Supplies</v>
      </c>
      <c r="D1065" s="9" t="s">
        <v>56</v>
      </c>
      <c r="F1065" t="s">
        <v>6</v>
      </c>
      <c r="G1065" s="178">
        <f>_xlfn.XLOOKUP($C1065,'Site Level Financials - ''23 ''24'!$C$2:$C$1577,'Site Level Financials - ''23 ''24'!S$2:S$1577)</f>
        <v>-44.908824981921128</v>
      </c>
      <c r="H1065" s="179">
        <f>_xlfn.XLOOKUP($C1065,'Site Level Financials - ''23 ''24'!$C$2:$C$1577,'Site Level Financials - ''23 ''24'!T$2:T$1577)</f>
        <v>-46.902601164207553</v>
      </c>
      <c r="I1065" s="179">
        <f>_xlfn.XLOOKUP($C1065,'Site Level Financials - ''23 ''24'!$C$2:$C$1577,'Site Level Financials - ''23 ''24'!U$2:U$1577)</f>
        <v>-50.003174642196683</v>
      </c>
      <c r="J1065" s="179">
        <f>_xlfn.XLOOKUP($C1065,'Site Level Financials - ''23 ''24'!$C$2:$C$1577,'Site Level Financials - ''23 ''24'!V$2:V$1577)</f>
        <v>-49.516560408417419</v>
      </c>
      <c r="K1065" s="179">
        <f>_xlfn.XLOOKUP($C1065,'Site Level Financials - ''23 ''24'!$C$2:$C$1577,'Site Level Financials - ''23 ''24'!W$2:W$1577)</f>
        <v>-54.926132421855961</v>
      </c>
      <c r="L1065" s="179">
        <f>_xlfn.XLOOKUP($C1065,'Site Level Financials - ''23 ''24'!$C$2:$C$1577,'Site Level Financials - ''23 ''24'!X$2:X$1577)</f>
        <v>-46.259209571445247</v>
      </c>
      <c r="M1065" s="179">
        <f>_xlfn.XLOOKUP($C1065,'Site Level Financials - ''23 ''24'!$C$2:$C$1577,'Site Level Financials - ''23 ''24'!Y$2:Y$1577)</f>
        <v>-53.079970609338595</v>
      </c>
      <c r="N1065" s="179">
        <f>_xlfn.XLOOKUP($C1065,'Site Level Financials - ''23 ''24'!$C$2:$C$1577,'Site Level Financials - ''23 ''24'!Z$2:Z$1577)</f>
        <v>-43.998726845038085</v>
      </c>
      <c r="O1065" s="179">
        <f>_xlfn.XLOOKUP($C1065,'Site Level Financials - ''23 ''24'!$C$2:$C$1577,'Site Level Financials - ''23 ''24'!AA$2:AA$1577)</f>
        <v>-43.395734526265208</v>
      </c>
      <c r="P1065" s="179">
        <f>_xlfn.XLOOKUP($C1065,'Site Level Financials - ''23 ''24'!$C$2:$C$1577,'Site Level Financials - ''23 ''24'!AB$2:AB$1577)</f>
        <v>-56.607201948160828</v>
      </c>
      <c r="Q1065" s="179">
        <f>_xlfn.XLOOKUP($C1065,'Site Level Financials - ''23 ''24'!$C$2:$C$1577,'Site Level Financials - ''23 ''24'!AC$2:AC$1577)</f>
        <v>-46.732536046768324</v>
      </c>
      <c r="R1065" s="179">
        <f>_xlfn.XLOOKUP($C1065,'Site Level Financials - ''23 ''24'!$C$2:$C$1577,'Site Level Financials - ''23 ''24'!AD$2:AD$1577)</f>
        <v>-36.263175903849067</v>
      </c>
      <c r="S1065" s="155">
        <f>S1066*S1056</f>
        <v>-62.453572023818275</v>
      </c>
      <c r="T1065" s="154">
        <f t="shared" ref="T1065" si="3084">T1066*T1056</f>
        <v>-67.128932926533224</v>
      </c>
      <c r="U1065" s="154">
        <f t="shared" ref="U1065" si="3085">U1066*U1056</f>
        <v>-72.166322535667163</v>
      </c>
      <c r="V1065" s="154">
        <f t="shared" ref="V1065" si="3086">V1066*V1056</f>
        <v>-75.238511584179292</v>
      </c>
      <c r="W1065" s="154">
        <f t="shared" ref="W1065" si="3087">W1066*W1056</f>
        <v>-85.213087337650677</v>
      </c>
      <c r="X1065" s="154">
        <f t="shared" ref="X1065" si="3088">X1066*X1056</f>
        <v>-72.15703027001102</v>
      </c>
      <c r="Y1065" s="154">
        <f t="shared" ref="Y1065" si="3089">Y1066*Y1056</f>
        <v>-73.800955515055549</v>
      </c>
      <c r="Z1065" s="154">
        <f t="shared" ref="Z1065" si="3090">Z1066*Z1056</f>
        <v>-52.319542006914936</v>
      </c>
      <c r="AA1065" s="154">
        <f t="shared" ref="AA1065" si="3091">AA1066*AA1056</f>
        <v>-50.449064497064917</v>
      </c>
      <c r="AB1065" s="154">
        <f t="shared" ref="AB1065" si="3092">AB1066*AB1056</f>
        <v>-74.480996918100075</v>
      </c>
      <c r="AC1065" s="154">
        <f t="shared" ref="AC1065" si="3093">AC1066*AC1056</f>
        <v>-47.235606576588445</v>
      </c>
      <c r="AD1065" s="156">
        <f t="shared" ref="AD1065" si="3094">AD1066*AD1056</f>
        <v>-37.55288124151128</v>
      </c>
      <c r="AE1065" s="15"/>
      <c r="AF1065" s="115">
        <f>_xlfn.XLOOKUP($C1065,'Site Level Financials - ''23 ''24'!$C$2:$C$1577,'Site Level Financials - ''23 ''24'!$AF$2:$AF$1577)</f>
        <v>-527.93570556925579</v>
      </c>
      <c r="AG1065" s="93">
        <f>SUM(G1065:R1065)</f>
        <v>-572.59384906946411</v>
      </c>
      <c r="AH1065" s="93">
        <f t="shared" ref="AH1065" si="3095">SUM(S1065:AD1065)</f>
        <v>-770.1965034330949</v>
      </c>
    </row>
    <row r="1066" spans="2:34" x14ac:dyDescent="0.2">
      <c r="B1066" s="9">
        <f>G1044</f>
        <v>22</v>
      </c>
      <c r="C1066" s="9" t="str">
        <f t="shared" si="3036"/>
        <v>22 - % of Revenue - Office Supplies</v>
      </c>
      <c r="D1066" s="9" t="s">
        <v>56</v>
      </c>
      <c r="F1066" s="16" t="str">
        <f>"% of Revenue - "&amp;F1065</f>
        <v>% of Revenue - Office Supplies</v>
      </c>
      <c r="G1066" s="148">
        <f>G1065/G1056</f>
        <v>-9.0856270280736076E-2</v>
      </c>
      <c r="H1066" s="149">
        <f t="shared" ref="H1066:R1066" si="3096">H1065/H1056</f>
        <v>-9.4311825001405308E-2</v>
      </c>
      <c r="I1066" s="149">
        <f t="shared" si="3096"/>
        <v>-9.4421725946161453E-2</v>
      </c>
      <c r="J1066" s="149">
        <f t="shared" si="3096"/>
        <v>-9.1901496480085415E-2</v>
      </c>
      <c r="K1066" s="149">
        <f t="shared" si="3096"/>
        <v>-8.7576025560647697E-2</v>
      </c>
      <c r="L1066" s="149">
        <f t="shared" si="3096"/>
        <v>-8.8309661130965486E-2</v>
      </c>
      <c r="M1066" s="149">
        <f t="shared" si="3096"/>
        <v>-8.9654808934771485E-2</v>
      </c>
      <c r="N1066" s="149">
        <f t="shared" si="3096"/>
        <v>-7.4121816377839933E-2</v>
      </c>
      <c r="O1066" s="149">
        <f t="shared" si="3096"/>
        <v>-7.7954840629335984E-2</v>
      </c>
      <c r="P1066" s="149">
        <f t="shared" si="3096"/>
        <v>-0.10020910816567373</v>
      </c>
      <c r="Q1066" s="149">
        <f t="shared" si="3096"/>
        <v>-8.0398212233551022E-2</v>
      </c>
      <c r="R1066" s="149">
        <f t="shared" si="3096"/>
        <v>-7.8309939641344736E-2</v>
      </c>
      <c r="S1066" s="245">
        <f>_xlfn.XLOOKUP($F1066,'Budget Assumption Driver'!$A$33:$A$39,'Budget Assumption Driver'!E$33:E$39)+G1066</f>
        <v>-9.0856270280736076E-2</v>
      </c>
      <c r="T1066" s="246">
        <f>_xlfn.XLOOKUP($F1066,'Budget Assumption Driver'!$A$33:$A$39,'Budget Assumption Driver'!F$33:F$39)+H1066</f>
        <v>-9.4311825001405308E-2</v>
      </c>
      <c r="U1066" s="246">
        <f>_xlfn.XLOOKUP($F1066,'Budget Assumption Driver'!$A$33:$A$39,'Budget Assumption Driver'!G$33:G$39)+I1066</f>
        <v>-9.4421725946161453E-2</v>
      </c>
      <c r="V1066" s="246">
        <f>_xlfn.XLOOKUP($F1066,'Budget Assumption Driver'!$A$33:$A$39,'Budget Assumption Driver'!H$33:H$39)+J1066</f>
        <v>-9.1901496480085415E-2</v>
      </c>
      <c r="W1066" s="246">
        <f>_xlfn.XLOOKUP($F1066,'Budget Assumption Driver'!$A$33:$A$39,'Budget Assumption Driver'!I$33:I$39)+K1066</f>
        <v>-8.7576025560647697E-2</v>
      </c>
      <c r="X1066" s="246">
        <f>_xlfn.XLOOKUP($F1066,'Budget Assumption Driver'!$A$33:$A$39,'Budget Assumption Driver'!J$33:J$39)+L1066</f>
        <v>-8.8309661130965486E-2</v>
      </c>
      <c r="Y1066" s="246">
        <f>_xlfn.XLOOKUP($F1066,'Budget Assumption Driver'!$A$33:$A$39,'Budget Assumption Driver'!K$33:K$39)+M1066</f>
        <v>-8.9654808934771485E-2</v>
      </c>
      <c r="Z1066" s="246">
        <f>_xlfn.XLOOKUP($F1066,'Budget Assumption Driver'!$A$33:$A$39,'Budget Assumption Driver'!L$33:L$39)+N1066</f>
        <v>-7.4121816377839933E-2</v>
      </c>
      <c r="AA1066" s="246">
        <f>_xlfn.XLOOKUP($F1066,'Budget Assumption Driver'!$A$33:$A$39,'Budget Assumption Driver'!M$33:M$39)+O1066</f>
        <v>-7.7954840629335984E-2</v>
      </c>
      <c r="AB1066" s="246">
        <f>_xlfn.XLOOKUP($F1066,'Budget Assumption Driver'!$A$33:$A$39,'Budget Assumption Driver'!N$33:N$39)+P1066</f>
        <v>-0.10020910816567373</v>
      </c>
      <c r="AC1066" s="246">
        <f>_xlfn.XLOOKUP($F1066,'Budget Assumption Driver'!$A$33:$A$39,'Budget Assumption Driver'!O$33:O$39)+Q1066</f>
        <v>-8.0398212233551022E-2</v>
      </c>
      <c r="AD1066" s="296">
        <f>_xlfn.XLOOKUP($F1066,'Budget Assumption Driver'!$A$33:$A$39,'Budget Assumption Driver'!P$33:P$39)+R1066</f>
        <v>-7.8309939641344736E-2</v>
      </c>
      <c r="AE1066" s="15"/>
      <c r="AF1066" s="232">
        <f>_xlfn.XLOOKUP($C1066,'Site Level Financials - ''23 ''24'!$C$2:$C$1577,'Site Level Financials - ''23 ''24'!$AF$2:$AF$1577)</f>
        <v>-9.2898677047665842E-2</v>
      </c>
      <c r="AG1066" s="97">
        <f t="shared" ref="AG1066:AH1066" si="3097">AG1065/AG1056</f>
        <v>-8.7251913646748516E-2</v>
      </c>
      <c r="AH1066" s="97">
        <f t="shared" si="3097"/>
        <v>-8.7934410447218656E-2</v>
      </c>
    </row>
    <row r="1067" spans="2:34" ht="6" customHeight="1" x14ac:dyDescent="0.2">
      <c r="B1067" s="9">
        <f>G1044</f>
        <v>22</v>
      </c>
      <c r="C1067" s="9" t="str">
        <f t="shared" si="3036"/>
        <v xml:space="preserve">22 - </v>
      </c>
      <c r="D1067" s="9" t="s">
        <v>56</v>
      </c>
      <c r="F1067" s="16"/>
      <c r="G1067" s="80"/>
      <c r="H1067" s="63"/>
      <c r="I1067" s="63"/>
      <c r="J1067" s="63"/>
      <c r="K1067" s="63"/>
      <c r="L1067" s="63"/>
      <c r="M1067" s="63"/>
      <c r="N1067" s="63"/>
      <c r="O1067" s="63"/>
      <c r="P1067" s="63"/>
      <c r="Q1067" s="63"/>
      <c r="R1067" s="63"/>
      <c r="S1067" s="80"/>
      <c r="T1067" s="63"/>
      <c r="U1067" s="63"/>
      <c r="V1067" s="63"/>
      <c r="W1067" s="63"/>
      <c r="X1067" s="63"/>
      <c r="Y1067" s="63"/>
      <c r="Z1067" s="63"/>
      <c r="AA1067" s="63"/>
      <c r="AB1067" s="63"/>
      <c r="AC1067" s="63"/>
      <c r="AD1067" s="81"/>
      <c r="AE1067" s="15"/>
      <c r="AF1067" s="11"/>
      <c r="AG1067" s="15"/>
      <c r="AH1067" s="15"/>
    </row>
    <row r="1068" spans="2:34" x14ac:dyDescent="0.2">
      <c r="B1068" s="9">
        <f>G1044</f>
        <v>22</v>
      </c>
      <c r="C1068" s="9" t="str">
        <f t="shared" si="3036"/>
        <v>22 - Office Gross Profit</v>
      </c>
      <c r="D1068" s="9" t="s">
        <v>56</v>
      </c>
      <c r="F1068" s="8" t="s">
        <v>11</v>
      </c>
      <c r="G1068" s="241">
        <f>_xlfn.XLOOKUP($C1068,'Site Level Financials - ''23 ''24'!$C$2:$C$1577,'Site Level Financials - ''23 ''24'!S$2:S$1577)</f>
        <v>173.13639970794603</v>
      </c>
      <c r="H1068" s="242">
        <f>_xlfn.XLOOKUP($C1068,'Site Level Financials - ''23 ''24'!$C$2:$C$1577,'Site Level Financials - ''23 ''24'!T$2:T$1577)</f>
        <v>167.8353807274259</v>
      </c>
      <c r="I1068" s="242">
        <f>_xlfn.XLOOKUP($C1068,'Site Level Financials - ''23 ''24'!$C$2:$C$1577,'Site Level Financials - ''23 ''24'!U$2:U$1577)</f>
        <v>175.94948788665133</v>
      </c>
      <c r="J1068" s="242">
        <f>_xlfn.XLOOKUP($C1068,'Site Level Financials - ''23 ''24'!$C$2:$C$1577,'Site Level Financials - ''23 ''24'!V$2:V$1577)</f>
        <v>183.03617370976474</v>
      </c>
      <c r="K1068" s="242">
        <f>_xlfn.XLOOKUP($C1068,'Site Level Financials - ''23 ''24'!$C$2:$C$1577,'Site Level Financials - ''23 ''24'!W$2:W$1577)</f>
        <v>217.03267039177987</v>
      </c>
      <c r="L1068" s="242">
        <f>_xlfn.XLOOKUP($C1068,'Site Level Financials - ''23 ''24'!$C$2:$C$1577,'Site Level Financials - ''23 ''24'!X$2:X$1577)</f>
        <v>180.02630976091504</v>
      </c>
      <c r="M1068" s="242">
        <f>_xlfn.XLOOKUP($C1068,'Site Level Financials - ''23 ''24'!$C$2:$C$1577,'Site Level Financials - ''23 ''24'!Y$2:Y$1577)</f>
        <v>207.1950702276215</v>
      </c>
      <c r="N1068" s="242">
        <f>_xlfn.XLOOKUP($C1068,'Site Level Financials - ''23 ''24'!$C$2:$C$1577,'Site Level Financials - ''23 ''24'!Z$2:Z$1577)</f>
        <v>286.63753307814449</v>
      </c>
      <c r="O1068" s="242">
        <f>_xlfn.XLOOKUP($C1068,'Site Level Financials - ''23 ''24'!$C$2:$C$1577,'Site Level Financials - ''23 ''24'!AA$2:AA$1577)</f>
        <v>264.08692746107982</v>
      </c>
      <c r="P1068" s="242">
        <f>_xlfn.XLOOKUP($C1068,'Site Level Financials - ''23 ''24'!$C$2:$C$1577,'Site Level Financials - ''23 ''24'!AB$2:AB$1577)</f>
        <v>192.20347904005877</v>
      </c>
      <c r="Q1068" s="242">
        <f>_xlfn.XLOOKUP($C1068,'Site Level Financials - ''23 ''24'!$C$2:$C$1577,'Site Level Financials - ''23 ''24'!AC$2:AC$1577)</f>
        <v>278.17934316017949</v>
      </c>
      <c r="R1068" s="242">
        <f>_xlfn.XLOOKUP($C1068,'Site Level Financials - ''23 ''24'!$C$2:$C$1577,'Site Level Financials - ''23 ''24'!AD$2:AD$1577)</f>
        <v>226.14007978348985</v>
      </c>
      <c r="S1068" s="134">
        <f t="shared" ref="S1068:AD1068" si="3098">S1056+S1059+S1062+S1065</f>
        <v>240.77643121274636</v>
      </c>
      <c r="T1068" s="135">
        <f t="shared" si="3098"/>
        <v>240.2129036746974</v>
      </c>
      <c r="U1068" s="135">
        <f t="shared" si="3098"/>
        <v>253.93642671036059</v>
      </c>
      <c r="V1068" s="135">
        <f t="shared" si="3098"/>
        <v>278.1164354389399</v>
      </c>
      <c r="W1068" s="135">
        <f t="shared" si="3098"/>
        <v>336.70719349355147</v>
      </c>
      <c r="X1068" s="135">
        <f t="shared" si="3098"/>
        <v>280.81249124574873</v>
      </c>
      <c r="Y1068" s="135">
        <f t="shared" si="3098"/>
        <v>288.07842177134251</v>
      </c>
      <c r="Z1068" s="135">
        <f t="shared" si="3098"/>
        <v>340.84496366129952</v>
      </c>
      <c r="AA1068" s="135">
        <f t="shared" si="3098"/>
        <v>307.01032213781355</v>
      </c>
      <c r="AB1068" s="135">
        <f t="shared" si="3098"/>
        <v>252.89196846614038</v>
      </c>
      <c r="AC1068" s="135">
        <f t="shared" si="3098"/>
        <v>281.17391271250494</v>
      </c>
      <c r="AD1068" s="136">
        <f t="shared" si="3098"/>
        <v>234.18278593612905</v>
      </c>
      <c r="AE1068" s="15"/>
      <c r="AF1068" s="114">
        <f>_xlfn.XLOOKUP($C1068,'Site Level Financials - ''23 ''24'!$C$2:$C$1577,'Site Level Financials - ''23 ''24'!$AF$2:$AF$1577)</f>
        <v>2189.6384116316062</v>
      </c>
      <c r="AG1068" s="95">
        <f>SUM(G1068:R1068)</f>
        <v>2551.4588549350569</v>
      </c>
      <c r="AH1068" s="95">
        <f t="shared" ref="AH1068" si="3099">SUM(S1068:AD1068)</f>
        <v>3334.7442564612747</v>
      </c>
    </row>
    <row r="1069" spans="2:34" x14ac:dyDescent="0.2">
      <c r="B1069" s="9">
        <f>G1044</f>
        <v>22</v>
      </c>
      <c r="C1069" s="9" t="str">
        <f t="shared" si="3036"/>
        <v>22 - % of Revenue - Office Gross Profit</v>
      </c>
      <c r="D1069" s="9" t="s">
        <v>56</v>
      </c>
      <c r="F1069" s="16" t="str">
        <f>"% of Revenue - "&amp;F1068</f>
        <v>% of Revenue - Office Gross Profit</v>
      </c>
      <c r="G1069" s="148">
        <f>G1068/G1056</f>
        <v>0.35027697860345514</v>
      </c>
      <c r="H1069" s="149">
        <f t="shared" ref="H1069:AD1069" si="3100">H1068/H1056</f>
        <v>0.33748365044386047</v>
      </c>
      <c r="I1069" s="149">
        <f t="shared" si="3100"/>
        <v>0.33224799114216808</v>
      </c>
      <c r="J1069" s="149">
        <f t="shared" si="3100"/>
        <v>0.33971055612854645</v>
      </c>
      <c r="K1069" s="149">
        <f t="shared" si="3100"/>
        <v>0.34604400222002552</v>
      </c>
      <c r="L1069" s="149">
        <f t="shared" si="3100"/>
        <v>0.34367345566272156</v>
      </c>
      <c r="M1069" s="149">
        <f t="shared" si="3100"/>
        <v>0.34996316351041462</v>
      </c>
      <c r="N1069" s="149">
        <f t="shared" si="3100"/>
        <v>0.48287975851308651</v>
      </c>
      <c r="O1069" s="149">
        <f t="shared" si="3100"/>
        <v>0.47439810772322161</v>
      </c>
      <c r="P1069" s="149">
        <f t="shared" si="3100"/>
        <v>0.34024891812498126</v>
      </c>
      <c r="Q1069" s="149">
        <f t="shared" si="3100"/>
        <v>0.47857710627986633</v>
      </c>
      <c r="R1069" s="149">
        <f t="shared" si="3100"/>
        <v>0.4883470781844646</v>
      </c>
      <c r="S1069" s="148">
        <f t="shared" si="3100"/>
        <v>0.35027697860345519</v>
      </c>
      <c r="T1069" s="149">
        <f t="shared" si="3100"/>
        <v>0.33748365044386042</v>
      </c>
      <c r="U1069" s="149">
        <f t="shared" si="3100"/>
        <v>0.33224799114216796</v>
      </c>
      <c r="V1069" s="149">
        <f t="shared" si="3100"/>
        <v>0.33971055612854656</v>
      </c>
      <c r="W1069" s="149">
        <f t="shared" si="3100"/>
        <v>0.34604400222002546</v>
      </c>
      <c r="X1069" s="149">
        <f t="shared" si="3100"/>
        <v>0.34367345566272145</v>
      </c>
      <c r="Y1069" s="149">
        <f t="shared" si="3100"/>
        <v>0.34996316351041473</v>
      </c>
      <c r="Z1069" s="149">
        <f t="shared" si="3100"/>
        <v>0.48287975851308645</v>
      </c>
      <c r="AA1069" s="149">
        <f t="shared" si="3100"/>
        <v>0.47439810772322161</v>
      </c>
      <c r="AB1069" s="149">
        <f t="shared" si="3100"/>
        <v>0.34024891812498126</v>
      </c>
      <c r="AC1069" s="149">
        <f t="shared" si="3100"/>
        <v>0.47857710627986633</v>
      </c>
      <c r="AD1069" s="150">
        <f t="shared" si="3100"/>
        <v>0.48834707818446454</v>
      </c>
      <c r="AE1069" s="15"/>
      <c r="AF1069" s="233">
        <f>_xlfn.XLOOKUP($C1069,'Site Level Financials - ''23 ''24'!$C$2:$C$1577,'Site Level Financials - ''23 ''24'!$AF$2:$AF$1577)</f>
        <v>0.38530167500982604</v>
      </c>
      <c r="AG1069" s="97">
        <f t="shared" ref="AG1069:AH1069" si="3101">AG1068/AG1056</f>
        <v>0.38879158070910114</v>
      </c>
      <c r="AH1069" s="97">
        <f t="shared" si="3101"/>
        <v>0.38073240903727845</v>
      </c>
    </row>
    <row r="1070" spans="2:34" ht="6" customHeight="1" x14ac:dyDescent="0.2">
      <c r="B1070" s="9">
        <f>G1044</f>
        <v>22</v>
      </c>
      <c r="C1070" s="9" t="str">
        <f t="shared" si="3036"/>
        <v xml:space="preserve">22 - </v>
      </c>
      <c r="D1070" s="9" t="s">
        <v>56</v>
      </c>
      <c r="F1070" s="16"/>
      <c r="G1070" s="80"/>
      <c r="H1070" s="63"/>
      <c r="I1070" s="63"/>
      <c r="J1070" s="63"/>
      <c r="K1070" s="63"/>
      <c r="L1070" s="63"/>
      <c r="M1070" s="63"/>
      <c r="N1070" s="63"/>
      <c r="O1070" s="63"/>
      <c r="P1070" s="63"/>
      <c r="Q1070" s="63"/>
      <c r="R1070" s="63"/>
      <c r="S1070" s="80"/>
      <c r="T1070" s="63"/>
      <c r="U1070" s="63"/>
      <c r="V1070" s="63"/>
      <c r="W1070" s="63"/>
      <c r="X1070" s="63"/>
      <c r="Y1070" s="63"/>
      <c r="Z1070" s="63"/>
      <c r="AA1070" s="63"/>
      <c r="AB1070" s="63"/>
      <c r="AC1070" s="63"/>
      <c r="AD1070" s="81"/>
      <c r="AE1070" s="15"/>
      <c r="AF1070" s="11"/>
      <c r="AG1070" s="15"/>
      <c r="AH1070" s="15"/>
    </row>
    <row r="1071" spans="2:34" x14ac:dyDescent="0.2">
      <c r="B1071" s="9">
        <f>G1044</f>
        <v>22</v>
      </c>
      <c r="C1071" s="9" t="str">
        <f t="shared" si="3036"/>
        <v>22 - General and Administrative Expense</v>
      </c>
      <c r="D1071" s="9" t="s">
        <v>56</v>
      </c>
      <c r="F1071" t="s">
        <v>10</v>
      </c>
      <c r="G1071" s="178">
        <f>_xlfn.XLOOKUP($C1071,'Site Level Financials - ''23 ''24'!$C$2:$C$1577,'Site Level Financials - ''23 ''24'!S$2:S$1577)</f>
        <v>-16.671345410819143</v>
      </c>
      <c r="H1071" s="179">
        <f>_xlfn.XLOOKUP($C1071,'Site Level Financials - ''23 ''24'!$C$2:$C$1577,'Site Level Financials - ''23 ''24'!T$2:T$1577)</f>
        <v>-14.503435785130634</v>
      </c>
      <c r="I1071" s="179">
        <f>_xlfn.XLOOKUP($C1071,'Site Level Financials - ''23 ''24'!$C$2:$C$1577,'Site Level Financials - ''23 ''24'!U$2:U$1577)</f>
        <v>-16.18832636863829</v>
      </c>
      <c r="J1071" s="179">
        <f>_xlfn.XLOOKUP($C1071,'Site Level Financials - ''23 ''24'!$C$2:$C$1577,'Site Level Financials - ''23 ''24'!V$2:V$1577)</f>
        <v>-14.9797091916524</v>
      </c>
      <c r="K1071" s="179">
        <f>_xlfn.XLOOKUP($C1071,'Site Level Financials - ''23 ''24'!$C$2:$C$1577,'Site Level Financials - ''23 ''24'!W$2:W$1577)</f>
        <v>-15.88283962071357</v>
      </c>
      <c r="L1071" s="179">
        <f>_xlfn.XLOOKUP($C1071,'Site Level Financials - ''23 ''24'!$C$2:$C$1577,'Site Level Financials - ''23 ''24'!X$2:X$1577)</f>
        <v>-13.124983607278962</v>
      </c>
      <c r="M1071" s="179">
        <f>_xlfn.XLOOKUP($C1071,'Site Level Financials - ''23 ''24'!$C$2:$C$1577,'Site Level Financials - ''23 ''24'!Y$2:Y$1577)</f>
        <v>-13.75955344563325</v>
      </c>
      <c r="N1071" s="179">
        <f>_xlfn.XLOOKUP($C1071,'Site Level Financials - ''23 ''24'!$C$2:$C$1577,'Site Level Financials - ''23 ''24'!Z$2:Z$1577)</f>
        <v>-9.3946986162358108</v>
      </c>
      <c r="O1071" s="179">
        <f>_xlfn.XLOOKUP($C1071,'Site Level Financials - ''23 ''24'!$C$2:$C$1577,'Site Level Financials - ''23 ''24'!AA$2:AA$1577)</f>
        <v>-8.6063226777098318</v>
      </c>
      <c r="P1071" s="179">
        <f>_xlfn.XLOOKUP($C1071,'Site Level Financials - ''23 ''24'!$C$2:$C$1577,'Site Level Financials - ''23 ''24'!AB$2:AB$1577)</f>
        <v>-10.155504976894509</v>
      </c>
      <c r="Q1071" s="179">
        <f>_xlfn.XLOOKUP($C1071,'Site Level Financials - ''23 ''24'!$C$2:$C$1577,'Site Level Financials - ''23 ''24'!AC$2:AC$1577)</f>
        <v>-9.7045428287431132</v>
      </c>
      <c r="R1071" s="179">
        <f>_xlfn.XLOOKUP($C1071,'Site Level Financials - ''23 ''24'!$C$2:$C$1577,'Site Level Financials - ''23 ''24'!AD$2:AD$1577)</f>
        <v>-9.4187529959293173</v>
      </c>
      <c r="S1071" s="155">
        <f>S1072*S1056</f>
        <v>-23.184420250756812</v>
      </c>
      <c r="T1071" s="154">
        <f t="shared" ref="T1071" si="3102">T1072*T1056</f>
        <v>-20.757914142452563</v>
      </c>
      <c r="U1071" s="154">
        <f t="shared" ref="U1071" si="3103">U1072*U1056</f>
        <v>-23.363556222006991</v>
      </c>
      <c r="V1071" s="154">
        <f t="shared" ref="V1071" si="3104">V1072*V1056</f>
        <v>-22.761092738424264</v>
      </c>
      <c r="W1071" s="154">
        <f t="shared" ref="W1071" si="3105">W1072*W1056</f>
        <v>-24.640835611269342</v>
      </c>
      <c r="X1071" s="154">
        <f t="shared" ref="X1071" si="3106">X1072*X1056</f>
        <v>-20.472892818912861</v>
      </c>
      <c r="Y1071" s="154">
        <f t="shared" ref="Y1071" si="3107">Y1072*Y1056</f>
        <v>-19.130910964927189</v>
      </c>
      <c r="Z1071" s="154">
        <f t="shared" ref="Z1071" si="3108">Z1072*Z1056</f>
        <v>-11.17137617698787</v>
      </c>
      <c r="AA1071" s="154">
        <f t="shared" ref="AA1071" si="3109">AA1072*AA1056</f>
        <v>-10.005152178897866</v>
      </c>
      <c r="AB1071" s="154">
        <f t="shared" ref="AB1071" si="3110">AB1072*AB1056</f>
        <v>-13.36211840285819</v>
      </c>
      <c r="AC1071" s="154">
        <f t="shared" ref="AC1071" si="3111">AC1072*AC1056</f>
        <v>-9.8090111481519315</v>
      </c>
      <c r="AD1071" s="156">
        <f t="shared" ref="AD1071" si="3112">AD1072*AD1056</f>
        <v>-9.7537323712929247</v>
      </c>
      <c r="AE1071" s="15"/>
      <c r="AF1071" s="115">
        <f>_xlfn.XLOOKUP($C1071,'Site Level Financials - ''23 ''24'!$C$2:$C$1577,'Site Level Financials - ''23 ''24'!$AF$2:$AF$1577)</f>
        <v>-197.16542700573606</v>
      </c>
      <c r="AG1071" s="93">
        <f>SUM(G1071:R1071)</f>
        <v>-152.39001552537883</v>
      </c>
      <c r="AH1071" s="93">
        <f t="shared" ref="AH1071" si="3113">SUM(S1071:AD1071)</f>
        <v>-208.41301302693881</v>
      </c>
    </row>
    <row r="1072" spans="2:34" x14ac:dyDescent="0.2">
      <c r="B1072" s="9">
        <f>G1044</f>
        <v>22</v>
      </c>
      <c r="C1072" s="9" t="str">
        <f t="shared" si="3036"/>
        <v>22 - % of Revenue - General and Administrative Expense</v>
      </c>
      <c r="D1072" s="9" t="s">
        <v>56</v>
      </c>
      <c r="F1072" s="16" t="str">
        <f>"% of Revenue - "&amp;F1071</f>
        <v>% of Revenue - General and Administrative Expense</v>
      </c>
      <c r="G1072" s="148">
        <f>G1071/G1056</f>
        <v>-3.3728254194997573E-2</v>
      </c>
      <c r="H1072" s="149">
        <f t="shared" ref="H1072:R1072" si="3114">H1071/H1056</f>
        <v>-2.9163531738836564E-2</v>
      </c>
      <c r="I1072" s="149">
        <f t="shared" si="3114"/>
        <v>-3.0568653427390347E-2</v>
      </c>
      <c r="J1072" s="149">
        <f t="shared" si="3114"/>
        <v>-2.7801965245456053E-2</v>
      </c>
      <c r="K1072" s="149">
        <f t="shared" si="3114"/>
        <v>-2.5324120000224094E-2</v>
      </c>
      <c r="L1072" s="149">
        <f t="shared" si="3114"/>
        <v>-2.5055829216410676E-2</v>
      </c>
      <c r="M1072" s="149">
        <f t="shared" si="3114"/>
        <v>-2.3240595671674903E-2</v>
      </c>
      <c r="N1072" s="149">
        <f t="shared" si="3114"/>
        <v>-1.5826642625599248E-2</v>
      </c>
      <c r="O1072" s="149">
        <f t="shared" si="3114"/>
        <v>-1.546014879272169E-2</v>
      </c>
      <c r="P1072" s="149">
        <f t="shared" si="3114"/>
        <v>-1.797782016568519E-2</v>
      </c>
      <c r="Q1072" s="149">
        <f t="shared" si="3114"/>
        <v>-1.6695603533992871E-2</v>
      </c>
      <c r="R1072" s="149">
        <f t="shared" si="3114"/>
        <v>-2.0339696130411755E-2</v>
      </c>
      <c r="S1072" s="245">
        <f>_xlfn.XLOOKUP($F1072,'Budget Assumption Driver'!$A$33:$A$39,'Budget Assumption Driver'!E$33:E$39)+G1072</f>
        <v>-3.3728254194997573E-2</v>
      </c>
      <c r="T1072" s="246">
        <f>_xlfn.XLOOKUP($F1072,'Budget Assumption Driver'!$A$33:$A$39,'Budget Assumption Driver'!F$33:F$39)+H1072</f>
        <v>-2.9163531738836564E-2</v>
      </c>
      <c r="U1072" s="246">
        <f>_xlfn.XLOOKUP($F1072,'Budget Assumption Driver'!$A$33:$A$39,'Budget Assumption Driver'!G$33:G$39)+I1072</f>
        <v>-3.0568653427390347E-2</v>
      </c>
      <c r="V1072" s="246">
        <f>_xlfn.XLOOKUP($F1072,'Budget Assumption Driver'!$A$33:$A$39,'Budget Assumption Driver'!H$33:H$39)+J1072</f>
        <v>-2.7801965245456053E-2</v>
      </c>
      <c r="W1072" s="246">
        <f>_xlfn.XLOOKUP($F1072,'Budget Assumption Driver'!$A$33:$A$39,'Budget Assumption Driver'!I$33:I$39)+K1072</f>
        <v>-2.5324120000224094E-2</v>
      </c>
      <c r="X1072" s="246">
        <f>_xlfn.XLOOKUP($F1072,'Budget Assumption Driver'!$A$33:$A$39,'Budget Assumption Driver'!J$33:J$39)+L1072</f>
        <v>-2.5055829216410676E-2</v>
      </c>
      <c r="Y1072" s="246">
        <f>_xlfn.XLOOKUP($F1072,'Budget Assumption Driver'!$A$33:$A$39,'Budget Assumption Driver'!K$33:K$39)+M1072</f>
        <v>-2.3240595671674903E-2</v>
      </c>
      <c r="Z1072" s="246">
        <f>_xlfn.XLOOKUP($F1072,'Budget Assumption Driver'!$A$33:$A$39,'Budget Assumption Driver'!L$33:L$39)+N1072</f>
        <v>-1.5826642625599248E-2</v>
      </c>
      <c r="AA1072" s="246">
        <f>_xlfn.XLOOKUP($F1072,'Budget Assumption Driver'!$A$33:$A$39,'Budget Assumption Driver'!M$33:M$39)+O1072</f>
        <v>-1.546014879272169E-2</v>
      </c>
      <c r="AB1072" s="246">
        <f>_xlfn.XLOOKUP($F1072,'Budget Assumption Driver'!$A$33:$A$39,'Budget Assumption Driver'!N$33:N$39)+P1072</f>
        <v>-1.797782016568519E-2</v>
      </c>
      <c r="AC1072" s="246">
        <f>_xlfn.XLOOKUP($F1072,'Budget Assumption Driver'!$A$33:$A$39,'Budget Assumption Driver'!O$33:O$39)+Q1072</f>
        <v>-1.6695603533992871E-2</v>
      </c>
      <c r="AD1072" s="296">
        <f>_xlfn.XLOOKUP($F1072,'Budget Assumption Driver'!$A$33:$A$39,'Budget Assumption Driver'!P$33:P$39)+R1072</f>
        <v>-2.0339696130411755E-2</v>
      </c>
      <c r="AE1072" s="15"/>
      <c r="AF1072" s="232">
        <f>_xlfn.XLOOKUP($C1072,'Site Level Financials - ''23 ''24'!$C$2:$C$1577,'Site Level Financials - ''23 ''24'!$AF$2:$AF$1577)</f>
        <v>-3.4694390122033944E-2</v>
      </c>
      <c r="AG1072" s="97">
        <f t="shared" ref="AG1072:AH1072" si="3115">AG1071/AG1056</f>
        <v>-2.3221207312749143E-2</v>
      </c>
      <c r="AH1072" s="97">
        <f t="shared" si="3115"/>
        <v>-2.37948047652288E-2</v>
      </c>
    </row>
    <row r="1073" spans="2:34" ht="3" customHeight="1" x14ac:dyDescent="0.2">
      <c r="B1073" s="9">
        <f>G1044</f>
        <v>22</v>
      </c>
      <c r="C1073" s="9" t="str">
        <f t="shared" si="3036"/>
        <v xml:space="preserve">22 - </v>
      </c>
      <c r="D1073" s="9" t="s">
        <v>56</v>
      </c>
      <c r="F1073" s="16"/>
      <c r="G1073" s="84"/>
      <c r="H1073" s="85"/>
      <c r="I1073" s="85"/>
      <c r="J1073" s="85"/>
      <c r="K1073" s="85"/>
      <c r="L1073" s="85"/>
      <c r="M1073" s="85"/>
      <c r="N1073" s="85"/>
      <c r="O1073" s="85"/>
      <c r="P1073" s="85"/>
      <c r="Q1073" s="85"/>
      <c r="R1073" s="85"/>
      <c r="S1073" s="84"/>
      <c r="T1073" s="85"/>
      <c r="U1073" s="85"/>
      <c r="V1073" s="85"/>
      <c r="W1073" s="85"/>
      <c r="X1073" s="85"/>
      <c r="Y1073" s="85"/>
      <c r="Z1073" s="85"/>
      <c r="AA1073" s="85"/>
      <c r="AB1073" s="85"/>
      <c r="AC1073" s="85"/>
      <c r="AD1073" s="86"/>
      <c r="AE1073" s="15"/>
      <c r="AF1073" s="36"/>
      <c r="AG1073" s="38"/>
      <c r="AH1073" s="38"/>
    </row>
    <row r="1074" spans="2:34" x14ac:dyDescent="0.2">
      <c r="B1074" s="9">
        <f>G1044</f>
        <v>22</v>
      </c>
      <c r="C1074" s="9" t="str">
        <f t="shared" si="3036"/>
        <v>22 - Marketing</v>
      </c>
      <c r="D1074" s="9" t="s">
        <v>56</v>
      </c>
      <c r="F1074" t="s">
        <v>7</v>
      </c>
      <c r="G1074" s="178">
        <f>_xlfn.XLOOKUP($C1074,'Site Level Financials - ''23 ''24'!$C$2:$C$1577,'Site Level Financials - ''23 ''24'!S$2:S$1577)</f>
        <v>-17.148632510783866</v>
      </c>
      <c r="H1074" s="179">
        <f>_xlfn.XLOOKUP($C1074,'Site Level Financials - ''23 ''24'!$C$2:$C$1577,'Site Level Financials - ''23 ''24'!T$2:T$1577)</f>
        <v>-15.488136340867332</v>
      </c>
      <c r="I1074" s="179">
        <f>_xlfn.XLOOKUP($C1074,'Site Level Financials - ''23 ''24'!$C$2:$C$1577,'Site Level Financials - ''23 ''24'!U$2:U$1577)</f>
        <v>-19.120416214461777</v>
      </c>
      <c r="J1074" s="179">
        <f>_xlfn.XLOOKUP($C1074,'Site Level Financials - ''23 ''24'!$C$2:$C$1577,'Site Level Financials - ''23 ''24'!V$2:V$1577)</f>
        <v>-20.157451403541611</v>
      </c>
      <c r="K1074" s="179">
        <f>_xlfn.XLOOKUP($C1074,'Site Level Financials - ''23 ''24'!$C$2:$C$1577,'Site Level Financials - ''23 ''24'!W$2:W$1577)</f>
        <v>-25.555876169862398</v>
      </c>
      <c r="L1074" s="179">
        <f>_xlfn.XLOOKUP($C1074,'Site Level Financials - ''23 ''24'!$C$2:$C$1577,'Site Level Financials - ''23 ''24'!X$2:X$1577)</f>
        <v>-23.091089681597328</v>
      </c>
      <c r="M1074" s="179">
        <f>_xlfn.XLOOKUP($C1074,'Site Level Financials - ''23 ''24'!$C$2:$C$1577,'Site Level Financials - ''23 ''24'!Y$2:Y$1577)</f>
        <v>-26.3541375095242</v>
      </c>
      <c r="N1074" s="179">
        <f>_xlfn.XLOOKUP($C1074,'Site Level Financials - ''23 ''24'!$C$2:$C$1577,'Site Level Financials - ''23 ''24'!Z$2:Z$1577)</f>
        <v>-23.175848921914383</v>
      </c>
      <c r="O1074" s="179">
        <f>_xlfn.XLOOKUP($C1074,'Site Level Financials - ''23 ''24'!$C$2:$C$1577,'Site Level Financials - ''23 ''24'!AA$2:AA$1577)</f>
        <v>-20.886692080304002</v>
      </c>
      <c r="P1074" s="179">
        <f>_xlfn.XLOOKUP($C1074,'Site Level Financials - ''23 ''24'!$C$2:$C$1577,'Site Level Financials - ''23 ''24'!AB$2:AB$1577)</f>
        <v>-27.204759362828469</v>
      </c>
      <c r="Q1074" s="179">
        <f>_xlfn.XLOOKUP($C1074,'Site Level Financials - ''23 ''24'!$C$2:$C$1577,'Site Level Financials - ''23 ''24'!AC$2:AC$1577)</f>
        <v>-20.185944388459877</v>
      </c>
      <c r="R1074" s="179">
        <f>_xlfn.XLOOKUP($C1074,'Site Level Financials - ''23 ''24'!$C$2:$C$1577,'Site Level Financials - ''23 ''24'!AD$2:AD$1577)</f>
        <v>-14.344255719162515</v>
      </c>
      <c r="S1074" s="155">
        <f>S1075*S1056</f>
        <v>-23.848171401798645</v>
      </c>
      <c r="T1074" s="154">
        <f t="shared" ref="T1074" si="3116">T1075*T1056</f>
        <v>-22.167258100314175</v>
      </c>
      <c r="U1074" s="154">
        <f t="shared" ref="U1074" si="3117">U1075*U1056</f>
        <v>-27.595250370055922</v>
      </c>
      <c r="V1074" s="154">
        <f t="shared" ref="V1074" si="3118">V1075*V1056</f>
        <v>-30.62847314966336</v>
      </c>
      <c r="W1074" s="154">
        <f t="shared" ref="W1074" si="3119">W1075*W1056</f>
        <v>-39.647705236681311</v>
      </c>
      <c r="X1074" s="154">
        <f t="shared" ref="X1074" si="3120">X1075*X1056</f>
        <v>-36.018437681024608</v>
      </c>
      <c r="Y1074" s="154">
        <f t="shared" ref="Y1074" si="3121">Y1075*Y1056</f>
        <v>-36.642080009665008</v>
      </c>
      <c r="Z1074" s="154">
        <f t="shared" ref="Z1074" si="3122">Z1075*Z1056</f>
        <v>-27.558747449365303</v>
      </c>
      <c r="AA1074" s="154">
        <f t="shared" ref="AA1074" si="3123">AA1075*AA1056</f>
        <v>-24.281512627740696</v>
      </c>
      <c r="AB1074" s="154">
        <f t="shared" ref="AB1074" si="3124">AB1075*AB1056</f>
        <v>-35.794696231692363</v>
      </c>
      <c r="AC1074" s="154">
        <f t="shared" ref="AC1074" si="3125">AC1075*AC1056</f>
        <v>-20.403243824729699</v>
      </c>
      <c r="AD1074" s="156">
        <f t="shared" ref="AD1074" si="3126">AD1075*AD1056</f>
        <v>-14.854411344109639</v>
      </c>
      <c r="AE1074" s="15"/>
      <c r="AF1074" s="115">
        <f>_xlfn.XLOOKUP($C1074,'Site Level Financials - ''23 ''24'!$C$2:$C$1577,'Site Level Financials - ''23 ''24'!$AF$2:$AF$1577)</f>
        <v>-268.47223177973683</v>
      </c>
      <c r="AG1074" s="93">
        <f>SUM(G1074:R1074)</f>
        <v>-252.71324030330777</v>
      </c>
      <c r="AH1074" s="93">
        <f t="shared" ref="AH1074" si="3127">SUM(S1074:AD1074)</f>
        <v>-339.43998742684073</v>
      </c>
    </row>
    <row r="1075" spans="2:34" x14ac:dyDescent="0.2">
      <c r="B1075" s="9">
        <f>G1044</f>
        <v>22</v>
      </c>
      <c r="C1075" s="9" t="str">
        <f t="shared" si="3036"/>
        <v>22 - % of Revenue - Marketing</v>
      </c>
      <c r="D1075" s="9" t="s">
        <v>56</v>
      </c>
      <c r="F1075" s="16" t="str">
        <f>"% of Revenue - "&amp;F1074</f>
        <v>% of Revenue - Marketing</v>
      </c>
      <c r="G1075" s="148">
        <f>G1074/G1056</f>
        <v>-3.4693866761644793E-2</v>
      </c>
      <c r="H1075" s="149">
        <f t="shared" ref="H1075:R1075" si="3128">H1074/H1056</f>
        <v>-3.114356918209667E-2</v>
      </c>
      <c r="I1075" s="149">
        <f t="shared" si="3128"/>
        <v>-3.6105361563482118E-2</v>
      </c>
      <c r="J1075" s="149">
        <f t="shared" si="3128"/>
        <v>-3.7411725166903192E-2</v>
      </c>
      <c r="K1075" s="149">
        <f t="shared" si="3128"/>
        <v>-4.0747126476832526E-2</v>
      </c>
      <c r="L1075" s="149">
        <f t="shared" si="3128"/>
        <v>-4.4081304540605999E-2</v>
      </c>
      <c r="M1075" s="149">
        <f t="shared" si="3128"/>
        <v>-4.4513497952867985E-2</v>
      </c>
      <c r="N1075" s="149">
        <f t="shared" si="3128"/>
        <v>-3.904285740450749E-2</v>
      </c>
      <c r="O1075" s="149">
        <f t="shared" si="3128"/>
        <v>-3.7520248710357362E-2</v>
      </c>
      <c r="P1075" s="149">
        <f t="shared" si="3128"/>
        <v>-4.8159325665086621E-2</v>
      </c>
      <c r="Q1075" s="149">
        <f t="shared" si="3128"/>
        <v>-3.4727707468173753E-2</v>
      </c>
      <c r="R1075" s="149">
        <f t="shared" si="3128"/>
        <v>-3.0976266462320549E-2</v>
      </c>
      <c r="S1075" s="245">
        <f>_xlfn.XLOOKUP($F1075,'Budget Assumption Driver'!$A$33:$A$39,'Budget Assumption Driver'!E$33:E$39)+G1075</f>
        <v>-3.4693866761644793E-2</v>
      </c>
      <c r="T1075" s="246">
        <f>_xlfn.XLOOKUP($F1075,'Budget Assumption Driver'!$A$33:$A$39,'Budget Assumption Driver'!F$33:F$39)+H1075</f>
        <v>-3.114356918209667E-2</v>
      </c>
      <c r="U1075" s="246">
        <f>_xlfn.XLOOKUP($F1075,'Budget Assumption Driver'!$A$33:$A$39,'Budget Assumption Driver'!G$33:G$39)+I1075</f>
        <v>-3.6105361563482118E-2</v>
      </c>
      <c r="V1075" s="246">
        <f>_xlfn.XLOOKUP($F1075,'Budget Assumption Driver'!$A$33:$A$39,'Budget Assumption Driver'!H$33:H$39)+J1075</f>
        <v>-3.7411725166903192E-2</v>
      </c>
      <c r="W1075" s="246">
        <f>_xlfn.XLOOKUP($F1075,'Budget Assumption Driver'!$A$33:$A$39,'Budget Assumption Driver'!I$33:I$39)+K1075</f>
        <v>-4.0747126476832526E-2</v>
      </c>
      <c r="X1075" s="246">
        <f>_xlfn.XLOOKUP($F1075,'Budget Assumption Driver'!$A$33:$A$39,'Budget Assumption Driver'!J$33:J$39)+L1075</f>
        <v>-4.4081304540605999E-2</v>
      </c>
      <c r="Y1075" s="246">
        <f>_xlfn.XLOOKUP($F1075,'Budget Assumption Driver'!$A$33:$A$39,'Budget Assumption Driver'!K$33:K$39)+M1075</f>
        <v>-4.4513497952867985E-2</v>
      </c>
      <c r="Z1075" s="246">
        <f>_xlfn.XLOOKUP($F1075,'Budget Assumption Driver'!$A$33:$A$39,'Budget Assumption Driver'!L$33:L$39)+N1075</f>
        <v>-3.904285740450749E-2</v>
      </c>
      <c r="AA1075" s="246">
        <f>_xlfn.XLOOKUP($F1075,'Budget Assumption Driver'!$A$33:$A$39,'Budget Assumption Driver'!M$33:M$39)+O1075</f>
        <v>-3.7520248710357362E-2</v>
      </c>
      <c r="AB1075" s="246">
        <f>_xlfn.XLOOKUP($F1075,'Budget Assumption Driver'!$A$33:$A$39,'Budget Assumption Driver'!N$33:N$39)+P1075</f>
        <v>-4.8159325665086621E-2</v>
      </c>
      <c r="AC1075" s="246">
        <f>_xlfn.XLOOKUP($F1075,'Budget Assumption Driver'!$A$33:$A$39,'Budget Assumption Driver'!O$33:O$39)+Q1075</f>
        <v>-3.4727707468173753E-2</v>
      </c>
      <c r="AD1075" s="296">
        <f>_xlfn.XLOOKUP($F1075,'Budget Assumption Driver'!$A$33:$A$39,'Budget Assumption Driver'!P$33:P$39)+R1075</f>
        <v>-3.0976266462320549E-2</v>
      </c>
      <c r="AE1075" s="15"/>
      <c r="AF1075" s="232">
        <f>_xlfn.XLOOKUP($C1075,'Site Level Financials - ''23 ''24'!$C$2:$C$1577,'Site Level Financials - ''23 ''24'!$AF$2:$AF$1577)</f>
        <v>-4.7241955589041103E-2</v>
      </c>
      <c r="AG1075" s="97">
        <f t="shared" ref="AG1075:AH1075" si="3129">AG1074/AG1056</f>
        <v>-3.8508471329490757E-2</v>
      </c>
      <c r="AH1075" s="97">
        <f t="shared" si="3129"/>
        <v>-3.8754337423687633E-2</v>
      </c>
    </row>
    <row r="1076" spans="2:34" ht="3" customHeight="1" x14ac:dyDescent="0.2">
      <c r="B1076" s="9">
        <f>G1044</f>
        <v>22</v>
      </c>
      <c r="C1076" s="9" t="str">
        <f t="shared" si="3036"/>
        <v xml:space="preserve">22 - </v>
      </c>
      <c r="D1076" s="9" t="s">
        <v>56</v>
      </c>
      <c r="F1076" s="16"/>
      <c r="G1076" s="84"/>
      <c r="H1076" s="85"/>
      <c r="I1076" s="85"/>
      <c r="J1076" s="85"/>
      <c r="K1076" s="85"/>
      <c r="L1076" s="85"/>
      <c r="M1076" s="85"/>
      <c r="N1076" s="85"/>
      <c r="O1076" s="85"/>
      <c r="P1076" s="85"/>
      <c r="Q1076" s="85"/>
      <c r="R1076" s="85"/>
      <c r="S1076" s="84"/>
      <c r="T1076" s="85"/>
      <c r="U1076" s="85"/>
      <c r="V1076" s="85"/>
      <c r="W1076" s="85"/>
      <c r="X1076" s="85"/>
      <c r="Y1076" s="85"/>
      <c r="Z1076" s="85"/>
      <c r="AA1076" s="85"/>
      <c r="AB1076" s="85"/>
      <c r="AC1076" s="85"/>
      <c r="AD1076" s="86"/>
      <c r="AE1076" s="15"/>
      <c r="AF1076" s="36"/>
      <c r="AG1076" s="38"/>
      <c r="AH1076" s="38"/>
    </row>
    <row r="1077" spans="2:34" x14ac:dyDescent="0.2">
      <c r="B1077" s="9">
        <f>G1044</f>
        <v>22</v>
      </c>
      <c r="C1077" s="9" t="str">
        <f t="shared" si="3036"/>
        <v>22 - Office Rent</v>
      </c>
      <c r="D1077" s="9" t="s">
        <v>56</v>
      </c>
      <c r="F1077" t="s">
        <v>162</v>
      </c>
      <c r="G1077" s="178">
        <f>_xlfn.XLOOKUP($C1077,'Site Level Financials - ''23 ''24'!$C$2:$C$1577,'Site Level Financials - ''23 ''24'!S$2:S$1577)</f>
        <v>-32.666684727558632</v>
      </c>
      <c r="H1077" s="179">
        <f>_xlfn.XLOOKUP($C1077,'Site Level Financials - ''23 ''24'!$C$2:$C$1577,'Site Level Financials - ''23 ''24'!T$2:T$1577)</f>
        <v>-33.646685269385401</v>
      </c>
      <c r="I1077" s="179">
        <f>_xlfn.XLOOKUP($C1077,'Site Level Financials - ''23 ''24'!$C$2:$C$1577,'Site Level Financials - ''23 ''24'!U$2:U$1577)</f>
        <v>-33.646685269385401</v>
      </c>
      <c r="J1077" s="179">
        <f>_xlfn.XLOOKUP($C1077,'Site Level Financials - ''23 ''24'!$C$2:$C$1577,'Site Level Financials - ''23 ''24'!V$2:V$1577)</f>
        <v>-33.646685269385401</v>
      </c>
      <c r="K1077" s="179">
        <f>_xlfn.XLOOKUP($C1077,'Site Level Financials - ''23 ''24'!$C$2:$C$1577,'Site Level Financials - ''23 ''24'!W$2:W$1577)</f>
        <v>-33.646685269385401</v>
      </c>
      <c r="L1077" s="179">
        <f>_xlfn.XLOOKUP($C1077,'Site Level Financials - ''23 ''24'!$C$2:$C$1577,'Site Level Financials - ''23 ''24'!X$2:X$1577)</f>
        <v>-33.646685269385401</v>
      </c>
      <c r="M1077" s="179">
        <f>_xlfn.XLOOKUP($C1077,'Site Level Financials - ''23 ''24'!$C$2:$C$1577,'Site Level Financials - ''23 ''24'!Y$2:Y$1577)</f>
        <v>-33.646685269385401</v>
      </c>
      <c r="N1077" s="179">
        <f>_xlfn.XLOOKUP($C1077,'Site Level Financials - ''23 ''24'!$C$2:$C$1577,'Site Level Financials - ''23 ''24'!Z$2:Z$1577)</f>
        <v>-33.646685269385401</v>
      </c>
      <c r="O1077" s="179">
        <f>_xlfn.XLOOKUP($C1077,'Site Level Financials - ''23 ''24'!$C$2:$C$1577,'Site Level Financials - ''23 ''24'!AA$2:AA$1577)</f>
        <v>-33.646685269385401</v>
      </c>
      <c r="P1077" s="179">
        <f>_xlfn.XLOOKUP($C1077,'Site Level Financials - ''23 ''24'!$C$2:$C$1577,'Site Level Financials - ''23 ''24'!AB$2:AB$1577)</f>
        <v>-33.646685269385401</v>
      </c>
      <c r="Q1077" s="179">
        <f>_xlfn.XLOOKUP($C1077,'Site Level Financials - ''23 ''24'!$C$2:$C$1577,'Site Level Financials - ''23 ''24'!AC$2:AC$1577)</f>
        <v>-33.646685269385401</v>
      </c>
      <c r="R1077" s="179">
        <f>_xlfn.XLOOKUP($C1077,'Site Level Financials - ''23 ''24'!$C$2:$C$1577,'Site Level Financials - ''23 ''24'!AD$2:AD$1577)</f>
        <v>-33.646685269385401</v>
      </c>
      <c r="S1077" s="155">
        <f>G1077*(1+S1078)</f>
        <v>-33.646685269385394</v>
      </c>
      <c r="T1077" s="154">
        <f t="shared" ref="T1077" si="3130">H1077*(1+T1078)</f>
        <v>-34.656085827466967</v>
      </c>
      <c r="U1077" s="154">
        <f t="shared" ref="U1077" si="3131">I1077*(1+U1078)</f>
        <v>-34.656085827466967</v>
      </c>
      <c r="V1077" s="154">
        <f t="shared" ref="V1077" si="3132">J1077*(1+V1078)</f>
        <v>-34.656085827466967</v>
      </c>
      <c r="W1077" s="154">
        <f t="shared" ref="W1077" si="3133">K1077*(1+W1078)</f>
        <v>-34.656085827466967</v>
      </c>
      <c r="X1077" s="154">
        <f t="shared" ref="X1077" si="3134">L1077*(1+X1078)</f>
        <v>-34.656085827466967</v>
      </c>
      <c r="Y1077" s="154">
        <f t="shared" ref="Y1077" si="3135">M1077*(1+Y1078)</f>
        <v>-34.656085827466967</v>
      </c>
      <c r="Z1077" s="154">
        <f t="shared" ref="Z1077" si="3136">N1077*(1+Z1078)</f>
        <v>-34.656085827466967</v>
      </c>
      <c r="AA1077" s="154">
        <f t="shared" ref="AA1077" si="3137">O1077*(1+AA1078)</f>
        <v>-34.656085827466967</v>
      </c>
      <c r="AB1077" s="154">
        <f t="shared" ref="AB1077" si="3138">P1077*(1+AB1078)</f>
        <v>-34.656085827466967</v>
      </c>
      <c r="AC1077" s="154">
        <f t="shared" ref="AC1077" si="3139">Q1077*(1+AC1078)</f>
        <v>-34.656085827466967</v>
      </c>
      <c r="AD1077" s="156">
        <f t="shared" ref="AD1077" si="3140">R1077*(1+AD1078)</f>
        <v>-34.656085827466967</v>
      </c>
      <c r="AE1077" s="15"/>
      <c r="AF1077" s="115">
        <f>_xlfn.XLOOKUP($C1077,'Site Level Financials - ''23 ''24'!$C$2:$C$1577,'Site Level Financials - ''23 ''24'!$AF$2:$AF$1577)</f>
        <v>-391.04381201646328</v>
      </c>
      <c r="AG1077" s="93">
        <f>SUM(G1077:R1077)</f>
        <v>-402.78022269079793</v>
      </c>
      <c r="AH1077" s="93">
        <f t="shared" ref="AH1077" si="3141">SUM(S1077:AD1077)</f>
        <v>-414.86362937152217</v>
      </c>
    </row>
    <row r="1078" spans="2:34" x14ac:dyDescent="0.2">
      <c r="B1078" s="9">
        <f>G1044</f>
        <v>22</v>
      </c>
      <c r="C1078" s="9" t="str">
        <f t="shared" si="3036"/>
        <v>22 - % YoY Growth</v>
      </c>
      <c r="D1078" s="9" t="s">
        <v>56</v>
      </c>
      <c r="F1078" s="16" t="s">
        <v>8</v>
      </c>
      <c r="G1078" s="245">
        <f>_xlfn.XLOOKUP($C1078,'Site Level Financials - ''23 ''24'!$C$2:$C$1577,'Site Level Financials - ''23 ''24'!S$2:S$1577)</f>
        <v>3.0013032590426203E-2</v>
      </c>
      <c r="H1078" s="246">
        <f>_xlfn.XLOOKUP($C1078,'Site Level Financials - ''23 ''24'!$C$2:$C$1577,'Site Level Financials - ''23 ''24'!T$2:T$1577)</f>
        <v>3.0013032590426425E-2</v>
      </c>
      <c r="I1078" s="246">
        <f>_xlfn.XLOOKUP($C1078,'Site Level Financials - ''23 ''24'!$C$2:$C$1577,'Site Level Financials - ''23 ''24'!U$2:U$1577)</f>
        <v>3.0013032590426425E-2</v>
      </c>
      <c r="J1078" s="246">
        <f>_xlfn.XLOOKUP($C1078,'Site Level Financials - ''23 ''24'!$C$2:$C$1577,'Site Level Financials - ''23 ''24'!V$2:V$1577)</f>
        <v>3.0013032590426425E-2</v>
      </c>
      <c r="K1078" s="246">
        <f>_xlfn.XLOOKUP($C1078,'Site Level Financials - ''23 ''24'!$C$2:$C$1577,'Site Level Financials - ''23 ''24'!W$2:W$1577)</f>
        <v>3.0013032590426425E-2</v>
      </c>
      <c r="L1078" s="246">
        <f>_xlfn.XLOOKUP($C1078,'Site Level Financials - ''23 ''24'!$C$2:$C$1577,'Site Level Financials - ''23 ''24'!X$2:X$1577)</f>
        <v>3.0013032590426425E-2</v>
      </c>
      <c r="M1078" s="246">
        <f>_xlfn.XLOOKUP($C1078,'Site Level Financials - ''23 ''24'!$C$2:$C$1577,'Site Level Financials - ''23 ''24'!Y$2:Y$1577)</f>
        <v>3.0013032590426425E-2</v>
      </c>
      <c r="N1078" s="246">
        <f>_xlfn.XLOOKUP($C1078,'Site Level Financials - ''23 ''24'!$C$2:$C$1577,'Site Level Financials - ''23 ''24'!Z$2:Z$1577)</f>
        <v>3.0013032590426425E-2</v>
      </c>
      <c r="O1078" s="246">
        <f>_xlfn.XLOOKUP($C1078,'Site Level Financials - ''23 ''24'!$C$2:$C$1577,'Site Level Financials - ''23 ''24'!AA$2:AA$1577)</f>
        <v>3.0013032590426425E-2</v>
      </c>
      <c r="P1078" s="246">
        <f>_xlfn.XLOOKUP($C1078,'Site Level Financials - ''23 ''24'!$C$2:$C$1577,'Site Level Financials - ''23 ''24'!AB$2:AB$1577)</f>
        <v>3.0013032590426425E-2</v>
      </c>
      <c r="Q1078" s="246">
        <f>_xlfn.XLOOKUP($C1078,'Site Level Financials - ''23 ''24'!$C$2:$C$1577,'Site Level Financials - ''23 ''24'!AC$2:AC$1577)</f>
        <v>3.0013032590426425E-2</v>
      </c>
      <c r="R1078" s="246">
        <f>_xlfn.XLOOKUP($C1078,'Site Level Financials - ''23 ''24'!$C$2:$C$1577,'Site Level Financials - ''23 ''24'!AD$2:AD$1577)</f>
        <v>3.0013032590426425E-2</v>
      </c>
      <c r="S1078" s="245">
        <f>_xlfn.XLOOKUP($F1078,'Budget Assumption Driver'!$A$33:$A$39,'Budget Assumption Driver'!E$33:E$39)</f>
        <v>0.03</v>
      </c>
      <c r="T1078" s="246">
        <f>_xlfn.XLOOKUP($F1078,'Budget Assumption Driver'!$A$33:$A$39,'Budget Assumption Driver'!F$33:F$39)</f>
        <v>0.03</v>
      </c>
      <c r="U1078" s="246">
        <f>_xlfn.XLOOKUP($F1078,'Budget Assumption Driver'!$A$33:$A$39,'Budget Assumption Driver'!G$33:G$39)</f>
        <v>0.03</v>
      </c>
      <c r="V1078" s="246">
        <f>_xlfn.XLOOKUP($F1078,'Budget Assumption Driver'!$A$33:$A$39,'Budget Assumption Driver'!H$33:H$39)</f>
        <v>0.03</v>
      </c>
      <c r="W1078" s="246">
        <f>_xlfn.XLOOKUP($F1078,'Budget Assumption Driver'!$A$33:$A$39,'Budget Assumption Driver'!I$33:I$39)</f>
        <v>0.03</v>
      </c>
      <c r="X1078" s="246">
        <f>_xlfn.XLOOKUP($F1078,'Budget Assumption Driver'!$A$33:$A$39,'Budget Assumption Driver'!J$33:J$39)</f>
        <v>0.03</v>
      </c>
      <c r="Y1078" s="246">
        <f>_xlfn.XLOOKUP($F1078,'Budget Assumption Driver'!$A$33:$A$39,'Budget Assumption Driver'!K$33:K$39)</f>
        <v>0.03</v>
      </c>
      <c r="Z1078" s="246">
        <f>_xlfn.XLOOKUP($F1078,'Budget Assumption Driver'!$A$33:$A$39,'Budget Assumption Driver'!L$33:L$39)</f>
        <v>0.03</v>
      </c>
      <c r="AA1078" s="246">
        <f>_xlfn.XLOOKUP($F1078,'Budget Assumption Driver'!$A$33:$A$39,'Budget Assumption Driver'!M$33:M$39)</f>
        <v>0.03</v>
      </c>
      <c r="AB1078" s="246">
        <f>_xlfn.XLOOKUP($F1078,'Budget Assumption Driver'!$A$33:$A$39,'Budget Assumption Driver'!N$33:N$39)</f>
        <v>0.03</v>
      </c>
      <c r="AC1078" s="246">
        <f>_xlfn.XLOOKUP($F1078,'Budget Assumption Driver'!$A$33:$A$39,'Budget Assumption Driver'!O$33:O$39)</f>
        <v>0.03</v>
      </c>
      <c r="AD1078" s="296">
        <f>_xlfn.XLOOKUP($F1078,'Budget Assumption Driver'!$A$33:$A$39,'Budget Assumption Driver'!P$33:P$39)</f>
        <v>0.03</v>
      </c>
      <c r="AE1078" s="15"/>
      <c r="AF1078" s="11"/>
      <c r="AG1078" s="97">
        <f>AG1077/AF1077-1</f>
        <v>3.0013032590426203E-2</v>
      </c>
      <c r="AH1078" s="97">
        <f>AH1077/AG1077-1</f>
        <v>3.0000000000000693E-2</v>
      </c>
    </row>
    <row r="1079" spans="2:34" ht="6" customHeight="1" x14ac:dyDescent="0.2">
      <c r="B1079" s="9">
        <f>G1044</f>
        <v>22</v>
      </c>
      <c r="C1079" s="9" t="str">
        <f t="shared" si="3036"/>
        <v xml:space="preserve">22 - </v>
      </c>
      <c r="D1079" s="9" t="s">
        <v>56</v>
      </c>
      <c r="F1079" s="16"/>
      <c r="G1079" s="80"/>
      <c r="H1079" s="63"/>
      <c r="I1079" s="63"/>
      <c r="J1079" s="63"/>
      <c r="K1079" s="63"/>
      <c r="L1079" s="63"/>
      <c r="M1079" s="63"/>
      <c r="N1079" s="63"/>
      <c r="O1079" s="63"/>
      <c r="P1079" s="63"/>
      <c r="Q1079" s="63"/>
      <c r="R1079" s="63"/>
      <c r="S1079" s="80"/>
      <c r="T1079" s="63"/>
      <c r="U1079" s="63"/>
      <c r="V1079" s="63"/>
      <c r="W1079" s="63"/>
      <c r="X1079" s="63"/>
      <c r="Y1079" s="63"/>
      <c r="Z1079" s="63"/>
      <c r="AA1079" s="63"/>
      <c r="AB1079" s="63"/>
      <c r="AC1079" s="63"/>
      <c r="AD1079" s="81"/>
      <c r="AE1079" s="15"/>
      <c r="AF1079" s="11"/>
      <c r="AG1079" s="15"/>
      <c r="AH1079" s="15"/>
    </row>
    <row r="1080" spans="2:34" x14ac:dyDescent="0.2">
      <c r="B1080" s="9">
        <f>G1044</f>
        <v>22</v>
      </c>
      <c r="C1080" s="9" t="str">
        <f t="shared" si="3036"/>
        <v>22 - Office EBITDA</v>
      </c>
      <c r="D1080" s="9" t="s">
        <v>56</v>
      </c>
      <c r="F1080" s="8" t="s">
        <v>12</v>
      </c>
      <c r="G1080" s="241">
        <f>_xlfn.XLOOKUP($C1080,'Site Level Financials - ''23 ''24'!$C$2:$C$1577,'Site Level Financials - ''23 ''24'!S$2:S$1577)</f>
        <v>106.64973705878437</v>
      </c>
      <c r="H1080" s="242">
        <f>_xlfn.XLOOKUP($C1080,'Site Level Financials - ''23 ''24'!$C$2:$C$1577,'Site Level Financials - ''23 ''24'!T$2:T$1577)</f>
        <v>104.19712333204252</v>
      </c>
      <c r="I1080" s="242">
        <f>_xlfn.XLOOKUP($C1080,'Site Level Financials - ''23 ''24'!$C$2:$C$1577,'Site Level Financials - ''23 ''24'!U$2:U$1577)</f>
        <v>106.99406003416586</v>
      </c>
      <c r="J1080" s="242">
        <f>_xlfn.XLOOKUP($C1080,'Site Level Financials - ''23 ''24'!$C$2:$C$1577,'Site Level Financials - ''23 ''24'!V$2:V$1577)</f>
        <v>114.25232784518532</v>
      </c>
      <c r="K1080" s="242">
        <f>_xlfn.XLOOKUP($C1080,'Site Level Financials - ''23 ''24'!$C$2:$C$1577,'Site Level Financials - ''23 ''24'!W$2:W$1577)</f>
        <v>141.94726933181852</v>
      </c>
      <c r="L1080" s="242">
        <f>_xlfn.XLOOKUP($C1080,'Site Level Financials - ''23 ''24'!$C$2:$C$1577,'Site Level Financials - ''23 ''24'!X$2:X$1577)</f>
        <v>110.16355120265335</v>
      </c>
      <c r="M1080" s="242">
        <f>_xlfn.XLOOKUP($C1080,'Site Level Financials - ''23 ''24'!$C$2:$C$1577,'Site Level Financials - ''23 ''24'!Y$2:Y$1577)</f>
        <v>133.43469400307862</v>
      </c>
      <c r="N1080" s="242">
        <f>_xlfn.XLOOKUP($C1080,'Site Level Financials - ''23 ''24'!$C$2:$C$1577,'Site Level Financials - ''23 ''24'!Z$2:Z$1577)</f>
        <v>220.42030027060889</v>
      </c>
      <c r="O1080" s="242">
        <f>_xlfn.XLOOKUP($C1080,'Site Level Financials - ''23 ''24'!$C$2:$C$1577,'Site Level Financials - ''23 ''24'!AA$2:AA$1577)</f>
        <v>200.94722743368061</v>
      </c>
      <c r="P1080" s="242">
        <f>_xlfn.XLOOKUP($C1080,'Site Level Financials - ''23 ''24'!$C$2:$C$1577,'Site Level Financials - ''23 ''24'!AB$2:AB$1577)</f>
        <v>121.19652943095038</v>
      </c>
      <c r="Q1080" s="242">
        <f>_xlfn.XLOOKUP($C1080,'Site Level Financials - ''23 ''24'!$C$2:$C$1577,'Site Level Financials - ''23 ''24'!AC$2:AC$1577)</f>
        <v>214.64217067359107</v>
      </c>
      <c r="R1080" s="242">
        <f>_xlfn.XLOOKUP($C1080,'Site Level Financials - ''23 ''24'!$C$2:$C$1577,'Site Level Financials - ''23 ''24'!AD$2:AD$1577)</f>
        <v>168.73038579901265</v>
      </c>
      <c r="S1080" s="134">
        <f t="shared" ref="S1080:AD1080" si="3142">S1068+S1071+S1074+S1077</f>
        <v>160.09715429080552</v>
      </c>
      <c r="T1080" s="135">
        <f t="shared" si="3142"/>
        <v>162.6316456044637</v>
      </c>
      <c r="U1080" s="135">
        <f t="shared" si="3142"/>
        <v>168.32153429083073</v>
      </c>
      <c r="V1080" s="135">
        <f t="shared" si="3142"/>
        <v>190.07078372338532</v>
      </c>
      <c r="W1080" s="135">
        <f t="shared" si="3142"/>
        <v>237.76256681813388</v>
      </c>
      <c r="X1080" s="135">
        <f t="shared" si="3142"/>
        <v>189.66507491834432</v>
      </c>
      <c r="Y1080" s="135">
        <f t="shared" si="3142"/>
        <v>197.64934496928336</v>
      </c>
      <c r="Z1080" s="135">
        <f t="shared" si="3142"/>
        <v>267.45875420747939</v>
      </c>
      <c r="AA1080" s="135">
        <f t="shared" si="3142"/>
        <v>238.06757150370802</v>
      </c>
      <c r="AB1080" s="135">
        <f t="shared" si="3142"/>
        <v>169.07906800412286</v>
      </c>
      <c r="AC1080" s="135">
        <f t="shared" si="3142"/>
        <v>216.30557191215635</v>
      </c>
      <c r="AD1080" s="136">
        <f t="shared" si="3142"/>
        <v>174.91855639325951</v>
      </c>
      <c r="AE1080" s="15"/>
      <c r="AF1080" s="113">
        <f>_xlfn.XLOOKUP($C1080,'Site Level Financials - ''23 ''24'!$C$2:$C$1577,'Site Level Financials - ''23 ''24'!$AF$2:$AF$1577)</f>
        <v>1332.9569408296697</v>
      </c>
      <c r="AG1080" s="95">
        <f>SUM(G1080:R1080)</f>
        <v>1743.5753764155725</v>
      </c>
      <c r="AH1080" s="95">
        <f t="shared" ref="AH1080" si="3143">SUM(S1080:AD1080)</f>
        <v>2372.0276266359729</v>
      </c>
    </row>
    <row r="1081" spans="2:34" x14ac:dyDescent="0.2">
      <c r="B1081" s="9">
        <f>G1044</f>
        <v>22</v>
      </c>
      <c r="C1081" s="9" t="str">
        <f t="shared" si="3036"/>
        <v>22 - % of Revenue - Office EBITDA</v>
      </c>
      <c r="D1081" s="9" t="s">
        <v>56</v>
      </c>
      <c r="F1081" s="16" t="str">
        <f>"% of Revenue - "&amp;F1080</f>
        <v>% of Revenue - Office EBITDA</v>
      </c>
      <c r="G1081" s="148">
        <f>G1080/G1056</f>
        <v>0.21576599564747356</v>
      </c>
      <c r="H1081" s="149">
        <f t="shared" ref="H1081:AD1081" si="3144">H1080/H1056</f>
        <v>0.20951974128122908</v>
      </c>
      <c r="I1081" s="149">
        <f t="shared" si="3144"/>
        <v>0.20203844829259707</v>
      </c>
      <c r="J1081" s="149">
        <f t="shared" si="3144"/>
        <v>0.21204946019475446</v>
      </c>
      <c r="K1081" s="149">
        <f t="shared" si="3144"/>
        <v>0.22632537808762451</v>
      </c>
      <c r="L1081" s="149">
        <f t="shared" si="3144"/>
        <v>0.21030419598209624</v>
      </c>
      <c r="M1081" s="149">
        <f t="shared" si="3144"/>
        <v>0.22537808251934105</v>
      </c>
      <c r="N1081" s="149">
        <f t="shared" si="3144"/>
        <v>0.37132785864800338</v>
      </c>
      <c r="O1081" s="149">
        <f t="shared" si="3144"/>
        <v>0.36097577931348068</v>
      </c>
      <c r="P1081" s="149">
        <f t="shared" si="3144"/>
        <v>0.21454860351819524</v>
      </c>
      <c r="Q1081" s="149">
        <f t="shared" si="3144"/>
        <v>0.36926835673577385</v>
      </c>
      <c r="R1081" s="149">
        <f t="shared" si="3144"/>
        <v>0.36437145942804755</v>
      </c>
      <c r="S1081" s="148">
        <f t="shared" si="3144"/>
        <v>0.23290629903241891</v>
      </c>
      <c r="T1081" s="149">
        <f t="shared" si="3144"/>
        <v>0.2284869821590185</v>
      </c>
      <c r="U1081" s="149">
        <f t="shared" si="3144"/>
        <v>0.22023028503068376</v>
      </c>
      <c r="V1081" s="149">
        <f t="shared" si="3144"/>
        <v>0.23216553721664523</v>
      </c>
      <c r="W1081" s="149">
        <f t="shared" si="3144"/>
        <v>0.2443556650696535</v>
      </c>
      <c r="X1081" s="149">
        <f t="shared" si="3144"/>
        <v>0.23212233696068948</v>
      </c>
      <c r="Y1081" s="149">
        <f t="shared" si="3144"/>
        <v>0.24010819555972926</v>
      </c>
      <c r="Z1081" s="149">
        <f t="shared" si="3144"/>
        <v>0.37891250396252424</v>
      </c>
      <c r="AA1081" s="149">
        <f t="shared" si="3144"/>
        <v>0.36786647642721554</v>
      </c>
      <c r="AB1081" s="149">
        <f t="shared" si="3144"/>
        <v>0.22748436937286709</v>
      </c>
      <c r="AC1081" s="149">
        <f t="shared" si="3144"/>
        <v>0.36816678218571952</v>
      </c>
      <c r="AD1081" s="150">
        <f t="shared" si="3144"/>
        <v>0.36476193411667096</v>
      </c>
      <c r="AE1081" s="15"/>
      <c r="AF1081" s="232">
        <f>_xlfn.XLOOKUP($C1081,'Site Level Financials - ''23 ''24'!$C$2:$C$1577,'Site Level Financials - ''23 ''24'!$AF$2:$AF$1577)</f>
        <v>0.23455495632949916</v>
      </c>
      <c r="AG1081" s="97">
        <f t="shared" ref="AG1081:AH1081" si="3145">AG1080/AG1056</f>
        <v>0.26568620746946392</v>
      </c>
      <c r="AH1081" s="97">
        <f t="shared" si="3145"/>
        <v>0.27081770688779638</v>
      </c>
    </row>
    <row r="1082" spans="2:34" ht="6" customHeight="1" x14ac:dyDescent="0.2">
      <c r="B1082" s="9">
        <f>G1044</f>
        <v>22</v>
      </c>
      <c r="C1082" s="9" t="str">
        <f t="shared" si="3036"/>
        <v xml:space="preserve">22 - </v>
      </c>
      <c r="D1082" s="9" t="s">
        <v>56</v>
      </c>
      <c r="G1082" s="80"/>
      <c r="H1082" s="63"/>
      <c r="I1082" s="63"/>
      <c r="J1082" s="63"/>
      <c r="K1082" s="63"/>
      <c r="L1082" s="63"/>
      <c r="M1082" s="63"/>
      <c r="N1082" s="63"/>
      <c r="O1082" s="63"/>
      <c r="P1082" s="63"/>
      <c r="Q1082" s="63"/>
      <c r="R1082" s="63"/>
      <c r="S1082" s="80"/>
      <c r="T1082" s="63"/>
      <c r="U1082" s="63"/>
      <c r="V1082" s="63"/>
      <c r="W1082" s="63"/>
      <c r="X1082" s="63"/>
      <c r="Y1082" s="63"/>
      <c r="Z1082" s="63"/>
      <c r="AA1082" s="63"/>
      <c r="AB1082" s="63"/>
      <c r="AC1082" s="63"/>
      <c r="AD1082" s="81"/>
      <c r="AE1082" s="15"/>
      <c r="AF1082" s="11"/>
      <c r="AG1082" s="15"/>
      <c r="AH1082" s="15"/>
    </row>
    <row r="1083" spans="2:34" x14ac:dyDescent="0.2">
      <c r="B1083" s="9">
        <f>G1044</f>
        <v>22</v>
      </c>
      <c r="C1083" s="9" t="str">
        <f t="shared" si="3036"/>
        <v>22 - Memo:</v>
      </c>
      <c r="D1083" s="9" t="s">
        <v>56</v>
      </c>
      <c r="F1083" s="6" t="s">
        <v>13</v>
      </c>
      <c r="G1083" s="80"/>
      <c r="H1083" s="63"/>
      <c r="I1083" s="63"/>
      <c r="J1083" s="63"/>
      <c r="K1083" s="63"/>
      <c r="L1083" s="63"/>
      <c r="M1083" s="63"/>
      <c r="N1083" s="63"/>
      <c r="O1083" s="63"/>
      <c r="P1083" s="63"/>
      <c r="Q1083" s="63"/>
      <c r="R1083" s="63"/>
      <c r="S1083" s="80"/>
      <c r="T1083" s="63"/>
      <c r="U1083" s="63"/>
      <c r="V1083" s="63"/>
      <c r="W1083" s="63"/>
      <c r="X1083" s="63"/>
      <c r="Y1083" s="63"/>
      <c r="Z1083" s="63"/>
      <c r="AA1083" s="63"/>
      <c r="AB1083" s="63"/>
      <c r="AC1083" s="63"/>
      <c r="AD1083" s="81"/>
      <c r="AE1083" s="15"/>
      <c r="AF1083" s="11"/>
      <c r="AG1083" s="15"/>
      <c r="AH1083" s="15"/>
    </row>
    <row r="1084" spans="2:34" s="24" customFormat="1" x14ac:dyDescent="0.2">
      <c r="B1084" s="9">
        <f>G1044</f>
        <v>22</v>
      </c>
      <c r="C1084" s="9" t="str">
        <f t="shared" si="3036"/>
        <v>22 - Collections</v>
      </c>
      <c r="D1084" s="9" t="s">
        <v>56</v>
      </c>
      <c r="E1084" s="49"/>
      <c r="F1084" s="24" t="s">
        <v>15</v>
      </c>
      <c r="G1084" s="247">
        <f>_xlfn.XLOOKUP($C1084,'Site Level Financials - ''23 ''24'!$C$2:$C$1577,'Site Level Financials - ''23 ''24'!S$2:S$1577)</f>
        <v>489.61692351445294</v>
      </c>
      <c r="H1084" s="248">
        <f>_xlfn.XLOOKUP($C1084,'Site Level Financials - ''23 ''24'!$C$2:$C$1577,'Site Level Financials - ''23 ''24'!T$2:T$1577)</f>
        <v>498.73812443386572</v>
      </c>
      <c r="I1084" s="248">
        <f>_xlfn.XLOOKUP($C1084,'Site Level Financials - ''23 ''24'!$C$2:$C$1577,'Site Level Financials - ''23 ''24'!U$2:U$1577)</f>
        <v>532.57859216101019</v>
      </c>
      <c r="J1084" s="248">
        <f>_xlfn.XLOOKUP($C1084,'Site Level Financials - ''23 ''24'!$C$2:$C$1577,'Site Level Financials - ''23 ''24'!V$2:V$1577)</f>
        <v>537.88314203370066</v>
      </c>
      <c r="K1084" s="248">
        <f>_xlfn.XLOOKUP($C1084,'Site Level Financials - ''23 ''24'!$C$2:$C$1577,'Site Level Financials - ''23 ''24'!W$2:W$1577)</f>
        <v>634.92218244415324</v>
      </c>
      <c r="L1084" s="248">
        <f>_xlfn.XLOOKUP($C1084,'Site Level Financials - ''23 ''24'!$C$2:$C$1577,'Site Level Financials - ''23 ''24'!X$2:X$1577)</f>
        <v>524.31907463029233</v>
      </c>
      <c r="M1084" s="248">
        <f>_xlfn.XLOOKUP($C1084,'Site Level Financials - ''23 ''24'!$C$2:$C$1577,'Site Level Financials - ''23 ''24'!Y$2:Y$1577)</f>
        <v>591.12014216089915</v>
      </c>
      <c r="N1084" s="248">
        <f>_xlfn.XLOOKUP($C1084,'Site Level Financials - ''23 ''24'!$C$2:$C$1577,'Site Level Financials - ''23 ''24'!Z$2:Z$1577)</f>
        <v>604.72945720531618</v>
      </c>
      <c r="O1084" s="248">
        <f>_xlfn.XLOOKUP($C1084,'Site Level Financials - ''23 ''24'!$C$2:$C$1577,'Site Level Financials - ''23 ''24'!AA$2:AA$1577)</f>
        <v>553.17501164036719</v>
      </c>
      <c r="P1084" s="248">
        <f>_xlfn.XLOOKUP($C1084,'Site Level Financials - ''23 ''24'!$C$2:$C$1577,'Site Level Financials - ''23 ''24'!AB$2:AB$1577)</f>
        <v>570.93285100581818</v>
      </c>
      <c r="Q1084" s="248">
        <f>_xlfn.XLOOKUP($C1084,'Site Level Financials - ''23 ''24'!$C$2:$C$1577,'Site Level Financials - ''23 ''24'!AC$2:AC$1577)</f>
        <v>582.21948804650845</v>
      </c>
      <c r="R1084" s="248">
        <f>_xlfn.XLOOKUP($C1084,'Site Level Financials - ''23 ''24'!$C$2:$C$1577,'Site Level Financials - ''23 ''24'!AD$2:AD$1577)</f>
        <v>465.77304713340106</v>
      </c>
      <c r="S1084" s="169">
        <f t="shared" ref="S1084:AD1084" si="3146">S1085*S1054</f>
        <v>687.38868358610227</v>
      </c>
      <c r="T1084" s="170">
        <f t="shared" si="3146"/>
        <v>711.77641749094516</v>
      </c>
      <c r="U1084" s="170">
        <f t="shared" si="3146"/>
        <v>764.29785425460079</v>
      </c>
      <c r="V1084" s="170">
        <f t="shared" si="3146"/>
        <v>818.6864682936158</v>
      </c>
      <c r="W1084" s="170">
        <f t="shared" si="3146"/>
        <v>973.01843503550344</v>
      </c>
      <c r="X1084" s="170">
        <f t="shared" si="3146"/>
        <v>817.09101072192198</v>
      </c>
      <c r="Y1084" s="170">
        <f t="shared" si="3146"/>
        <v>823.16784109985178</v>
      </c>
      <c r="Z1084" s="170">
        <f t="shared" si="3146"/>
        <v>705.85887615345621</v>
      </c>
      <c r="AA1084" s="170">
        <f t="shared" si="3146"/>
        <v>647.15756057975841</v>
      </c>
      <c r="AB1084" s="170">
        <f t="shared" si="3146"/>
        <v>743.25576069355009</v>
      </c>
      <c r="AC1084" s="170">
        <f t="shared" si="3146"/>
        <v>587.52060853508044</v>
      </c>
      <c r="AD1084" s="171">
        <f t="shared" si="3146"/>
        <v>479.54169564555195</v>
      </c>
      <c r="AE1084" s="26"/>
      <c r="AF1084" s="234">
        <f>_xlfn.XLOOKUP($C1084,'Site Level Financials - ''23 ''24'!$C$2:$C$1577,'Site Level Financials - ''23 ''24'!$AF$2:$AF$1577)</f>
        <v>5656.8874924903121</v>
      </c>
      <c r="AG1084" s="99">
        <f>SUM(G1084:R1084)</f>
        <v>6586.0080364097857</v>
      </c>
      <c r="AH1084" s="99">
        <f t="shared" ref="AH1084" si="3147">SUM(S1084:AD1084)</f>
        <v>8758.7612120899375</v>
      </c>
    </row>
    <row r="1085" spans="2:34" x14ac:dyDescent="0.2">
      <c r="B1085" s="9">
        <f>G1044</f>
        <v>22</v>
      </c>
      <c r="C1085" s="9" t="str">
        <f t="shared" si="3036"/>
        <v>22 - Collections as a % of Production</v>
      </c>
      <c r="D1085" s="9" t="s">
        <v>56</v>
      </c>
      <c r="F1085" s="16" t="s">
        <v>17</v>
      </c>
      <c r="G1085" s="245">
        <f>_xlfn.XLOOKUP($C1085,'Site Level Financials - ''23 ''24'!$C$2:$C$1577,'Site Level Financials - ''23 ''24'!S$2:S$1577)</f>
        <v>0.96863319304313367</v>
      </c>
      <c r="H1085" s="246">
        <f>_xlfn.XLOOKUP($C1085,'Site Level Financials - ''23 ''24'!$C$2:$C$1577,'Site Level Financials - ''23 ''24'!T$2:T$1577)</f>
        <v>0.98066686551555193</v>
      </c>
      <c r="I1085" s="246">
        <f>_xlfn.XLOOKUP($C1085,'Site Level Financials - ''23 ''24'!$C$2:$C$1577,'Site Level Financials - ''23 ''24'!U$2:U$1577)</f>
        <v>0.98341714588227647</v>
      </c>
      <c r="J1085" s="246">
        <f>_xlfn.XLOOKUP($C1085,'Site Level Financials - ''23 ''24'!$C$2:$C$1577,'Site Level Financials - ''23 ''24'!V$2:V$1577)</f>
        <v>0.97620215258756848</v>
      </c>
      <c r="K1085" s="246">
        <f>_xlfn.XLOOKUP($C1085,'Site Level Financials - ''23 ''24'!$C$2:$C$1577,'Site Level Financials - ''23 ''24'!W$2:W$1577)</f>
        <v>0.98993442388899611</v>
      </c>
      <c r="L1085" s="246">
        <f>_xlfn.XLOOKUP($C1085,'Site Level Financials - ''23 ''24'!$C$2:$C$1577,'Site Level Financials - ''23 ''24'!X$2:X$1577)</f>
        <v>0.97878066601920866</v>
      </c>
      <c r="M1085" s="246">
        <f>_xlfn.XLOOKUP($C1085,'Site Level Financials - ''23 ''24'!$C$2:$C$1577,'Site Level Financials - ''23 ''24'!Y$2:Y$1577)</f>
        <v>0.97633394184348921</v>
      </c>
      <c r="N1085" s="246">
        <f>_xlfn.XLOOKUP($C1085,'Site Level Financials - ''23 ''24'!$C$2:$C$1577,'Site Level Financials - ''23 ''24'!Z$2:Z$1577)</f>
        <v>0.99620056031063409</v>
      </c>
      <c r="O1085" s="246">
        <f>_xlfn.XLOOKUP($C1085,'Site Level Financials - ''23 ''24'!$C$2:$C$1577,'Site Level Financials - ''23 ''24'!AA$2:AA$1577)</f>
        <v>0.97171366899523759</v>
      </c>
      <c r="P1085" s="246">
        <f>_xlfn.XLOOKUP($C1085,'Site Level Financials - ''23 ''24'!$C$2:$C$1577,'Site Level Financials - ''23 ''24'!AB$2:AB$1577)</f>
        <v>0.98832607877432155</v>
      </c>
      <c r="Q1085" s="246">
        <f>_xlfn.XLOOKUP($C1085,'Site Level Financials - ''23 ''24'!$C$2:$C$1577,'Site Level Financials - ''23 ''24'!AC$2:AC$1577)</f>
        <v>0.97947531245292108</v>
      </c>
      <c r="R1085" s="246">
        <f>_xlfn.XLOOKUP($C1085,'Site Level Financials - ''23 ''24'!$C$2:$C$1577,'Site Level Financials - ''23 ''24'!AD$2:AD$1577)</f>
        <v>0.98356965221410664</v>
      </c>
      <c r="S1085" s="148">
        <f>S1055</f>
        <v>0.98136429451215001</v>
      </c>
      <c r="T1085" s="149">
        <f t="shared" ref="T1085:AD1085" si="3148">T1055</f>
        <v>0.98136429451215001</v>
      </c>
      <c r="U1085" s="149">
        <f t="shared" si="3148"/>
        <v>0.98136429451215001</v>
      </c>
      <c r="V1085" s="149">
        <f t="shared" si="3148"/>
        <v>0.98136429451215001</v>
      </c>
      <c r="W1085" s="149">
        <f t="shared" si="3148"/>
        <v>0.98136429451215001</v>
      </c>
      <c r="X1085" s="149">
        <f t="shared" si="3148"/>
        <v>0.98136429451215001</v>
      </c>
      <c r="Y1085" s="149">
        <f t="shared" si="3148"/>
        <v>0.98136429451215001</v>
      </c>
      <c r="Z1085" s="149">
        <f t="shared" si="3148"/>
        <v>0.98136429451215001</v>
      </c>
      <c r="AA1085" s="149">
        <f t="shared" si="3148"/>
        <v>0.98136429451215001</v>
      </c>
      <c r="AB1085" s="149">
        <f t="shared" si="3148"/>
        <v>0.98136429451215001</v>
      </c>
      <c r="AC1085" s="149">
        <f t="shared" si="3148"/>
        <v>0.98136429451215001</v>
      </c>
      <c r="AD1085" s="150">
        <f t="shared" si="3148"/>
        <v>0.98136429451215001</v>
      </c>
      <c r="AE1085" s="15"/>
      <c r="AF1085" s="232">
        <f>_xlfn.XLOOKUP($C1085,'Site Level Financials - ''23 ''24'!$C$2:$C$1577,'Site Level Financials - ''23 ''24'!$AF$2:$AF$1577)</f>
        <v>0.98522957830942803</v>
      </c>
      <c r="AG1085" s="97">
        <f t="shared" ref="AG1085:AH1085" si="3149">AG1084/AG1054</f>
        <v>0.98136429451215001</v>
      </c>
      <c r="AH1085" s="97">
        <f t="shared" si="3149"/>
        <v>0.98136429451214979</v>
      </c>
    </row>
    <row r="1086" spans="2:34" ht="6" customHeight="1" x14ac:dyDescent="0.2">
      <c r="B1086" s="9">
        <f>G1044</f>
        <v>22</v>
      </c>
      <c r="C1086" s="9" t="str">
        <f t="shared" si="3036"/>
        <v xml:space="preserve">22 - </v>
      </c>
      <c r="D1086" s="9" t="s">
        <v>56</v>
      </c>
      <c r="F1086" s="27"/>
      <c r="G1086" s="63"/>
      <c r="H1086" s="63"/>
      <c r="I1086" s="63"/>
      <c r="J1086" s="63"/>
      <c r="K1086" s="63"/>
      <c r="L1086" s="63"/>
      <c r="M1086" s="63"/>
      <c r="N1086" s="63"/>
      <c r="O1086" s="63"/>
      <c r="P1086" s="63"/>
      <c r="Q1086" s="63"/>
      <c r="R1086" s="81"/>
      <c r="S1086" s="63"/>
      <c r="T1086" s="63"/>
      <c r="U1086" s="63"/>
      <c r="V1086" s="63"/>
      <c r="W1086" s="63"/>
      <c r="X1086" s="63"/>
      <c r="Y1086" s="63"/>
      <c r="Z1086" s="63"/>
      <c r="AA1086" s="63"/>
      <c r="AB1086" s="63"/>
      <c r="AC1086" s="63"/>
      <c r="AD1086" s="81"/>
      <c r="AE1086" s="15"/>
      <c r="AF1086" s="11"/>
      <c r="AH1086" s="224"/>
    </row>
    <row r="1087" spans="2:34" s="24" customFormat="1" x14ac:dyDescent="0.2">
      <c r="B1087" s="9">
        <f>G1044</f>
        <v>22</v>
      </c>
      <c r="C1087" s="9" t="str">
        <f t="shared" si="3036"/>
        <v>22 - Production per Vet Workday - YoY Change</v>
      </c>
      <c r="D1087" s="9" t="s">
        <v>56</v>
      </c>
      <c r="E1087" s="49"/>
      <c r="F1087" s="24" t="s">
        <v>55</v>
      </c>
      <c r="G1087" s="249">
        <f>_xlfn.XLOOKUP($C1087,'Site Level Financials - ''23 ''24'!$C$2:$C$1577,'Site Level Financials - ''23 ''24'!S$2:S$1577)</f>
        <v>5.249475495237288E-2</v>
      </c>
      <c r="H1087" s="250">
        <f>_xlfn.XLOOKUP($C1087,'Site Level Financials - ''23 ''24'!$C$2:$C$1577,'Site Level Financials - ''23 ''24'!T$2:T$1577)</f>
        <v>5.5589473794103839E-2</v>
      </c>
      <c r="I1087" s="250">
        <f>_xlfn.XLOOKUP($C1087,'Site Level Financials - ''23 ''24'!$C$2:$C$1577,'Site Level Financials - ''23 ''24'!U$2:U$1577)</f>
        <v>1.2876096466696962E-2</v>
      </c>
      <c r="J1087" s="250">
        <f>_xlfn.XLOOKUP($C1087,'Site Level Financials - ''23 ''24'!$C$2:$C$1577,'Site Level Financials - ''23 ''24'!V$2:V$1577)</f>
        <v>-4.0332011841214932E-2</v>
      </c>
      <c r="K1087" s="250">
        <f>_xlfn.XLOOKUP($C1087,'Site Level Financials - ''23 ''24'!$C$2:$C$1577,'Site Level Financials - ''23 ''24'!W$2:W$1577)</f>
        <v>-6.4367517476051073E-2</v>
      </c>
      <c r="L1087" s="250">
        <f>_xlfn.XLOOKUP($C1087,'Site Level Financials - ''23 ''24'!$C$2:$C$1577,'Site Level Financials - ''23 ''24'!X$2:X$1577)</f>
        <v>-7.5149274429302748E-2</v>
      </c>
      <c r="M1087" s="250">
        <f>_xlfn.XLOOKUP($C1087,'Site Level Financials - ''23 ''24'!$C$2:$C$1577,'Site Level Financials - ''23 ''24'!Y$2:Y$1577)</f>
        <v>1.0669292529950081E-2</v>
      </c>
      <c r="N1087" s="250">
        <f>_xlfn.XLOOKUP($C1087,'Site Level Financials - ''23 ''24'!$C$2:$C$1577,'Site Level Financials - ''23 ''24'!Z$2:Z$1577)</f>
        <v>-2.1297757499334824E-2</v>
      </c>
      <c r="O1087" s="250">
        <f>_xlfn.XLOOKUP($C1087,'Site Level Financials - ''23 ''24'!$C$2:$C$1577,'Site Level Financials - ''23 ''24'!AA$2:AA$1577)</f>
        <v>-2.3805828023914843E-2</v>
      </c>
      <c r="P1087" s="250">
        <f>_xlfn.XLOOKUP($C1087,'Site Level Financials - ''23 ''24'!$C$2:$C$1577,'Site Level Financials - ''23 ''24'!AB$2:AB$1577)</f>
        <v>4.2390359401579536E-2</v>
      </c>
      <c r="Q1087" s="250">
        <f>_xlfn.XLOOKUP($C1087,'Site Level Financials - ''23 ''24'!$C$2:$C$1577,'Site Level Financials - ''23 ''24'!AC$2:AC$1577)</f>
        <v>5.2103275101864632E-2</v>
      </c>
      <c r="R1087" s="251">
        <f>_xlfn.XLOOKUP($C1087,'Site Level Financials - ''23 ''24'!$C$2:$C$1577,'Site Level Financials - ''23 ''24'!AD$2:AD$1577)</f>
        <v>6.4932492433618094E-3</v>
      </c>
      <c r="S1087" s="151">
        <f>S1053/G1053-1</f>
        <v>0.10857489426836509</v>
      </c>
      <c r="T1087" s="152">
        <f t="shared" ref="T1087" si="3150">T1053/H1053-1</f>
        <v>0.14091230237777697</v>
      </c>
      <c r="U1087" s="152">
        <f t="shared" ref="U1087" si="3151">U1053/I1053-1</f>
        <v>0.15047303800756562</v>
      </c>
      <c r="V1087" s="152">
        <f t="shared" ref="V1087" si="3152">V1053/J1053-1</f>
        <v>0.2112371265316797</v>
      </c>
      <c r="W1087" s="152">
        <f t="shared" ref="W1087" si="3153">W1053/K1053-1</f>
        <v>0.2367067438800361</v>
      </c>
      <c r="X1087" s="152">
        <f t="shared" ref="X1087" si="3154">X1053/L1053-1</f>
        <v>0.24342584869500161</v>
      </c>
      <c r="Y1087" s="152">
        <f t="shared" ref="Y1087" si="3155">Y1053/M1053-1</f>
        <v>0.10833426314985228</v>
      </c>
      <c r="Z1087" s="152">
        <f t="shared" ref="Z1087" si="3156">Z1053/N1053-1</f>
        <v>0.18487704276541428</v>
      </c>
      <c r="AA1087" s="152">
        <f t="shared" ref="AA1087" si="3157">AA1053/O1053-1</f>
        <v>0.15839196061651739</v>
      </c>
      <c r="AB1087" s="152">
        <f t="shared" ref="AB1087" si="3158">AB1053/P1053-1</f>
        <v>4.8849657335920948E-2</v>
      </c>
      <c r="AC1087" s="152">
        <f t="shared" ref="AC1087" si="3159">AC1053/Q1053-1</f>
        <v>7.1626418157639815E-3</v>
      </c>
      <c r="AD1087" s="153">
        <f t="shared" ref="AD1087" si="3160">AD1053/R1053-1</f>
        <v>3.1874519628317222E-2</v>
      </c>
      <c r="AF1087" s="43"/>
      <c r="AG1087" s="177">
        <f>AG1053/AF1053-1</f>
        <v>-1.1893350574584849E-2</v>
      </c>
      <c r="AH1087" s="225">
        <f>AH1053/AG1053-1</f>
        <v>0.15093587168004707</v>
      </c>
    </row>
    <row r="1088" spans="2:34" s="24" customFormat="1" ht="6" customHeight="1" x14ac:dyDescent="0.2">
      <c r="D1088" s="9" t="s">
        <v>56</v>
      </c>
      <c r="E1088" s="49"/>
      <c r="G1088" s="28"/>
      <c r="H1088" s="30"/>
      <c r="I1088" s="30"/>
      <c r="J1088" s="30"/>
      <c r="K1088" s="30"/>
      <c r="L1088" s="30"/>
      <c r="M1088" s="30"/>
      <c r="N1088" s="30"/>
      <c r="O1088" s="30"/>
      <c r="P1088" s="30"/>
      <c r="Q1088" s="30"/>
      <c r="R1088" s="29"/>
      <c r="S1088" s="30"/>
      <c r="T1088" s="30"/>
      <c r="U1088" s="30"/>
      <c r="V1088" s="30"/>
      <c r="W1088" s="30"/>
      <c r="X1088" s="30"/>
      <c r="Y1088" s="30"/>
      <c r="Z1088" s="30"/>
      <c r="AA1088" s="30"/>
      <c r="AB1088" s="30"/>
      <c r="AC1088" s="30"/>
      <c r="AD1088" s="29"/>
      <c r="AE1088" s="25"/>
      <c r="AF1088" s="28"/>
      <c r="AG1088" s="30"/>
      <c r="AH1088" s="226"/>
    </row>
    <row r="1089" spans="2:35" s="24" customFormat="1" ht="6" customHeight="1" x14ac:dyDescent="0.2">
      <c r="D1089" s="9" t="s">
        <v>56</v>
      </c>
      <c r="E1089" s="49"/>
    </row>
    <row r="1090" spans="2:35" x14ac:dyDescent="0.2">
      <c r="D1090" s="9" t="s">
        <v>56</v>
      </c>
      <c r="F1090" s="16"/>
    </row>
    <row r="1091" spans="2:35" ht="15.75" thickBot="1" x14ac:dyDescent="0.4">
      <c r="B1091" s="35" t="s">
        <v>52</v>
      </c>
      <c r="C1091" s="35"/>
      <c r="D1091" s="9" t="s">
        <v>56</v>
      </c>
      <c r="E1091" s="48" t="s">
        <v>0</v>
      </c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74"/>
      <c r="AH1091" s="3">
        <f ca="1">TODAY()</f>
        <v>45999</v>
      </c>
      <c r="AI1091" s="1"/>
    </row>
    <row r="1092" spans="2:35" x14ac:dyDescent="0.2">
      <c r="B1092" s="9">
        <f>G1093</f>
        <v>23</v>
      </c>
      <c r="C1092" s="9"/>
      <c r="D1092" s="9" t="s">
        <v>56</v>
      </c>
      <c r="F1092" t="s">
        <v>159</v>
      </c>
      <c r="AG1092" s="6"/>
      <c r="AH1092" s="6" t="s">
        <v>16</v>
      </c>
    </row>
    <row r="1093" spans="2:35" x14ac:dyDescent="0.2">
      <c r="B1093" s="9">
        <f>G1093</f>
        <v>23</v>
      </c>
      <c r="C1093" s="9"/>
      <c r="D1093" s="9" t="s">
        <v>56</v>
      </c>
      <c r="F1093" s="40" t="s">
        <v>53</v>
      </c>
      <c r="G1093" s="42">
        <v>23</v>
      </c>
    </row>
    <row r="1094" spans="2:35" x14ac:dyDescent="0.2">
      <c r="B1094" s="9">
        <f>G1093</f>
        <v>23</v>
      </c>
      <c r="C1094" s="9"/>
      <c r="D1094" s="9" t="s">
        <v>56</v>
      </c>
      <c r="F1094" s="39" t="s">
        <v>40</v>
      </c>
      <c r="G1094" s="41"/>
      <c r="H1094" s="11"/>
    </row>
    <row r="1095" spans="2:35" x14ac:dyDescent="0.2">
      <c r="B1095" s="9">
        <f>G1093</f>
        <v>23</v>
      </c>
      <c r="C1095" s="9"/>
      <c r="D1095" s="9" t="s">
        <v>56</v>
      </c>
      <c r="G1095" s="23"/>
    </row>
    <row r="1096" spans="2:35" x14ac:dyDescent="0.2">
      <c r="B1096" s="9">
        <f>G1093</f>
        <v>23</v>
      </c>
      <c r="C1096" s="9"/>
      <c r="D1096" s="9" t="s">
        <v>56</v>
      </c>
      <c r="G1096" s="208" t="s">
        <v>229</v>
      </c>
      <c r="H1096" s="209"/>
      <c r="I1096" s="209"/>
      <c r="J1096" s="209"/>
      <c r="K1096" s="209"/>
      <c r="L1096" s="209"/>
      <c r="M1096" s="209"/>
      <c r="N1096" s="209"/>
      <c r="O1096" s="209"/>
      <c r="P1096" s="209"/>
      <c r="Q1096" s="209"/>
      <c r="R1096" s="210"/>
      <c r="S1096" s="266" t="s">
        <v>230</v>
      </c>
      <c r="T1096" s="267"/>
      <c r="U1096" s="267"/>
      <c r="V1096" s="267"/>
      <c r="W1096" s="267"/>
      <c r="X1096" s="267"/>
      <c r="Y1096" s="267"/>
      <c r="Z1096" s="267"/>
      <c r="AA1096" s="267"/>
      <c r="AB1096" s="267"/>
      <c r="AC1096" s="267"/>
      <c r="AD1096" s="268"/>
      <c r="AF1096" s="17" t="s">
        <v>231</v>
      </c>
      <c r="AG1096" s="50"/>
      <c r="AH1096" s="269" t="s">
        <v>232</v>
      </c>
    </row>
    <row r="1097" spans="2:35" ht="15" customHeight="1" x14ac:dyDescent="0.35">
      <c r="B1097" s="9">
        <f>G1093</f>
        <v>23</v>
      </c>
      <c r="C1097" s="9"/>
      <c r="D1097" s="9" t="s">
        <v>56</v>
      </c>
      <c r="G1097" s="211">
        <v>44957</v>
      </c>
      <c r="H1097" s="212">
        <f>EOMONTH(G1097,1)</f>
        <v>44985</v>
      </c>
      <c r="I1097" s="212">
        <f t="shared" ref="I1097" si="3161">EOMONTH(H1097,1)</f>
        <v>45016</v>
      </c>
      <c r="J1097" s="212">
        <f t="shared" ref="J1097" si="3162">EOMONTH(I1097,1)</f>
        <v>45046</v>
      </c>
      <c r="K1097" s="212">
        <f t="shared" ref="K1097" si="3163">EOMONTH(J1097,1)</f>
        <v>45077</v>
      </c>
      <c r="L1097" s="212">
        <f t="shared" ref="L1097" si="3164">EOMONTH(K1097,1)</f>
        <v>45107</v>
      </c>
      <c r="M1097" s="212">
        <f t="shared" ref="M1097" si="3165">EOMONTH(L1097,1)</f>
        <v>45138</v>
      </c>
      <c r="N1097" s="212">
        <f t="shared" ref="N1097" si="3166">EOMONTH(M1097,1)</f>
        <v>45169</v>
      </c>
      <c r="O1097" s="212">
        <f t="shared" ref="O1097" si="3167">EOMONTH(N1097,1)</f>
        <v>45199</v>
      </c>
      <c r="P1097" s="212">
        <f t="shared" ref="P1097" si="3168">EOMONTH(O1097,1)</f>
        <v>45230</v>
      </c>
      <c r="Q1097" s="212">
        <f t="shared" ref="Q1097" si="3169">EOMONTH(P1097,1)</f>
        <v>45260</v>
      </c>
      <c r="R1097" s="213">
        <f t="shared" ref="R1097" si="3170">EOMONTH(Q1097,1)</f>
        <v>45291</v>
      </c>
      <c r="S1097" s="4">
        <f t="shared" ref="S1097" si="3171">EOMONTH(R1097,1)</f>
        <v>45322</v>
      </c>
      <c r="T1097" s="19">
        <f t="shared" ref="T1097" si="3172">EOMONTH(S1097,1)</f>
        <v>45351</v>
      </c>
      <c r="U1097" s="19">
        <f t="shared" ref="U1097" si="3173">EOMONTH(T1097,1)</f>
        <v>45382</v>
      </c>
      <c r="V1097" s="19">
        <f t="shared" ref="V1097" si="3174">EOMONTH(U1097,1)</f>
        <v>45412</v>
      </c>
      <c r="W1097" s="19">
        <f t="shared" ref="W1097" si="3175">EOMONTH(V1097,1)</f>
        <v>45443</v>
      </c>
      <c r="X1097" s="19">
        <f t="shared" ref="X1097" si="3176">EOMONTH(W1097,1)</f>
        <v>45473</v>
      </c>
      <c r="Y1097" s="19">
        <f t="shared" ref="Y1097" si="3177">EOMONTH(X1097,1)</f>
        <v>45504</v>
      </c>
      <c r="Z1097" s="19">
        <f t="shared" ref="Z1097" si="3178">EOMONTH(Y1097,1)</f>
        <v>45535</v>
      </c>
      <c r="AA1097" s="19">
        <f t="shared" ref="AA1097" si="3179">EOMONTH(Z1097,1)</f>
        <v>45565</v>
      </c>
      <c r="AB1097" s="19">
        <f t="shared" ref="AB1097" si="3180">EOMONTH(AA1097,1)</f>
        <v>45596</v>
      </c>
      <c r="AC1097" s="19">
        <f t="shared" ref="AC1097" si="3181">EOMONTH(AB1097,1)</f>
        <v>45626</v>
      </c>
      <c r="AD1097" s="5">
        <f t="shared" ref="AD1097" si="3182">EOMONTH(AC1097,1)</f>
        <v>45657</v>
      </c>
      <c r="AE1097" s="168"/>
      <c r="AF1097" s="13">
        <v>45291</v>
      </c>
      <c r="AG1097" s="14">
        <v>45657</v>
      </c>
      <c r="AH1097" s="14">
        <v>46022</v>
      </c>
    </row>
    <row r="1098" spans="2:35" ht="0.95" customHeight="1" x14ac:dyDescent="0.2">
      <c r="B1098" s="9">
        <f>G1093</f>
        <v>23</v>
      </c>
      <c r="C1098" s="9"/>
      <c r="D1098" s="9" t="s">
        <v>56</v>
      </c>
      <c r="G1098" s="11"/>
      <c r="S1098" s="11"/>
      <c r="AD1098" s="15"/>
      <c r="AE1098" s="15"/>
      <c r="AF1098" s="11"/>
      <c r="AG1098" s="15"/>
      <c r="AH1098" s="15"/>
    </row>
    <row r="1099" spans="2:35" x14ac:dyDescent="0.2">
      <c r="B1099" s="9">
        <f>G1093</f>
        <v>23</v>
      </c>
      <c r="C1099" s="9" t="str">
        <f>B1099&amp;" - "&amp;F1099</f>
        <v>23 - Employed Vets</v>
      </c>
      <c r="D1099" s="9" t="s">
        <v>56</v>
      </c>
      <c r="F1099" s="7" t="s">
        <v>160</v>
      </c>
      <c r="G1099" s="178">
        <f>_xlfn.XLOOKUP($C1099,'Site Level Financials - ''23 ''24'!$C$2:$C$1577,'Site Level Financials - ''23 ''24'!S$2:S$1577)</f>
        <v>4</v>
      </c>
      <c r="H1099" s="179">
        <f>_xlfn.XLOOKUP($C1099,'Site Level Financials - ''23 ''24'!$C$2:$C$1577,'Site Level Financials - ''23 ''24'!T$2:T$1577)</f>
        <v>3</v>
      </c>
      <c r="I1099" s="179">
        <f>_xlfn.XLOOKUP($C1099,'Site Level Financials - ''23 ''24'!$C$2:$C$1577,'Site Level Financials - ''23 ''24'!U$2:U$1577)</f>
        <v>3</v>
      </c>
      <c r="J1099" s="179">
        <f>_xlfn.XLOOKUP($C1099,'Site Level Financials - ''23 ''24'!$C$2:$C$1577,'Site Level Financials - ''23 ''24'!V$2:V$1577)</f>
        <v>2</v>
      </c>
      <c r="K1099" s="179">
        <f>_xlfn.XLOOKUP($C1099,'Site Level Financials - ''23 ''24'!$C$2:$C$1577,'Site Level Financials - ''23 ''24'!W$2:W$1577)</f>
        <v>1</v>
      </c>
      <c r="L1099" s="179">
        <f>_xlfn.XLOOKUP($C1099,'Site Level Financials - ''23 ''24'!$C$2:$C$1577,'Site Level Financials - ''23 ''24'!X$2:X$1577)</f>
        <v>2</v>
      </c>
      <c r="M1099" s="179">
        <f>_xlfn.XLOOKUP($C1099,'Site Level Financials - ''23 ''24'!$C$2:$C$1577,'Site Level Financials - ''23 ''24'!Y$2:Y$1577)</f>
        <v>2</v>
      </c>
      <c r="N1099" s="179">
        <f>_xlfn.XLOOKUP($C1099,'Site Level Financials - ''23 ''24'!$C$2:$C$1577,'Site Level Financials - ''23 ''24'!Z$2:Z$1577)</f>
        <v>3</v>
      </c>
      <c r="O1099" s="179">
        <f>_xlfn.XLOOKUP($C1099,'Site Level Financials - ''23 ''24'!$C$2:$C$1577,'Site Level Financials - ''23 ''24'!AA$2:AA$1577)</f>
        <v>3</v>
      </c>
      <c r="P1099" s="179">
        <f>_xlfn.XLOOKUP($C1099,'Site Level Financials - ''23 ''24'!$C$2:$C$1577,'Site Level Financials - ''23 ''24'!AB$2:AB$1577)</f>
        <v>3</v>
      </c>
      <c r="Q1099" s="179">
        <f>_xlfn.XLOOKUP($C1099,'Site Level Financials - ''23 ''24'!$C$2:$C$1577,'Site Level Financials - ''23 ''24'!AC$2:AC$1577)</f>
        <v>4</v>
      </c>
      <c r="R1099" s="179">
        <f>_xlfn.XLOOKUP($C1099,'Site Level Financials - ''23 ''24'!$C$2:$C$1577,'Site Level Financials - ''23 ''24'!AD$2:AD$1577)</f>
        <v>4</v>
      </c>
      <c r="S1099" s="178">
        <f>R1099+_xlfn.XLOOKUP($R1099,'Budget Assumption Driver'!$A$7:$A$11,'Budget Assumption Driver'!E$7:E$11)</f>
        <v>4</v>
      </c>
      <c r="T1099" s="179">
        <f>S1099+_xlfn.XLOOKUP($R1099,'Budget Assumption Driver'!$A$7:$A$11,'Budget Assumption Driver'!F$7:F$11)</f>
        <v>4</v>
      </c>
      <c r="U1099" s="179">
        <f>T1099+_xlfn.XLOOKUP($R1099,'Budget Assumption Driver'!$A$7:$A$11,'Budget Assumption Driver'!G$7:G$11)</f>
        <v>4</v>
      </c>
      <c r="V1099" s="179">
        <f>U1099+_xlfn.XLOOKUP($R1099,'Budget Assumption Driver'!$A$7:$A$11,'Budget Assumption Driver'!H$7:H$11)</f>
        <v>4</v>
      </c>
      <c r="W1099" s="179">
        <f>V1099+_xlfn.XLOOKUP($R1099,'Budget Assumption Driver'!$A$7:$A$11,'Budget Assumption Driver'!I$7:I$11)</f>
        <v>4</v>
      </c>
      <c r="X1099" s="179">
        <f>W1099+_xlfn.XLOOKUP($R1099,'Budget Assumption Driver'!$A$7:$A$11,'Budget Assumption Driver'!J$7:J$11)</f>
        <v>4</v>
      </c>
      <c r="Y1099" s="179">
        <f>X1099+_xlfn.XLOOKUP($R1099,'Budget Assumption Driver'!$A$7:$A$11,'Budget Assumption Driver'!K$7:K$11)</f>
        <v>4</v>
      </c>
      <c r="Z1099" s="179">
        <f>Y1099+_xlfn.XLOOKUP($R1099,'Budget Assumption Driver'!$A$7:$A$11,'Budget Assumption Driver'!L$7:L$11)</f>
        <v>4</v>
      </c>
      <c r="AA1099" s="179">
        <f>Z1099+_xlfn.XLOOKUP($R1099,'Budget Assumption Driver'!$A$7:$A$11,'Budget Assumption Driver'!M$7:M$11)</f>
        <v>4</v>
      </c>
      <c r="AB1099" s="179">
        <f>AA1099+_xlfn.XLOOKUP($R1099,'Budget Assumption Driver'!$A$7:$A$11,'Budget Assumption Driver'!N$7:N$11)</f>
        <v>4</v>
      </c>
      <c r="AC1099" s="179">
        <f>AB1099+_xlfn.XLOOKUP($R1099,'Budget Assumption Driver'!$A$7:$A$11,'Budget Assumption Driver'!O$7:O$11)</f>
        <v>4</v>
      </c>
      <c r="AD1099" s="290">
        <f>AC1099+_xlfn.XLOOKUP($R1099,'Budget Assumption Driver'!$A$7:$A$11,'Budget Assumption Driver'!P$7:P$11)</f>
        <v>4</v>
      </c>
      <c r="AE1099" s="15"/>
      <c r="AF1099" s="229">
        <f>_xlfn.XLOOKUP($C1099,'Site Level Financials - ''23 ''24'!$C$2:$C$1577,'Site Level Financials - ''23 ''24'!$AF$2:$AF$1577)</f>
        <v>2.1666666666666665</v>
      </c>
      <c r="AG1099" s="91">
        <f t="shared" ref="AG1099:AH1099" si="3183">AG1101/AG1100</f>
        <v>2.8252788104089221</v>
      </c>
      <c r="AH1099" s="91">
        <f t="shared" si="3183"/>
        <v>4</v>
      </c>
    </row>
    <row r="1100" spans="2:35" x14ac:dyDescent="0.2">
      <c r="B1100" s="9">
        <f>G1093</f>
        <v>23</v>
      </c>
      <c r="C1100" s="9" t="str">
        <f t="shared" ref="C1100:C1136" si="3184">B1100&amp;" - "&amp;F1100</f>
        <v>23 - Workdays in Month / Year</v>
      </c>
      <c r="D1100" s="9" t="s">
        <v>56</v>
      </c>
      <c r="F1100" s="7" t="s">
        <v>54</v>
      </c>
      <c r="G1100" s="178">
        <f>_xlfn.XLOOKUP($C1100,'Site Level Financials - ''23 ''24'!$C$2:$C$1577,'Site Level Financials - ''23 ''24'!S$2:S$1577)</f>
        <v>23</v>
      </c>
      <c r="H1100" s="235">
        <f>_xlfn.XLOOKUP($C1100,'Site Level Financials - ''23 ''24'!$C$2:$C$1577,'Site Level Financials - ''23 ''24'!T$2:T$1577)</f>
        <v>22</v>
      </c>
      <c r="I1100" s="235">
        <f>_xlfn.XLOOKUP($C1100,'Site Level Financials - ''23 ''24'!$C$2:$C$1577,'Site Level Financials - ''23 ''24'!U$2:U$1577)</f>
        <v>22</v>
      </c>
      <c r="J1100" s="179">
        <f>_xlfn.XLOOKUP($C1100,'Site Level Financials - ''23 ''24'!$C$2:$C$1577,'Site Level Financials - ''23 ''24'!V$2:V$1577)</f>
        <v>22</v>
      </c>
      <c r="K1100" s="179">
        <f>_xlfn.XLOOKUP($C1100,'Site Level Financials - ''23 ''24'!$C$2:$C$1577,'Site Level Financials - ''23 ''24'!W$2:W$1577)</f>
        <v>24</v>
      </c>
      <c r="L1100" s="179">
        <f>_xlfn.XLOOKUP($C1100,'Site Level Financials - ''23 ''24'!$C$2:$C$1577,'Site Level Financials - ''23 ''24'!X$2:X$1577)</f>
        <v>21</v>
      </c>
      <c r="M1100" s="179">
        <f>_xlfn.XLOOKUP($C1100,'Site Level Financials - ''23 ''24'!$C$2:$C$1577,'Site Level Financials - ''23 ''24'!Y$2:Y$1577)</f>
        <v>23</v>
      </c>
      <c r="N1100" s="179">
        <f>_xlfn.XLOOKUP($C1100,'Site Level Financials - ''23 ''24'!$C$2:$C$1577,'Site Level Financials - ''23 ''24'!Z$2:Z$1577)</f>
        <v>23</v>
      </c>
      <c r="O1100" s="179">
        <f>_xlfn.XLOOKUP($C1100,'Site Level Financials - ''23 ''24'!$C$2:$C$1577,'Site Level Financials - ''23 ''24'!AA$2:AA$1577)</f>
        <v>21</v>
      </c>
      <c r="P1100" s="179">
        <f>_xlfn.XLOOKUP($C1100,'Site Level Financials - ''23 ''24'!$C$2:$C$1577,'Site Level Financials - ''23 ''24'!AB$2:AB$1577)</f>
        <v>24</v>
      </c>
      <c r="Q1100" s="179">
        <f>_xlfn.XLOOKUP($C1100,'Site Level Financials - ''23 ''24'!$C$2:$C$1577,'Site Level Financials - ''23 ''24'!AC$2:AC$1577)</f>
        <v>22</v>
      </c>
      <c r="R1100" s="179">
        <f>_xlfn.XLOOKUP($C1100,'Site Level Financials - ''23 ''24'!$C$2:$C$1577,'Site Level Financials - ''23 ''24'!AD$2:AD$1577)</f>
        <v>22</v>
      </c>
      <c r="S1100" s="155">
        <f>NETWORKDAYS(R1097,S1097)</f>
        <v>23</v>
      </c>
      <c r="T1100" s="154">
        <f t="shared" ref="T1100:AD1100" si="3185">NETWORKDAYS(S1097,T1097)</f>
        <v>22</v>
      </c>
      <c r="U1100" s="154">
        <f t="shared" si="3185"/>
        <v>22</v>
      </c>
      <c r="V1100" s="154">
        <f t="shared" si="3185"/>
        <v>22</v>
      </c>
      <c r="W1100" s="154">
        <f t="shared" si="3185"/>
        <v>24</v>
      </c>
      <c r="X1100" s="154">
        <f t="shared" si="3185"/>
        <v>21</v>
      </c>
      <c r="Y1100" s="154">
        <f t="shared" si="3185"/>
        <v>23</v>
      </c>
      <c r="Z1100" s="154">
        <f t="shared" si="3185"/>
        <v>23</v>
      </c>
      <c r="AA1100" s="154">
        <f t="shared" si="3185"/>
        <v>21</v>
      </c>
      <c r="AB1100" s="154">
        <f t="shared" si="3185"/>
        <v>24</v>
      </c>
      <c r="AC1100" s="154">
        <f t="shared" si="3185"/>
        <v>22</v>
      </c>
      <c r="AD1100" s="156">
        <f t="shared" si="3185"/>
        <v>22</v>
      </c>
      <c r="AE1100" s="15"/>
      <c r="AF1100" s="115">
        <f>_xlfn.XLOOKUP($C1100,'Site Level Financials - ''23 ''24'!$C$2:$C$1577,'Site Level Financials - ''23 ''24'!$AF$2:$AF$1577)</f>
        <v>269</v>
      </c>
      <c r="AG1100" s="93">
        <f>SUM(G1100:R1100)</f>
        <v>269</v>
      </c>
      <c r="AH1100" s="93">
        <f>SUM(S1100:AD1100)</f>
        <v>269</v>
      </c>
    </row>
    <row r="1101" spans="2:35" x14ac:dyDescent="0.2">
      <c r="B1101" s="9">
        <f>G1093</f>
        <v>23</v>
      </c>
      <c r="C1101" s="9" t="str">
        <f t="shared" si="3184"/>
        <v>23 - Total Vet Days</v>
      </c>
      <c r="D1101" s="9" t="s">
        <v>56</v>
      </c>
      <c r="F1101" s="8" t="s">
        <v>51</v>
      </c>
      <c r="G1101" s="236">
        <f>_xlfn.XLOOKUP($C1101,'Site Level Financials - ''23 ''24'!$C$2:$C$1577,'Site Level Financials - ''23 ''24'!S$2:S$1577)</f>
        <v>92</v>
      </c>
      <c r="H1101" s="237">
        <f>_xlfn.XLOOKUP($C1101,'Site Level Financials - ''23 ''24'!$C$2:$C$1577,'Site Level Financials - ''23 ''24'!T$2:T$1577)</f>
        <v>66</v>
      </c>
      <c r="I1101" s="237">
        <f>_xlfn.XLOOKUP($C1101,'Site Level Financials - ''23 ''24'!$C$2:$C$1577,'Site Level Financials - ''23 ''24'!U$2:U$1577)</f>
        <v>66</v>
      </c>
      <c r="J1101" s="238">
        <f>_xlfn.XLOOKUP($C1101,'Site Level Financials - ''23 ''24'!$C$2:$C$1577,'Site Level Financials - ''23 ''24'!V$2:V$1577)</f>
        <v>44</v>
      </c>
      <c r="K1101" s="238">
        <f>_xlfn.XLOOKUP($C1101,'Site Level Financials - ''23 ''24'!$C$2:$C$1577,'Site Level Financials - ''23 ''24'!W$2:W$1577)</f>
        <v>24</v>
      </c>
      <c r="L1101" s="238">
        <f>_xlfn.XLOOKUP($C1101,'Site Level Financials - ''23 ''24'!$C$2:$C$1577,'Site Level Financials - ''23 ''24'!X$2:X$1577)</f>
        <v>42</v>
      </c>
      <c r="M1101" s="238">
        <f>_xlfn.XLOOKUP($C1101,'Site Level Financials - ''23 ''24'!$C$2:$C$1577,'Site Level Financials - ''23 ''24'!Y$2:Y$1577)</f>
        <v>46</v>
      </c>
      <c r="N1101" s="238">
        <f>_xlfn.XLOOKUP($C1101,'Site Level Financials - ''23 ''24'!$C$2:$C$1577,'Site Level Financials - ''23 ''24'!Z$2:Z$1577)</f>
        <v>69</v>
      </c>
      <c r="O1101" s="238">
        <f>_xlfn.XLOOKUP($C1101,'Site Level Financials - ''23 ''24'!$C$2:$C$1577,'Site Level Financials - ''23 ''24'!AA$2:AA$1577)</f>
        <v>63</v>
      </c>
      <c r="P1101" s="238">
        <f>_xlfn.XLOOKUP($C1101,'Site Level Financials - ''23 ''24'!$C$2:$C$1577,'Site Level Financials - ''23 ''24'!AB$2:AB$1577)</f>
        <v>72</v>
      </c>
      <c r="Q1101" s="238">
        <f>_xlfn.XLOOKUP($C1101,'Site Level Financials - ''23 ''24'!$C$2:$C$1577,'Site Level Financials - ''23 ''24'!AC$2:AC$1577)</f>
        <v>88</v>
      </c>
      <c r="R1101" s="238">
        <f>_xlfn.XLOOKUP($C1101,'Site Level Financials - ''23 ''24'!$C$2:$C$1577,'Site Level Financials - ''23 ''24'!AD$2:AD$1577)</f>
        <v>88</v>
      </c>
      <c r="S1101" s="125">
        <f t="shared" ref="S1101:AD1101" si="3186">S1099*S1100</f>
        <v>92</v>
      </c>
      <c r="T1101" s="127">
        <f t="shared" si="3186"/>
        <v>88</v>
      </c>
      <c r="U1101" s="127">
        <f t="shared" si="3186"/>
        <v>88</v>
      </c>
      <c r="V1101" s="127">
        <f t="shared" si="3186"/>
        <v>88</v>
      </c>
      <c r="W1101" s="127">
        <f t="shared" si="3186"/>
        <v>96</v>
      </c>
      <c r="X1101" s="127">
        <f t="shared" si="3186"/>
        <v>84</v>
      </c>
      <c r="Y1101" s="127">
        <f t="shared" si="3186"/>
        <v>92</v>
      </c>
      <c r="Z1101" s="127">
        <f t="shared" si="3186"/>
        <v>92</v>
      </c>
      <c r="AA1101" s="127">
        <f t="shared" si="3186"/>
        <v>84</v>
      </c>
      <c r="AB1101" s="127">
        <f t="shared" si="3186"/>
        <v>96</v>
      </c>
      <c r="AC1101" s="127">
        <f t="shared" si="3186"/>
        <v>88</v>
      </c>
      <c r="AD1101" s="128">
        <f t="shared" si="3186"/>
        <v>88</v>
      </c>
      <c r="AF1101" s="112">
        <f>_xlfn.XLOOKUP($C1101,'Site Level Financials - ''23 ''24'!$C$2:$C$1577,'Site Level Financials - ''23 ''24'!$AF$2:$AF$1577)</f>
        <v>584</v>
      </c>
      <c r="AG1101" s="120">
        <f>SUM(G1101:R1101)</f>
        <v>760</v>
      </c>
      <c r="AH1101" s="120">
        <f t="shared" ref="AH1101" si="3187">SUM(S1101:AD1101)</f>
        <v>1076</v>
      </c>
    </row>
    <row r="1102" spans="2:35" x14ac:dyDescent="0.2">
      <c r="B1102" s="9">
        <f>G1093</f>
        <v>23</v>
      </c>
      <c r="C1102" s="9" t="str">
        <f t="shared" si="3184"/>
        <v>23 - Production per Vet Workday</v>
      </c>
      <c r="D1102" s="9" t="s">
        <v>56</v>
      </c>
      <c r="F1102" s="7" t="s">
        <v>50</v>
      </c>
      <c r="G1102" s="239">
        <f>_xlfn.XLOOKUP($C1102,'Site Level Financials - ''23 ''24'!$C$2:$C$1577,'Site Level Financials - ''23 ''24'!S$2:S$1577)</f>
        <v>6.1851594755454027</v>
      </c>
      <c r="H1102" s="240">
        <f>_xlfn.XLOOKUP($C1102,'Site Level Financials - ''23 ''24'!$C$2:$C$1577,'Site Level Financials - ''23 ''24'!T$2:T$1577)</f>
        <v>7.346358261771778</v>
      </c>
      <c r="I1102" s="240">
        <f>_xlfn.XLOOKUP($C1102,'Site Level Financials - ''23 ''24'!$C$2:$C$1577,'Site Level Financials - ''23 ''24'!U$2:U$1577)</f>
        <v>7.4129335574670883</v>
      </c>
      <c r="J1102" s="240">
        <f>_xlfn.XLOOKUP($C1102,'Site Level Financials - ''23 ''24'!$C$2:$C$1577,'Site Level Financials - ''23 ''24'!V$2:V$1577)</f>
        <v>8.3418164772228156</v>
      </c>
      <c r="K1102" s="240">
        <f>_xlfn.XLOOKUP($C1102,'Site Level Financials - ''23 ''24'!$C$2:$C$1577,'Site Level Financials - ''23 ''24'!W$2:W$1577)</f>
        <v>9.5176151789111376</v>
      </c>
      <c r="L1102" s="240">
        <f>_xlfn.XLOOKUP($C1102,'Site Level Financials - ''23 ''24'!$C$2:$C$1577,'Site Level Financials - ''23 ''24'!X$2:X$1577)</f>
        <v>7.9565813614362595</v>
      </c>
      <c r="M1102" s="240">
        <f>_xlfn.XLOOKUP($C1102,'Site Level Financials - ''23 ''24'!$C$2:$C$1577,'Site Level Financials - ''23 ''24'!Y$2:Y$1577)</f>
        <v>7.8715768543657694</v>
      </c>
      <c r="N1102" s="240">
        <f>_xlfn.XLOOKUP($C1102,'Site Level Financials - ''23 ''24'!$C$2:$C$1577,'Site Level Financials - ''23 ''24'!Z$2:Z$1577)</f>
        <v>6.0961980348880553</v>
      </c>
      <c r="O1102" s="240">
        <f>_xlfn.XLOOKUP($C1102,'Site Level Financials - ''23 ''24'!$C$2:$C$1577,'Site Level Financials - ''23 ''24'!AA$2:AA$1577)</f>
        <v>6.3746789467019802</v>
      </c>
      <c r="P1102" s="240">
        <f>_xlfn.XLOOKUP($C1102,'Site Level Financials - ''23 ''24'!$C$2:$C$1577,'Site Level Financials - ''23 ''24'!AB$2:AB$1577)</f>
        <v>6.144612056672309</v>
      </c>
      <c r="Q1102" s="240">
        <f>_xlfn.XLOOKUP($C1102,'Site Level Financials - ''23 ''24'!$C$2:$C$1577,'Site Level Financials - ''23 ''24'!AC$2:AC$1577)</f>
        <v>5.291728399787468</v>
      </c>
      <c r="R1102" s="240">
        <f>_xlfn.XLOOKUP($C1102,'Site Level Financials - ''23 ''24'!$C$2:$C$1577,'Site Level Financials - ''23 ''24'!AD$2:AD$1577)</f>
        <v>4.4275522060043411</v>
      </c>
      <c r="S1102" s="239">
        <f>R1102*(1+_xlfn.XLOOKUP($R1099,'Budget Assumption Driver'!$A$15:$A$19,'Budget Assumption Driver'!E$15:E$19))</f>
        <v>6.2641395973448573</v>
      </c>
      <c r="T1102" s="240">
        <f>S1102*(1+_xlfn.XLOOKUP($R1099,'Budget Assumption Driver'!$A$15:$A$19,'Budget Assumption Driver'!F$15:F$19))</f>
        <v>6.781219457303159</v>
      </c>
      <c r="U1102" s="240">
        <f>T1102*(1+_xlfn.XLOOKUP($R1099,'Budget Assumption Driver'!$A$15:$A$19,'Budget Assumption Driver'!G$15:G$19))</f>
        <v>7.2816004479556771</v>
      </c>
      <c r="V1102" s="240">
        <f>U1102*(1+_xlfn.XLOOKUP($R1099,'Budget Assumption Driver'!$A$15:$A$19,'Budget Assumption Driver'!H$15:H$19))</f>
        <v>7.799770365803246</v>
      </c>
      <c r="W1102" s="240">
        <f>V1102*(1+_xlfn.XLOOKUP($R1099,'Budget Assumption Driver'!$A$15:$A$19,'Budget Assumption Driver'!I$15:I$19))</f>
        <v>8.4976083781574836</v>
      </c>
      <c r="X1102" s="240">
        <f>W1102*(1+_xlfn.XLOOKUP($R1099,'Budget Assumption Driver'!$A$15:$A$19,'Budget Assumption Driver'!J$15:J$19))</f>
        <v>8.1552639772948812</v>
      </c>
      <c r="Y1102" s="240">
        <f>X1102*(1+_xlfn.XLOOKUP($R1099,'Budget Assumption Driver'!$A$15:$A$19,'Budget Assumption Driver'!K$15:K$19))</f>
        <v>7.501488447254264</v>
      </c>
      <c r="Z1102" s="240">
        <f>Y1102*(1+_xlfn.XLOOKUP($R1099,'Budget Assumption Driver'!$A$15:$A$19,'Budget Assumption Driver'!L$15:L$19))</f>
        <v>6.4324575627034708</v>
      </c>
      <c r="AA1102" s="240">
        <f>Z1102*(1+_xlfn.XLOOKUP($R1099,'Budget Assumption Driver'!$A$15:$A$19,'Budget Assumption Driver'!M$15:M$19))</f>
        <v>6.4591834595843949</v>
      </c>
      <c r="AB1102" s="240">
        <f>AA1102*(1+_xlfn.XLOOKUP($R1099,'Budget Assumption Driver'!$A$15:$A$19,'Budget Assumption Driver'!N$15:N$19))</f>
        <v>6.4910346523422984</v>
      </c>
      <c r="AC1102" s="240">
        <f>AB1102*(1+_xlfn.XLOOKUP($R1099,'Budget Assumption Driver'!$A$15:$A$19,'Budget Assumption Driver'!O$15:O$19))</f>
        <v>5.597412451804594</v>
      </c>
      <c r="AD1102" s="291">
        <f>AC1102*(1+_xlfn.XLOOKUP($R1099,'Budget Assumption Driver'!$A$15:$A$19,'Budget Assumption Driver'!P$15:P$19))</f>
        <v>4.5686783057000291</v>
      </c>
      <c r="AE1102" s="15"/>
      <c r="AF1102" s="230">
        <f>_xlfn.XLOOKUP($C1102,'Site Level Financials - ''23 ''24'!$C$2:$C$1577,'Site Level Financials - ''23 ''24'!$AF$2:$AF$1577)</f>
        <v>6.6902081850329784</v>
      </c>
      <c r="AG1102" s="101">
        <f>AG1103/AG1101</f>
        <v>6.5195141750425627</v>
      </c>
      <c r="AH1102" s="101">
        <f>AH1103/AH1101</f>
        <v>6.824601414508872</v>
      </c>
    </row>
    <row r="1103" spans="2:35" x14ac:dyDescent="0.2">
      <c r="B1103" s="9">
        <f>G1093</f>
        <v>23</v>
      </c>
      <c r="C1103" s="9" t="str">
        <f t="shared" si="3184"/>
        <v>23 - Total Production</v>
      </c>
      <c r="D1103" s="9" t="s">
        <v>56</v>
      </c>
      <c r="F1103" s="8" t="s">
        <v>1</v>
      </c>
      <c r="G1103" s="241">
        <f>_xlfn.XLOOKUP($C1103,'Site Level Financials - ''23 ''24'!$C$2:$C$1577,'Site Level Financials - ''23 ''24'!S$2:S$1577)</f>
        <v>569.03467175017704</v>
      </c>
      <c r="H1103" s="242">
        <f>_xlfn.XLOOKUP($C1103,'Site Level Financials - ''23 ''24'!$C$2:$C$1577,'Site Level Financials - ''23 ''24'!T$2:T$1577)</f>
        <v>484.85964527693733</v>
      </c>
      <c r="I1103" s="242">
        <f>_xlfn.XLOOKUP($C1103,'Site Level Financials - ''23 ''24'!$C$2:$C$1577,'Site Level Financials - ''23 ''24'!U$2:U$1577)</f>
        <v>489.25361479282782</v>
      </c>
      <c r="J1103" s="242">
        <f>_xlfn.XLOOKUP($C1103,'Site Level Financials - ''23 ''24'!$C$2:$C$1577,'Site Level Financials - ''23 ''24'!V$2:V$1577)</f>
        <v>367.03992499780389</v>
      </c>
      <c r="K1103" s="242">
        <f>_xlfn.XLOOKUP($C1103,'Site Level Financials - ''23 ''24'!$C$2:$C$1577,'Site Level Financials - ''23 ''24'!W$2:W$1577)</f>
        <v>228.42276429386732</v>
      </c>
      <c r="L1103" s="242">
        <f>_xlfn.XLOOKUP($C1103,'Site Level Financials - ''23 ''24'!$C$2:$C$1577,'Site Level Financials - ''23 ''24'!X$2:X$1577)</f>
        <v>334.17641718032291</v>
      </c>
      <c r="M1103" s="242">
        <f>_xlfn.XLOOKUP($C1103,'Site Level Financials - ''23 ''24'!$C$2:$C$1577,'Site Level Financials - ''23 ''24'!Y$2:Y$1577)</f>
        <v>362.09253530082538</v>
      </c>
      <c r="N1103" s="242">
        <f>_xlfn.XLOOKUP($C1103,'Site Level Financials - ''23 ''24'!$C$2:$C$1577,'Site Level Financials - ''23 ''24'!Z$2:Z$1577)</f>
        <v>420.63766440727579</v>
      </c>
      <c r="O1103" s="242">
        <f>_xlfn.XLOOKUP($C1103,'Site Level Financials - ''23 ''24'!$C$2:$C$1577,'Site Level Financials - ''23 ''24'!AA$2:AA$1577)</f>
        <v>401.60477364222476</v>
      </c>
      <c r="P1103" s="242">
        <f>_xlfn.XLOOKUP($C1103,'Site Level Financials - ''23 ''24'!$C$2:$C$1577,'Site Level Financials - ''23 ''24'!AB$2:AB$1577)</f>
        <v>442.41206808040624</v>
      </c>
      <c r="Q1103" s="242">
        <f>_xlfn.XLOOKUP($C1103,'Site Level Financials - ''23 ''24'!$C$2:$C$1577,'Site Level Financials - ''23 ''24'!AC$2:AC$1577)</f>
        <v>465.6720991812972</v>
      </c>
      <c r="R1103" s="242">
        <f>_xlfn.XLOOKUP($C1103,'Site Level Financials - ''23 ''24'!$C$2:$C$1577,'Site Level Financials - ''23 ''24'!AD$2:AD$1577)</f>
        <v>389.624594128382</v>
      </c>
      <c r="S1103" s="134">
        <f t="shared" ref="S1103:AD1103" si="3188">S1102*S1101</f>
        <v>576.30084295572692</v>
      </c>
      <c r="T1103" s="135">
        <f t="shared" si="3188"/>
        <v>596.74731224267794</v>
      </c>
      <c r="U1103" s="135">
        <f t="shared" si="3188"/>
        <v>640.7808394200996</v>
      </c>
      <c r="V1103" s="135">
        <f t="shared" si="3188"/>
        <v>686.37979219068563</v>
      </c>
      <c r="W1103" s="135">
        <f t="shared" si="3188"/>
        <v>815.77040430311843</v>
      </c>
      <c r="X1103" s="135">
        <f t="shared" si="3188"/>
        <v>685.04217409276998</v>
      </c>
      <c r="Y1103" s="135">
        <f t="shared" si="3188"/>
        <v>690.13693714739225</v>
      </c>
      <c r="Z1103" s="135">
        <f t="shared" si="3188"/>
        <v>591.78609576871929</v>
      </c>
      <c r="AA1103" s="135">
        <f t="shared" si="3188"/>
        <v>542.57141060508911</v>
      </c>
      <c r="AB1103" s="135">
        <f t="shared" si="3188"/>
        <v>623.13932662486059</v>
      </c>
      <c r="AC1103" s="135">
        <f t="shared" si="3188"/>
        <v>492.57229575880427</v>
      </c>
      <c r="AD1103" s="136">
        <f t="shared" si="3188"/>
        <v>402.04369090160253</v>
      </c>
      <c r="AE1103" s="15"/>
      <c r="AF1103" s="113">
        <f>_xlfn.XLOOKUP($C1103,'Site Level Financials - ''23 ''24'!$C$2:$C$1577,'Site Level Financials - ''23 ''24'!$AF$2:$AF$1577)</f>
        <v>3486.1575400502379</v>
      </c>
      <c r="AG1103" s="95">
        <f>SUM(G1103:R1103)</f>
        <v>4954.8307730323477</v>
      </c>
      <c r="AH1103" s="95">
        <f t="shared" ref="AH1103" si="3189">SUM(S1103:AD1103)</f>
        <v>7343.2711220115461</v>
      </c>
    </row>
    <row r="1104" spans="2:35" x14ac:dyDescent="0.2">
      <c r="B1104" s="9">
        <f>G1093</f>
        <v>23</v>
      </c>
      <c r="C1104" s="9" t="str">
        <f t="shared" si="3184"/>
        <v>23 - Revenue as a % of Production</v>
      </c>
      <c r="D1104" s="9" t="s">
        <v>56</v>
      </c>
      <c r="F1104" s="7" t="s">
        <v>2</v>
      </c>
      <c r="G1104" s="243">
        <f>_xlfn.XLOOKUP($C1104,'Site Level Financials - ''23 ''24'!$C$2:$C$1577,'Site Level Financials - ''23 ''24'!S$2:S$1577)</f>
        <v>0.97243636909848574</v>
      </c>
      <c r="H1104" s="244">
        <f>_xlfn.XLOOKUP($C1104,'Site Level Financials - ''23 ''24'!$C$2:$C$1577,'Site Level Financials - ''23 ''24'!T$2:T$1577)</f>
        <v>0.97243636909848574</v>
      </c>
      <c r="I1104" s="244">
        <f>_xlfn.XLOOKUP($C1104,'Site Level Financials - ''23 ''24'!$C$2:$C$1577,'Site Level Financials - ''23 ''24'!U$2:U$1577)</f>
        <v>0.97243636909848574</v>
      </c>
      <c r="J1104" s="244">
        <f>_xlfn.XLOOKUP($C1104,'Site Level Financials - ''23 ''24'!$C$2:$C$1577,'Site Level Financials - ''23 ''24'!V$2:V$1577)</f>
        <v>0.97243636909848574</v>
      </c>
      <c r="K1104" s="244">
        <f>_xlfn.XLOOKUP($C1104,'Site Level Financials - ''23 ''24'!$C$2:$C$1577,'Site Level Financials - ''23 ''24'!W$2:W$1577)</f>
        <v>0.97243636909848574</v>
      </c>
      <c r="L1104" s="244">
        <f>_xlfn.XLOOKUP($C1104,'Site Level Financials - ''23 ''24'!$C$2:$C$1577,'Site Level Financials - ''23 ''24'!X$2:X$1577)</f>
        <v>0.97243636909848574</v>
      </c>
      <c r="M1104" s="244">
        <f>_xlfn.XLOOKUP($C1104,'Site Level Financials - ''23 ''24'!$C$2:$C$1577,'Site Level Financials - ''23 ''24'!Y$2:Y$1577)</f>
        <v>0.97243636909848574</v>
      </c>
      <c r="N1104" s="244">
        <f>_xlfn.XLOOKUP($C1104,'Site Level Financials - ''23 ''24'!$C$2:$C$1577,'Site Level Financials - ''23 ''24'!Z$2:Z$1577)</f>
        <v>0.97243636909848574</v>
      </c>
      <c r="O1104" s="244">
        <f>_xlfn.XLOOKUP($C1104,'Site Level Financials - ''23 ''24'!$C$2:$C$1577,'Site Level Financials - ''23 ''24'!AA$2:AA$1577)</f>
        <v>0.97243636909848574</v>
      </c>
      <c r="P1104" s="244">
        <f>_xlfn.XLOOKUP($C1104,'Site Level Financials - ''23 ''24'!$C$2:$C$1577,'Site Level Financials - ''23 ''24'!AB$2:AB$1577)</f>
        <v>0.97243636909848574</v>
      </c>
      <c r="Q1104" s="244">
        <f>_xlfn.XLOOKUP($C1104,'Site Level Financials - ''23 ''24'!$C$2:$C$1577,'Site Level Financials - ''23 ''24'!AC$2:AC$1577)</f>
        <v>0.97243636909848574</v>
      </c>
      <c r="R1104" s="244">
        <f>_xlfn.XLOOKUP($C1104,'Site Level Financials - ''23 ''24'!$C$2:$C$1577,'Site Level Financials - ''23 ''24'!AD$2:AD$1577)</f>
        <v>0.97243636909848574</v>
      </c>
      <c r="S1104" s="292">
        <f>SUM(G1133:R1133)/SUM(G1103:R1103)</f>
        <v>0.98054757633232159</v>
      </c>
      <c r="T1104" s="203">
        <f>S1104</f>
        <v>0.98054757633232159</v>
      </c>
      <c r="U1104" s="203">
        <f t="shared" ref="U1104:AD1104" si="3190">T1104</f>
        <v>0.98054757633232159</v>
      </c>
      <c r="V1104" s="203">
        <f t="shared" si="3190"/>
        <v>0.98054757633232159</v>
      </c>
      <c r="W1104" s="203">
        <f t="shared" si="3190"/>
        <v>0.98054757633232159</v>
      </c>
      <c r="X1104" s="203">
        <f t="shared" si="3190"/>
        <v>0.98054757633232159</v>
      </c>
      <c r="Y1104" s="203">
        <f t="shared" si="3190"/>
        <v>0.98054757633232159</v>
      </c>
      <c r="Z1104" s="203">
        <f t="shared" si="3190"/>
        <v>0.98054757633232159</v>
      </c>
      <c r="AA1104" s="203">
        <f t="shared" si="3190"/>
        <v>0.98054757633232159</v>
      </c>
      <c r="AB1104" s="203">
        <f t="shared" si="3190"/>
        <v>0.98054757633232159</v>
      </c>
      <c r="AC1104" s="203">
        <f t="shared" si="3190"/>
        <v>0.98054757633232159</v>
      </c>
      <c r="AD1104" s="204">
        <f t="shared" si="3190"/>
        <v>0.98054757633232159</v>
      </c>
      <c r="AE1104" s="15"/>
      <c r="AF1104" s="231">
        <f>_xlfn.XLOOKUP($C1104,'Site Level Financials - ''23 ''24'!$C$2:$C$1577,'Site Level Financials - ''23 ''24'!$AF$2:$AF$1577)</f>
        <v>0.9862657035554856</v>
      </c>
      <c r="AG1104" s="103">
        <f>AG1105/AG1103</f>
        <v>0.97243636909848563</v>
      </c>
      <c r="AH1104" s="103">
        <f>AH1105/AH1103</f>
        <v>0.98054757633232159</v>
      </c>
    </row>
    <row r="1105" spans="2:34" x14ac:dyDescent="0.2">
      <c r="B1105" s="9">
        <f>G1093</f>
        <v>23</v>
      </c>
      <c r="C1105" s="9" t="str">
        <f t="shared" si="3184"/>
        <v>23 - Total Revenue</v>
      </c>
      <c r="D1105" s="9" t="s">
        <v>56</v>
      </c>
      <c r="F1105" s="8" t="s">
        <v>3</v>
      </c>
      <c r="G1105" s="241">
        <f>_xlfn.XLOOKUP($C1105,'Site Level Financials - ''23 ''24'!$C$2:$C$1577,'Site Level Financials - ''23 ''24'!S$2:S$1577)</f>
        <v>553.35001008789084</v>
      </c>
      <c r="H1105" s="242">
        <f>_xlfn.XLOOKUP($C1105,'Site Level Financials - ''23 ''24'!$C$2:$C$1577,'Site Level Financials - ''23 ''24'!T$2:T$1577)</f>
        <v>471.4951529754847</v>
      </c>
      <c r="I1105" s="242">
        <f>_xlfn.XLOOKUP($C1105,'Site Level Financials - ''23 ''24'!$C$2:$C$1577,'Site Level Financials - ''23 ''24'!U$2:U$1577)</f>
        <v>475.76800873744668</v>
      </c>
      <c r="J1105" s="242">
        <f>_xlfn.XLOOKUP($C1105,'Site Level Financials - ''23 ''24'!$C$2:$C$1577,'Site Level Financials - ''23 ''24'!V$2:V$1577)</f>
        <v>356.92297197904497</v>
      </c>
      <c r="K1105" s="242">
        <f>_xlfn.XLOOKUP($C1105,'Site Level Financials - ''23 ''24'!$C$2:$C$1577,'Site Level Financials - ''23 ''24'!W$2:W$1577)</f>
        <v>222.12660352936757</v>
      </c>
      <c r="L1105" s="242">
        <f>_xlfn.XLOOKUP($C1105,'Site Level Financials - ''23 ''24'!$C$2:$C$1577,'Site Level Financials - ''23 ''24'!X$2:X$1577)</f>
        <v>324.96530176117403</v>
      </c>
      <c r="M1105" s="242">
        <f>_xlfn.XLOOKUP($C1105,'Site Level Financials - ''23 ''24'!$C$2:$C$1577,'Site Level Financials - ''23 ''24'!Y$2:Y$1577)</f>
        <v>352.11195030559992</v>
      </c>
      <c r="N1105" s="242">
        <f>_xlfn.XLOOKUP($C1105,'Site Level Financials - ''23 ''24'!$C$2:$C$1577,'Site Level Financials - ''23 ''24'!Z$2:Z$1577)</f>
        <v>409.04336308227863</v>
      </c>
      <c r="O1105" s="242">
        <f>_xlfn.XLOOKUP($C1105,'Site Level Financials - ''23 ''24'!$C$2:$C$1577,'Site Level Financials - ''23 ''24'!AA$2:AA$1577)</f>
        <v>390.53508789326429</v>
      </c>
      <c r="P1105" s="242">
        <f>_xlfn.XLOOKUP($C1105,'Site Level Financials - ''23 ''24'!$C$2:$C$1577,'Site Level Financials - ''23 ''24'!AB$2:AB$1577)</f>
        <v>430.21758512946235</v>
      </c>
      <c r="Q1105" s="242">
        <f>_xlfn.XLOOKUP($C1105,'Site Level Financials - ''23 ''24'!$C$2:$C$1577,'Site Level Financials - ''23 ''24'!AC$2:AC$1577)</f>
        <v>452.83648531833057</v>
      </c>
      <c r="R1105" s="242">
        <f>_xlfn.XLOOKUP($C1105,'Site Level Financials - ''23 ''24'!$C$2:$C$1577,'Site Level Financials - ''23 ''24'!AD$2:AD$1577)</f>
        <v>378.88512562567496</v>
      </c>
      <c r="S1105" s="134">
        <f t="shared" ref="S1105:AD1105" si="3191">S1104*S1103</f>
        <v>565.09039479851197</v>
      </c>
      <c r="T1105" s="135">
        <f t="shared" si="3191"/>
        <v>585.13913070238505</v>
      </c>
      <c r="U1105" s="135">
        <f t="shared" si="3191"/>
        <v>628.31609905356925</v>
      </c>
      <c r="V1105" s="135">
        <f t="shared" si="3191"/>
        <v>673.02804167605939</v>
      </c>
      <c r="W1105" s="135">
        <f t="shared" si="3191"/>
        <v>799.90169278306087</v>
      </c>
      <c r="X1105" s="135">
        <f t="shared" si="3191"/>
        <v>671.71644349208987</v>
      </c>
      <c r="Y1105" s="135">
        <f t="shared" si="3191"/>
        <v>676.71210105728721</v>
      </c>
      <c r="Z1105" s="135">
        <f t="shared" si="3191"/>
        <v>580.27442191318482</v>
      </c>
      <c r="AA1105" s="135">
        <f t="shared" si="3191"/>
        <v>532.01708165602906</v>
      </c>
      <c r="AB1105" s="135">
        <f t="shared" si="3191"/>
        <v>611.01775643936196</v>
      </c>
      <c r="AC1105" s="135">
        <f t="shared" si="3191"/>
        <v>482.99057077474299</v>
      </c>
      <c r="AD1105" s="136">
        <f t="shared" si="3191"/>
        <v>394.22296669326744</v>
      </c>
      <c r="AE1105" s="15"/>
      <c r="AF1105" s="113">
        <f>_xlfn.XLOOKUP($C1105,'Site Level Financials - ''23 ''24'!$C$2:$C$1577,'Site Level Financials - ''23 ''24'!$AF$2:$AF$1577)</f>
        <v>3438.2776189429078</v>
      </c>
      <c r="AG1105" s="95">
        <f>SUM(G1105:R1105)</f>
        <v>4818.2576464250187</v>
      </c>
      <c r="AH1105" s="95">
        <f t="shared" ref="AH1105" si="3192">SUM(S1105:AD1105)</f>
        <v>7200.4267010395497</v>
      </c>
    </row>
    <row r="1106" spans="2:34" x14ac:dyDescent="0.2">
      <c r="B1106" s="9">
        <f>G1093</f>
        <v>23</v>
      </c>
      <c r="C1106" s="9" t="str">
        <f t="shared" si="3184"/>
        <v>23 - % YoY Revenue Growth</v>
      </c>
      <c r="D1106" s="9" t="s">
        <v>56</v>
      </c>
      <c r="F1106" s="16" t="s">
        <v>174</v>
      </c>
      <c r="G1106" s="245">
        <f>_xlfn.XLOOKUP($C1106,'Site Level Financials - ''23 ''24'!$C$2:$C$1577,'Site Level Financials - ''23 ''24'!S$2:S$1577)</f>
        <v>2.8911314478628598</v>
      </c>
      <c r="H1106" s="246">
        <f>_xlfn.XLOOKUP($C1106,'Site Level Financials - ''23 ''24'!$C$2:$C$1577,'Site Level Financials - ''23 ''24'!T$2:T$1577)</f>
        <v>2.2153562505530338</v>
      </c>
      <c r="I1106" s="246">
        <f>_xlfn.XLOOKUP($C1106,'Site Level Financials - ''23 ''24'!$C$2:$C$1577,'Site Level Financials - ''23 ''24'!U$2:U$1577)</f>
        <v>1.6384169659132337</v>
      </c>
      <c r="J1106" s="246">
        <f>_xlfn.XLOOKUP($C1106,'Site Level Financials - ''23 ''24'!$C$2:$C$1577,'Site Level Financials - ''23 ''24'!V$2:V$1577)</f>
        <v>1.1577224697337862</v>
      </c>
      <c r="K1106" s="246">
        <f>_xlfn.XLOOKUP($C1106,'Site Level Financials - ''23 ''24'!$C$2:$C$1577,'Site Level Financials - ''23 ''24'!W$2:W$1577)</f>
        <v>0.11303765864311499</v>
      </c>
      <c r="L1106" s="246">
        <f>_xlfn.XLOOKUP($C1106,'Site Level Financials - ''23 ''24'!$C$2:$C$1577,'Site Level Financials - ''23 ''24'!X$2:X$1577)</f>
        <v>0.78057072180035703</v>
      </c>
      <c r="M1106" s="246">
        <f>_xlfn.XLOOKUP($C1106,'Site Level Financials - ''23 ''24'!$C$2:$C$1577,'Site Level Financials - ''23 ''24'!Y$2:Y$1577)</f>
        <v>0.17189166183717353</v>
      </c>
      <c r="N1106" s="246">
        <f>_xlfn.XLOOKUP($C1106,'Site Level Financials - ''23 ''24'!$C$2:$C$1577,'Site Level Financials - ''23 ''24'!Z$2:Z$1577)</f>
        <v>-2.0843556129684693E-2</v>
      </c>
      <c r="O1106" s="246">
        <f>_xlfn.XLOOKUP($C1106,'Site Level Financials - ''23 ''24'!$C$2:$C$1577,'Site Level Financials - ''23 ''24'!AA$2:AA$1577)</f>
        <v>-4.8133976695586833E-3</v>
      </c>
      <c r="P1106" s="246">
        <f>_xlfn.XLOOKUP($C1106,'Site Level Financials - ''23 ''24'!$C$2:$C$1577,'Site Level Financials - ''23 ''24'!AB$2:AB$1577)</f>
        <v>0.10743838302133435</v>
      </c>
      <c r="Q1106" s="246">
        <f>_xlfn.XLOOKUP($C1106,'Site Level Financials - ''23 ''24'!$C$2:$C$1577,'Site Level Financials - ''23 ''24'!AC$2:AC$1577)</f>
        <v>-5.6783465639618114E-2</v>
      </c>
      <c r="R1106" s="246">
        <f>_xlfn.XLOOKUP($C1106,'Site Level Financials - ''23 ''24'!$C$2:$C$1577,'Site Level Financials - ''23 ''24'!AD$2:AD$1577)</f>
        <v>-0.14356828830807977</v>
      </c>
      <c r="S1106" s="148">
        <f>S1105/G1105-1</f>
        <v>2.1216923279275601E-2</v>
      </c>
      <c r="T1106" s="149">
        <f t="shared" ref="T1106" si="3193">T1105/H1105-1</f>
        <v>0.24102894167569366</v>
      </c>
      <c r="U1106" s="149">
        <f t="shared" ref="U1106" si="3194">U1105/I1105-1</f>
        <v>0.32063545155325168</v>
      </c>
      <c r="V1106" s="149">
        <f t="shared" ref="V1106" si="3195">V1105/J1105-1</f>
        <v>0.8856394642919565</v>
      </c>
      <c r="W1106" s="149">
        <f t="shared" ref="W1106" si="3196">W1105/K1105-1</f>
        <v>2.6011071167227615</v>
      </c>
      <c r="X1106" s="149">
        <f t="shared" ref="X1106" si="3197">X1105/L1105-1</f>
        <v>1.0670405112535764</v>
      </c>
      <c r="Y1106" s="149">
        <f t="shared" ref="Y1106" si="3198">Y1105/M1105-1</f>
        <v>0.92186632822306946</v>
      </c>
      <c r="Z1106" s="149">
        <f t="shared" ref="Z1106" si="3199">Z1105/N1105-1</f>
        <v>0.41861346322947979</v>
      </c>
      <c r="AA1106" s="149">
        <f t="shared" ref="AA1106" si="3200">AA1105/O1105-1</f>
        <v>0.36227729120573327</v>
      </c>
      <c r="AB1106" s="149">
        <f t="shared" ref="AB1106" si="3201">AB1105/P1105-1</f>
        <v>0.42025286171296949</v>
      </c>
      <c r="AC1106" s="149">
        <f t="shared" ref="AC1106" si="3202">AC1105/Q1105-1</f>
        <v>6.6589346119527049E-2</v>
      </c>
      <c r="AD1106" s="150">
        <f t="shared" ref="AD1106" si="3203">AD1105/R1105-1</f>
        <v>4.0481507534148253E-2</v>
      </c>
      <c r="AE1106" s="15"/>
      <c r="AF1106" s="11"/>
      <c r="AG1106" s="97">
        <f>AG1105/AF1105-1</f>
        <v>0.40135794151095427</v>
      </c>
      <c r="AH1106" s="97">
        <f>AH1105/AG1105-1</f>
        <v>0.49440466438776243</v>
      </c>
    </row>
    <row r="1107" spans="2:34" ht="6" customHeight="1" x14ac:dyDescent="0.2">
      <c r="B1107" s="9">
        <f>G1093</f>
        <v>23</v>
      </c>
      <c r="C1107" s="9" t="str">
        <f t="shared" si="3184"/>
        <v xml:space="preserve">23 - </v>
      </c>
      <c r="D1107" s="9" t="s">
        <v>56</v>
      </c>
      <c r="G1107" s="80"/>
      <c r="H1107" s="63"/>
      <c r="I1107" s="63"/>
      <c r="J1107" s="63"/>
      <c r="K1107" s="63"/>
      <c r="L1107" s="63"/>
      <c r="M1107" s="63"/>
      <c r="N1107" s="63"/>
      <c r="O1107" s="63"/>
      <c r="P1107" s="63"/>
      <c r="Q1107" s="63"/>
      <c r="R1107" s="63"/>
      <c r="S1107" s="80"/>
      <c r="T1107" s="63"/>
      <c r="U1107" s="63"/>
      <c r="V1107" s="63"/>
      <c r="W1107" s="63"/>
      <c r="X1107" s="63"/>
      <c r="Y1107" s="63"/>
      <c r="Z1107" s="63"/>
      <c r="AA1107" s="63"/>
      <c r="AB1107" s="63"/>
      <c r="AC1107" s="63"/>
      <c r="AD1107" s="81"/>
      <c r="AE1107" s="15"/>
      <c r="AF1107" s="11"/>
      <c r="AG1107" s="15"/>
      <c r="AH1107" s="15"/>
    </row>
    <row r="1108" spans="2:34" x14ac:dyDescent="0.2">
      <c r="B1108" s="9">
        <f>G1093</f>
        <v>23</v>
      </c>
      <c r="C1108" s="9" t="str">
        <f t="shared" si="3184"/>
        <v>23 - Doctor Compensation</v>
      </c>
      <c r="D1108" s="9" t="s">
        <v>56</v>
      </c>
      <c r="F1108" t="s">
        <v>4</v>
      </c>
      <c r="G1108" s="178">
        <f>_xlfn.XLOOKUP($C1108,'Site Level Financials - ''23 ''24'!$C$2:$C$1577,'Site Level Financials - ''23 ''24'!S$2:S$1577)</f>
        <v>-108.95382490204035</v>
      </c>
      <c r="H1108" s="179">
        <f>_xlfn.XLOOKUP($C1108,'Site Level Financials - ''23 ''24'!$C$2:$C$1577,'Site Level Financials - ''23 ''24'!T$2:T$1577)</f>
        <v>-123.91834085089206</v>
      </c>
      <c r="I1108" s="179">
        <f>_xlfn.XLOOKUP($C1108,'Site Level Financials - ''23 ''24'!$C$2:$C$1577,'Site Level Financials - ''23 ''24'!U$2:U$1577)</f>
        <v>-123.26198350651039</v>
      </c>
      <c r="J1108" s="179">
        <f>_xlfn.XLOOKUP($C1108,'Site Level Financials - ''23 ''24'!$C$2:$C$1577,'Site Level Financials - ''23 ''24'!V$2:V$1577)</f>
        <v>-139.99052307006409</v>
      </c>
      <c r="K1108" s="179">
        <f>_xlfn.XLOOKUP($C1108,'Site Level Financials - ''23 ''24'!$C$2:$C$1577,'Site Level Financials - ''23 ''24'!W$2:W$1577)</f>
        <v>-100.72082989014245</v>
      </c>
      <c r="L1108" s="179">
        <f>_xlfn.XLOOKUP($C1108,'Site Level Financials - ''23 ''24'!$C$2:$C$1577,'Site Level Financials - ''23 ''24'!X$2:X$1577)</f>
        <v>-124.39942992376089</v>
      </c>
      <c r="M1108" s="179">
        <f>_xlfn.XLOOKUP($C1108,'Site Level Financials - ''23 ''24'!$C$2:$C$1577,'Site Level Financials - ''23 ''24'!Y$2:Y$1577)</f>
        <v>-134.72580527181492</v>
      </c>
      <c r="N1108" s="179">
        <f>_xlfn.XLOOKUP($C1108,'Site Level Financials - ''23 ''24'!$C$2:$C$1577,'Site Level Financials - ''23 ''24'!Z$2:Z$1577)</f>
        <v>-102.6253182521346</v>
      </c>
      <c r="O1108" s="179">
        <f>_xlfn.XLOOKUP($C1108,'Site Level Financials - ''23 ''24'!$C$2:$C$1577,'Site Level Financials - ''23 ''24'!AA$2:AA$1577)</f>
        <v>-95.70865207556821</v>
      </c>
      <c r="P1108" s="179">
        <f>_xlfn.XLOOKUP($C1108,'Site Level Financials - ''23 ''24'!$C$2:$C$1577,'Site Level Financials - ''23 ''24'!AB$2:AB$1577)</f>
        <v>-108.1718250135478</v>
      </c>
      <c r="Q1108" s="179">
        <f>_xlfn.XLOOKUP($C1108,'Site Level Financials - ''23 ''24'!$C$2:$C$1577,'Site Level Financials - ''23 ''24'!AC$2:AC$1577)</f>
        <v>-84.056524053171145</v>
      </c>
      <c r="R1108" s="179">
        <f>_xlfn.XLOOKUP($C1108,'Site Level Financials - ''23 ''24'!$C$2:$C$1577,'Site Level Financials - ''23 ''24'!AD$2:AD$1577)</f>
        <v>-68.95111056545673</v>
      </c>
      <c r="S1108" s="155">
        <f>S1109*S1105</f>
        <v>-111.26548984597056</v>
      </c>
      <c r="T1108" s="154">
        <f t="shared" ref="T1108" si="3204">T1109*T1105</f>
        <v>-153.78624740039044</v>
      </c>
      <c r="U1108" s="154">
        <f t="shared" ref="U1108" si="3205">U1109*U1105</f>
        <v>-162.78414524746981</v>
      </c>
      <c r="V1108" s="154">
        <f t="shared" ref="V1108" si="3206">V1109*V1105</f>
        <v>-263.97165492778646</v>
      </c>
      <c r="W1108" s="154">
        <f t="shared" ref="W1108" si="3207">W1109*W1105</f>
        <v>-362.70649731961464</v>
      </c>
      <c r="X1108" s="154">
        <f t="shared" ref="X1108" si="3208">X1109*X1105</f>
        <v>-257.13866122926419</v>
      </c>
      <c r="Y1108" s="154">
        <f t="shared" ref="Y1108" si="3209">Y1109*Y1105</f>
        <v>-258.92498869463918</v>
      </c>
      <c r="Z1108" s="154">
        <f t="shared" ref="Z1108" si="3210">Z1109*Z1105</f>
        <v>-145.58565814068822</v>
      </c>
      <c r="AA1108" s="154">
        <f t="shared" ref="AA1108" si="3211">AA1109*AA1105</f>
        <v>-130.38172329445706</v>
      </c>
      <c r="AB1108" s="154">
        <f t="shared" ref="AB1108" si="3212">AB1109*AB1105</f>
        <v>-153.63134403220582</v>
      </c>
      <c r="AC1108" s="154">
        <f t="shared" ref="AC1108" si="3213">AC1109*AC1105</f>
        <v>-89.653793026952115</v>
      </c>
      <c r="AD1108" s="156">
        <f t="shared" ref="AD1108" si="3214">AD1109*AD1105</f>
        <v>-71.742355467300158</v>
      </c>
      <c r="AE1108" s="15"/>
      <c r="AF1108" s="115">
        <f>_xlfn.XLOOKUP($C1108,'Site Level Financials - ''23 ''24'!$C$2:$C$1577,'Site Level Financials - ''23 ''24'!$AF$2:$AF$1577)</f>
        <v>-617.09961642905535</v>
      </c>
      <c r="AG1108" s="93">
        <f>SUM(G1108:R1108)</f>
        <v>-1315.4841673751034</v>
      </c>
      <c r="AH1108" s="93">
        <f t="shared" ref="AH1108" si="3215">SUM(S1108:AD1108)</f>
        <v>-2161.572558626739</v>
      </c>
    </row>
    <row r="1109" spans="2:34" x14ac:dyDescent="0.2">
      <c r="B1109" s="9">
        <f>G1093</f>
        <v>23</v>
      </c>
      <c r="C1109" s="9" t="str">
        <f t="shared" si="3184"/>
        <v>23 - % of Revenue - Doctor Compensation</v>
      </c>
      <c r="D1109" s="9" t="s">
        <v>56</v>
      </c>
      <c r="F1109" s="16" t="str">
        <f>"% of Revenue - "&amp;F1108</f>
        <v>% of Revenue - Doctor Compensation</v>
      </c>
      <c r="G1109" s="148">
        <f>G1108/G1105</f>
        <v>-0.1968985685655536</v>
      </c>
      <c r="H1109" s="149">
        <f t="shared" ref="H1109:R1109" si="3216">H1108/H1105</f>
        <v>-0.26281996764733478</v>
      </c>
      <c r="I1109" s="149">
        <f t="shared" si="3216"/>
        <v>-0.25908001640045686</v>
      </c>
      <c r="J1109" s="149">
        <f t="shared" si="3216"/>
        <v>-0.39221494288768549</v>
      </c>
      <c r="K1109" s="149">
        <f t="shared" si="3216"/>
        <v>-0.45343884203778434</v>
      </c>
      <c r="L1109" s="149">
        <f t="shared" si="3216"/>
        <v>-0.38280834676677411</v>
      </c>
      <c r="M1109" s="149">
        <f t="shared" si="3216"/>
        <v>-0.38262207560659511</v>
      </c>
      <c r="N1109" s="149">
        <f t="shared" si="3216"/>
        <v>-0.25089104851578203</v>
      </c>
      <c r="O1109" s="149">
        <f t="shared" si="3216"/>
        <v>-0.24507055842758485</v>
      </c>
      <c r="P1109" s="149">
        <f t="shared" si="3216"/>
        <v>-0.25143515456486143</v>
      </c>
      <c r="Q1109" s="149">
        <f t="shared" si="3216"/>
        <v>-0.18562224285899118</v>
      </c>
      <c r="R1109" s="149">
        <f t="shared" si="3216"/>
        <v>-0.18198421078577251</v>
      </c>
      <c r="S1109" s="245">
        <f>_xlfn.XLOOKUP($F1109,'Budget Assumption Driver'!$A$33:$A$39,'Budget Assumption Driver'!E$33:E$39)+G1109</f>
        <v>-0.1968985685655536</v>
      </c>
      <c r="T1109" s="246">
        <f>_xlfn.XLOOKUP($F1109,'Budget Assumption Driver'!$A$33:$A$39,'Budget Assumption Driver'!F$33:F$39)+H1109</f>
        <v>-0.26281996764733478</v>
      </c>
      <c r="U1109" s="246">
        <f>_xlfn.XLOOKUP($F1109,'Budget Assumption Driver'!$A$33:$A$39,'Budget Assumption Driver'!G$33:G$39)+I1109</f>
        <v>-0.25908001640045686</v>
      </c>
      <c r="V1109" s="246">
        <f>_xlfn.XLOOKUP($F1109,'Budget Assumption Driver'!$A$33:$A$39,'Budget Assumption Driver'!H$33:H$39)+J1109</f>
        <v>-0.39221494288768549</v>
      </c>
      <c r="W1109" s="246">
        <f>_xlfn.XLOOKUP($F1109,'Budget Assumption Driver'!$A$33:$A$39,'Budget Assumption Driver'!I$33:I$39)+K1109</f>
        <v>-0.45343884203778434</v>
      </c>
      <c r="X1109" s="246">
        <f>_xlfn.XLOOKUP($F1109,'Budget Assumption Driver'!$A$33:$A$39,'Budget Assumption Driver'!J$33:J$39)+L1109</f>
        <v>-0.38280834676677411</v>
      </c>
      <c r="Y1109" s="246">
        <f>_xlfn.XLOOKUP($F1109,'Budget Assumption Driver'!$A$33:$A$39,'Budget Assumption Driver'!K$33:K$39)+M1109</f>
        <v>-0.38262207560659511</v>
      </c>
      <c r="Z1109" s="246">
        <f>_xlfn.XLOOKUP($F1109,'Budget Assumption Driver'!$A$33:$A$39,'Budget Assumption Driver'!L$33:L$39)+N1109</f>
        <v>-0.25089104851578203</v>
      </c>
      <c r="AA1109" s="246">
        <f>_xlfn.XLOOKUP($F1109,'Budget Assumption Driver'!$A$33:$A$39,'Budget Assumption Driver'!M$33:M$39)+O1109</f>
        <v>-0.24507055842758485</v>
      </c>
      <c r="AB1109" s="246">
        <f>_xlfn.XLOOKUP($F1109,'Budget Assumption Driver'!$A$33:$A$39,'Budget Assumption Driver'!N$33:N$39)+P1109</f>
        <v>-0.25143515456486143</v>
      </c>
      <c r="AC1109" s="246">
        <f>_xlfn.XLOOKUP($F1109,'Budget Assumption Driver'!$A$33:$A$39,'Budget Assumption Driver'!O$33:O$39)+Q1109</f>
        <v>-0.18562224285899118</v>
      </c>
      <c r="AD1109" s="296">
        <f>_xlfn.XLOOKUP($F1109,'Budget Assumption Driver'!$A$33:$A$39,'Budget Assumption Driver'!P$33:P$39)+R1109</f>
        <v>-0.18198421078577251</v>
      </c>
      <c r="AE1109" s="15"/>
      <c r="AF1109" s="232">
        <f>_xlfn.XLOOKUP($C1109,'Site Level Financials - ''23 ''24'!$C$2:$C$1577,'Site Level Financials - ''23 ''24'!$AF$2:$AF$1577)</f>
        <v>-0.17947928725394244</v>
      </c>
      <c r="AG1109" s="97">
        <f t="shared" ref="AG1109:AH1109" si="3217">AG1108/AG1105</f>
        <v>-0.27302071908735459</v>
      </c>
      <c r="AH1109" s="97">
        <f t="shared" si="3217"/>
        <v>-0.30020061982085944</v>
      </c>
    </row>
    <row r="1110" spans="2:34" ht="3" customHeight="1" x14ac:dyDescent="0.2">
      <c r="B1110" s="9">
        <f>G1093</f>
        <v>23</v>
      </c>
      <c r="C1110" s="9" t="str">
        <f t="shared" si="3184"/>
        <v xml:space="preserve">23 - </v>
      </c>
      <c r="D1110" s="9" t="s">
        <v>56</v>
      </c>
      <c r="F1110" s="16"/>
      <c r="G1110" s="84"/>
      <c r="H1110" s="85"/>
      <c r="I1110" s="85"/>
      <c r="J1110" s="85"/>
      <c r="K1110" s="85"/>
      <c r="L1110" s="85"/>
      <c r="M1110" s="85"/>
      <c r="N1110" s="85"/>
      <c r="O1110" s="85"/>
      <c r="P1110" s="85"/>
      <c r="Q1110" s="85"/>
      <c r="R1110" s="85"/>
      <c r="S1110" s="84"/>
      <c r="T1110" s="85"/>
      <c r="U1110" s="85"/>
      <c r="V1110" s="85"/>
      <c r="W1110" s="85"/>
      <c r="X1110" s="85"/>
      <c r="Y1110" s="85"/>
      <c r="Z1110" s="85"/>
      <c r="AA1110" s="85"/>
      <c r="AB1110" s="85"/>
      <c r="AC1110" s="85"/>
      <c r="AD1110" s="86"/>
      <c r="AE1110" s="15"/>
      <c r="AF1110" s="36"/>
      <c r="AG1110" s="38"/>
      <c r="AH1110" s="38"/>
    </row>
    <row r="1111" spans="2:34" x14ac:dyDescent="0.2">
      <c r="B1111" s="9">
        <f>G1093</f>
        <v>23</v>
      </c>
      <c r="C1111" s="9" t="str">
        <f t="shared" si="3184"/>
        <v>23 - Administrative Staff Compensation</v>
      </c>
      <c r="D1111" s="9" t="s">
        <v>56</v>
      </c>
      <c r="F1111" t="s">
        <v>5</v>
      </c>
      <c r="G1111" s="178">
        <f>_xlfn.XLOOKUP($C1111,'Site Level Financials - ''23 ''24'!$C$2:$C$1577,'Site Level Financials - ''23 ''24'!S$2:S$1577)</f>
        <v>-40.728270784951228</v>
      </c>
      <c r="H1111" s="179">
        <f>_xlfn.XLOOKUP($C1111,'Site Level Financials - ''23 ''24'!$C$2:$C$1577,'Site Level Financials - ''23 ''24'!T$2:T$1577)</f>
        <v>-47.473682302504379</v>
      </c>
      <c r="I1111" s="179">
        <f>_xlfn.XLOOKUP($C1111,'Site Level Financials - ''23 ''24'!$C$2:$C$1577,'Site Level Financials - ''23 ''24'!U$2:U$1577)</f>
        <v>-48.183662195153055</v>
      </c>
      <c r="J1111" s="179">
        <f>_xlfn.XLOOKUP($C1111,'Site Level Financials - ''23 ''24'!$C$2:$C$1577,'Site Level Financials - ''23 ''24'!V$2:V$1577)</f>
        <v>-55.997092087667255</v>
      </c>
      <c r="K1111" s="179">
        <f>_xlfn.XLOOKUP($C1111,'Site Level Financials - ''23 ''24'!$C$2:$C$1577,'Site Level Financials - ''23 ''24'!W$2:W$1577)</f>
        <v>-67.306642688452811</v>
      </c>
      <c r="L1111" s="179">
        <f>_xlfn.XLOOKUP($C1111,'Site Level Financials - ''23 ''24'!$C$2:$C$1577,'Site Level Financials - ''23 ''24'!X$2:X$1577)</f>
        <v>-47.580586365140299</v>
      </c>
      <c r="M1111" s="179">
        <f>_xlfn.XLOOKUP($C1111,'Site Level Financials - ''23 ''24'!$C$2:$C$1577,'Site Level Financials - ''23 ''24'!Y$2:Y$1577)</f>
        <v>-50.37813331425626</v>
      </c>
      <c r="N1111" s="179">
        <f>_xlfn.XLOOKUP($C1111,'Site Level Financials - ''23 ''24'!$C$2:$C$1577,'Site Level Financials - ''23 ''24'!Z$2:Z$1577)</f>
        <v>-40.798069140139411</v>
      </c>
      <c r="O1111" s="179">
        <f>_xlfn.XLOOKUP($C1111,'Site Level Financials - ''23 ''24'!$C$2:$C$1577,'Site Level Financials - ''23 ''24'!AA$2:AA$1577)</f>
        <v>-37.511726673028846</v>
      </c>
      <c r="P1111" s="179">
        <f>_xlfn.XLOOKUP($C1111,'Site Level Financials - ''23 ''24'!$C$2:$C$1577,'Site Level Financials - ''23 ''24'!AB$2:AB$1577)</f>
        <v>-39.308379627059182</v>
      </c>
      <c r="Q1111" s="179">
        <f>_xlfn.XLOOKUP($C1111,'Site Level Financials - ''23 ''24'!$C$2:$C$1577,'Site Level Financials - ''23 ''24'!AC$2:AC$1577)</f>
        <v>-29.537372497373156</v>
      </c>
      <c r="R1111" s="179">
        <f>_xlfn.XLOOKUP($C1111,'Site Level Financials - ''23 ''24'!$C$2:$C$1577,'Site Level Financials - ''23 ''24'!AD$2:AD$1577)</f>
        <v>-25.291707889222536</v>
      </c>
      <c r="S1111" s="155">
        <f>S1112*S1105</f>
        <v>-41.592399381493095</v>
      </c>
      <c r="T1111" s="154">
        <f t="shared" ref="T1111" si="3218">T1112*T1105</f>
        <v>-58.916213705325113</v>
      </c>
      <c r="U1111" s="154">
        <f t="shared" ref="U1111" si="3219">U1112*U1105</f>
        <v>-63.633052480585292</v>
      </c>
      <c r="V1111" s="154">
        <f t="shared" ref="V1111" si="3220">V1112*V1105</f>
        <v>-105.59032672609624</v>
      </c>
      <c r="W1111" s="154">
        <f t="shared" ref="W1111" si="3221">W1112*W1105</f>
        <v>-242.37842998810348</v>
      </c>
      <c r="X1111" s="154">
        <f t="shared" ref="X1111" si="3222">X1112*X1105</f>
        <v>-98.350999565944534</v>
      </c>
      <c r="Y1111" s="154">
        <f t="shared" ref="Y1111" si="3223">Y1112*Y1105</f>
        <v>-96.820038095401969</v>
      </c>
      <c r="Z1111" s="154">
        <f t="shared" ref="Z1111" si="3224">Z1112*Z1105</f>
        <v>-57.87669015596893</v>
      </c>
      <c r="AA1111" s="154">
        <f t="shared" ref="AA1111" si="3225">AA1112*AA1105</f>
        <v>-51.101373400583597</v>
      </c>
      <c r="AB1111" s="154">
        <f t="shared" ref="AB1111" si="3226">AB1112*AB1105</f>
        <v>-55.82783865463059</v>
      </c>
      <c r="AC1111" s="154">
        <f t="shared" ref="AC1111" si="3227">AC1112*AC1105</f>
        <v>-31.504246818062136</v>
      </c>
      <c r="AD1111" s="156">
        <f t="shared" ref="AD1111" si="3228">AD1112*AD1105</f>
        <v>-26.315554352691574</v>
      </c>
      <c r="AE1111" s="15"/>
      <c r="AF1111" s="115">
        <f>_xlfn.XLOOKUP($C1111,'Site Level Financials - ''23 ''24'!$C$2:$C$1577,'Site Level Financials - ''23 ''24'!$AF$2:$AF$1577)</f>
        <v>-366.48382321792064</v>
      </c>
      <c r="AG1111" s="93">
        <f>SUM(G1111:R1111)</f>
        <v>-530.09532556494844</v>
      </c>
      <c r="AH1111" s="93">
        <f t="shared" ref="AH1111" si="3229">SUM(S1111:AD1111)</f>
        <v>-929.9071633248866</v>
      </c>
    </row>
    <row r="1112" spans="2:34" x14ac:dyDescent="0.2">
      <c r="B1112" s="9">
        <f>G1093</f>
        <v>23</v>
      </c>
      <c r="C1112" s="9" t="str">
        <f t="shared" si="3184"/>
        <v>23 - % of Revenue - Administrative Staff Compensation</v>
      </c>
      <c r="D1112" s="9" t="s">
        <v>56</v>
      </c>
      <c r="F1112" s="16" t="str">
        <f>"% of Revenue - "&amp;F1111</f>
        <v>% of Revenue - Administrative Staff Compensation</v>
      </c>
      <c r="G1112" s="148">
        <f>G1111/G1105</f>
        <v>-7.3603090345082292E-2</v>
      </c>
      <c r="H1112" s="149">
        <f t="shared" ref="H1112:R1112" si="3230">H1111/H1105</f>
        <v>-0.10068752987790049</v>
      </c>
      <c r="I1112" s="149">
        <f t="shared" si="3230"/>
        <v>-0.10127554041100582</v>
      </c>
      <c r="J1112" s="149">
        <f t="shared" si="3230"/>
        <v>-0.15688845068496979</v>
      </c>
      <c r="K1112" s="149">
        <f t="shared" si="3230"/>
        <v>-0.30301027260588415</v>
      </c>
      <c r="L1112" s="149">
        <f t="shared" si="3230"/>
        <v>-0.14641743628403928</v>
      </c>
      <c r="M1112" s="149">
        <f t="shared" si="3230"/>
        <v>-0.14307419350730016</v>
      </c>
      <c r="N1112" s="149">
        <f t="shared" si="3230"/>
        <v>-9.9740205617106961E-2</v>
      </c>
      <c r="O1112" s="149">
        <f t="shared" si="3230"/>
        <v>-9.6052129081116114E-2</v>
      </c>
      <c r="P1112" s="149">
        <f t="shared" si="3230"/>
        <v>-9.1368602739077681E-2</v>
      </c>
      <c r="Q1112" s="149">
        <f t="shared" si="3230"/>
        <v>-6.5227457272152581E-2</v>
      </c>
      <c r="R1112" s="149">
        <f t="shared" si="3230"/>
        <v>-6.6752971226983038E-2</v>
      </c>
      <c r="S1112" s="245">
        <f>_xlfn.XLOOKUP($F1112,'Budget Assumption Driver'!$A$33:$A$39,'Budget Assumption Driver'!E$33:E$39)+G1112</f>
        <v>-7.3603090345082292E-2</v>
      </c>
      <c r="T1112" s="246">
        <f>_xlfn.XLOOKUP($F1112,'Budget Assumption Driver'!$A$33:$A$39,'Budget Assumption Driver'!F$33:F$39)+H1112</f>
        <v>-0.10068752987790049</v>
      </c>
      <c r="U1112" s="246">
        <f>_xlfn.XLOOKUP($F1112,'Budget Assumption Driver'!$A$33:$A$39,'Budget Assumption Driver'!G$33:G$39)+I1112</f>
        <v>-0.10127554041100582</v>
      </c>
      <c r="V1112" s="246">
        <f>_xlfn.XLOOKUP($F1112,'Budget Assumption Driver'!$A$33:$A$39,'Budget Assumption Driver'!H$33:H$39)+J1112</f>
        <v>-0.15688845068496979</v>
      </c>
      <c r="W1112" s="246">
        <f>_xlfn.XLOOKUP($F1112,'Budget Assumption Driver'!$A$33:$A$39,'Budget Assumption Driver'!I$33:I$39)+K1112</f>
        <v>-0.30301027260588415</v>
      </c>
      <c r="X1112" s="246">
        <f>_xlfn.XLOOKUP($F1112,'Budget Assumption Driver'!$A$33:$A$39,'Budget Assumption Driver'!J$33:J$39)+L1112</f>
        <v>-0.14641743628403928</v>
      </c>
      <c r="Y1112" s="246">
        <f>_xlfn.XLOOKUP($F1112,'Budget Assumption Driver'!$A$33:$A$39,'Budget Assumption Driver'!K$33:K$39)+M1112</f>
        <v>-0.14307419350730016</v>
      </c>
      <c r="Z1112" s="246">
        <f>_xlfn.XLOOKUP($F1112,'Budget Assumption Driver'!$A$33:$A$39,'Budget Assumption Driver'!L$33:L$39)+N1112</f>
        <v>-9.9740205617106961E-2</v>
      </c>
      <c r="AA1112" s="246">
        <f>_xlfn.XLOOKUP($F1112,'Budget Assumption Driver'!$A$33:$A$39,'Budget Assumption Driver'!M$33:M$39)+O1112</f>
        <v>-9.6052129081116114E-2</v>
      </c>
      <c r="AB1112" s="246">
        <f>_xlfn.XLOOKUP($F1112,'Budget Assumption Driver'!$A$33:$A$39,'Budget Assumption Driver'!N$33:N$39)+P1112</f>
        <v>-9.1368602739077681E-2</v>
      </c>
      <c r="AC1112" s="246">
        <f>_xlfn.XLOOKUP($F1112,'Budget Assumption Driver'!$A$33:$A$39,'Budget Assumption Driver'!O$33:O$39)+Q1112</f>
        <v>-6.5227457272152581E-2</v>
      </c>
      <c r="AD1112" s="296">
        <f>_xlfn.XLOOKUP($F1112,'Budget Assumption Driver'!$A$33:$A$39,'Budget Assumption Driver'!P$33:P$39)+R1112</f>
        <v>-6.6752971226983038E-2</v>
      </c>
      <c r="AE1112" s="15"/>
      <c r="AF1112" s="232">
        <f>_xlfn.XLOOKUP($C1112,'Site Level Financials - ''23 ''24'!$C$2:$C$1577,'Site Level Financials - ''23 ''24'!$AF$2:$AF$1577)</f>
        <v>-0.10658936358100002</v>
      </c>
      <c r="AG1112" s="97">
        <f t="shared" ref="AG1112:AH1112" si="3231">AG1111/AG1105</f>
        <v>-0.11001805309399777</v>
      </c>
      <c r="AH1112" s="97">
        <f t="shared" si="3231"/>
        <v>-0.12914611896412095</v>
      </c>
    </row>
    <row r="1113" spans="2:34" ht="3" customHeight="1" x14ac:dyDescent="0.2">
      <c r="B1113" s="9">
        <f>G1093</f>
        <v>23</v>
      </c>
      <c r="C1113" s="9" t="str">
        <f t="shared" si="3184"/>
        <v xml:space="preserve">23 - </v>
      </c>
      <c r="D1113" s="9" t="s">
        <v>56</v>
      </c>
      <c r="F1113" s="16"/>
      <c r="G1113" s="84"/>
      <c r="H1113" s="85"/>
      <c r="I1113" s="85"/>
      <c r="J1113" s="85"/>
      <c r="K1113" s="85"/>
      <c r="L1113" s="85"/>
      <c r="M1113" s="85"/>
      <c r="N1113" s="85"/>
      <c r="O1113" s="85"/>
      <c r="P1113" s="85"/>
      <c r="Q1113" s="85"/>
      <c r="R1113" s="85"/>
      <c r="S1113" s="84"/>
      <c r="T1113" s="85"/>
      <c r="U1113" s="85"/>
      <c r="V1113" s="85"/>
      <c r="W1113" s="85"/>
      <c r="X1113" s="85"/>
      <c r="Y1113" s="85"/>
      <c r="Z1113" s="85"/>
      <c r="AA1113" s="85"/>
      <c r="AB1113" s="85"/>
      <c r="AC1113" s="85"/>
      <c r="AD1113" s="86"/>
      <c r="AE1113" s="15"/>
      <c r="AF1113" s="36"/>
      <c r="AG1113" s="38"/>
      <c r="AH1113" s="38"/>
    </row>
    <row r="1114" spans="2:34" x14ac:dyDescent="0.2">
      <c r="B1114" s="9">
        <f>G1093</f>
        <v>23</v>
      </c>
      <c r="C1114" s="9" t="str">
        <f t="shared" si="3184"/>
        <v>23 - Office Supplies</v>
      </c>
      <c r="D1114" s="9" t="s">
        <v>56</v>
      </c>
      <c r="F1114" t="s">
        <v>6</v>
      </c>
      <c r="G1114" s="178">
        <f>_xlfn.XLOOKUP($C1114,'Site Level Financials - ''23 ''24'!$C$2:$C$1577,'Site Level Financials - ''23 ''24'!S$2:S$1577)</f>
        <v>-14.242729785999728</v>
      </c>
      <c r="H1114" s="179">
        <f>_xlfn.XLOOKUP($C1114,'Site Level Financials - ''23 ''24'!$C$2:$C$1577,'Site Level Financials - ''23 ''24'!T$2:T$1577)</f>
        <v>-16.316601304724976</v>
      </c>
      <c r="I1114" s="179">
        <f>_xlfn.XLOOKUP($C1114,'Site Level Financials - ''23 ''24'!$C$2:$C$1577,'Site Level Financials - ''23 ''24'!U$2:U$1577)</f>
        <v>-17.072311901329524</v>
      </c>
      <c r="J1114" s="179">
        <f>_xlfn.XLOOKUP($C1114,'Site Level Financials - ''23 ''24'!$C$2:$C$1577,'Site Level Financials - ''23 ''24'!V$2:V$1577)</f>
        <v>-19.418489333941533</v>
      </c>
      <c r="K1114" s="179">
        <f>_xlfn.XLOOKUP($C1114,'Site Level Financials - ''23 ''24'!$C$2:$C$1577,'Site Level Financials - ''23 ''24'!W$2:W$1577)</f>
        <v>-24.470005169154181</v>
      </c>
      <c r="L1114" s="179">
        <f>_xlfn.XLOOKUP($C1114,'Site Level Financials - ''23 ''24'!$C$2:$C$1577,'Site Level Financials - ''23 ''24'!X$2:X$1577)</f>
        <v>-17.995044308197915</v>
      </c>
      <c r="M1114" s="179">
        <f>_xlfn.XLOOKUP($C1114,'Site Level Financials - ''23 ''24'!$C$2:$C$1577,'Site Level Financials - ''23 ''24'!Y$2:Y$1577)</f>
        <v>-19.91277290574612</v>
      </c>
      <c r="N1114" s="179">
        <f>_xlfn.XLOOKUP($C1114,'Site Level Financials - ''23 ''24'!$C$2:$C$1577,'Site Level Financials - ''23 ''24'!Z$2:Z$1577)</f>
        <v>-14.819546810931534</v>
      </c>
      <c r="O1114" s="179">
        <f>_xlfn.XLOOKUP($C1114,'Site Level Financials - ''23 ''24'!$C$2:$C$1577,'Site Level Financials - ''23 ''24'!AA$2:AA$1577)</f>
        <v>-14.079483284193984</v>
      </c>
      <c r="P1114" s="179">
        <f>_xlfn.XLOOKUP($C1114,'Site Level Financials - ''23 ''24'!$C$2:$C$1577,'Site Level Financials - ''23 ''24'!AB$2:AB$1577)</f>
        <v>-15.815784592184905</v>
      </c>
      <c r="Q1114" s="179">
        <f>_xlfn.XLOOKUP($C1114,'Site Level Financials - ''23 ''24'!$C$2:$C$1577,'Site Level Financials - ''23 ''24'!AC$2:AC$1577)</f>
        <v>-12.777538309901832</v>
      </c>
      <c r="R1114" s="179">
        <f>_xlfn.XLOOKUP($C1114,'Site Level Financials - ''23 ''24'!$C$2:$C$1577,'Site Level Financials - ''23 ''24'!AD$2:AD$1577)</f>
        <v>-11.131817323395719</v>
      </c>
      <c r="S1114" s="155">
        <f>S1115*S1105</f>
        <v>-14.544916691156736</v>
      </c>
      <c r="T1114" s="154">
        <f t="shared" ref="T1114" si="3232">T1115*T1105</f>
        <v>-20.24937444894708</v>
      </c>
      <c r="U1114" s="154">
        <f t="shared" ref="U1114" si="3233">U1115*U1105</f>
        <v>-22.546300336870267</v>
      </c>
      <c r="V1114" s="154">
        <f t="shared" ref="V1114" si="3234">V1115*V1105</f>
        <v>-36.616269825012587</v>
      </c>
      <c r="W1114" s="154">
        <f t="shared" ref="W1114" si="3235">W1115*W1105</f>
        <v>-88.119109760883887</v>
      </c>
      <c r="X1114" s="154">
        <f t="shared" ref="X1114" si="3236">X1115*X1105</f>
        <v>-37.196485586848176</v>
      </c>
      <c r="Y1114" s="154">
        <f t="shared" ref="Y1114" si="3237">Y1115*Y1105</f>
        <v>-38.269687749106119</v>
      </c>
      <c r="Z1114" s="154">
        <f t="shared" ref="Z1114" si="3238">Z1115*Z1105</f>
        <v>-21.023208624946978</v>
      </c>
      <c r="AA1114" s="154">
        <f t="shared" ref="AA1114" si="3239">AA1115*AA1105</f>
        <v>-19.180160349968183</v>
      </c>
      <c r="AB1114" s="154">
        <f t="shared" ref="AB1114" si="3240">AB1115*AB1105</f>
        <v>-22.462413327286498</v>
      </c>
      <c r="AC1114" s="154">
        <f t="shared" ref="AC1114" si="3241">AC1115*AC1105</f>
        <v>-13.628386230975401</v>
      </c>
      <c r="AD1114" s="156">
        <f t="shared" ref="AD1114" si="3242">AD1115*AD1105</f>
        <v>-11.582450070241524</v>
      </c>
      <c r="AE1114" s="15"/>
      <c r="AF1114" s="115">
        <f>_xlfn.XLOOKUP($C1114,'Site Level Financials - ''23 ''24'!$C$2:$C$1577,'Site Level Financials - ''23 ''24'!$AF$2:$AF$1577)</f>
        <v>-182.33630516410818</v>
      </c>
      <c r="AG1114" s="93">
        <f>SUM(G1114:R1114)</f>
        <v>-198.05212502970195</v>
      </c>
      <c r="AH1114" s="93">
        <f t="shared" ref="AH1114" si="3243">SUM(S1114:AD1114)</f>
        <v>-345.41876300224345</v>
      </c>
    </row>
    <row r="1115" spans="2:34" x14ac:dyDescent="0.2">
      <c r="B1115" s="9">
        <f>G1093</f>
        <v>23</v>
      </c>
      <c r="C1115" s="9" t="str">
        <f t="shared" si="3184"/>
        <v>23 - % of Revenue - Office Supplies</v>
      </c>
      <c r="D1115" s="9" t="s">
        <v>56</v>
      </c>
      <c r="F1115" s="16" t="str">
        <f>"% of Revenue - "&amp;F1114</f>
        <v>% of Revenue - Office Supplies</v>
      </c>
      <c r="G1115" s="148">
        <f>G1114/G1105</f>
        <v>-2.5739097363958657E-2</v>
      </c>
      <c r="H1115" s="149">
        <f t="shared" ref="H1115:R1115" si="3244">H1114/H1105</f>
        <v>-3.4606084923153715E-2</v>
      </c>
      <c r="I1115" s="149">
        <f t="shared" si="3244"/>
        <v>-3.588369034444875E-2</v>
      </c>
      <c r="J1115" s="149">
        <f t="shared" si="3244"/>
        <v>-5.4405266285526721E-2</v>
      </c>
      <c r="K1115" s="149">
        <f t="shared" si="3244"/>
        <v>-0.11016242440279773</v>
      </c>
      <c r="L1115" s="149">
        <f t="shared" si="3244"/>
        <v>-5.537527917803043E-2</v>
      </c>
      <c r="M1115" s="149">
        <f t="shared" si="3244"/>
        <v>-5.6552391614268456E-2</v>
      </c>
      <c r="N1115" s="149">
        <f t="shared" si="3244"/>
        <v>-3.6229769624573027E-2</v>
      </c>
      <c r="O1115" s="149">
        <f t="shared" si="3244"/>
        <v>-3.6051775424701393E-2</v>
      </c>
      <c r="P1115" s="149">
        <f t="shared" si="3244"/>
        <v>-3.6762292242018817E-2</v>
      </c>
      <c r="Q1115" s="149">
        <f t="shared" si="3244"/>
        <v>-2.8216671412683549E-2</v>
      </c>
      <c r="R1115" s="149">
        <f t="shared" si="3244"/>
        <v>-2.9380454841063247E-2</v>
      </c>
      <c r="S1115" s="245">
        <f>_xlfn.XLOOKUP($F1115,'Budget Assumption Driver'!$A$33:$A$39,'Budget Assumption Driver'!E$33:E$39)+G1115</f>
        <v>-2.5739097363958657E-2</v>
      </c>
      <c r="T1115" s="246">
        <f>_xlfn.XLOOKUP($F1115,'Budget Assumption Driver'!$A$33:$A$39,'Budget Assumption Driver'!F$33:F$39)+H1115</f>
        <v>-3.4606084923153715E-2</v>
      </c>
      <c r="U1115" s="246">
        <f>_xlfn.XLOOKUP($F1115,'Budget Assumption Driver'!$A$33:$A$39,'Budget Assumption Driver'!G$33:G$39)+I1115</f>
        <v>-3.588369034444875E-2</v>
      </c>
      <c r="V1115" s="246">
        <f>_xlfn.XLOOKUP($F1115,'Budget Assumption Driver'!$A$33:$A$39,'Budget Assumption Driver'!H$33:H$39)+J1115</f>
        <v>-5.4405266285526721E-2</v>
      </c>
      <c r="W1115" s="246">
        <f>_xlfn.XLOOKUP($F1115,'Budget Assumption Driver'!$A$33:$A$39,'Budget Assumption Driver'!I$33:I$39)+K1115</f>
        <v>-0.11016242440279773</v>
      </c>
      <c r="X1115" s="246">
        <f>_xlfn.XLOOKUP($F1115,'Budget Assumption Driver'!$A$33:$A$39,'Budget Assumption Driver'!J$33:J$39)+L1115</f>
        <v>-5.537527917803043E-2</v>
      </c>
      <c r="Y1115" s="246">
        <f>_xlfn.XLOOKUP($F1115,'Budget Assumption Driver'!$A$33:$A$39,'Budget Assumption Driver'!K$33:K$39)+M1115</f>
        <v>-5.6552391614268456E-2</v>
      </c>
      <c r="Z1115" s="246">
        <f>_xlfn.XLOOKUP($F1115,'Budget Assumption Driver'!$A$33:$A$39,'Budget Assumption Driver'!L$33:L$39)+N1115</f>
        <v>-3.6229769624573027E-2</v>
      </c>
      <c r="AA1115" s="246">
        <f>_xlfn.XLOOKUP($F1115,'Budget Assumption Driver'!$A$33:$A$39,'Budget Assumption Driver'!M$33:M$39)+O1115</f>
        <v>-3.6051775424701393E-2</v>
      </c>
      <c r="AB1115" s="246">
        <f>_xlfn.XLOOKUP($F1115,'Budget Assumption Driver'!$A$33:$A$39,'Budget Assumption Driver'!N$33:N$39)+P1115</f>
        <v>-3.6762292242018817E-2</v>
      </c>
      <c r="AC1115" s="246">
        <f>_xlfn.XLOOKUP($F1115,'Budget Assumption Driver'!$A$33:$A$39,'Budget Assumption Driver'!O$33:O$39)+Q1115</f>
        <v>-2.8216671412683549E-2</v>
      </c>
      <c r="AD1115" s="296">
        <f>_xlfn.XLOOKUP($F1115,'Budget Assumption Driver'!$A$33:$A$39,'Budget Assumption Driver'!P$33:P$39)+R1115</f>
        <v>-2.9380454841063247E-2</v>
      </c>
      <c r="AE1115" s="15"/>
      <c r="AF1115" s="232">
        <f>_xlfn.XLOOKUP($C1115,'Site Level Financials - ''23 ''24'!$C$2:$C$1577,'Site Level Financials - ''23 ''24'!$AF$2:$AF$1577)</f>
        <v>-5.3031292225950953E-2</v>
      </c>
      <c r="AG1115" s="97">
        <f t="shared" ref="AG1115:AH1115" si="3245">AG1114/AG1105</f>
        <v>-4.1104511124814967E-2</v>
      </c>
      <c r="AH1115" s="97">
        <f t="shared" si="3245"/>
        <v>-4.7971985181430178E-2</v>
      </c>
    </row>
    <row r="1116" spans="2:34" ht="6" customHeight="1" x14ac:dyDescent="0.2">
      <c r="B1116" s="9">
        <f>G1093</f>
        <v>23</v>
      </c>
      <c r="C1116" s="9" t="str">
        <f t="shared" si="3184"/>
        <v xml:space="preserve">23 - </v>
      </c>
      <c r="D1116" s="9" t="s">
        <v>56</v>
      </c>
      <c r="F1116" s="16"/>
      <c r="G1116" s="80"/>
      <c r="H1116" s="63"/>
      <c r="I1116" s="63"/>
      <c r="J1116" s="63"/>
      <c r="K1116" s="63"/>
      <c r="L1116" s="63"/>
      <c r="M1116" s="63"/>
      <c r="N1116" s="63"/>
      <c r="O1116" s="63"/>
      <c r="P1116" s="63"/>
      <c r="Q1116" s="63"/>
      <c r="R1116" s="63"/>
      <c r="S1116" s="80"/>
      <c r="T1116" s="63"/>
      <c r="U1116" s="63"/>
      <c r="V1116" s="63"/>
      <c r="W1116" s="63"/>
      <c r="X1116" s="63"/>
      <c r="Y1116" s="63"/>
      <c r="Z1116" s="63"/>
      <c r="AA1116" s="63"/>
      <c r="AB1116" s="63"/>
      <c r="AC1116" s="63"/>
      <c r="AD1116" s="81"/>
      <c r="AE1116" s="15"/>
      <c r="AF1116" s="11"/>
      <c r="AG1116" s="15"/>
      <c r="AH1116" s="15"/>
    </row>
    <row r="1117" spans="2:34" x14ac:dyDescent="0.2">
      <c r="B1117" s="9">
        <f>G1093</f>
        <v>23</v>
      </c>
      <c r="C1117" s="9" t="str">
        <f t="shared" si="3184"/>
        <v>23 - Office Gross Profit</v>
      </c>
      <c r="D1117" s="9" t="s">
        <v>56</v>
      </c>
      <c r="F1117" s="8" t="s">
        <v>11</v>
      </c>
      <c r="G1117" s="241">
        <f>_xlfn.XLOOKUP($C1117,'Site Level Financials - ''23 ''24'!$C$2:$C$1577,'Site Level Financials - ''23 ''24'!S$2:S$1577)</f>
        <v>389.42518461489954</v>
      </c>
      <c r="H1117" s="242">
        <f>_xlfn.XLOOKUP($C1117,'Site Level Financials - ''23 ''24'!$C$2:$C$1577,'Site Level Financials - ''23 ''24'!T$2:T$1577)</f>
        <v>283.78652851736325</v>
      </c>
      <c r="I1117" s="242">
        <f>_xlfn.XLOOKUP($C1117,'Site Level Financials - ''23 ''24'!$C$2:$C$1577,'Site Level Financials - ''23 ''24'!U$2:U$1577)</f>
        <v>287.25005113445377</v>
      </c>
      <c r="J1117" s="242">
        <f>_xlfn.XLOOKUP($C1117,'Site Level Financials - ''23 ''24'!$C$2:$C$1577,'Site Level Financials - ''23 ''24'!V$2:V$1577)</f>
        <v>141.51686748737211</v>
      </c>
      <c r="K1117" s="242">
        <f>_xlfn.XLOOKUP($C1117,'Site Level Financials - ''23 ''24'!$C$2:$C$1577,'Site Level Financials - ''23 ''24'!W$2:W$1577)</f>
        <v>29.629125781618125</v>
      </c>
      <c r="L1117" s="242">
        <f>_xlfn.XLOOKUP($C1117,'Site Level Financials - ''23 ''24'!$C$2:$C$1577,'Site Level Financials - ''23 ''24'!X$2:X$1577)</f>
        <v>134.99024116407492</v>
      </c>
      <c r="M1117" s="242">
        <f>_xlfn.XLOOKUP($C1117,'Site Level Financials - ''23 ''24'!$C$2:$C$1577,'Site Level Financials - ''23 ''24'!Y$2:Y$1577)</f>
        <v>147.0952388137826</v>
      </c>
      <c r="N1117" s="242">
        <f>_xlfn.XLOOKUP($C1117,'Site Level Financials - ''23 ''24'!$C$2:$C$1577,'Site Level Financials - ''23 ''24'!Z$2:Z$1577)</f>
        <v>250.80042887907305</v>
      </c>
      <c r="O1117" s="242">
        <f>_xlfn.XLOOKUP($C1117,'Site Level Financials - ''23 ''24'!$C$2:$C$1577,'Site Level Financials - ''23 ''24'!AA$2:AA$1577)</f>
        <v>243.23522586047318</v>
      </c>
      <c r="P1117" s="242">
        <f>_xlfn.XLOOKUP($C1117,'Site Level Financials - ''23 ''24'!$C$2:$C$1577,'Site Level Financials - ''23 ''24'!AB$2:AB$1577)</f>
        <v>266.92159589667045</v>
      </c>
      <c r="Q1117" s="242">
        <f>_xlfn.XLOOKUP($C1117,'Site Level Financials - ''23 ''24'!$C$2:$C$1577,'Site Level Financials - ''23 ''24'!AC$2:AC$1577)</f>
        <v>326.46505045788444</v>
      </c>
      <c r="R1117" s="242">
        <f>_xlfn.XLOOKUP($C1117,'Site Level Financials - ''23 ''24'!$C$2:$C$1577,'Site Level Financials - ''23 ''24'!AD$2:AD$1577)</f>
        <v>273.51048984760001</v>
      </c>
      <c r="S1117" s="134">
        <f t="shared" ref="S1117:AD1117" si="3246">S1105+S1108+S1111+S1114</f>
        <v>397.68758887989151</v>
      </c>
      <c r="T1117" s="135">
        <f t="shared" si="3246"/>
        <v>352.18729514772241</v>
      </c>
      <c r="U1117" s="135">
        <f t="shared" si="3246"/>
        <v>379.35260098864381</v>
      </c>
      <c r="V1117" s="135">
        <f t="shared" si="3246"/>
        <v>266.84979019716411</v>
      </c>
      <c r="W1117" s="135">
        <f t="shared" si="3246"/>
        <v>106.69765571445886</v>
      </c>
      <c r="X1117" s="135">
        <f t="shared" si="3246"/>
        <v>279.03029711003302</v>
      </c>
      <c r="Y1117" s="135">
        <f t="shared" si="3246"/>
        <v>282.69738651813992</v>
      </c>
      <c r="Z1117" s="135">
        <f t="shared" si="3246"/>
        <v>355.78886499158068</v>
      </c>
      <c r="AA1117" s="135">
        <f t="shared" si="3246"/>
        <v>331.35382461102023</v>
      </c>
      <c r="AB1117" s="135">
        <f t="shared" si="3246"/>
        <v>379.09616042523908</v>
      </c>
      <c r="AC1117" s="135">
        <f t="shared" si="3246"/>
        <v>348.20414469875328</v>
      </c>
      <c r="AD1117" s="136">
        <f t="shared" si="3246"/>
        <v>284.5826068030342</v>
      </c>
      <c r="AE1117" s="15"/>
      <c r="AF1117" s="114">
        <f>_xlfn.XLOOKUP($C1117,'Site Level Financials - ''23 ''24'!$C$2:$C$1577,'Site Level Financials - ''23 ''24'!$AF$2:$AF$1577)</f>
        <v>2272.3578741318238</v>
      </c>
      <c r="AG1117" s="95">
        <f>SUM(G1117:R1117)</f>
        <v>2774.6260284552654</v>
      </c>
      <c r="AH1117" s="95">
        <f t="shared" ref="AH1117" si="3247">SUM(S1117:AD1117)</f>
        <v>3763.5282160856809</v>
      </c>
    </row>
    <row r="1118" spans="2:34" x14ac:dyDescent="0.2">
      <c r="B1118" s="9">
        <f>G1093</f>
        <v>23</v>
      </c>
      <c r="C1118" s="9" t="str">
        <f t="shared" si="3184"/>
        <v>23 - % of Revenue - Office Gross Profit</v>
      </c>
      <c r="D1118" s="9" t="s">
        <v>56</v>
      </c>
      <c r="F1118" s="16" t="str">
        <f>"% of Revenue - "&amp;F1117</f>
        <v>% of Revenue - Office Gross Profit</v>
      </c>
      <c r="G1118" s="148">
        <f>G1117/G1105</f>
        <v>0.70375924372540544</v>
      </c>
      <c r="H1118" s="149">
        <f t="shared" ref="H1118:AD1118" si="3248">H1117/H1105</f>
        <v>0.60188641755161087</v>
      </c>
      <c r="I1118" s="149">
        <f t="shared" si="3248"/>
        <v>0.6037607528440887</v>
      </c>
      <c r="J1118" s="149">
        <f t="shared" si="3248"/>
        <v>0.39649134014181803</v>
      </c>
      <c r="K1118" s="149">
        <f t="shared" si="3248"/>
        <v>0.13338846095353379</v>
      </c>
      <c r="L1118" s="149">
        <f t="shared" si="3248"/>
        <v>0.41539893777115616</v>
      </c>
      <c r="M1118" s="149">
        <f t="shared" si="3248"/>
        <v>0.41775133927183622</v>
      </c>
      <c r="N1118" s="149">
        <f t="shared" si="3248"/>
        <v>0.61313897624253788</v>
      </c>
      <c r="O1118" s="149">
        <f t="shared" si="3248"/>
        <v>0.62282553706659749</v>
      </c>
      <c r="P1118" s="149">
        <f t="shared" si="3248"/>
        <v>0.62043395045404204</v>
      </c>
      <c r="Q1118" s="149">
        <f t="shared" si="3248"/>
        <v>0.7209336284561727</v>
      </c>
      <c r="R1118" s="149">
        <f t="shared" si="3248"/>
        <v>0.72188236314618126</v>
      </c>
      <c r="S1118" s="148">
        <f t="shared" si="3248"/>
        <v>0.70375924372540533</v>
      </c>
      <c r="T1118" s="149">
        <f t="shared" si="3248"/>
        <v>0.60188641755161099</v>
      </c>
      <c r="U1118" s="149">
        <f t="shared" si="3248"/>
        <v>0.60376075284408848</v>
      </c>
      <c r="V1118" s="149">
        <f t="shared" si="3248"/>
        <v>0.39649134014181797</v>
      </c>
      <c r="W1118" s="149">
        <f t="shared" si="3248"/>
        <v>0.13338846095353374</v>
      </c>
      <c r="X1118" s="149">
        <f t="shared" si="3248"/>
        <v>0.41539893777115622</v>
      </c>
      <c r="Y1118" s="149">
        <f t="shared" si="3248"/>
        <v>0.41775133927183622</v>
      </c>
      <c r="Z1118" s="149">
        <f t="shared" si="3248"/>
        <v>0.61313897624253799</v>
      </c>
      <c r="AA1118" s="149">
        <f t="shared" si="3248"/>
        <v>0.6228255370665976</v>
      </c>
      <c r="AB1118" s="149">
        <f t="shared" si="3248"/>
        <v>0.62043395045404215</v>
      </c>
      <c r="AC1118" s="149">
        <f t="shared" si="3248"/>
        <v>0.72093362845617259</v>
      </c>
      <c r="AD1118" s="150">
        <f t="shared" si="3248"/>
        <v>0.72188236314618126</v>
      </c>
      <c r="AE1118" s="15"/>
      <c r="AF1118" s="233">
        <f>_xlfn.XLOOKUP($C1118,'Site Level Financials - ''23 ''24'!$C$2:$C$1577,'Site Level Financials - ''23 ''24'!$AF$2:$AF$1577)</f>
        <v>0.66090005693910669</v>
      </c>
      <c r="AG1118" s="97">
        <f t="shared" ref="AG1118:AH1118" si="3249">AG1117/AG1105</f>
        <v>0.57585671669383276</v>
      </c>
      <c r="AH1118" s="97">
        <f t="shared" si="3249"/>
        <v>0.52268127603358949</v>
      </c>
    </row>
    <row r="1119" spans="2:34" ht="6" customHeight="1" x14ac:dyDescent="0.2">
      <c r="B1119" s="9">
        <f>G1093</f>
        <v>23</v>
      </c>
      <c r="C1119" s="9" t="str">
        <f t="shared" si="3184"/>
        <v xml:space="preserve">23 - </v>
      </c>
      <c r="D1119" s="9" t="s">
        <v>56</v>
      </c>
      <c r="F1119" s="16"/>
      <c r="G1119" s="80"/>
      <c r="H1119" s="63"/>
      <c r="I1119" s="63"/>
      <c r="J1119" s="63"/>
      <c r="K1119" s="63"/>
      <c r="L1119" s="63"/>
      <c r="M1119" s="63"/>
      <c r="N1119" s="63"/>
      <c r="O1119" s="63"/>
      <c r="P1119" s="63"/>
      <c r="Q1119" s="63"/>
      <c r="R1119" s="63"/>
      <c r="S1119" s="80"/>
      <c r="T1119" s="63"/>
      <c r="U1119" s="63"/>
      <c r="V1119" s="63"/>
      <c r="W1119" s="63"/>
      <c r="X1119" s="63"/>
      <c r="Y1119" s="63"/>
      <c r="Z1119" s="63"/>
      <c r="AA1119" s="63"/>
      <c r="AB1119" s="63"/>
      <c r="AC1119" s="63"/>
      <c r="AD1119" s="81"/>
      <c r="AE1119" s="15"/>
      <c r="AF1119" s="11"/>
      <c r="AG1119" s="15"/>
      <c r="AH1119" s="15"/>
    </row>
    <row r="1120" spans="2:34" x14ac:dyDescent="0.2">
      <c r="B1120" s="9">
        <f>G1093</f>
        <v>23</v>
      </c>
      <c r="C1120" s="9" t="str">
        <f t="shared" si="3184"/>
        <v>23 - General and Administrative Expense</v>
      </c>
      <c r="D1120" s="9" t="s">
        <v>56</v>
      </c>
      <c r="F1120" t="s">
        <v>10</v>
      </c>
      <c r="G1120" s="178">
        <f>_xlfn.XLOOKUP($C1120,'Site Level Financials - ''23 ''24'!$C$2:$C$1577,'Site Level Financials - ''23 ''24'!S$2:S$1577)</f>
        <v>-8.81143670832226</v>
      </c>
      <c r="H1120" s="179">
        <f>_xlfn.XLOOKUP($C1120,'Site Level Financials - ''23 ''24'!$C$2:$C$1577,'Site Level Financials - ''23 ''24'!T$2:T$1577)</f>
        <v>-9.2391895971734268</v>
      </c>
      <c r="I1120" s="179">
        <f>_xlfn.XLOOKUP($C1120,'Site Level Financials - ''23 ''24'!$C$2:$C$1577,'Site Level Financials - ''23 ''24'!U$2:U$1577)</f>
        <v>-9.6896515873321896</v>
      </c>
      <c r="J1120" s="179">
        <f>_xlfn.XLOOKUP($C1120,'Site Level Financials - ''23 ''24'!$C$2:$C$1577,'Site Level Financials - ''23 ''24'!V$2:V$1577)</f>
        <v>-11.240730805024675</v>
      </c>
      <c r="K1120" s="179">
        <f>_xlfn.XLOOKUP($C1120,'Site Level Financials - ''23 ''24'!$C$2:$C$1577,'Site Level Financials - ''23 ''24'!W$2:W$1577)</f>
        <v>-14.16731036237088</v>
      </c>
      <c r="L1120" s="179">
        <f>_xlfn.XLOOKUP($C1120,'Site Level Financials - ''23 ''24'!$C$2:$C$1577,'Site Level Financials - ''23 ''24'!X$2:X$1577)</f>
        <v>-10.558254135144978</v>
      </c>
      <c r="M1120" s="179">
        <f>_xlfn.XLOOKUP($C1120,'Site Level Financials - ''23 ''24'!$C$2:$C$1577,'Site Level Financials - ''23 ''24'!Y$2:Y$1577)</f>
        <v>-11.704909383695902</v>
      </c>
      <c r="N1120" s="179">
        <f>_xlfn.XLOOKUP($C1120,'Site Level Financials - ''23 ''24'!$C$2:$C$1577,'Site Level Financials - ''23 ''24'!Z$2:Z$1577)</f>
        <v>-9.2297114110825156</v>
      </c>
      <c r="O1120" s="179">
        <f>_xlfn.XLOOKUP($C1120,'Site Level Financials - ''23 ''24'!$C$2:$C$1577,'Site Level Financials - ''23 ''24'!AA$2:AA$1577)</f>
        <v>-8.2889294179023576</v>
      </c>
      <c r="P1120" s="179">
        <f>_xlfn.XLOOKUP($C1120,'Site Level Financials - ''23 ''24'!$C$2:$C$1577,'Site Level Financials - ''23 ''24'!AB$2:AB$1577)</f>
        <v>-9.5575561997511507</v>
      </c>
      <c r="Q1120" s="179">
        <f>_xlfn.XLOOKUP($C1120,'Site Level Financials - ''23 ''24'!$C$2:$C$1577,'Site Level Financials - ''23 ''24'!AC$2:AC$1577)</f>
        <v>-7.5962319169808215</v>
      </c>
      <c r="R1120" s="179">
        <f>_xlfn.XLOOKUP($C1120,'Site Level Financials - ''23 ''24'!$C$2:$C$1577,'Site Level Financials - ''23 ''24'!AD$2:AD$1577)</f>
        <v>-6.5128939130340093</v>
      </c>
      <c r="S1120" s="155">
        <f>S1121*S1105</f>
        <v>-8.9983882849429246</v>
      </c>
      <c r="T1120" s="154">
        <f t="shared" ref="T1120" si="3250">T1121*T1105</f>
        <v>-11.466101687721217</v>
      </c>
      <c r="U1120" s="154">
        <f t="shared" ref="U1120" si="3251">U1121*U1105</f>
        <v>-12.796497399430127</v>
      </c>
      <c r="V1120" s="154">
        <f t="shared" ref="V1120" si="3252">V1121*V1105</f>
        <v>-21.195965613436822</v>
      </c>
      <c r="W1120" s="154">
        <f t="shared" ref="W1120" si="3253">W1121*W1105</f>
        <v>-51.018002170753903</v>
      </c>
      <c r="X1120" s="154">
        <f t="shared" ref="X1120" si="3254">X1121*X1105</f>
        <v>-21.824339025455259</v>
      </c>
      <c r="Y1120" s="154">
        <f t="shared" ref="Y1120" si="3255">Y1121*Y1105</f>
        <v>-22.495271219427394</v>
      </c>
      <c r="Z1120" s="154">
        <f t="shared" ref="Z1120" si="3256">Z1121*Z1105</f>
        <v>-13.093392869484415</v>
      </c>
      <c r="AA1120" s="154">
        <f t="shared" ref="AA1120" si="3257">AA1121*AA1105</f>
        <v>-11.291820314415538</v>
      </c>
      <c r="AB1120" s="154">
        <f t="shared" ref="AB1120" si="3258">AB1121*AB1105</f>
        <v>-13.574146543679104</v>
      </c>
      <c r="AC1120" s="154">
        <f t="shared" ref="AC1120" si="3259">AC1121*AC1105</f>
        <v>-8.1020600333048556</v>
      </c>
      <c r="AD1120" s="156">
        <f t="shared" ref="AD1120" si="3260">AD1121*AD1105</f>
        <v>-6.7765456770436048</v>
      </c>
      <c r="AE1120" s="15"/>
      <c r="AF1120" s="115">
        <f>_xlfn.XLOOKUP($C1120,'Site Level Financials - ''23 ''24'!$C$2:$C$1577,'Site Level Financials - ''23 ''24'!$AF$2:$AF$1577)</f>
        <v>-117.41165515447393</v>
      </c>
      <c r="AG1120" s="93">
        <f>SUM(G1120:R1120)</f>
        <v>-116.59680543781516</v>
      </c>
      <c r="AH1120" s="93">
        <f t="shared" ref="AH1120" si="3261">SUM(S1120:AD1120)</f>
        <v>-202.63253083909512</v>
      </c>
    </row>
    <row r="1121" spans="2:34" x14ac:dyDescent="0.2">
      <c r="B1121" s="9">
        <f>G1093</f>
        <v>23</v>
      </c>
      <c r="C1121" s="9" t="str">
        <f t="shared" si="3184"/>
        <v>23 - % of Revenue - General and Administrative Expense</v>
      </c>
      <c r="D1121" s="9" t="s">
        <v>56</v>
      </c>
      <c r="F1121" s="16" t="str">
        <f>"% of Revenue - "&amp;F1120</f>
        <v>% of Revenue - General and Administrative Expense</v>
      </c>
      <c r="G1121" s="148">
        <f>G1120/G1105</f>
        <v>-1.5923803284873354E-2</v>
      </c>
      <c r="H1121" s="149">
        <f t="shared" ref="H1121:R1121" si="3262">H1120/H1105</f>
        <v>-1.9595513419103625E-2</v>
      </c>
      <c r="I1121" s="149">
        <f t="shared" si="3262"/>
        <v>-2.0366336973866268E-2</v>
      </c>
      <c r="J1121" s="149">
        <f t="shared" si="3262"/>
        <v>-3.1493436084255796E-2</v>
      </c>
      <c r="K1121" s="149">
        <f t="shared" si="3262"/>
        <v>-6.3780340298130053E-2</v>
      </c>
      <c r="L1121" s="149">
        <f t="shared" si="3262"/>
        <v>-3.2490404599887189E-2</v>
      </c>
      <c r="M1121" s="149">
        <f t="shared" si="3262"/>
        <v>-3.3242011165872519E-2</v>
      </c>
      <c r="N1121" s="149">
        <f t="shared" si="3262"/>
        <v>-2.2564139267615909E-2</v>
      </c>
      <c r="O1121" s="149">
        <f t="shared" si="3262"/>
        <v>-2.1224544669255874E-2</v>
      </c>
      <c r="P1121" s="149">
        <f t="shared" si="3262"/>
        <v>-2.2215633507577479E-2</v>
      </c>
      <c r="Q1121" s="149">
        <f t="shared" si="3262"/>
        <v>-1.6774778895390675E-2</v>
      </c>
      <c r="R1121" s="149">
        <f t="shared" si="3262"/>
        <v>-1.7189626809125565E-2</v>
      </c>
      <c r="S1121" s="245">
        <f>_xlfn.XLOOKUP($F1121,'Budget Assumption Driver'!$A$33:$A$39,'Budget Assumption Driver'!E$33:E$39)+G1121</f>
        <v>-1.5923803284873354E-2</v>
      </c>
      <c r="T1121" s="246">
        <f>_xlfn.XLOOKUP($F1121,'Budget Assumption Driver'!$A$33:$A$39,'Budget Assumption Driver'!F$33:F$39)+H1121</f>
        <v>-1.9595513419103625E-2</v>
      </c>
      <c r="U1121" s="246">
        <f>_xlfn.XLOOKUP($F1121,'Budget Assumption Driver'!$A$33:$A$39,'Budget Assumption Driver'!G$33:G$39)+I1121</f>
        <v>-2.0366336973866268E-2</v>
      </c>
      <c r="V1121" s="246">
        <f>_xlfn.XLOOKUP($F1121,'Budget Assumption Driver'!$A$33:$A$39,'Budget Assumption Driver'!H$33:H$39)+J1121</f>
        <v>-3.1493436084255796E-2</v>
      </c>
      <c r="W1121" s="246">
        <f>_xlfn.XLOOKUP($F1121,'Budget Assumption Driver'!$A$33:$A$39,'Budget Assumption Driver'!I$33:I$39)+K1121</f>
        <v>-6.3780340298130053E-2</v>
      </c>
      <c r="X1121" s="246">
        <f>_xlfn.XLOOKUP($F1121,'Budget Assumption Driver'!$A$33:$A$39,'Budget Assumption Driver'!J$33:J$39)+L1121</f>
        <v>-3.2490404599887189E-2</v>
      </c>
      <c r="Y1121" s="246">
        <f>_xlfn.XLOOKUP($F1121,'Budget Assumption Driver'!$A$33:$A$39,'Budget Assumption Driver'!K$33:K$39)+M1121</f>
        <v>-3.3242011165872519E-2</v>
      </c>
      <c r="Z1121" s="246">
        <f>_xlfn.XLOOKUP($F1121,'Budget Assumption Driver'!$A$33:$A$39,'Budget Assumption Driver'!L$33:L$39)+N1121</f>
        <v>-2.2564139267615909E-2</v>
      </c>
      <c r="AA1121" s="246">
        <f>_xlfn.XLOOKUP($F1121,'Budget Assumption Driver'!$A$33:$A$39,'Budget Assumption Driver'!M$33:M$39)+O1121</f>
        <v>-2.1224544669255874E-2</v>
      </c>
      <c r="AB1121" s="246">
        <f>_xlfn.XLOOKUP($F1121,'Budget Assumption Driver'!$A$33:$A$39,'Budget Assumption Driver'!N$33:N$39)+P1121</f>
        <v>-2.2215633507577479E-2</v>
      </c>
      <c r="AC1121" s="246">
        <f>_xlfn.XLOOKUP($F1121,'Budget Assumption Driver'!$A$33:$A$39,'Budget Assumption Driver'!O$33:O$39)+Q1121</f>
        <v>-1.6774778895390675E-2</v>
      </c>
      <c r="AD1121" s="296">
        <f>_xlfn.XLOOKUP($F1121,'Budget Assumption Driver'!$A$33:$A$39,'Budget Assumption Driver'!P$33:P$39)+R1121</f>
        <v>-1.7189626809125565E-2</v>
      </c>
      <c r="AE1121" s="15"/>
      <c r="AF1121" s="232">
        <f>_xlfn.XLOOKUP($C1121,'Site Level Financials - ''23 ''24'!$C$2:$C$1577,'Site Level Financials - ''23 ''24'!$AF$2:$AF$1577)</f>
        <v>-3.4148392935929341E-2</v>
      </c>
      <c r="AG1121" s="97">
        <f t="shared" ref="AG1121:AH1121" si="3263">AG1120/AG1105</f>
        <v>-2.4198956136006131E-2</v>
      </c>
      <c r="AH1121" s="97">
        <f t="shared" si="3263"/>
        <v>-2.8141739268013156E-2</v>
      </c>
    </row>
    <row r="1122" spans="2:34" ht="3" customHeight="1" x14ac:dyDescent="0.2">
      <c r="B1122" s="9">
        <f>G1093</f>
        <v>23</v>
      </c>
      <c r="C1122" s="9" t="str">
        <f t="shared" si="3184"/>
        <v xml:space="preserve">23 - </v>
      </c>
      <c r="D1122" s="9" t="s">
        <v>56</v>
      </c>
      <c r="F1122" s="16"/>
      <c r="G1122" s="84"/>
      <c r="H1122" s="85"/>
      <c r="I1122" s="85"/>
      <c r="J1122" s="85"/>
      <c r="K1122" s="85"/>
      <c r="L1122" s="85"/>
      <c r="M1122" s="85"/>
      <c r="N1122" s="85"/>
      <c r="O1122" s="85"/>
      <c r="P1122" s="85"/>
      <c r="Q1122" s="85"/>
      <c r="R1122" s="85"/>
      <c r="S1122" s="84"/>
      <c r="T1122" s="85"/>
      <c r="U1122" s="85"/>
      <c r="V1122" s="85"/>
      <c r="W1122" s="85"/>
      <c r="X1122" s="85"/>
      <c r="Y1122" s="85"/>
      <c r="Z1122" s="85"/>
      <c r="AA1122" s="85"/>
      <c r="AB1122" s="85"/>
      <c r="AC1122" s="85"/>
      <c r="AD1122" s="86"/>
      <c r="AE1122" s="15"/>
      <c r="AF1122" s="36"/>
      <c r="AG1122" s="38"/>
      <c r="AH1122" s="38"/>
    </row>
    <row r="1123" spans="2:34" x14ac:dyDescent="0.2">
      <c r="B1123" s="9">
        <f>G1093</f>
        <v>23</v>
      </c>
      <c r="C1123" s="9" t="str">
        <f t="shared" si="3184"/>
        <v>23 - Marketing</v>
      </c>
      <c r="D1123" s="9" t="s">
        <v>56</v>
      </c>
      <c r="F1123" t="s">
        <v>7</v>
      </c>
      <c r="G1123" s="178">
        <f>_xlfn.XLOOKUP($C1123,'Site Level Financials - ''23 ''24'!$C$2:$C$1577,'Site Level Financials - ''23 ''24'!S$2:S$1577)</f>
        <v>-6.2970667022323026</v>
      </c>
      <c r="H1123" s="179">
        <f>_xlfn.XLOOKUP($C1123,'Site Level Financials - ''23 ''24'!$C$2:$C$1577,'Site Level Financials - ''23 ''24'!T$2:T$1577)</f>
        <v>-7.0231719341605805</v>
      </c>
      <c r="I1123" s="179">
        <f>_xlfn.XLOOKUP($C1123,'Site Level Financials - ''23 ''24'!$C$2:$C$1577,'Site Level Financials - ''23 ''24'!U$2:U$1577)</f>
        <v>-6.6143021255761516</v>
      </c>
      <c r="J1123" s="179">
        <f>_xlfn.XLOOKUP($C1123,'Site Level Financials - ''23 ''24'!$C$2:$C$1577,'Site Level Financials - ''23 ''24'!V$2:V$1577)</f>
        <v>-7.4060083393491167</v>
      </c>
      <c r="K1123" s="179">
        <f>_xlfn.XLOOKUP($C1123,'Site Level Financials - ''23 ''24'!$C$2:$C$1577,'Site Level Financials - ''23 ''24'!W$2:W$1577)</f>
        <v>-9.4987744294955725</v>
      </c>
      <c r="L1123" s="179">
        <f>_xlfn.XLOOKUP($C1123,'Site Level Financials - ''23 ''24'!$C$2:$C$1577,'Site Level Financials - ''23 ''24'!X$2:X$1577)</f>
        <v>-6.2134804657362217</v>
      </c>
      <c r="M1123" s="179">
        <f>_xlfn.XLOOKUP($C1123,'Site Level Financials - ''23 ''24'!$C$2:$C$1577,'Site Level Financials - ''23 ''24'!Y$2:Y$1577)</f>
        <v>-7.4792749205201519</v>
      </c>
      <c r="N1123" s="179">
        <f>_xlfn.XLOOKUP($C1123,'Site Level Financials - ''23 ''24'!$C$2:$C$1577,'Site Level Financials - ''23 ''24'!Z$2:Z$1577)</f>
        <v>-5.4285244125711234</v>
      </c>
      <c r="O1123" s="179">
        <f>_xlfn.XLOOKUP($C1123,'Site Level Financials - ''23 ''24'!$C$2:$C$1577,'Site Level Financials - ''23 ''24'!AA$2:AA$1577)</f>
        <v>-5.0227463425354948</v>
      </c>
      <c r="P1123" s="179">
        <f>_xlfn.XLOOKUP($C1123,'Site Level Financials - ''23 ''24'!$C$2:$C$1577,'Site Level Financials - ''23 ''24'!AB$2:AB$1577)</f>
        <v>-5.3180182455735965</v>
      </c>
      <c r="Q1123" s="179">
        <f>_xlfn.XLOOKUP($C1123,'Site Level Financials - ''23 ''24'!$C$2:$C$1577,'Site Level Financials - ''23 ''24'!AC$2:AC$1577)</f>
        <v>-4.4006748631697938</v>
      </c>
      <c r="R1123" s="179">
        <f>_xlfn.XLOOKUP($C1123,'Site Level Financials - ''23 ''24'!$C$2:$C$1577,'Site Level Financials - ''23 ''24'!AD$2:AD$1577)</f>
        <v>-3.5487130706639629</v>
      </c>
      <c r="S1123" s="155">
        <f>S1124*S1105</f>
        <v>-6.430671083338046</v>
      </c>
      <c r="T1123" s="154">
        <f t="shared" ref="T1123" si="3264">T1124*T1105</f>
        <v>-8.7159596326577393</v>
      </c>
      <c r="U1123" s="154">
        <f t="shared" ref="U1123" si="3265">U1124*U1105</f>
        <v>-8.7350818743198921</v>
      </c>
      <c r="V1123" s="154">
        <f t="shared" ref="V1123" si="3266">V1124*V1105</f>
        <v>-13.965061597552031</v>
      </c>
      <c r="W1123" s="154">
        <f t="shared" ref="W1123" si="3267">W1124*W1105</f>
        <v>-34.206104198200698</v>
      </c>
      <c r="X1123" s="154">
        <f t="shared" ref="X1123" si="3268">X1124*X1105</f>
        <v>-12.843515838559508</v>
      </c>
      <c r="Y1123" s="154">
        <f t="shared" ref="Y1123" si="3269">Y1124*Y1105</f>
        <v>-14.374166629270954</v>
      </c>
      <c r="Z1123" s="154">
        <f t="shared" ref="Z1123" si="3270">Z1124*Z1105</f>
        <v>-7.7009778171432988</v>
      </c>
      <c r="AA1123" s="154">
        <f t="shared" ref="AA1123" si="3271">AA1124*AA1105</f>
        <v>-6.8423732819227583</v>
      </c>
      <c r="AB1123" s="154">
        <f t="shared" ref="AB1123" si="3272">AB1124*AB1105</f>
        <v>-7.5529306319176852</v>
      </c>
      <c r="AC1123" s="154">
        <f t="shared" ref="AC1123" si="3273">AC1124*AC1105</f>
        <v>-4.6937129247929095</v>
      </c>
      <c r="AD1123" s="156">
        <f t="shared" ref="AD1123" si="3274">AD1124*AD1105</f>
        <v>-3.6923703255705767</v>
      </c>
      <c r="AE1123" s="15"/>
      <c r="AF1123" s="115">
        <f>_xlfn.XLOOKUP($C1123,'Site Level Financials - ''23 ''24'!$C$2:$C$1577,'Site Level Financials - ''23 ''24'!$AF$2:$AF$1577)</f>
        <v>-68.769052160682136</v>
      </c>
      <c r="AG1123" s="93">
        <f>SUM(G1123:R1123)</f>
        <v>-74.250755851584088</v>
      </c>
      <c r="AH1123" s="93">
        <f t="shared" ref="AH1123" si="3275">SUM(S1123:AD1123)</f>
        <v>-129.75292583524612</v>
      </c>
    </row>
    <row r="1124" spans="2:34" x14ac:dyDescent="0.2">
      <c r="B1124" s="9">
        <f>G1093</f>
        <v>23</v>
      </c>
      <c r="C1124" s="9" t="str">
        <f t="shared" si="3184"/>
        <v>23 - % of Revenue - Marketing</v>
      </c>
      <c r="D1124" s="9" t="s">
        <v>56</v>
      </c>
      <c r="F1124" s="16" t="str">
        <f>"% of Revenue - "&amp;F1123</f>
        <v>% of Revenue - Marketing</v>
      </c>
      <c r="G1124" s="148">
        <f>G1123/G1105</f>
        <v>-1.1379898052648656E-2</v>
      </c>
      <c r="H1124" s="149">
        <f t="shared" ref="H1124:R1124" si="3276">H1123/H1105</f>
        <v>-1.4895533686484682E-2</v>
      </c>
      <c r="I1124" s="149">
        <f t="shared" si="3276"/>
        <v>-1.3902368389855873E-2</v>
      </c>
      <c r="J1124" s="149">
        <f t="shared" si="3276"/>
        <v>-2.0749598430957604E-2</v>
      </c>
      <c r="K1124" s="149">
        <f t="shared" si="3276"/>
        <v>-4.2762885123031787E-2</v>
      </c>
      <c r="L1124" s="149">
        <f t="shared" si="3276"/>
        <v>-1.9120442804391097E-2</v>
      </c>
      <c r="M1124" s="149">
        <f t="shared" si="3276"/>
        <v>-2.124118455516448E-2</v>
      </c>
      <c r="N1124" s="149">
        <f t="shared" si="3276"/>
        <v>-1.3271268776164403E-2</v>
      </c>
      <c r="O1124" s="149">
        <f t="shared" si="3276"/>
        <v>-1.2861190961433518E-2</v>
      </c>
      <c r="P1124" s="149">
        <f t="shared" si="3276"/>
        <v>-1.2361229362517301E-2</v>
      </c>
      <c r="Q1124" s="149">
        <f t="shared" si="3276"/>
        <v>-9.7180218596481915E-3</v>
      </c>
      <c r="R1124" s="149">
        <f t="shared" si="3276"/>
        <v>-9.3661979070932579E-3</v>
      </c>
      <c r="S1124" s="245">
        <f>_xlfn.XLOOKUP($F1124,'Budget Assumption Driver'!$A$33:$A$39,'Budget Assumption Driver'!E$33:E$39)+G1124</f>
        <v>-1.1379898052648656E-2</v>
      </c>
      <c r="T1124" s="246">
        <f>_xlfn.XLOOKUP($F1124,'Budget Assumption Driver'!$A$33:$A$39,'Budget Assumption Driver'!F$33:F$39)+H1124</f>
        <v>-1.4895533686484682E-2</v>
      </c>
      <c r="U1124" s="246">
        <f>_xlfn.XLOOKUP($F1124,'Budget Assumption Driver'!$A$33:$A$39,'Budget Assumption Driver'!G$33:G$39)+I1124</f>
        <v>-1.3902368389855873E-2</v>
      </c>
      <c r="V1124" s="246">
        <f>_xlfn.XLOOKUP($F1124,'Budget Assumption Driver'!$A$33:$A$39,'Budget Assumption Driver'!H$33:H$39)+J1124</f>
        <v>-2.0749598430957604E-2</v>
      </c>
      <c r="W1124" s="246">
        <f>_xlfn.XLOOKUP($F1124,'Budget Assumption Driver'!$A$33:$A$39,'Budget Assumption Driver'!I$33:I$39)+K1124</f>
        <v>-4.2762885123031787E-2</v>
      </c>
      <c r="X1124" s="246">
        <f>_xlfn.XLOOKUP($F1124,'Budget Assumption Driver'!$A$33:$A$39,'Budget Assumption Driver'!J$33:J$39)+L1124</f>
        <v>-1.9120442804391097E-2</v>
      </c>
      <c r="Y1124" s="246">
        <f>_xlfn.XLOOKUP($F1124,'Budget Assumption Driver'!$A$33:$A$39,'Budget Assumption Driver'!K$33:K$39)+M1124</f>
        <v>-2.124118455516448E-2</v>
      </c>
      <c r="Z1124" s="246">
        <f>_xlfn.XLOOKUP($F1124,'Budget Assumption Driver'!$A$33:$A$39,'Budget Assumption Driver'!L$33:L$39)+N1124</f>
        <v>-1.3271268776164403E-2</v>
      </c>
      <c r="AA1124" s="246">
        <f>_xlfn.XLOOKUP($F1124,'Budget Assumption Driver'!$A$33:$A$39,'Budget Assumption Driver'!M$33:M$39)+O1124</f>
        <v>-1.2861190961433518E-2</v>
      </c>
      <c r="AB1124" s="246">
        <f>_xlfn.XLOOKUP($F1124,'Budget Assumption Driver'!$A$33:$A$39,'Budget Assumption Driver'!N$33:N$39)+P1124</f>
        <v>-1.2361229362517301E-2</v>
      </c>
      <c r="AC1124" s="246">
        <f>_xlfn.XLOOKUP($F1124,'Budget Assumption Driver'!$A$33:$A$39,'Budget Assumption Driver'!O$33:O$39)+Q1124</f>
        <v>-9.7180218596481915E-3</v>
      </c>
      <c r="AD1124" s="296">
        <f>_xlfn.XLOOKUP($F1124,'Budget Assumption Driver'!$A$33:$A$39,'Budget Assumption Driver'!P$33:P$39)+R1124</f>
        <v>-9.3661979070932579E-3</v>
      </c>
      <c r="AE1124" s="15"/>
      <c r="AF1124" s="232">
        <f>_xlfn.XLOOKUP($C1124,'Site Level Financials - ''23 ''24'!$C$2:$C$1577,'Site Level Financials - ''23 ''24'!$AF$2:$AF$1577)</f>
        <v>-2.0001017888085795E-2</v>
      </c>
      <c r="AG1124" s="97">
        <f t="shared" ref="AG1124:AH1124" si="3277">AG1123/AG1105</f>
        <v>-1.5410291707143472E-2</v>
      </c>
      <c r="AH1124" s="97">
        <f t="shared" si="3277"/>
        <v>-1.8020171751281525E-2</v>
      </c>
    </row>
    <row r="1125" spans="2:34" ht="3" customHeight="1" x14ac:dyDescent="0.2">
      <c r="B1125" s="9">
        <f>G1093</f>
        <v>23</v>
      </c>
      <c r="C1125" s="9" t="str">
        <f t="shared" si="3184"/>
        <v xml:space="preserve">23 - </v>
      </c>
      <c r="D1125" s="9" t="s">
        <v>56</v>
      </c>
      <c r="F1125" s="16"/>
      <c r="G1125" s="84"/>
      <c r="H1125" s="85"/>
      <c r="I1125" s="85"/>
      <c r="J1125" s="85"/>
      <c r="K1125" s="85"/>
      <c r="L1125" s="85"/>
      <c r="M1125" s="85"/>
      <c r="N1125" s="85"/>
      <c r="O1125" s="85"/>
      <c r="P1125" s="85"/>
      <c r="Q1125" s="85"/>
      <c r="R1125" s="85"/>
      <c r="S1125" s="84"/>
      <c r="T1125" s="85"/>
      <c r="U1125" s="85"/>
      <c r="V1125" s="85"/>
      <c r="W1125" s="85"/>
      <c r="X1125" s="85"/>
      <c r="Y1125" s="85"/>
      <c r="Z1125" s="85"/>
      <c r="AA1125" s="85"/>
      <c r="AB1125" s="85"/>
      <c r="AC1125" s="85"/>
      <c r="AD1125" s="86"/>
      <c r="AE1125" s="15"/>
      <c r="AF1125" s="36"/>
      <c r="AG1125" s="38"/>
      <c r="AH1125" s="38"/>
    </row>
    <row r="1126" spans="2:34" x14ac:dyDescent="0.2">
      <c r="B1126" s="9">
        <f>G1093</f>
        <v>23</v>
      </c>
      <c r="C1126" s="9" t="str">
        <f t="shared" si="3184"/>
        <v>23 - Office Rent</v>
      </c>
      <c r="D1126" s="9" t="s">
        <v>56</v>
      </c>
      <c r="F1126" t="s">
        <v>162</v>
      </c>
      <c r="G1126" s="178">
        <f>_xlfn.XLOOKUP($C1126,'Site Level Financials - ''23 ''24'!$C$2:$C$1577,'Site Level Financials - ''23 ''24'!S$2:S$1577)</f>
        <v>-15.508642205418141</v>
      </c>
      <c r="H1126" s="179">
        <f>_xlfn.XLOOKUP($C1126,'Site Level Financials - ''23 ''24'!$C$2:$C$1577,'Site Level Financials - ''23 ''24'!T$2:T$1577)</f>
        <v>-15.508642205418141</v>
      </c>
      <c r="I1126" s="179">
        <f>_xlfn.XLOOKUP($C1126,'Site Level Financials - ''23 ''24'!$C$2:$C$1577,'Site Level Financials - ''23 ''24'!U$2:U$1577)</f>
        <v>-15.973901471580685</v>
      </c>
      <c r="J1126" s="179">
        <f>_xlfn.XLOOKUP($C1126,'Site Level Financials - ''23 ''24'!$C$2:$C$1577,'Site Level Financials - ''23 ''24'!V$2:V$1577)</f>
        <v>-15.973901471580685</v>
      </c>
      <c r="K1126" s="179">
        <f>_xlfn.XLOOKUP($C1126,'Site Level Financials - ''23 ''24'!$C$2:$C$1577,'Site Level Financials - ''23 ''24'!W$2:W$1577)</f>
        <v>-15.973901471580685</v>
      </c>
      <c r="L1126" s="179">
        <f>_xlfn.XLOOKUP($C1126,'Site Level Financials - ''23 ''24'!$C$2:$C$1577,'Site Level Financials - ''23 ''24'!X$2:X$1577)</f>
        <v>-15.973901471580685</v>
      </c>
      <c r="M1126" s="179">
        <f>_xlfn.XLOOKUP($C1126,'Site Level Financials - ''23 ''24'!$C$2:$C$1577,'Site Level Financials - ''23 ''24'!Y$2:Y$1577)</f>
        <v>-15.973901471580685</v>
      </c>
      <c r="N1126" s="179">
        <f>_xlfn.XLOOKUP($C1126,'Site Level Financials - ''23 ''24'!$C$2:$C$1577,'Site Level Financials - ''23 ''24'!Z$2:Z$1577)</f>
        <v>-15.973901471580685</v>
      </c>
      <c r="O1126" s="179">
        <f>_xlfn.XLOOKUP($C1126,'Site Level Financials - ''23 ''24'!$C$2:$C$1577,'Site Level Financials - ''23 ''24'!AA$2:AA$1577)</f>
        <v>-15.973901471580685</v>
      </c>
      <c r="P1126" s="179">
        <f>_xlfn.XLOOKUP($C1126,'Site Level Financials - ''23 ''24'!$C$2:$C$1577,'Site Level Financials - ''23 ''24'!AB$2:AB$1577)</f>
        <v>-15.973901471580685</v>
      </c>
      <c r="Q1126" s="179">
        <f>_xlfn.XLOOKUP($C1126,'Site Level Financials - ''23 ''24'!$C$2:$C$1577,'Site Level Financials - ''23 ''24'!AC$2:AC$1577)</f>
        <v>-15.973901471580685</v>
      </c>
      <c r="R1126" s="179">
        <f>_xlfn.XLOOKUP($C1126,'Site Level Financials - ''23 ''24'!$C$2:$C$1577,'Site Level Financials - ''23 ''24'!AD$2:AD$1577)</f>
        <v>-15.973901471580685</v>
      </c>
      <c r="S1126" s="155">
        <f>G1126*(1+S1127)</f>
        <v>-15.973901471580685</v>
      </c>
      <c r="T1126" s="154">
        <f t="shared" ref="T1126" si="3278">H1126*(1+T1127)</f>
        <v>-15.973901471580685</v>
      </c>
      <c r="U1126" s="154">
        <f t="shared" ref="U1126" si="3279">I1126*(1+U1127)</f>
        <v>-16.453118515728107</v>
      </c>
      <c r="V1126" s="154">
        <f t="shared" ref="V1126" si="3280">J1126*(1+V1127)</f>
        <v>-16.453118515728107</v>
      </c>
      <c r="W1126" s="154">
        <f t="shared" ref="W1126" si="3281">K1126*(1+W1127)</f>
        <v>-16.453118515728107</v>
      </c>
      <c r="X1126" s="154">
        <f t="shared" ref="X1126" si="3282">L1126*(1+X1127)</f>
        <v>-16.453118515728107</v>
      </c>
      <c r="Y1126" s="154">
        <f t="shared" ref="Y1126" si="3283">M1126*(1+Y1127)</f>
        <v>-16.453118515728107</v>
      </c>
      <c r="Z1126" s="154">
        <f t="shared" ref="Z1126" si="3284">N1126*(1+Z1127)</f>
        <v>-16.453118515728107</v>
      </c>
      <c r="AA1126" s="154">
        <f t="shared" ref="AA1126" si="3285">O1126*(1+AA1127)</f>
        <v>-16.453118515728107</v>
      </c>
      <c r="AB1126" s="154">
        <f t="shared" ref="AB1126" si="3286">P1126*(1+AB1127)</f>
        <v>-16.453118515728107</v>
      </c>
      <c r="AC1126" s="154">
        <f t="shared" ref="AC1126" si="3287">Q1126*(1+AC1127)</f>
        <v>-16.453118515728107</v>
      </c>
      <c r="AD1126" s="156">
        <f t="shared" ref="AD1126" si="3288">R1126*(1+AD1127)</f>
        <v>-16.453118515728107</v>
      </c>
      <c r="AE1126" s="15"/>
      <c r="AF1126" s="115">
        <f>_xlfn.XLOOKUP($C1126,'Site Level Financials - ''23 ''24'!$C$2:$C$1577,'Site Level Financials - ''23 ''24'!$AF$2:$AF$1577)</f>
        <v>-185.20402449297669</v>
      </c>
      <c r="AG1126" s="93">
        <f>SUM(G1126:R1126)</f>
        <v>-190.75629912664317</v>
      </c>
      <c r="AH1126" s="93">
        <f t="shared" ref="AH1126" si="3289">SUM(S1126:AD1126)</f>
        <v>-196.47898810044245</v>
      </c>
    </row>
    <row r="1127" spans="2:34" x14ac:dyDescent="0.2">
      <c r="B1127" s="9">
        <f>G1093</f>
        <v>23</v>
      </c>
      <c r="C1127" s="9" t="str">
        <f t="shared" si="3184"/>
        <v>23 - % YoY Growth</v>
      </c>
      <c r="D1127" s="9" t="s">
        <v>56</v>
      </c>
      <c r="F1127" s="16" t="s">
        <v>8</v>
      </c>
      <c r="G1127" s="245">
        <f>_xlfn.XLOOKUP($C1127,'Site Level Financials - ''23 ''24'!$C$2:$C$1577,'Site Level Financials - ''23 ''24'!S$2:S$1577)</f>
        <v>2.9979233166593566E-2</v>
      </c>
      <c r="H1127" s="246">
        <f>_xlfn.XLOOKUP($C1127,'Site Level Financials - ''23 ''24'!$C$2:$C$1577,'Site Level Financials - ''23 ''24'!T$2:T$1577)</f>
        <v>2.9979233166593566E-2</v>
      </c>
      <c r="I1127" s="246">
        <f>_xlfn.XLOOKUP($C1127,'Site Level Financials - ''23 ''24'!$C$2:$C$1577,'Site Level Financials - ''23 ''24'!U$2:U$1577)</f>
        <v>2.9979233166593344E-2</v>
      </c>
      <c r="J1127" s="246">
        <f>_xlfn.XLOOKUP($C1127,'Site Level Financials - ''23 ''24'!$C$2:$C$1577,'Site Level Financials - ''23 ''24'!V$2:V$1577)</f>
        <v>2.9979233166593344E-2</v>
      </c>
      <c r="K1127" s="246">
        <f>_xlfn.XLOOKUP($C1127,'Site Level Financials - ''23 ''24'!$C$2:$C$1577,'Site Level Financials - ''23 ''24'!W$2:W$1577)</f>
        <v>2.9979233166593344E-2</v>
      </c>
      <c r="L1127" s="246">
        <f>_xlfn.XLOOKUP($C1127,'Site Level Financials - ''23 ''24'!$C$2:$C$1577,'Site Level Financials - ''23 ''24'!X$2:X$1577)</f>
        <v>2.9979233166593344E-2</v>
      </c>
      <c r="M1127" s="246">
        <f>_xlfn.XLOOKUP($C1127,'Site Level Financials - ''23 ''24'!$C$2:$C$1577,'Site Level Financials - ''23 ''24'!Y$2:Y$1577)</f>
        <v>2.9979233166593344E-2</v>
      </c>
      <c r="N1127" s="246">
        <f>_xlfn.XLOOKUP($C1127,'Site Level Financials - ''23 ''24'!$C$2:$C$1577,'Site Level Financials - ''23 ''24'!Z$2:Z$1577)</f>
        <v>2.9979233166593344E-2</v>
      </c>
      <c r="O1127" s="246">
        <f>_xlfn.XLOOKUP($C1127,'Site Level Financials - ''23 ''24'!$C$2:$C$1577,'Site Level Financials - ''23 ''24'!AA$2:AA$1577)</f>
        <v>2.9979233166593344E-2</v>
      </c>
      <c r="P1127" s="246">
        <f>_xlfn.XLOOKUP($C1127,'Site Level Financials - ''23 ''24'!$C$2:$C$1577,'Site Level Financials - ''23 ''24'!AB$2:AB$1577)</f>
        <v>2.9979233166593344E-2</v>
      </c>
      <c r="Q1127" s="246">
        <f>_xlfn.XLOOKUP($C1127,'Site Level Financials - ''23 ''24'!$C$2:$C$1577,'Site Level Financials - ''23 ''24'!AC$2:AC$1577)</f>
        <v>2.9979233166593344E-2</v>
      </c>
      <c r="R1127" s="246">
        <f>_xlfn.XLOOKUP($C1127,'Site Level Financials - ''23 ''24'!$C$2:$C$1577,'Site Level Financials - ''23 ''24'!AD$2:AD$1577)</f>
        <v>2.9979233166593344E-2</v>
      </c>
      <c r="S1127" s="245">
        <f>_xlfn.XLOOKUP($F1127,'Budget Assumption Driver'!$A$33:$A$39,'Budget Assumption Driver'!E$33:E$39)</f>
        <v>0.03</v>
      </c>
      <c r="T1127" s="246">
        <f>_xlfn.XLOOKUP($F1127,'Budget Assumption Driver'!$A$33:$A$39,'Budget Assumption Driver'!F$33:F$39)</f>
        <v>0.03</v>
      </c>
      <c r="U1127" s="246">
        <f>_xlfn.XLOOKUP($F1127,'Budget Assumption Driver'!$A$33:$A$39,'Budget Assumption Driver'!G$33:G$39)</f>
        <v>0.03</v>
      </c>
      <c r="V1127" s="246">
        <f>_xlfn.XLOOKUP($F1127,'Budget Assumption Driver'!$A$33:$A$39,'Budget Assumption Driver'!H$33:H$39)</f>
        <v>0.03</v>
      </c>
      <c r="W1127" s="246">
        <f>_xlfn.XLOOKUP($F1127,'Budget Assumption Driver'!$A$33:$A$39,'Budget Assumption Driver'!I$33:I$39)</f>
        <v>0.03</v>
      </c>
      <c r="X1127" s="246">
        <f>_xlfn.XLOOKUP($F1127,'Budget Assumption Driver'!$A$33:$A$39,'Budget Assumption Driver'!J$33:J$39)</f>
        <v>0.03</v>
      </c>
      <c r="Y1127" s="246">
        <f>_xlfn.XLOOKUP($F1127,'Budget Assumption Driver'!$A$33:$A$39,'Budget Assumption Driver'!K$33:K$39)</f>
        <v>0.03</v>
      </c>
      <c r="Z1127" s="246">
        <f>_xlfn.XLOOKUP($F1127,'Budget Assumption Driver'!$A$33:$A$39,'Budget Assumption Driver'!L$33:L$39)</f>
        <v>0.03</v>
      </c>
      <c r="AA1127" s="246">
        <f>_xlfn.XLOOKUP($F1127,'Budget Assumption Driver'!$A$33:$A$39,'Budget Assumption Driver'!M$33:M$39)</f>
        <v>0.03</v>
      </c>
      <c r="AB1127" s="246">
        <f>_xlfn.XLOOKUP($F1127,'Budget Assumption Driver'!$A$33:$A$39,'Budget Assumption Driver'!N$33:N$39)</f>
        <v>0.03</v>
      </c>
      <c r="AC1127" s="246">
        <f>_xlfn.XLOOKUP($F1127,'Budget Assumption Driver'!$A$33:$A$39,'Budget Assumption Driver'!O$33:O$39)</f>
        <v>0.03</v>
      </c>
      <c r="AD1127" s="296">
        <f>_xlfn.XLOOKUP($F1127,'Budget Assumption Driver'!$A$33:$A$39,'Budget Assumption Driver'!P$33:P$39)</f>
        <v>0.03</v>
      </c>
      <c r="AE1127" s="15"/>
      <c r="AF1127" s="11"/>
      <c r="AG1127" s="97">
        <f>AG1126/AF1126-1</f>
        <v>2.9979233166593788E-2</v>
      </c>
      <c r="AH1127" s="97">
        <f>AH1126/AG1126-1</f>
        <v>3.0000000000000027E-2</v>
      </c>
    </row>
    <row r="1128" spans="2:34" ht="6" customHeight="1" x14ac:dyDescent="0.2">
      <c r="B1128" s="9">
        <f>G1093</f>
        <v>23</v>
      </c>
      <c r="C1128" s="9" t="str">
        <f t="shared" si="3184"/>
        <v xml:space="preserve">23 - </v>
      </c>
      <c r="D1128" s="9" t="s">
        <v>56</v>
      </c>
      <c r="F1128" s="16"/>
      <c r="G1128" s="80"/>
      <c r="H1128" s="63"/>
      <c r="I1128" s="63"/>
      <c r="J1128" s="63"/>
      <c r="K1128" s="63"/>
      <c r="L1128" s="63"/>
      <c r="M1128" s="63"/>
      <c r="N1128" s="63"/>
      <c r="O1128" s="63"/>
      <c r="P1128" s="63"/>
      <c r="Q1128" s="63"/>
      <c r="R1128" s="63"/>
      <c r="S1128" s="80"/>
      <c r="T1128" s="63"/>
      <c r="U1128" s="63"/>
      <c r="V1128" s="63"/>
      <c r="W1128" s="63"/>
      <c r="X1128" s="63"/>
      <c r="Y1128" s="63"/>
      <c r="Z1128" s="63"/>
      <c r="AA1128" s="63"/>
      <c r="AB1128" s="63"/>
      <c r="AC1128" s="63"/>
      <c r="AD1128" s="81"/>
      <c r="AE1128" s="15"/>
      <c r="AF1128" s="11"/>
      <c r="AG1128" s="15"/>
      <c r="AH1128" s="15"/>
    </row>
    <row r="1129" spans="2:34" x14ac:dyDescent="0.2">
      <c r="B1129" s="9">
        <f>G1093</f>
        <v>23</v>
      </c>
      <c r="C1129" s="9" t="str">
        <f t="shared" si="3184"/>
        <v>23 - Office EBITDA</v>
      </c>
      <c r="D1129" s="9" t="s">
        <v>56</v>
      </c>
      <c r="F1129" s="8" t="s">
        <v>12</v>
      </c>
      <c r="G1129" s="241">
        <f>_xlfn.XLOOKUP($C1129,'Site Level Financials - ''23 ''24'!$C$2:$C$1577,'Site Level Financials - ''23 ''24'!S$2:S$1577)</f>
        <v>358.8080389989268</v>
      </c>
      <c r="H1129" s="242">
        <f>_xlfn.XLOOKUP($C1129,'Site Level Financials - ''23 ''24'!$C$2:$C$1577,'Site Level Financials - ''23 ''24'!T$2:T$1577)</f>
        <v>252.01552478061109</v>
      </c>
      <c r="I1129" s="242">
        <f>_xlfn.XLOOKUP($C1129,'Site Level Financials - ''23 ''24'!$C$2:$C$1577,'Site Level Financials - ''23 ''24'!U$2:U$1577)</f>
        <v>254.97219594996471</v>
      </c>
      <c r="J1129" s="242">
        <f>_xlfn.XLOOKUP($C1129,'Site Level Financials - ''23 ''24'!$C$2:$C$1577,'Site Level Financials - ''23 ''24'!V$2:V$1577)</f>
        <v>106.89622687141764</v>
      </c>
      <c r="K1129" s="242">
        <f>_xlfn.XLOOKUP($C1129,'Site Level Financials - ''23 ''24'!$C$2:$C$1577,'Site Level Financials - ''23 ''24'!W$2:W$1577)</f>
        <v>-10.010860481829013</v>
      </c>
      <c r="L1129" s="242">
        <f>_xlfn.XLOOKUP($C1129,'Site Level Financials - ''23 ''24'!$C$2:$C$1577,'Site Level Financials - ''23 ''24'!X$2:X$1577)</f>
        <v>102.24460509161302</v>
      </c>
      <c r="M1129" s="242">
        <f>_xlfn.XLOOKUP($C1129,'Site Level Financials - ''23 ''24'!$C$2:$C$1577,'Site Level Financials - ''23 ''24'!Y$2:Y$1577)</f>
        <v>111.93715303798585</v>
      </c>
      <c r="N1129" s="242">
        <f>_xlfn.XLOOKUP($C1129,'Site Level Financials - ''23 ''24'!$C$2:$C$1577,'Site Level Financials - ''23 ''24'!Z$2:Z$1577)</f>
        <v>220.16829158383871</v>
      </c>
      <c r="O1129" s="242">
        <f>_xlfn.XLOOKUP($C1129,'Site Level Financials - ''23 ''24'!$C$2:$C$1577,'Site Level Financials - ''23 ''24'!AA$2:AA$1577)</f>
        <v>213.94964862845464</v>
      </c>
      <c r="P1129" s="242">
        <f>_xlfn.XLOOKUP($C1129,'Site Level Financials - ''23 ''24'!$C$2:$C$1577,'Site Level Financials - ''23 ''24'!AB$2:AB$1577)</f>
        <v>236.07211997976501</v>
      </c>
      <c r="Q1129" s="242">
        <f>_xlfn.XLOOKUP($C1129,'Site Level Financials - ''23 ''24'!$C$2:$C$1577,'Site Level Financials - ''23 ''24'!AC$2:AC$1577)</f>
        <v>298.49424220615316</v>
      </c>
      <c r="R1129" s="242">
        <f>_xlfn.XLOOKUP($C1129,'Site Level Financials - ''23 ''24'!$C$2:$C$1577,'Site Level Financials - ''23 ''24'!AD$2:AD$1577)</f>
        <v>247.47498139232135</v>
      </c>
      <c r="S1129" s="134">
        <f t="shared" ref="S1129:AD1129" si="3290">S1117+S1120+S1123+S1126</f>
        <v>366.28462804002987</v>
      </c>
      <c r="T1129" s="135">
        <f t="shared" si="3290"/>
        <v>316.03133235576274</v>
      </c>
      <c r="U1129" s="135">
        <f t="shared" si="3290"/>
        <v>341.36790319916565</v>
      </c>
      <c r="V1129" s="135">
        <f t="shared" si="3290"/>
        <v>215.23564447044717</v>
      </c>
      <c r="W1129" s="135">
        <f t="shared" si="3290"/>
        <v>5.0204308297761528</v>
      </c>
      <c r="X1129" s="135">
        <f t="shared" si="3290"/>
        <v>227.90932373029017</v>
      </c>
      <c r="Y1129" s="135">
        <f t="shared" si="3290"/>
        <v>229.3748301537135</v>
      </c>
      <c r="Z1129" s="135">
        <f t="shared" si="3290"/>
        <v>318.54137578922484</v>
      </c>
      <c r="AA1129" s="135">
        <f t="shared" si="3290"/>
        <v>296.76651249895383</v>
      </c>
      <c r="AB1129" s="135">
        <f t="shared" si="3290"/>
        <v>341.51596473391419</v>
      </c>
      <c r="AC1129" s="135">
        <f t="shared" si="3290"/>
        <v>318.95525322492745</v>
      </c>
      <c r="AD1129" s="136">
        <f t="shared" si="3290"/>
        <v>257.66057228469197</v>
      </c>
      <c r="AE1129" s="15"/>
      <c r="AF1129" s="113">
        <f>_xlfn.XLOOKUP($C1129,'Site Level Financials - ''23 ''24'!$C$2:$C$1577,'Site Level Financials - ''23 ''24'!$AF$2:$AF$1577)</f>
        <v>1900.973142323691</v>
      </c>
      <c r="AG1129" s="95">
        <f>SUM(G1129:R1129)</f>
        <v>2393.0221680392228</v>
      </c>
      <c r="AH1129" s="95">
        <f t="shared" ref="AH1129" si="3291">SUM(S1129:AD1129)</f>
        <v>3234.663771310898</v>
      </c>
    </row>
    <row r="1130" spans="2:34" x14ac:dyDescent="0.2">
      <c r="B1130" s="9">
        <f>G1093</f>
        <v>23</v>
      </c>
      <c r="C1130" s="9" t="str">
        <f t="shared" si="3184"/>
        <v>23 - % of Revenue - Office EBITDA</v>
      </c>
      <c r="D1130" s="9" t="s">
        <v>56</v>
      </c>
      <c r="F1130" s="16" t="str">
        <f>"% of Revenue - "&amp;F1129</f>
        <v>% of Revenue - Office EBITDA</v>
      </c>
      <c r="G1130" s="148">
        <f>G1129/G1105</f>
        <v>0.64842872044392996</v>
      </c>
      <c r="H1130" s="149">
        <f t="shared" ref="H1130:AD1130" si="3292">H1129/H1105</f>
        <v>0.53450289613839275</v>
      </c>
      <c r="I1130" s="149">
        <f t="shared" si="3292"/>
        <v>0.53591706728367172</v>
      </c>
      <c r="J1130" s="149">
        <f t="shared" si="3292"/>
        <v>0.299493827137844</v>
      </c>
      <c r="K1130" s="149">
        <f t="shared" si="3292"/>
        <v>-4.5068264326589176E-2</v>
      </c>
      <c r="L1130" s="149">
        <f t="shared" si="3292"/>
        <v>0.31463237624906615</v>
      </c>
      <c r="M1130" s="149">
        <f t="shared" si="3292"/>
        <v>0.31790216986624559</v>
      </c>
      <c r="N1130" s="149">
        <f t="shared" si="3292"/>
        <v>0.53825171474436584</v>
      </c>
      <c r="O1130" s="149">
        <f t="shared" si="3292"/>
        <v>0.54783719891240201</v>
      </c>
      <c r="P1130" s="149">
        <f t="shared" si="3292"/>
        <v>0.54872726764231516</v>
      </c>
      <c r="Q1130" s="149">
        <f t="shared" si="3292"/>
        <v>0.65916561912258587</v>
      </c>
      <c r="R1130" s="149">
        <f t="shared" si="3292"/>
        <v>0.65316626242228848</v>
      </c>
      <c r="S1130" s="148">
        <f t="shared" si="3292"/>
        <v>0.6481876730016477</v>
      </c>
      <c r="T1130" s="149">
        <f t="shared" si="3292"/>
        <v>0.5400960485695212</v>
      </c>
      <c r="U1130" s="149">
        <f t="shared" si="3292"/>
        <v>0.54330599472680574</v>
      </c>
      <c r="V1130" s="149">
        <f t="shared" si="3292"/>
        <v>0.31980189701225553</v>
      </c>
      <c r="W1130" s="149">
        <f t="shared" si="3292"/>
        <v>6.276309795405984E-3</v>
      </c>
      <c r="X1130" s="149">
        <f t="shared" si="3292"/>
        <v>0.33929394752560355</v>
      </c>
      <c r="Y1130" s="149">
        <f t="shared" si="3292"/>
        <v>0.33895482258310572</v>
      </c>
      <c r="Z1130" s="149">
        <f t="shared" si="3292"/>
        <v>0.54894953794272527</v>
      </c>
      <c r="AA1130" s="149">
        <f t="shared" si="3292"/>
        <v>0.55781387991377618</v>
      </c>
      <c r="AB1130" s="149">
        <f t="shared" si="3292"/>
        <v>0.55892968925168474</v>
      </c>
      <c r="AC1130" s="149">
        <f t="shared" si="3292"/>
        <v>0.66037573510660053</v>
      </c>
      <c r="AD1130" s="150">
        <f t="shared" si="3292"/>
        <v>0.65359097275824019</v>
      </c>
      <c r="AE1130" s="15"/>
      <c r="AF1130" s="232">
        <f>_xlfn.XLOOKUP($C1130,'Site Level Financials - ''23 ''24'!$C$2:$C$1577,'Site Level Financials - ''23 ''24'!$AF$2:$AF$1577)</f>
        <v>0.55288529694357313</v>
      </c>
      <c r="AG1130" s="97">
        <f t="shared" ref="AG1130:AH1130" si="3293">AG1129/AG1105</f>
        <v>0.49665716191303361</v>
      </c>
      <c r="AH1130" s="97">
        <f t="shared" si="3293"/>
        <v>0.44923223381246263</v>
      </c>
    </row>
    <row r="1131" spans="2:34" ht="6" customHeight="1" x14ac:dyDescent="0.2">
      <c r="B1131" s="9">
        <f>G1093</f>
        <v>23</v>
      </c>
      <c r="C1131" s="9" t="str">
        <f t="shared" si="3184"/>
        <v xml:space="preserve">23 - </v>
      </c>
      <c r="D1131" s="9" t="s">
        <v>56</v>
      </c>
      <c r="G1131" s="80"/>
      <c r="H1131" s="63"/>
      <c r="I1131" s="63"/>
      <c r="J1131" s="63"/>
      <c r="K1131" s="63"/>
      <c r="L1131" s="63"/>
      <c r="M1131" s="63"/>
      <c r="N1131" s="63"/>
      <c r="O1131" s="63"/>
      <c r="P1131" s="63"/>
      <c r="Q1131" s="63"/>
      <c r="R1131" s="63"/>
      <c r="S1131" s="80"/>
      <c r="T1131" s="63"/>
      <c r="U1131" s="63"/>
      <c r="V1131" s="63"/>
      <c r="W1131" s="63"/>
      <c r="X1131" s="63"/>
      <c r="Y1131" s="63"/>
      <c r="Z1131" s="63"/>
      <c r="AA1131" s="63"/>
      <c r="AB1131" s="63"/>
      <c r="AC1131" s="63"/>
      <c r="AD1131" s="81"/>
      <c r="AE1131" s="15"/>
      <c r="AF1131" s="11"/>
      <c r="AG1131" s="15"/>
      <c r="AH1131" s="15"/>
    </row>
    <row r="1132" spans="2:34" x14ac:dyDescent="0.2">
      <c r="B1132" s="9">
        <f>G1093</f>
        <v>23</v>
      </c>
      <c r="C1132" s="9" t="str">
        <f t="shared" si="3184"/>
        <v>23 - Memo:</v>
      </c>
      <c r="D1132" s="9" t="s">
        <v>56</v>
      </c>
      <c r="F1132" s="6" t="s">
        <v>13</v>
      </c>
      <c r="G1132" s="80"/>
      <c r="H1132" s="63"/>
      <c r="I1132" s="63"/>
      <c r="J1132" s="63"/>
      <c r="K1132" s="63"/>
      <c r="L1132" s="63"/>
      <c r="M1132" s="63"/>
      <c r="N1132" s="63"/>
      <c r="O1132" s="63"/>
      <c r="P1132" s="63"/>
      <c r="Q1132" s="63"/>
      <c r="R1132" s="63"/>
      <c r="S1132" s="80"/>
      <c r="T1132" s="63"/>
      <c r="U1132" s="63"/>
      <c r="V1132" s="63"/>
      <c r="W1132" s="63"/>
      <c r="X1132" s="63"/>
      <c r="Y1132" s="63"/>
      <c r="Z1132" s="63"/>
      <c r="AA1132" s="63"/>
      <c r="AB1132" s="63"/>
      <c r="AC1132" s="63"/>
      <c r="AD1132" s="81"/>
      <c r="AE1132" s="15"/>
      <c r="AF1132" s="11"/>
      <c r="AG1132" s="15"/>
      <c r="AH1132" s="15"/>
    </row>
    <row r="1133" spans="2:34" s="24" customFormat="1" x14ac:dyDescent="0.2">
      <c r="B1133" s="9">
        <f>G1093</f>
        <v>23</v>
      </c>
      <c r="C1133" s="9" t="str">
        <f t="shared" si="3184"/>
        <v>23 - Collections</v>
      </c>
      <c r="D1133" s="9" t="s">
        <v>56</v>
      </c>
      <c r="E1133" s="49"/>
      <c r="F1133" s="24" t="s">
        <v>15</v>
      </c>
      <c r="G1133" s="247">
        <f>_xlfn.XLOOKUP($C1133,'Site Level Financials - ''23 ''24'!$C$2:$C$1577,'Site Level Financials - ''23 ''24'!S$2:S$1577)</f>
        <v>554.06906877547272</v>
      </c>
      <c r="H1133" s="248">
        <f>_xlfn.XLOOKUP($C1133,'Site Level Financials - ''23 ''24'!$C$2:$C$1577,'Site Level Financials - ''23 ''24'!T$2:T$1577)</f>
        <v>477.35091843568728</v>
      </c>
      <c r="I1133" s="248">
        <f>_xlfn.XLOOKUP($C1133,'Site Level Financials - ''23 ''24'!$C$2:$C$1577,'Site Level Financials - ''23 ''24'!U$2:U$1577)</f>
        <v>483.06894027976006</v>
      </c>
      <c r="J1133" s="248">
        <f>_xlfn.XLOOKUP($C1133,'Site Level Financials - ''23 ''24'!$C$2:$C$1577,'Site Level Financials - ''23 ''24'!V$2:V$1577)</f>
        <v>364.94440845267616</v>
      </c>
      <c r="K1133" s="248">
        <f>_xlfn.XLOOKUP($C1133,'Site Level Financials - ''23 ''24'!$C$2:$C$1577,'Site Level Financials - ''23 ''24'!W$2:W$1577)</f>
        <v>225.28118048197311</v>
      </c>
      <c r="L1133" s="248">
        <f>_xlfn.XLOOKUP($C1133,'Site Level Financials - ''23 ''24'!$C$2:$C$1577,'Site Level Financials - ''23 ''24'!X$2:X$1577)</f>
        <v>322.76574025846492</v>
      </c>
      <c r="M1133" s="248">
        <f>_xlfn.XLOOKUP($C1133,'Site Level Financials - ''23 ''24'!$C$2:$C$1577,'Site Level Financials - ''23 ''24'!Y$2:Y$1577)</f>
        <v>360.81519769319158</v>
      </c>
      <c r="N1133" s="248">
        <f>_xlfn.XLOOKUP($C1133,'Site Level Financials - ''23 ''24'!$C$2:$C$1577,'Site Level Financials - ''23 ''24'!Z$2:Z$1577)</f>
        <v>414.41177355941716</v>
      </c>
      <c r="O1133" s="248">
        <f>_xlfn.XLOOKUP($C1133,'Site Level Financials - ''23 ''24'!$C$2:$C$1577,'Site Level Financials - ''23 ''24'!AA$2:AA$1577)</f>
        <v>390.35788525994911</v>
      </c>
      <c r="P1133" s="248">
        <f>_xlfn.XLOOKUP($C1133,'Site Level Financials - ''23 ''24'!$C$2:$C$1577,'Site Level Financials - ''23 ''24'!AB$2:AB$1577)</f>
        <v>428.91505392270449</v>
      </c>
      <c r="Q1133" s="248">
        <f>_xlfn.XLOOKUP($C1133,'Site Level Financials - ''23 ''24'!$C$2:$C$1577,'Site Level Financials - ''23 ''24'!AC$2:AC$1577)</f>
        <v>456.61115277269511</v>
      </c>
      <c r="R1133" s="248">
        <f>_xlfn.XLOOKUP($C1133,'Site Level Financials - ''23 ''24'!$C$2:$C$1577,'Site Level Financials - ''23 ''24'!AD$2:AD$1577)</f>
        <v>379.85598574168068</v>
      </c>
      <c r="S1133" s="169">
        <f t="shared" ref="S1133:AD1133" si="3294">S1134*S1103</f>
        <v>565.09039479851197</v>
      </c>
      <c r="T1133" s="170">
        <f t="shared" si="3294"/>
        <v>585.13913070238505</v>
      </c>
      <c r="U1133" s="170">
        <f t="shared" si="3294"/>
        <v>628.31609905356925</v>
      </c>
      <c r="V1133" s="170">
        <f t="shared" si="3294"/>
        <v>673.02804167605939</v>
      </c>
      <c r="W1133" s="170">
        <f t="shared" si="3294"/>
        <v>799.90169278306087</v>
      </c>
      <c r="X1133" s="170">
        <f t="shared" si="3294"/>
        <v>671.71644349208987</v>
      </c>
      <c r="Y1133" s="170">
        <f t="shared" si="3294"/>
        <v>676.71210105728721</v>
      </c>
      <c r="Z1133" s="170">
        <f t="shared" si="3294"/>
        <v>580.27442191318482</v>
      </c>
      <c r="AA1133" s="170">
        <f t="shared" si="3294"/>
        <v>532.01708165602906</v>
      </c>
      <c r="AB1133" s="170">
        <f t="shared" si="3294"/>
        <v>611.01775643936196</v>
      </c>
      <c r="AC1133" s="170">
        <f t="shared" si="3294"/>
        <v>482.99057077474299</v>
      </c>
      <c r="AD1133" s="171">
        <f t="shared" si="3294"/>
        <v>394.22296669326744</v>
      </c>
      <c r="AE1133" s="26"/>
      <c r="AF1133" s="234">
        <f>_xlfn.XLOOKUP($C1133,'Site Level Financials - ''23 ''24'!$C$2:$C$1577,'Site Level Financials - ''23 ''24'!$AF$2:$AF$1577)</f>
        <v>3410.4200819986718</v>
      </c>
      <c r="AG1133" s="99">
        <f>SUM(G1133:R1133)</f>
        <v>4858.4473056336719</v>
      </c>
      <c r="AH1133" s="99">
        <f t="shared" ref="AH1133" si="3295">SUM(S1133:AD1133)</f>
        <v>7200.4267010395497</v>
      </c>
    </row>
    <row r="1134" spans="2:34" x14ac:dyDescent="0.2">
      <c r="B1134" s="9">
        <f>G1093</f>
        <v>23</v>
      </c>
      <c r="C1134" s="9" t="str">
        <f t="shared" si="3184"/>
        <v>23 - Collections as a % of Production</v>
      </c>
      <c r="D1134" s="9" t="s">
        <v>56</v>
      </c>
      <c r="F1134" s="16" t="s">
        <v>17</v>
      </c>
      <c r="G1134" s="245">
        <f>_xlfn.XLOOKUP($C1134,'Site Level Financials - ''23 ''24'!$C$2:$C$1577,'Site Level Financials - ''23 ''24'!S$2:S$1577)</f>
        <v>0.97370001562703612</v>
      </c>
      <c r="H1134" s="246">
        <f>_xlfn.XLOOKUP($C1134,'Site Level Financials - ''23 ''24'!$C$2:$C$1577,'Site Level Financials - ''23 ''24'!T$2:T$1577)</f>
        <v>0.98451360736164939</v>
      </c>
      <c r="I1134" s="246">
        <f>_xlfn.XLOOKUP($C1134,'Site Level Financials - ''23 ''24'!$C$2:$C$1577,'Site Level Financials - ''23 ''24'!U$2:U$1577)</f>
        <v>0.98735896000341938</v>
      </c>
      <c r="J1134" s="246">
        <f>_xlfn.XLOOKUP($C1134,'Site Level Financials - ''23 ''24'!$C$2:$C$1577,'Site Level Financials - ''23 ''24'!V$2:V$1577)</f>
        <v>0.99429076674658678</v>
      </c>
      <c r="K1134" s="246">
        <f>_xlfn.XLOOKUP($C1134,'Site Level Financials - ''23 ''24'!$C$2:$C$1577,'Site Level Financials - ''23 ''24'!W$2:W$1577)</f>
        <v>0.98624662554274789</v>
      </c>
      <c r="L1134" s="246">
        <f>_xlfn.XLOOKUP($C1134,'Site Level Financials - ''23 ''24'!$C$2:$C$1577,'Site Level Financials - ''23 ''24'!X$2:X$1577)</f>
        <v>0.9658543322172829</v>
      </c>
      <c r="M1134" s="246">
        <f>_xlfn.XLOOKUP($C1134,'Site Level Financials - ''23 ''24'!$C$2:$C$1577,'Site Level Financials - ''23 ''24'!Y$2:Y$1577)</f>
        <v>0.99647234482044045</v>
      </c>
      <c r="N1134" s="246">
        <f>_xlfn.XLOOKUP($C1134,'Site Level Financials - ''23 ''24'!$C$2:$C$1577,'Site Level Financials - ''23 ''24'!Z$2:Z$1577)</f>
        <v>0.9851989220779086</v>
      </c>
      <c r="O1134" s="246">
        <f>_xlfn.XLOOKUP($C1134,'Site Level Financials - ''23 ''24'!$C$2:$C$1577,'Site Level Financials - ''23 ''24'!AA$2:AA$1577)</f>
        <v>0.97199513272644744</v>
      </c>
      <c r="P1134" s="246">
        <f>_xlfn.XLOOKUP($C1134,'Site Level Financials - ''23 ''24'!$C$2:$C$1577,'Site Level Financials - ''23 ''24'!AB$2:AB$1577)</f>
        <v>0.96949221069790359</v>
      </c>
      <c r="Q1134" s="246">
        <f>_xlfn.XLOOKUP($C1134,'Site Level Financials - ''23 ''24'!$C$2:$C$1577,'Site Level Financials - ''23 ''24'!AC$2:AC$1577)</f>
        <v>0.98054221752917503</v>
      </c>
      <c r="R1134" s="246">
        <f>_xlfn.XLOOKUP($C1134,'Site Level Financials - ''23 ''24'!$C$2:$C$1577,'Site Level Financials - ''23 ''24'!AD$2:AD$1577)</f>
        <v>0.97492815255013765</v>
      </c>
      <c r="S1134" s="148">
        <f>S1104</f>
        <v>0.98054757633232159</v>
      </c>
      <c r="T1134" s="149">
        <f t="shared" ref="T1134:AD1134" si="3296">T1104</f>
        <v>0.98054757633232159</v>
      </c>
      <c r="U1134" s="149">
        <f t="shared" si="3296"/>
        <v>0.98054757633232159</v>
      </c>
      <c r="V1134" s="149">
        <f t="shared" si="3296"/>
        <v>0.98054757633232159</v>
      </c>
      <c r="W1134" s="149">
        <f t="shared" si="3296"/>
        <v>0.98054757633232159</v>
      </c>
      <c r="X1134" s="149">
        <f t="shared" si="3296"/>
        <v>0.98054757633232159</v>
      </c>
      <c r="Y1134" s="149">
        <f t="shared" si="3296"/>
        <v>0.98054757633232159</v>
      </c>
      <c r="Z1134" s="149">
        <f t="shared" si="3296"/>
        <v>0.98054757633232159</v>
      </c>
      <c r="AA1134" s="149">
        <f t="shared" si="3296"/>
        <v>0.98054757633232159</v>
      </c>
      <c r="AB1134" s="149">
        <f t="shared" si="3296"/>
        <v>0.98054757633232159</v>
      </c>
      <c r="AC1134" s="149">
        <f t="shared" si="3296"/>
        <v>0.98054757633232159</v>
      </c>
      <c r="AD1134" s="150">
        <f t="shared" si="3296"/>
        <v>0.98054757633232159</v>
      </c>
      <c r="AE1134" s="15"/>
      <c r="AF1134" s="232">
        <f>_xlfn.XLOOKUP($C1134,'Site Level Financials - ''23 ''24'!$C$2:$C$1577,'Site Level Financials - ''23 ''24'!$AF$2:$AF$1577)</f>
        <v>0.97827480336689698</v>
      </c>
      <c r="AG1134" s="97">
        <f t="shared" ref="AG1134:AH1134" si="3297">AG1133/AG1103</f>
        <v>0.98054757633232159</v>
      </c>
      <c r="AH1134" s="97">
        <f t="shared" si="3297"/>
        <v>0.98054757633232159</v>
      </c>
    </row>
    <row r="1135" spans="2:34" ht="6" customHeight="1" x14ac:dyDescent="0.2">
      <c r="B1135" s="9">
        <f>G1093</f>
        <v>23</v>
      </c>
      <c r="C1135" s="9" t="str">
        <f t="shared" si="3184"/>
        <v xml:space="preserve">23 - </v>
      </c>
      <c r="D1135" s="9" t="s">
        <v>56</v>
      </c>
      <c r="F1135" s="27"/>
      <c r="G1135" s="63"/>
      <c r="H1135" s="63"/>
      <c r="I1135" s="63"/>
      <c r="J1135" s="63"/>
      <c r="K1135" s="63"/>
      <c r="L1135" s="63"/>
      <c r="M1135" s="63"/>
      <c r="N1135" s="63"/>
      <c r="O1135" s="63"/>
      <c r="P1135" s="63"/>
      <c r="Q1135" s="63"/>
      <c r="R1135" s="81"/>
      <c r="S1135" s="63"/>
      <c r="T1135" s="63"/>
      <c r="U1135" s="63"/>
      <c r="V1135" s="63"/>
      <c r="W1135" s="63"/>
      <c r="X1135" s="63"/>
      <c r="Y1135" s="63"/>
      <c r="Z1135" s="63"/>
      <c r="AA1135" s="63"/>
      <c r="AB1135" s="63"/>
      <c r="AC1135" s="63"/>
      <c r="AD1135" s="81"/>
      <c r="AE1135" s="15"/>
      <c r="AF1135" s="11"/>
      <c r="AH1135" s="224"/>
    </row>
    <row r="1136" spans="2:34" s="24" customFormat="1" x14ac:dyDescent="0.2">
      <c r="B1136" s="9">
        <f>G1093</f>
        <v>23</v>
      </c>
      <c r="C1136" s="9" t="str">
        <f t="shared" si="3184"/>
        <v>23 - Production per Vet Workday - YoY Change</v>
      </c>
      <c r="D1136" s="9" t="s">
        <v>56</v>
      </c>
      <c r="E1136" s="49"/>
      <c r="F1136" s="24" t="s">
        <v>55</v>
      </c>
      <c r="G1136" s="249">
        <f>_xlfn.XLOOKUP($C1136,'Site Level Financials - ''23 ''24'!$C$2:$C$1577,'Site Level Financials - ''23 ''24'!S$2:S$1577)</f>
        <v>-5.6279272685438086E-2</v>
      </c>
      <c r="H1136" s="250">
        <f>_xlfn.XLOOKUP($C1136,'Site Level Financials - ''23 ''24'!$C$2:$C$1577,'Site Level Financials - ''23 ''24'!T$2:T$1577)</f>
        <v>3.7617279828802808E-2</v>
      </c>
      <c r="I1136" s="250">
        <f>_xlfn.XLOOKUP($C1136,'Site Level Financials - ''23 ''24'!$C$2:$C$1577,'Site Level Financials - ''23 ''24'!U$2:U$1577)</f>
        <v>-2.6931362447520701E-2</v>
      </c>
      <c r="J1136" s="250">
        <f>_xlfn.XLOOKUP($C1136,'Site Level Financials - ''23 ''24'!$C$2:$C$1577,'Site Level Financials - ''23 ''24'!V$2:V$1577)</f>
        <v>4.4467523288705735E-2</v>
      </c>
      <c r="K1136" s="250">
        <f>_xlfn.XLOOKUP($C1136,'Site Level Financials - ''23 ''24'!$C$2:$C$1577,'Site Level Financials - ''23 ''24'!W$2:W$1577)</f>
        <v>8.1830424440825666E-2</v>
      </c>
      <c r="L1136" s="250">
        <f>_xlfn.XLOOKUP($C1136,'Site Level Financials - ''23 ''24'!$C$2:$C$1577,'Site Level Financials - ''23 ''24'!X$2:X$1577)</f>
        <v>-1.1058705745358055E-2</v>
      </c>
      <c r="M1136" s="250">
        <f>_xlfn.XLOOKUP($C1136,'Site Level Financials - ''23 ''24'!$C$2:$C$1577,'Site Level Financials - ''23 ''24'!Y$2:Y$1577)</f>
        <v>0.1368811013056539</v>
      </c>
      <c r="N1136" s="250">
        <f>_xlfn.XLOOKUP($C1136,'Site Level Financials - ''23 ''24'!$C$2:$C$1577,'Site Level Financials - ''23 ''24'!Z$2:Z$1577)</f>
        <v>3.6258796556801975E-2</v>
      </c>
      <c r="O1136" s="250">
        <f>_xlfn.XLOOKUP($C1136,'Site Level Financials - ''23 ''24'!$C$2:$C$1577,'Site Level Financials - ''23 ''24'!AA$2:AA$1577)</f>
        <v>5.7403259803538109E-2</v>
      </c>
      <c r="P1136" s="250">
        <f>_xlfn.XLOOKUP($C1136,'Site Level Financials - ''23 ''24'!$C$2:$C$1577,'Site Level Financials - ''23 ''24'!AB$2:AB$1577)</f>
        <v>2.9588656347595998E-2</v>
      </c>
      <c r="Q1136" s="250">
        <f>_xlfn.XLOOKUP($C1136,'Site Level Financials - ''23 ''24'!$C$2:$C$1577,'Site Level Financials - ''23 ''24'!AC$2:AC$1577)</f>
        <v>1.1352057345059841E-4</v>
      </c>
      <c r="R1136" s="251">
        <f>_xlfn.XLOOKUP($C1136,'Site Level Financials - ''23 ''24'!$C$2:$C$1577,'Site Level Financials - ''23 ''24'!AD$2:AD$1577)</f>
        <v>8.5764132647216051E-2</v>
      </c>
      <c r="S1136" s="151">
        <f>S1102/G1102-1</f>
        <v>1.2769294326479885E-2</v>
      </c>
      <c r="T1136" s="152">
        <f t="shared" ref="T1136" si="3298">T1102/H1102-1</f>
        <v>-7.6927749005848201E-2</v>
      </c>
      <c r="U1136" s="152">
        <f t="shared" ref="U1136" si="3299">U1102/I1102-1</f>
        <v>-1.7716752550563264E-2</v>
      </c>
      <c r="V1136" s="152">
        <f t="shared" ref="V1136" si="3300">V1102/J1102-1</f>
        <v>-6.497938583276397E-2</v>
      </c>
      <c r="W1136" s="152">
        <f t="shared" ref="W1136" si="3301">W1102/K1102-1</f>
        <v>-0.10717041838524388</v>
      </c>
      <c r="X1136" s="152">
        <f t="shared" ref="X1136" si="3302">X1102/L1102-1</f>
        <v>2.4970852032204505E-2</v>
      </c>
      <c r="Y1136" s="152">
        <f t="shared" ref="Y1136" si="3303">Y1102/M1102-1</f>
        <v>-4.7015790350347086E-2</v>
      </c>
      <c r="Z1136" s="152">
        <f t="shared" ref="Z1136" si="3304">Z1102/N1102-1</f>
        <v>5.5158891802895571E-2</v>
      </c>
      <c r="AA1136" s="152">
        <f t="shared" ref="AA1136" si="3305">AA1102/O1102-1</f>
        <v>1.3256277467296407E-2</v>
      </c>
      <c r="AB1136" s="152">
        <f t="shared" ref="AB1136" si="3306">AB1102/P1102-1</f>
        <v>5.6378269689754568E-2</v>
      </c>
      <c r="AC1136" s="152">
        <f t="shared" ref="AC1136" si="3307">AC1102/Q1102-1</f>
        <v>5.7766391039533183E-2</v>
      </c>
      <c r="AD1136" s="153">
        <f t="shared" ref="AD1136" si="3308">AD1102/R1102-1</f>
        <v>3.1874519628317888E-2</v>
      </c>
      <c r="AF1136" s="43"/>
      <c r="AG1136" s="177">
        <f>AG1102/AF1102-1</f>
        <v>-2.551400573337681E-2</v>
      </c>
      <c r="AH1136" s="225">
        <f>AH1102/AG1102-1</f>
        <v>4.6796008302921965E-2</v>
      </c>
    </row>
    <row r="1137" spans="2:35" s="24" customFormat="1" ht="6" customHeight="1" x14ac:dyDescent="0.2">
      <c r="D1137" s="9" t="s">
        <v>56</v>
      </c>
      <c r="E1137" s="49"/>
      <c r="G1137" s="28"/>
      <c r="H1137" s="30"/>
      <c r="I1137" s="30"/>
      <c r="J1137" s="30"/>
      <c r="K1137" s="30"/>
      <c r="L1137" s="30"/>
      <c r="M1137" s="30"/>
      <c r="N1137" s="30"/>
      <c r="O1137" s="30"/>
      <c r="P1137" s="30"/>
      <c r="Q1137" s="30"/>
      <c r="R1137" s="29"/>
      <c r="S1137" s="30"/>
      <c r="T1137" s="30"/>
      <c r="U1137" s="30"/>
      <c r="V1137" s="30"/>
      <c r="W1137" s="30"/>
      <c r="X1137" s="30"/>
      <c r="Y1137" s="30"/>
      <c r="Z1137" s="30"/>
      <c r="AA1137" s="30"/>
      <c r="AB1137" s="30"/>
      <c r="AC1137" s="30"/>
      <c r="AD1137" s="29"/>
      <c r="AE1137" s="25"/>
      <c r="AF1137" s="28"/>
      <c r="AG1137" s="30"/>
      <c r="AH1137" s="226"/>
    </row>
    <row r="1138" spans="2:35" s="24" customFormat="1" ht="6" customHeight="1" x14ac:dyDescent="0.2">
      <c r="D1138" s="9" t="s">
        <v>56</v>
      </c>
      <c r="E1138" s="49"/>
    </row>
    <row r="1139" spans="2:35" x14ac:dyDescent="0.2">
      <c r="D1139" s="9" t="s">
        <v>56</v>
      </c>
      <c r="F1139" s="16"/>
    </row>
    <row r="1140" spans="2:35" ht="15.75" thickBot="1" x14ac:dyDescent="0.4">
      <c r="B1140" s="35" t="s">
        <v>52</v>
      </c>
      <c r="C1140" s="35"/>
      <c r="D1140" s="9" t="s">
        <v>56</v>
      </c>
      <c r="E1140" s="48" t="s">
        <v>0</v>
      </c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74"/>
      <c r="AH1140" s="3">
        <f ca="1">TODAY()</f>
        <v>45999</v>
      </c>
      <c r="AI1140" s="1"/>
    </row>
    <row r="1141" spans="2:35" x14ac:dyDescent="0.2">
      <c r="B1141" s="9">
        <f>G1142</f>
        <v>24</v>
      </c>
      <c r="C1141" s="9"/>
      <c r="D1141" s="9" t="s">
        <v>56</v>
      </c>
      <c r="F1141" t="s">
        <v>159</v>
      </c>
      <c r="AG1141" s="6"/>
      <c r="AH1141" s="6" t="s">
        <v>16</v>
      </c>
    </row>
    <row r="1142" spans="2:35" x14ac:dyDescent="0.2">
      <c r="B1142" s="9">
        <f>G1142</f>
        <v>24</v>
      </c>
      <c r="C1142" s="9"/>
      <c r="D1142" s="9" t="s">
        <v>56</v>
      </c>
      <c r="F1142" s="40" t="s">
        <v>53</v>
      </c>
      <c r="G1142" s="42">
        <v>24</v>
      </c>
    </row>
    <row r="1143" spans="2:35" x14ac:dyDescent="0.2">
      <c r="B1143" s="9">
        <f>G1142</f>
        <v>24</v>
      </c>
      <c r="C1143" s="9"/>
      <c r="D1143" s="9" t="s">
        <v>56</v>
      </c>
      <c r="F1143" s="39" t="s">
        <v>41</v>
      </c>
      <c r="G1143" s="41"/>
      <c r="H1143" s="11"/>
    </row>
    <row r="1144" spans="2:35" x14ac:dyDescent="0.2">
      <c r="B1144" s="9">
        <f>G1142</f>
        <v>24</v>
      </c>
      <c r="C1144" s="9"/>
      <c r="D1144" s="9" t="s">
        <v>56</v>
      </c>
      <c r="G1144" s="23"/>
    </row>
    <row r="1145" spans="2:35" x14ac:dyDescent="0.2">
      <c r="B1145" s="9">
        <f>G1142</f>
        <v>24</v>
      </c>
      <c r="C1145" s="9"/>
      <c r="D1145" s="9" t="s">
        <v>56</v>
      </c>
      <c r="G1145" s="208" t="s">
        <v>229</v>
      </c>
      <c r="H1145" s="209"/>
      <c r="I1145" s="209"/>
      <c r="J1145" s="209"/>
      <c r="K1145" s="209"/>
      <c r="L1145" s="209"/>
      <c r="M1145" s="209"/>
      <c r="N1145" s="209"/>
      <c r="O1145" s="209"/>
      <c r="P1145" s="209"/>
      <c r="Q1145" s="209"/>
      <c r="R1145" s="210"/>
      <c r="S1145" s="266" t="s">
        <v>230</v>
      </c>
      <c r="T1145" s="267"/>
      <c r="U1145" s="267"/>
      <c r="V1145" s="267"/>
      <c r="W1145" s="267"/>
      <c r="X1145" s="267"/>
      <c r="Y1145" s="267"/>
      <c r="Z1145" s="267"/>
      <c r="AA1145" s="267"/>
      <c r="AB1145" s="267"/>
      <c r="AC1145" s="267"/>
      <c r="AD1145" s="268"/>
      <c r="AF1145" s="17" t="s">
        <v>231</v>
      </c>
      <c r="AG1145" s="50"/>
      <c r="AH1145" s="269" t="s">
        <v>232</v>
      </c>
    </row>
    <row r="1146" spans="2:35" ht="15" customHeight="1" x14ac:dyDescent="0.35">
      <c r="B1146" s="9">
        <f>G1142</f>
        <v>24</v>
      </c>
      <c r="C1146" s="9"/>
      <c r="D1146" s="9" t="s">
        <v>56</v>
      </c>
      <c r="G1146" s="211">
        <v>44957</v>
      </c>
      <c r="H1146" s="212">
        <f>EOMONTH(G1146,1)</f>
        <v>44985</v>
      </c>
      <c r="I1146" s="212">
        <f t="shared" ref="I1146" si="3309">EOMONTH(H1146,1)</f>
        <v>45016</v>
      </c>
      <c r="J1146" s="212">
        <f t="shared" ref="J1146" si="3310">EOMONTH(I1146,1)</f>
        <v>45046</v>
      </c>
      <c r="K1146" s="212">
        <f t="shared" ref="K1146" si="3311">EOMONTH(J1146,1)</f>
        <v>45077</v>
      </c>
      <c r="L1146" s="212">
        <f t="shared" ref="L1146" si="3312">EOMONTH(K1146,1)</f>
        <v>45107</v>
      </c>
      <c r="M1146" s="212">
        <f t="shared" ref="M1146" si="3313">EOMONTH(L1146,1)</f>
        <v>45138</v>
      </c>
      <c r="N1146" s="212">
        <f t="shared" ref="N1146" si="3314">EOMONTH(M1146,1)</f>
        <v>45169</v>
      </c>
      <c r="O1146" s="212">
        <f t="shared" ref="O1146" si="3315">EOMONTH(N1146,1)</f>
        <v>45199</v>
      </c>
      <c r="P1146" s="212">
        <f t="shared" ref="P1146" si="3316">EOMONTH(O1146,1)</f>
        <v>45230</v>
      </c>
      <c r="Q1146" s="212">
        <f t="shared" ref="Q1146" si="3317">EOMONTH(P1146,1)</f>
        <v>45260</v>
      </c>
      <c r="R1146" s="213">
        <f t="shared" ref="R1146" si="3318">EOMONTH(Q1146,1)</f>
        <v>45291</v>
      </c>
      <c r="S1146" s="4">
        <f t="shared" ref="S1146" si="3319">EOMONTH(R1146,1)</f>
        <v>45322</v>
      </c>
      <c r="T1146" s="19">
        <f t="shared" ref="T1146" si="3320">EOMONTH(S1146,1)</f>
        <v>45351</v>
      </c>
      <c r="U1146" s="19">
        <f t="shared" ref="U1146" si="3321">EOMONTH(T1146,1)</f>
        <v>45382</v>
      </c>
      <c r="V1146" s="19">
        <f t="shared" ref="V1146" si="3322">EOMONTH(U1146,1)</f>
        <v>45412</v>
      </c>
      <c r="W1146" s="19">
        <f t="shared" ref="W1146" si="3323">EOMONTH(V1146,1)</f>
        <v>45443</v>
      </c>
      <c r="X1146" s="19">
        <f t="shared" ref="X1146" si="3324">EOMONTH(W1146,1)</f>
        <v>45473</v>
      </c>
      <c r="Y1146" s="19">
        <f t="shared" ref="Y1146" si="3325">EOMONTH(X1146,1)</f>
        <v>45504</v>
      </c>
      <c r="Z1146" s="19">
        <f t="shared" ref="Z1146" si="3326">EOMONTH(Y1146,1)</f>
        <v>45535</v>
      </c>
      <c r="AA1146" s="19">
        <f t="shared" ref="AA1146" si="3327">EOMONTH(Z1146,1)</f>
        <v>45565</v>
      </c>
      <c r="AB1146" s="19">
        <f t="shared" ref="AB1146" si="3328">EOMONTH(AA1146,1)</f>
        <v>45596</v>
      </c>
      <c r="AC1146" s="19">
        <f t="shared" ref="AC1146" si="3329">EOMONTH(AB1146,1)</f>
        <v>45626</v>
      </c>
      <c r="AD1146" s="5">
        <f t="shared" ref="AD1146" si="3330">EOMONTH(AC1146,1)</f>
        <v>45657</v>
      </c>
      <c r="AE1146" s="168"/>
      <c r="AF1146" s="13">
        <v>45291</v>
      </c>
      <c r="AG1146" s="14">
        <v>45657</v>
      </c>
      <c r="AH1146" s="14">
        <v>46022</v>
      </c>
    </row>
    <row r="1147" spans="2:35" ht="0.95" customHeight="1" x14ac:dyDescent="0.2">
      <c r="B1147" s="9">
        <f>G1142</f>
        <v>24</v>
      </c>
      <c r="C1147" s="9"/>
      <c r="D1147" s="9" t="s">
        <v>56</v>
      </c>
      <c r="G1147" s="11"/>
      <c r="S1147" s="11"/>
      <c r="AD1147" s="15"/>
      <c r="AE1147" s="15"/>
      <c r="AF1147" s="11"/>
      <c r="AG1147" s="15"/>
      <c r="AH1147" s="15"/>
    </row>
    <row r="1148" spans="2:35" x14ac:dyDescent="0.2">
      <c r="B1148" s="9">
        <f>G1142</f>
        <v>24</v>
      </c>
      <c r="C1148" s="9" t="str">
        <f>B1148&amp;" - "&amp;F1148</f>
        <v>24 - Employed Vets</v>
      </c>
      <c r="D1148" s="9" t="s">
        <v>56</v>
      </c>
      <c r="F1148" s="7" t="s">
        <v>160</v>
      </c>
      <c r="G1148" s="178">
        <f>_xlfn.XLOOKUP($C1148,'Site Level Financials - ''23 ''24'!$C$2:$C$1577,'Site Level Financials - ''23 ''24'!S$2:S$1577)</f>
        <v>4</v>
      </c>
      <c r="H1148" s="179">
        <f>_xlfn.XLOOKUP($C1148,'Site Level Financials - ''23 ''24'!$C$2:$C$1577,'Site Level Financials - ''23 ''24'!T$2:T$1577)</f>
        <v>3</v>
      </c>
      <c r="I1148" s="179">
        <f>_xlfn.XLOOKUP($C1148,'Site Level Financials - ''23 ''24'!$C$2:$C$1577,'Site Level Financials - ''23 ''24'!U$2:U$1577)</f>
        <v>3</v>
      </c>
      <c r="J1148" s="179">
        <f>_xlfn.XLOOKUP($C1148,'Site Level Financials - ''23 ''24'!$C$2:$C$1577,'Site Level Financials - ''23 ''24'!V$2:V$1577)</f>
        <v>3</v>
      </c>
      <c r="K1148" s="179">
        <f>_xlfn.XLOOKUP($C1148,'Site Level Financials - ''23 ''24'!$C$2:$C$1577,'Site Level Financials - ''23 ''24'!W$2:W$1577)</f>
        <v>2</v>
      </c>
      <c r="L1148" s="179">
        <f>_xlfn.XLOOKUP($C1148,'Site Level Financials - ''23 ''24'!$C$2:$C$1577,'Site Level Financials - ''23 ''24'!X$2:X$1577)</f>
        <v>2</v>
      </c>
      <c r="M1148" s="179">
        <f>_xlfn.XLOOKUP($C1148,'Site Level Financials - ''23 ''24'!$C$2:$C$1577,'Site Level Financials - ''23 ''24'!Y$2:Y$1577)</f>
        <v>3</v>
      </c>
      <c r="N1148" s="179">
        <f>_xlfn.XLOOKUP($C1148,'Site Level Financials - ''23 ''24'!$C$2:$C$1577,'Site Level Financials - ''23 ''24'!Z$2:Z$1577)</f>
        <v>4</v>
      </c>
      <c r="O1148" s="179">
        <f>_xlfn.XLOOKUP($C1148,'Site Level Financials - ''23 ''24'!$C$2:$C$1577,'Site Level Financials - ''23 ''24'!AA$2:AA$1577)</f>
        <v>4</v>
      </c>
      <c r="P1148" s="179">
        <f>_xlfn.XLOOKUP($C1148,'Site Level Financials - ''23 ''24'!$C$2:$C$1577,'Site Level Financials - ''23 ''24'!AB$2:AB$1577)</f>
        <v>4</v>
      </c>
      <c r="Q1148" s="179">
        <f>_xlfn.XLOOKUP($C1148,'Site Level Financials - ''23 ''24'!$C$2:$C$1577,'Site Level Financials - ''23 ''24'!AC$2:AC$1577)</f>
        <v>5</v>
      </c>
      <c r="R1148" s="179">
        <f>_xlfn.XLOOKUP($C1148,'Site Level Financials - ''23 ''24'!$C$2:$C$1577,'Site Level Financials - ''23 ''24'!AD$2:AD$1577)</f>
        <v>5</v>
      </c>
      <c r="S1148" s="178">
        <f>R1148+_xlfn.XLOOKUP($R1148,'Budget Assumption Driver'!$A$7:$A$11,'Budget Assumption Driver'!E$7:E$11)</f>
        <v>5</v>
      </c>
      <c r="T1148" s="179">
        <f>S1148+_xlfn.XLOOKUP($R1148,'Budget Assumption Driver'!$A$7:$A$11,'Budget Assumption Driver'!F$7:F$11)</f>
        <v>5</v>
      </c>
      <c r="U1148" s="179">
        <f>T1148+_xlfn.XLOOKUP($R1148,'Budget Assumption Driver'!$A$7:$A$11,'Budget Assumption Driver'!G$7:G$11)</f>
        <v>5</v>
      </c>
      <c r="V1148" s="179">
        <f>U1148+_xlfn.XLOOKUP($R1148,'Budget Assumption Driver'!$A$7:$A$11,'Budget Assumption Driver'!H$7:H$11)</f>
        <v>5</v>
      </c>
      <c r="W1148" s="179">
        <f>V1148+_xlfn.XLOOKUP($R1148,'Budget Assumption Driver'!$A$7:$A$11,'Budget Assumption Driver'!I$7:I$11)</f>
        <v>5</v>
      </c>
      <c r="X1148" s="179">
        <f>W1148+_xlfn.XLOOKUP($R1148,'Budget Assumption Driver'!$A$7:$A$11,'Budget Assumption Driver'!J$7:J$11)</f>
        <v>5</v>
      </c>
      <c r="Y1148" s="179">
        <f>X1148+_xlfn.XLOOKUP($R1148,'Budget Assumption Driver'!$A$7:$A$11,'Budget Assumption Driver'!K$7:K$11)</f>
        <v>5</v>
      </c>
      <c r="Z1148" s="179">
        <f>Y1148+_xlfn.XLOOKUP($R1148,'Budget Assumption Driver'!$A$7:$A$11,'Budget Assumption Driver'!L$7:L$11)</f>
        <v>5</v>
      </c>
      <c r="AA1148" s="179">
        <f>Z1148+_xlfn.XLOOKUP($R1148,'Budget Assumption Driver'!$A$7:$A$11,'Budget Assumption Driver'!M$7:M$11)</f>
        <v>5</v>
      </c>
      <c r="AB1148" s="179">
        <f>AA1148+_xlfn.XLOOKUP($R1148,'Budget Assumption Driver'!$A$7:$A$11,'Budget Assumption Driver'!N$7:N$11)</f>
        <v>5</v>
      </c>
      <c r="AC1148" s="179">
        <f>AB1148+_xlfn.XLOOKUP($R1148,'Budget Assumption Driver'!$A$7:$A$11,'Budget Assumption Driver'!O$7:O$11)</f>
        <v>5</v>
      </c>
      <c r="AD1148" s="290">
        <f>AC1148+_xlfn.XLOOKUP($R1148,'Budget Assumption Driver'!$A$7:$A$11,'Budget Assumption Driver'!P$7:P$11)</f>
        <v>5</v>
      </c>
      <c r="AE1148" s="15"/>
      <c r="AF1148" s="229">
        <f>_xlfn.XLOOKUP($C1148,'Site Level Financials - ''23 ''24'!$C$2:$C$1577,'Site Level Financials - ''23 ''24'!$AF$2:$AF$1577)</f>
        <v>3.5833333333333335</v>
      </c>
      <c r="AG1148" s="91">
        <f t="shared" ref="AG1148:AH1148" si="3331">AG1150/AG1149</f>
        <v>3.4981412639405205</v>
      </c>
      <c r="AH1148" s="91">
        <f t="shared" si="3331"/>
        <v>5</v>
      </c>
    </row>
    <row r="1149" spans="2:35" x14ac:dyDescent="0.2">
      <c r="B1149" s="9">
        <f>G1142</f>
        <v>24</v>
      </c>
      <c r="C1149" s="9" t="str">
        <f t="shared" ref="C1149:C1185" si="3332">B1149&amp;" - "&amp;F1149</f>
        <v>24 - Workdays in Month / Year</v>
      </c>
      <c r="D1149" s="9" t="s">
        <v>56</v>
      </c>
      <c r="F1149" s="7" t="s">
        <v>54</v>
      </c>
      <c r="G1149" s="178">
        <f>_xlfn.XLOOKUP($C1149,'Site Level Financials - ''23 ''24'!$C$2:$C$1577,'Site Level Financials - ''23 ''24'!S$2:S$1577)</f>
        <v>23</v>
      </c>
      <c r="H1149" s="235">
        <f>_xlfn.XLOOKUP($C1149,'Site Level Financials - ''23 ''24'!$C$2:$C$1577,'Site Level Financials - ''23 ''24'!T$2:T$1577)</f>
        <v>22</v>
      </c>
      <c r="I1149" s="235">
        <f>_xlfn.XLOOKUP($C1149,'Site Level Financials - ''23 ''24'!$C$2:$C$1577,'Site Level Financials - ''23 ''24'!U$2:U$1577)</f>
        <v>22</v>
      </c>
      <c r="J1149" s="179">
        <f>_xlfn.XLOOKUP($C1149,'Site Level Financials - ''23 ''24'!$C$2:$C$1577,'Site Level Financials - ''23 ''24'!V$2:V$1577)</f>
        <v>22</v>
      </c>
      <c r="K1149" s="179">
        <f>_xlfn.XLOOKUP($C1149,'Site Level Financials - ''23 ''24'!$C$2:$C$1577,'Site Level Financials - ''23 ''24'!W$2:W$1577)</f>
        <v>24</v>
      </c>
      <c r="L1149" s="179">
        <f>_xlfn.XLOOKUP($C1149,'Site Level Financials - ''23 ''24'!$C$2:$C$1577,'Site Level Financials - ''23 ''24'!X$2:X$1577)</f>
        <v>21</v>
      </c>
      <c r="M1149" s="179">
        <f>_xlfn.XLOOKUP($C1149,'Site Level Financials - ''23 ''24'!$C$2:$C$1577,'Site Level Financials - ''23 ''24'!Y$2:Y$1577)</f>
        <v>23</v>
      </c>
      <c r="N1149" s="179">
        <f>_xlfn.XLOOKUP($C1149,'Site Level Financials - ''23 ''24'!$C$2:$C$1577,'Site Level Financials - ''23 ''24'!Z$2:Z$1577)</f>
        <v>23</v>
      </c>
      <c r="O1149" s="179">
        <f>_xlfn.XLOOKUP($C1149,'Site Level Financials - ''23 ''24'!$C$2:$C$1577,'Site Level Financials - ''23 ''24'!AA$2:AA$1577)</f>
        <v>21</v>
      </c>
      <c r="P1149" s="179">
        <f>_xlfn.XLOOKUP($C1149,'Site Level Financials - ''23 ''24'!$C$2:$C$1577,'Site Level Financials - ''23 ''24'!AB$2:AB$1577)</f>
        <v>24</v>
      </c>
      <c r="Q1149" s="179">
        <f>_xlfn.XLOOKUP($C1149,'Site Level Financials - ''23 ''24'!$C$2:$C$1577,'Site Level Financials - ''23 ''24'!AC$2:AC$1577)</f>
        <v>22</v>
      </c>
      <c r="R1149" s="179">
        <f>_xlfn.XLOOKUP($C1149,'Site Level Financials - ''23 ''24'!$C$2:$C$1577,'Site Level Financials - ''23 ''24'!AD$2:AD$1577)</f>
        <v>22</v>
      </c>
      <c r="S1149" s="155">
        <f>NETWORKDAYS(R1146,S1146)</f>
        <v>23</v>
      </c>
      <c r="T1149" s="154">
        <f t="shared" ref="T1149:AD1149" si="3333">NETWORKDAYS(S1146,T1146)</f>
        <v>22</v>
      </c>
      <c r="U1149" s="154">
        <f t="shared" si="3333"/>
        <v>22</v>
      </c>
      <c r="V1149" s="154">
        <f t="shared" si="3333"/>
        <v>22</v>
      </c>
      <c r="W1149" s="154">
        <f t="shared" si="3333"/>
        <v>24</v>
      </c>
      <c r="X1149" s="154">
        <f t="shared" si="3333"/>
        <v>21</v>
      </c>
      <c r="Y1149" s="154">
        <f t="shared" si="3333"/>
        <v>23</v>
      </c>
      <c r="Z1149" s="154">
        <f t="shared" si="3333"/>
        <v>23</v>
      </c>
      <c r="AA1149" s="154">
        <f t="shared" si="3333"/>
        <v>21</v>
      </c>
      <c r="AB1149" s="154">
        <f t="shared" si="3333"/>
        <v>24</v>
      </c>
      <c r="AC1149" s="154">
        <f t="shared" si="3333"/>
        <v>22</v>
      </c>
      <c r="AD1149" s="156">
        <f t="shared" si="3333"/>
        <v>22</v>
      </c>
      <c r="AE1149" s="15"/>
      <c r="AF1149" s="115">
        <f>_xlfn.XLOOKUP($C1149,'Site Level Financials - ''23 ''24'!$C$2:$C$1577,'Site Level Financials - ''23 ''24'!$AF$2:$AF$1577)</f>
        <v>269</v>
      </c>
      <c r="AG1149" s="93">
        <f>SUM(G1149:R1149)</f>
        <v>269</v>
      </c>
      <c r="AH1149" s="93">
        <f>SUM(S1149:AD1149)</f>
        <v>269</v>
      </c>
    </row>
    <row r="1150" spans="2:35" x14ac:dyDescent="0.2">
      <c r="B1150" s="9">
        <f>G1142</f>
        <v>24</v>
      </c>
      <c r="C1150" s="9" t="str">
        <f t="shared" si="3332"/>
        <v>24 - Total Vet Days</v>
      </c>
      <c r="D1150" s="9" t="s">
        <v>56</v>
      </c>
      <c r="F1150" s="8" t="s">
        <v>51</v>
      </c>
      <c r="G1150" s="236">
        <f>_xlfn.XLOOKUP($C1150,'Site Level Financials - ''23 ''24'!$C$2:$C$1577,'Site Level Financials - ''23 ''24'!S$2:S$1577)</f>
        <v>92</v>
      </c>
      <c r="H1150" s="237">
        <f>_xlfn.XLOOKUP($C1150,'Site Level Financials - ''23 ''24'!$C$2:$C$1577,'Site Level Financials - ''23 ''24'!T$2:T$1577)</f>
        <v>66</v>
      </c>
      <c r="I1150" s="237">
        <f>_xlfn.XLOOKUP($C1150,'Site Level Financials - ''23 ''24'!$C$2:$C$1577,'Site Level Financials - ''23 ''24'!U$2:U$1577)</f>
        <v>66</v>
      </c>
      <c r="J1150" s="238">
        <f>_xlfn.XLOOKUP($C1150,'Site Level Financials - ''23 ''24'!$C$2:$C$1577,'Site Level Financials - ''23 ''24'!V$2:V$1577)</f>
        <v>66</v>
      </c>
      <c r="K1150" s="238">
        <f>_xlfn.XLOOKUP($C1150,'Site Level Financials - ''23 ''24'!$C$2:$C$1577,'Site Level Financials - ''23 ''24'!W$2:W$1577)</f>
        <v>48</v>
      </c>
      <c r="L1150" s="238">
        <f>_xlfn.XLOOKUP($C1150,'Site Level Financials - ''23 ''24'!$C$2:$C$1577,'Site Level Financials - ''23 ''24'!X$2:X$1577)</f>
        <v>42</v>
      </c>
      <c r="M1150" s="238">
        <f>_xlfn.XLOOKUP($C1150,'Site Level Financials - ''23 ''24'!$C$2:$C$1577,'Site Level Financials - ''23 ''24'!Y$2:Y$1577)</f>
        <v>69</v>
      </c>
      <c r="N1150" s="238">
        <f>_xlfn.XLOOKUP($C1150,'Site Level Financials - ''23 ''24'!$C$2:$C$1577,'Site Level Financials - ''23 ''24'!Z$2:Z$1577)</f>
        <v>92</v>
      </c>
      <c r="O1150" s="238">
        <f>_xlfn.XLOOKUP($C1150,'Site Level Financials - ''23 ''24'!$C$2:$C$1577,'Site Level Financials - ''23 ''24'!AA$2:AA$1577)</f>
        <v>84</v>
      </c>
      <c r="P1150" s="238">
        <f>_xlfn.XLOOKUP($C1150,'Site Level Financials - ''23 ''24'!$C$2:$C$1577,'Site Level Financials - ''23 ''24'!AB$2:AB$1577)</f>
        <v>96</v>
      </c>
      <c r="Q1150" s="238">
        <f>_xlfn.XLOOKUP($C1150,'Site Level Financials - ''23 ''24'!$C$2:$C$1577,'Site Level Financials - ''23 ''24'!AC$2:AC$1577)</f>
        <v>110</v>
      </c>
      <c r="R1150" s="238">
        <f>_xlfn.XLOOKUP($C1150,'Site Level Financials - ''23 ''24'!$C$2:$C$1577,'Site Level Financials - ''23 ''24'!AD$2:AD$1577)</f>
        <v>110</v>
      </c>
      <c r="S1150" s="125">
        <f t="shared" ref="S1150:AD1150" si="3334">S1148*S1149</f>
        <v>115</v>
      </c>
      <c r="T1150" s="127">
        <f t="shared" si="3334"/>
        <v>110</v>
      </c>
      <c r="U1150" s="127">
        <f t="shared" si="3334"/>
        <v>110</v>
      </c>
      <c r="V1150" s="127">
        <f t="shared" si="3334"/>
        <v>110</v>
      </c>
      <c r="W1150" s="127">
        <f t="shared" si="3334"/>
        <v>120</v>
      </c>
      <c r="X1150" s="127">
        <f t="shared" si="3334"/>
        <v>105</v>
      </c>
      <c r="Y1150" s="127">
        <f t="shared" si="3334"/>
        <v>115</v>
      </c>
      <c r="Z1150" s="127">
        <f t="shared" si="3334"/>
        <v>115</v>
      </c>
      <c r="AA1150" s="127">
        <f t="shared" si="3334"/>
        <v>105</v>
      </c>
      <c r="AB1150" s="127">
        <f t="shared" si="3334"/>
        <v>120</v>
      </c>
      <c r="AC1150" s="127">
        <f t="shared" si="3334"/>
        <v>110</v>
      </c>
      <c r="AD1150" s="128">
        <f t="shared" si="3334"/>
        <v>110</v>
      </c>
      <c r="AF1150" s="112">
        <f>_xlfn.XLOOKUP($C1150,'Site Level Financials - ''23 ''24'!$C$2:$C$1577,'Site Level Financials - ''23 ''24'!$AF$2:$AF$1577)</f>
        <v>965</v>
      </c>
      <c r="AG1150" s="120">
        <f>SUM(G1150:R1150)</f>
        <v>941</v>
      </c>
      <c r="AH1150" s="120">
        <f t="shared" ref="AH1150" si="3335">SUM(S1150:AD1150)</f>
        <v>1345</v>
      </c>
    </row>
    <row r="1151" spans="2:35" x14ac:dyDescent="0.2">
      <c r="B1151" s="9">
        <f>G1142</f>
        <v>24</v>
      </c>
      <c r="C1151" s="9" t="str">
        <f t="shared" si="3332"/>
        <v>24 - Production per Vet Workday</v>
      </c>
      <c r="D1151" s="9" t="s">
        <v>56</v>
      </c>
      <c r="F1151" s="7" t="s">
        <v>50</v>
      </c>
      <c r="G1151" s="239">
        <f>_xlfn.XLOOKUP($C1151,'Site Level Financials - ''23 ''24'!$C$2:$C$1577,'Site Level Financials - ''23 ''24'!S$2:S$1577)</f>
        <v>3.7277787739567994</v>
      </c>
      <c r="H1151" s="240">
        <f>_xlfn.XLOOKUP($C1151,'Site Level Financials - ''23 ''24'!$C$2:$C$1577,'Site Level Financials - ''23 ''24'!T$2:T$1577)</f>
        <v>4.5778754052668633</v>
      </c>
      <c r="I1151" s="240">
        <f>_xlfn.XLOOKUP($C1151,'Site Level Financials - ''23 ''24'!$C$2:$C$1577,'Site Level Financials - ''23 ''24'!U$2:U$1577)</f>
        <v>4.9243551031310426</v>
      </c>
      <c r="J1151" s="240">
        <f>_xlfn.XLOOKUP($C1151,'Site Level Financials - ''23 ''24'!$C$2:$C$1577,'Site Level Financials - ''23 ''24'!V$2:V$1577)</f>
        <v>4.6895737892199962</v>
      </c>
      <c r="K1151" s="240">
        <f>_xlfn.XLOOKUP($C1151,'Site Level Financials - ''23 ''24'!$C$2:$C$1577,'Site Level Financials - ''23 ''24'!W$2:W$1577)</f>
        <v>5.2609871121915539</v>
      </c>
      <c r="L1151" s="240">
        <f>_xlfn.XLOOKUP($C1151,'Site Level Financials - ''23 ''24'!$C$2:$C$1577,'Site Level Financials - ''23 ''24'!X$2:X$1577)</f>
        <v>5.1830433074024738</v>
      </c>
      <c r="M1151" s="240">
        <f>_xlfn.XLOOKUP($C1151,'Site Level Financials - ''23 ''24'!$C$2:$C$1577,'Site Level Financials - ''23 ''24'!Y$2:Y$1577)</f>
        <v>4.6066286449595202</v>
      </c>
      <c r="N1151" s="240">
        <f>_xlfn.XLOOKUP($C1151,'Site Level Financials - ''23 ''24'!$C$2:$C$1577,'Site Level Financials - ''23 ''24'!Z$2:Z$1577)</f>
        <v>3.7127459690287363</v>
      </c>
      <c r="O1151" s="240">
        <f>_xlfn.XLOOKUP($C1151,'Site Level Financials - ''23 ''24'!$C$2:$C$1577,'Site Level Financials - ''23 ''24'!AA$2:AA$1577)</f>
        <v>4.0422398148010688</v>
      </c>
      <c r="P1151" s="240">
        <f>_xlfn.XLOOKUP($C1151,'Site Level Financials - ''23 ''24'!$C$2:$C$1577,'Site Level Financials - ''23 ''24'!AB$2:AB$1577)</f>
        <v>3.8430214112915166</v>
      </c>
      <c r="Q1151" s="240">
        <f>_xlfn.XLOOKUP($C1151,'Site Level Financials - ''23 ''24'!$C$2:$C$1577,'Site Level Financials - ''23 ''24'!AC$2:AC$1577)</f>
        <v>3.2507361734490328</v>
      </c>
      <c r="R1151" s="240">
        <f>_xlfn.XLOOKUP($C1151,'Site Level Financials - ''23 ''24'!$C$2:$C$1577,'Site Level Financials - ''23 ''24'!AD$2:AD$1577)</f>
        <v>2.9271333798079291</v>
      </c>
      <c r="S1151" s="239">
        <f>R1151*(1+_xlfn.XLOOKUP($R1148,'Budget Assumption Driver'!$A$15:$A$19,'Budget Assumption Driver'!E$15:E$19))</f>
        <v>4.1413339150013302</v>
      </c>
      <c r="T1151" s="240">
        <f>S1151*(1+_xlfn.XLOOKUP($R1148,'Budget Assumption Driver'!$A$15:$A$19,'Budget Assumption Driver'!F$15:F$19))</f>
        <v>4.4831845917833606</v>
      </c>
      <c r="U1151" s="240">
        <f>T1151*(1+_xlfn.XLOOKUP($R1148,'Budget Assumption Driver'!$A$15:$A$19,'Budget Assumption Driver'!G$15:G$19))</f>
        <v>4.8139953495591907</v>
      </c>
      <c r="V1151" s="240">
        <f>U1151*(1+_xlfn.XLOOKUP($R1148,'Budget Assumption Driver'!$A$15:$A$19,'Budget Assumption Driver'!H$15:H$19))</f>
        <v>5.1565666829670809</v>
      </c>
      <c r="W1151" s="240">
        <f>V1151*(1+_xlfn.XLOOKUP($R1148,'Budget Assumption Driver'!$A$15:$A$19,'Budget Assumption Driver'!I$15:I$19))</f>
        <v>5.617919783872539</v>
      </c>
      <c r="X1151" s="240">
        <f>W1151*(1+_xlfn.XLOOKUP($R1148,'Budget Assumption Driver'!$A$15:$A$19,'Budget Assumption Driver'!J$15:J$19))</f>
        <v>5.3915898217331177</v>
      </c>
      <c r="Y1151" s="240">
        <f>X1151*(1+_xlfn.XLOOKUP($R1148,'Budget Assumption Driver'!$A$15:$A$19,'Budget Assumption Driver'!K$15:K$19))</f>
        <v>4.9593672102666053</v>
      </c>
      <c r="Z1151" s="240">
        <f>Y1151*(1+_xlfn.XLOOKUP($R1148,'Budget Assumption Driver'!$A$15:$A$19,'Budget Assumption Driver'!L$15:L$19))</f>
        <v>4.2526119105841707</v>
      </c>
      <c r="AA1151" s="240">
        <f>Z1151*(1+_xlfn.XLOOKUP($R1148,'Budget Assumption Driver'!$A$15:$A$19,'Budget Assumption Driver'!M$15:M$19))</f>
        <v>4.2702808755620127</v>
      </c>
      <c r="AB1151" s="240">
        <f>AA1151*(1+_xlfn.XLOOKUP($R1148,'Budget Assumption Driver'!$A$15:$A$19,'Budget Assumption Driver'!N$15:N$19))</f>
        <v>4.2913382646498066</v>
      </c>
      <c r="AC1151" s="240">
        <f>AB1151*(1+_xlfn.XLOOKUP($R1148,'Budget Assumption Driver'!$A$15:$A$19,'Budget Assumption Driver'!O$15:O$19))</f>
        <v>3.7005487605567713</v>
      </c>
      <c r="AD1151" s="291">
        <f>AC1151*(1+_xlfn.XLOOKUP($R1148,'Budget Assumption Driver'!$A$15:$A$19,'Budget Assumption Driver'!P$15:P$19))</f>
        <v>3.0204343501773203</v>
      </c>
      <c r="AE1151" s="15"/>
      <c r="AF1151" s="230">
        <f>_xlfn.XLOOKUP($C1151,'Site Level Financials - ''23 ''24'!$C$2:$C$1577,'Site Level Financials - ''23 ''24'!$AF$2:$AF$1577)</f>
        <v>4.2806941971763797</v>
      </c>
      <c r="AG1151" s="101">
        <f>AG1152/AG1150</f>
        <v>4.0353919102883085</v>
      </c>
      <c r="AH1151" s="101">
        <f>AH1152/AH1150</f>
        <v>4.5118651739899427</v>
      </c>
    </row>
    <row r="1152" spans="2:35" x14ac:dyDescent="0.2">
      <c r="B1152" s="9">
        <f>G1142</f>
        <v>24</v>
      </c>
      <c r="C1152" s="9" t="str">
        <f t="shared" si="3332"/>
        <v>24 - Total Production</v>
      </c>
      <c r="D1152" s="9" t="s">
        <v>56</v>
      </c>
      <c r="F1152" s="8" t="s">
        <v>1</v>
      </c>
      <c r="G1152" s="241">
        <f>_xlfn.XLOOKUP($C1152,'Site Level Financials - ''23 ''24'!$C$2:$C$1577,'Site Level Financials - ''23 ''24'!S$2:S$1577)</f>
        <v>342.95564720402552</v>
      </c>
      <c r="H1152" s="242">
        <f>_xlfn.XLOOKUP($C1152,'Site Level Financials - ''23 ''24'!$C$2:$C$1577,'Site Level Financials - ''23 ''24'!T$2:T$1577)</f>
        <v>302.13977674761298</v>
      </c>
      <c r="I1152" s="242">
        <f>_xlfn.XLOOKUP($C1152,'Site Level Financials - ''23 ''24'!$C$2:$C$1577,'Site Level Financials - ''23 ''24'!U$2:U$1577)</f>
        <v>325.0074368066488</v>
      </c>
      <c r="J1152" s="242">
        <f>_xlfn.XLOOKUP($C1152,'Site Level Financials - ''23 ''24'!$C$2:$C$1577,'Site Level Financials - ''23 ''24'!V$2:V$1577)</f>
        <v>309.51187008851974</v>
      </c>
      <c r="K1152" s="242">
        <f>_xlfn.XLOOKUP($C1152,'Site Level Financials - ''23 ''24'!$C$2:$C$1577,'Site Level Financials - ''23 ''24'!W$2:W$1577)</f>
        <v>252.52738138519459</v>
      </c>
      <c r="L1152" s="242">
        <f>_xlfn.XLOOKUP($C1152,'Site Level Financials - ''23 ''24'!$C$2:$C$1577,'Site Level Financials - ''23 ''24'!X$2:X$1577)</f>
        <v>217.6878189109039</v>
      </c>
      <c r="M1152" s="242">
        <f>_xlfn.XLOOKUP($C1152,'Site Level Financials - ''23 ''24'!$C$2:$C$1577,'Site Level Financials - ''23 ''24'!Y$2:Y$1577)</f>
        <v>317.85737650220688</v>
      </c>
      <c r="N1152" s="242">
        <f>_xlfn.XLOOKUP($C1152,'Site Level Financials - ''23 ''24'!$C$2:$C$1577,'Site Level Financials - ''23 ''24'!Z$2:Z$1577)</f>
        <v>341.57262915064376</v>
      </c>
      <c r="O1152" s="242">
        <f>_xlfn.XLOOKUP($C1152,'Site Level Financials - ''23 ''24'!$C$2:$C$1577,'Site Level Financials - ''23 ''24'!AA$2:AA$1577)</f>
        <v>339.5481444432898</v>
      </c>
      <c r="P1152" s="242">
        <f>_xlfn.XLOOKUP($C1152,'Site Level Financials - ''23 ''24'!$C$2:$C$1577,'Site Level Financials - ''23 ''24'!AB$2:AB$1577)</f>
        <v>368.9300554839856</v>
      </c>
      <c r="Q1152" s="242">
        <f>_xlfn.XLOOKUP($C1152,'Site Level Financials - ''23 ''24'!$C$2:$C$1577,'Site Level Financials - ''23 ''24'!AC$2:AC$1577)</f>
        <v>357.58097907939361</v>
      </c>
      <c r="R1152" s="242">
        <f>_xlfn.XLOOKUP($C1152,'Site Level Financials - ''23 ''24'!$C$2:$C$1577,'Site Level Financials - ''23 ''24'!AD$2:AD$1577)</f>
        <v>321.98467177887221</v>
      </c>
      <c r="S1152" s="134">
        <f t="shared" ref="S1152:AD1152" si="3336">S1151*S1150</f>
        <v>476.25340022515297</v>
      </c>
      <c r="T1152" s="135">
        <f t="shared" si="3336"/>
        <v>493.15030509616969</v>
      </c>
      <c r="U1152" s="135">
        <f t="shared" si="3336"/>
        <v>529.53948845151103</v>
      </c>
      <c r="V1152" s="135">
        <f t="shared" si="3336"/>
        <v>567.22233512637888</v>
      </c>
      <c r="W1152" s="135">
        <f t="shared" si="3336"/>
        <v>674.15037406470469</v>
      </c>
      <c r="X1152" s="135">
        <f t="shared" si="3336"/>
        <v>566.11693128197737</v>
      </c>
      <c r="Y1152" s="135">
        <f t="shared" si="3336"/>
        <v>570.32722918065963</v>
      </c>
      <c r="Z1152" s="135">
        <f t="shared" si="3336"/>
        <v>489.05036971717965</v>
      </c>
      <c r="AA1152" s="135">
        <f t="shared" si="3336"/>
        <v>448.37949193401136</v>
      </c>
      <c r="AB1152" s="135">
        <f t="shared" si="3336"/>
        <v>514.96059175797677</v>
      </c>
      <c r="AC1152" s="135">
        <f t="shared" si="3336"/>
        <v>407.06036366124482</v>
      </c>
      <c r="AD1152" s="136">
        <f t="shared" si="3336"/>
        <v>332.24777851950523</v>
      </c>
      <c r="AE1152" s="15"/>
      <c r="AF1152" s="113">
        <f>_xlfn.XLOOKUP($C1152,'Site Level Financials - ''23 ''24'!$C$2:$C$1577,'Site Level Financials - ''23 ''24'!$AF$2:$AF$1577)</f>
        <v>3987.2097184147019</v>
      </c>
      <c r="AG1152" s="95">
        <f>SUM(G1152:R1152)</f>
        <v>3797.3037875812979</v>
      </c>
      <c r="AH1152" s="95">
        <f t="shared" ref="AH1152" si="3337">SUM(S1152:AD1152)</f>
        <v>6068.4586590164727</v>
      </c>
    </row>
    <row r="1153" spans="2:34" x14ac:dyDescent="0.2">
      <c r="B1153" s="9">
        <f>G1142</f>
        <v>24</v>
      </c>
      <c r="C1153" s="9" t="str">
        <f t="shared" si="3332"/>
        <v>24 - Revenue as a % of Production</v>
      </c>
      <c r="D1153" s="9" t="s">
        <v>56</v>
      </c>
      <c r="F1153" s="7" t="s">
        <v>2</v>
      </c>
      <c r="G1153" s="243">
        <f>_xlfn.XLOOKUP($C1153,'Site Level Financials - ''23 ''24'!$C$2:$C$1577,'Site Level Financials - ''23 ''24'!S$2:S$1577)</f>
        <v>0.98118829783860007</v>
      </c>
      <c r="H1153" s="244">
        <f>_xlfn.XLOOKUP($C1153,'Site Level Financials - ''23 ''24'!$C$2:$C$1577,'Site Level Financials - ''23 ''24'!T$2:T$1577)</f>
        <v>0.98118829783860007</v>
      </c>
      <c r="I1153" s="244">
        <f>_xlfn.XLOOKUP($C1153,'Site Level Financials - ''23 ''24'!$C$2:$C$1577,'Site Level Financials - ''23 ''24'!U$2:U$1577)</f>
        <v>0.98118829783860007</v>
      </c>
      <c r="J1153" s="244">
        <f>_xlfn.XLOOKUP($C1153,'Site Level Financials - ''23 ''24'!$C$2:$C$1577,'Site Level Financials - ''23 ''24'!V$2:V$1577)</f>
        <v>0.98118829783860007</v>
      </c>
      <c r="K1153" s="244">
        <f>_xlfn.XLOOKUP($C1153,'Site Level Financials - ''23 ''24'!$C$2:$C$1577,'Site Level Financials - ''23 ''24'!W$2:W$1577)</f>
        <v>0.98118829783860007</v>
      </c>
      <c r="L1153" s="244">
        <f>_xlfn.XLOOKUP($C1153,'Site Level Financials - ''23 ''24'!$C$2:$C$1577,'Site Level Financials - ''23 ''24'!X$2:X$1577)</f>
        <v>0.98118829783860007</v>
      </c>
      <c r="M1153" s="244">
        <f>_xlfn.XLOOKUP($C1153,'Site Level Financials - ''23 ''24'!$C$2:$C$1577,'Site Level Financials - ''23 ''24'!Y$2:Y$1577)</f>
        <v>0.98118829783860007</v>
      </c>
      <c r="N1153" s="244">
        <f>_xlfn.XLOOKUP($C1153,'Site Level Financials - ''23 ''24'!$C$2:$C$1577,'Site Level Financials - ''23 ''24'!Z$2:Z$1577)</f>
        <v>0.98118829783860007</v>
      </c>
      <c r="O1153" s="244">
        <f>_xlfn.XLOOKUP($C1153,'Site Level Financials - ''23 ''24'!$C$2:$C$1577,'Site Level Financials - ''23 ''24'!AA$2:AA$1577)</f>
        <v>0.98118829783860007</v>
      </c>
      <c r="P1153" s="244">
        <f>_xlfn.XLOOKUP($C1153,'Site Level Financials - ''23 ''24'!$C$2:$C$1577,'Site Level Financials - ''23 ''24'!AB$2:AB$1577)</f>
        <v>0.98118829783860007</v>
      </c>
      <c r="Q1153" s="244">
        <f>_xlfn.XLOOKUP($C1153,'Site Level Financials - ''23 ''24'!$C$2:$C$1577,'Site Level Financials - ''23 ''24'!AC$2:AC$1577)</f>
        <v>0.98118829783860007</v>
      </c>
      <c r="R1153" s="244">
        <f>_xlfn.XLOOKUP($C1153,'Site Level Financials - ''23 ''24'!$C$2:$C$1577,'Site Level Financials - ''23 ''24'!AD$2:AD$1577)</f>
        <v>0.98118829783860007</v>
      </c>
      <c r="S1153" s="292">
        <f>SUM(G1182:R1182)/SUM(G1152:R1152)</f>
        <v>0.98599096014171628</v>
      </c>
      <c r="T1153" s="203">
        <f>S1153</f>
        <v>0.98599096014171628</v>
      </c>
      <c r="U1153" s="203">
        <f t="shared" ref="U1153:AD1153" si="3338">T1153</f>
        <v>0.98599096014171628</v>
      </c>
      <c r="V1153" s="203">
        <f t="shared" si="3338"/>
        <v>0.98599096014171628</v>
      </c>
      <c r="W1153" s="203">
        <f t="shared" si="3338"/>
        <v>0.98599096014171628</v>
      </c>
      <c r="X1153" s="203">
        <f t="shared" si="3338"/>
        <v>0.98599096014171628</v>
      </c>
      <c r="Y1153" s="203">
        <f t="shared" si="3338"/>
        <v>0.98599096014171628</v>
      </c>
      <c r="Z1153" s="203">
        <f t="shared" si="3338"/>
        <v>0.98599096014171628</v>
      </c>
      <c r="AA1153" s="203">
        <f t="shared" si="3338"/>
        <v>0.98599096014171628</v>
      </c>
      <c r="AB1153" s="203">
        <f t="shared" si="3338"/>
        <v>0.98599096014171628</v>
      </c>
      <c r="AC1153" s="203">
        <f t="shared" si="3338"/>
        <v>0.98599096014171628</v>
      </c>
      <c r="AD1153" s="204">
        <f t="shared" si="3338"/>
        <v>0.98599096014171628</v>
      </c>
      <c r="AE1153" s="15"/>
      <c r="AF1153" s="231">
        <f>_xlfn.XLOOKUP($C1153,'Site Level Financials - ''23 ''24'!$C$2:$C$1577,'Site Level Financials - ''23 ''24'!$AF$2:$AF$1577)</f>
        <v>0.9729187275821084</v>
      </c>
      <c r="AG1153" s="103">
        <f>AG1154/AG1152</f>
        <v>0.98118829783859995</v>
      </c>
      <c r="AH1153" s="103">
        <f>AH1154/AH1152</f>
        <v>0.98599096014171606</v>
      </c>
    </row>
    <row r="1154" spans="2:34" x14ac:dyDescent="0.2">
      <c r="B1154" s="9">
        <f>G1142</f>
        <v>24</v>
      </c>
      <c r="C1154" s="9" t="str">
        <f t="shared" si="3332"/>
        <v>24 - Total Revenue</v>
      </c>
      <c r="D1154" s="9" t="s">
        <v>56</v>
      </c>
      <c r="F1154" s="8" t="s">
        <v>3</v>
      </c>
      <c r="G1154" s="241">
        <f>_xlfn.XLOOKUP($C1154,'Site Level Financials - ''23 ''24'!$C$2:$C$1577,'Site Level Financials - ''23 ''24'!S$2:S$1577)</f>
        <v>336.50406771425327</v>
      </c>
      <c r="H1154" s="242">
        <f>_xlfn.XLOOKUP($C1154,'Site Level Financials - ''23 ''24'!$C$2:$C$1577,'Site Level Financials - ''23 ''24'!T$2:T$1577)</f>
        <v>296.45601325632504</v>
      </c>
      <c r="I1154" s="242">
        <f>_xlfn.XLOOKUP($C1154,'Site Level Financials - ''23 ''24'!$C$2:$C$1577,'Site Level Financials - ''23 ''24'!U$2:U$1577)</f>
        <v>318.8934937052021</v>
      </c>
      <c r="J1154" s="242">
        <f>_xlfn.XLOOKUP($C1154,'Site Level Financials - ''23 ''24'!$C$2:$C$1577,'Site Level Financials - ''23 ''24'!V$2:V$1577)</f>
        <v>303.68942497299662</v>
      </c>
      <c r="K1154" s="242">
        <f>_xlfn.XLOOKUP($C1154,'Site Level Financials - ''23 ''24'!$C$2:$C$1577,'Site Level Financials - ''23 ''24'!W$2:W$1577)</f>
        <v>247.77691149897805</v>
      </c>
      <c r="L1154" s="242">
        <f>_xlfn.XLOOKUP($C1154,'Site Level Financials - ''23 ''24'!$C$2:$C$1577,'Site Level Financials - ''23 ''24'!X$2:X$1577)</f>
        <v>213.59274049738721</v>
      </c>
      <c r="M1154" s="242">
        <f>_xlfn.XLOOKUP($C1154,'Site Level Financials - ''23 ''24'!$C$2:$C$1577,'Site Level Financials - ''23 ''24'!Y$2:Y$1577)</f>
        <v>311.87793820564337</v>
      </c>
      <c r="N1154" s="242">
        <f>_xlfn.XLOOKUP($C1154,'Site Level Financials - ''23 ''24'!$C$2:$C$1577,'Site Level Financials - ''23 ''24'!Z$2:Z$1577)</f>
        <v>335.14706658457555</v>
      </c>
      <c r="O1154" s="242">
        <f>_xlfn.XLOOKUP($C1154,'Site Level Financials - ''23 ''24'!$C$2:$C$1577,'Site Level Financials - ''23 ''24'!AA$2:AA$1577)</f>
        <v>333.16066588056663</v>
      </c>
      <c r="P1154" s="242">
        <f>_xlfn.XLOOKUP($C1154,'Site Level Financials - ''23 ''24'!$C$2:$C$1577,'Site Level Financials - ''23 ''24'!AB$2:AB$1577)</f>
        <v>361.98985316183212</v>
      </c>
      <c r="Q1154" s="242">
        <f>_xlfn.XLOOKUP($C1154,'Site Level Financials - ''23 ''24'!$C$2:$C$1577,'Site Level Financials - ''23 ''24'!AC$2:AC$1577)</f>
        <v>350.85427220237028</v>
      </c>
      <c r="R1154" s="242">
        <f>_xlfn.XLOOKUP($C1154,'Site Level Financials - ''23 ''24'!$C$2:$C$1577,'Site Level Financials - ''23 ''24'!AD$2:AD$1577)</f>
        <v>315.92759203283197</v>
      </c>
      <c r="S1154" s="134">
        <f t="shared" ref="S1154:AD1154" si="3339">S1153*S1152</f>
        <v>469.58154735875564</v>
      </c>
      <c r="T1154" s="135">
        <f t="shared" si="3339"/>
        <v>486.24174281595265</v>
      </c>
      <c r="U1154" s="135">
        <f t="shared" si="3339"/>
        <v>522.12114865125864</v>
      </c>
      <c r="V1154" s="135">
        <f t="shared" si="3339"/>
        <v>559.27609482508467</v>
      </c>
      <c r="W1154" s="135">
        <f t="shared" si="3339"/>
        <v>664.70617460395533</v>
      </c>
      <c r="X1154" s="135">
        <f t="shared" si="3339"/>
        <v>558.18617662719885</v>
      </c>
      <c r="Y1154" s="135">
        <f t="shared" si="3339"/>
        <v>562.33749229480327</v>
      </c>
      <c r="Z1154" s="135">
        <f t="shared" si="3339"/>
        <v>482.19924359510327</v>
      </c>
      <c r="AA1154" s="135">
        <f t="shared" si="3339"/>
        <v>442.09812575987081</v>
      </c>
      <c r="AB1154" s="135">
        <f t="shared" si="3339"/>
        <v>507.74648830259389</v>
      </c>
      <c r="AC1154" s="135">
        <f t="shared" si="3339"/>
        <v>401.35783880198699</v>
      </c>
      <c r="AD1154" s="136">
        <f t="shared" si="3339"/>
        <v>327.59330614739923</v>
      </c>
      <c r="AE1154" s="15"/>
      <c r="AF1154" s="113">
        <f>_xlfn.XLOOKUP($C1154,'Site Level Financials - ''23 ''24'!$C$2:$C$1577,'Site Level Financials - ''23 ''24'!$AF$2:$AF$1577)</f>
        <v>3879.2310058430485</v>
      </c>
      <c r="AG1154" s="95">
        <f>SUM(G1154:R1154)</f>
        <v>3725.8700397129624</v>
      </c>
      <c r="AH1154" s="95">
        <f t="shared" ref="AH1154" si="3340">SUM(S1154:AD1154)</f>
        <v>5983.4453797839624</v>
      </c>
    </row>
    <row r="1155" spans="2:34" x14ac:dyDescent="0.2">
      <c r="B1155" s="9">
        <f>G1142</f>
        <v>24</v>
      </c>
      <c r="C1155" s="9" t="str">
        <f t="shared" si="3332"/>
        <v>24 - % YoY Revenue Growth</v>
      </c>
      <c r="D1155" s="9" t="s">
        <v>56</v>
      </c>
      <c r="F1155" s="16" t="s">
        <v>174</v>
      </c>
      <c r="G1155" s="245">
        <f>_xlfn.XLOOKUP($C1155,'Site Level Financials - ''23 ''24'!$C$2:$C$1577,'Site Level Financials - ''23 ''24'!S$2:S$1577)</f>
        <v>0.1746799859947894</v>
      </c>
      <c r="H1155" s="246">
        <f>_xlfn.XLOOKUP($C1155,'Site Level Financials - ''23 ''24'!$C$2:$C$1577,'Site Level Financials - ''23 ''24'!T$2:T$1577)</f>
        <v>4.3815293521323628E-2</v>
      </c>
      <c r="I1155" s="246">
        <f>_xlfn.XLOOKUP($C1155,'Site Level Financials - ''23 ''24'!$C$2:$C$1577,'Site Level Financials - ''23 ''24'!U$2:U$1577)</f>
        <v>-7.5746445264250117E-2</v>
      </c>
      <c r="J1155" s="246">
        <f>_xlfn.XLOOKUP($C1155,'Site Level Financials - ''23 ''24'!$C$2:$C$1577,'Site Level Financials - ''23 ''24'!V$2:V$1577)</f>
        <v>-4.1228346715201925E-2</v>
      </c>
      <c r="K1155" s="246">
        <f>_xlfn.XLOOKUP($C1155,'Site Level Financials - ''23 ''24'!$C$2:$C$1577,'Site Level Financials - ''23 ''24'!W$2:W$1577)</f>
        <v>-0.31394940028085871</v>
      </c>
      <c r="L1155" s="246">
        <f>_xlfn.XLOOKUP($C1155,'Site Level Financials - ''23 ''24'!$C$2:$C$1577,'Site Level Financials - ''23 ''24'!X$2:X$1577)</f>
        <v>-0.35155716302998963</v>
      </c>
      <c r="M1155" s="246">
        <f>_xlfn.XLOOKUP($C1155,'Site Level Financials - ''23 ''24'!$C$2:$C$1577,'Site Level Financials - ''23 ''24'!Y$2:Y$1577)</f>
        <v>9.9763011409263136E-2</v>
      </c>
      <c r="N1155" s="246">
        <f>_xlfn.XLOOKUP($C1155,'Site Level Financials - ''23 ''24'!$C$2:$C$1577,'Site Level Financials - ''23 ''24'!Z$2:Z$1577)</f>
        <v>-4.5458638241286264E-2</v>
      </c>
      <c r="O1155" s="246">
        <f>_xlfn.XLOOKUP($C1155,'Site Level Financials - ''23 ''24'!$C$2:$C$1577,'Site Level Financials - ''23 ''24'!AA$2:AA$1577)</f>
        <v>3.5626500481182655E-2</v>
      </c>
      <c r="P1155" s="246">
        <f>_xlfn.XLOOKUP($C1155,'Site Level Financials - ''23 ''24'!$C$2:$C$1577,'Site Level Financials - ''23 ''24'!AB$2:AB$1577)</f>
        <v>8.7081221831875055E-2</v>
      </c>
      <c r="Q1155" s="246">
        <f>_xlfn.XLOOKUP($C1155,'Site Level Financials - ''23 ''24'!$C$2:$C$1577,'Site Level Financials - ''23 ''24'!AC$2:AC$1577)</f>
        <v>-5.149397423121993E-2</v>
      </c>
      <c r="R1155" s="246">
        <f>_xlfn.XLOOKUP($C1155,'Site Level Financials - ''23 ''24'!$C$2:$C$1577,'Site Level Financials - ''23 ''24'!AD$2:AD$1577)</f>
        <v>6.3256884327742791E-2</v>
      </c>
      <c r="S1155" s="148">
        <f>S1154/G1154-1</f>
        <v>0.39547064185122061</v>
      </c>
      <c r="T1155" s="149">
        <f t="shared" ref="T1155" si="3341">T1154/H1154-1</f>
        <v>0.64018175065834471</v>
      </c>
      <c r="U1155" s="149">
        <f t="shared" ref="U1155" si="3342">U1154/I1154-1</f>
        <v>0.6372900637914185</v>
      </c>
      <c r="V1155" s="149">
        <f t="shared" ref="V1155" si="3343">V1154/J1154-1</f>
        <v>0.84160543250662823</v>
      </c>
      <c r="W1155" s="149">
        <f t="shared" ref="W1155" si="3344">W1154/K1154-1</f>
        <v>1.6826800390023302</v>
      </c>
      <c r="X1155" s="149">
        <f t="shared" ref="X1155" si="3345">X1154/L1154-1</f>
        <v>1.6133199814158803</v>
      </c>
      <c r="Y1155" s="149">
        <f t="shared" ref="Y1155" si="3346">Y1154/M1154-1</f>
        <v>0.80306916074330981</v>
      </c>
      <c r="Z1155" s="149">
        <f t="shared" ref="Z1155" si="3347">Z1154/N1154-1</f>
        <v>0.43876910070886321</v>
      </c>
      <c r="AA1155" s="149">
        <f t="shared" ref="AA1155" si="3348">AA1154/O1154-1</f>
        <v>0.32698175695913845</v>
      </c>
      <c r="AB1155" s="149">
        <f t="shared" ref="AB1155" si="3349">AB1154/P1154-1</f>
        <v>0.40265392487562202</v>
      </c>
      <c r="AC1155" s="149">
        <f t="shared" ref="AC1155" si="3350">AC1154/Q1154-1</f>
        <v>0.1439445678759943</v>
      </c>
      <c r="AD1155" s="150">
        <f t="shared" ref="AD1155" si="3351">AD1154/R1154-1</f>
        <v>3.6925277844535032E-2</v>
      </c>
      <c r="AE1155" s="15"/>
      <c r="AF1155" s="11"/>
      <c r="AG1155" s="97">
        <f>AG1154/AF1154-1</f>
        <v>-3.9533857586487642E-2</v>
      </c>
      <c r="AH1155" s="97">
        <f>AH1154/AG1154-1</f>
        <v>0.60591897087342361</v>
      </c>
    </row>
    <row r="1156" spans="2:34" ht="6" customHeight="1" x14ac:dyDescent="0.2">
      <c r="B1156" s="9">
        <f>G1142</f>
        <v>24</v>
      </c>
      <c r="C1156" s="9" t="str">
        <f t="shared" si="3332"/>
        <v xml:space="preserve">24 - </v>
      </c>
      <c r="D1156" s="9" t="s">
        <v>56</v>
      </c>
      <c r="G1156" s="80"/>
      <c r="H1156" s="63"/>
      <c r="I1156" s="63"/>
      <c r="J1156" s="63"/>
      <c r="K1156" s="63"/>
      <c r="L1156" s="63"/>
      <c r="M1156" s="63"/>
      <c r="N1156" s="63"/>
      <c r="O1156" s="63"/>
      <c r="P1156" s="63"/>
      <c r="Q1156" s="63"/>
      <c r="R1156" s="63"/>
      <c r="S1156" s="80"/>
      <c r="T1156" s="63"/>
      <c r="U1156" s="63"/>
      <c r="V1156" s="63"/>
      <c r="W1156" s="63"/>
      <c r="X1156" s="63"/>
      <c r="Y1156" s="63"/>
      <c r="Z1156" s="63"/>
      <c r="AA1156" s="63"/>
      <c r="AB1156" s="63"/>
      <c r="AC1156" s="63"/>
      <c r="AD1156" s="81"/>
      <c r="AE1156" s="15"/>
      <c r="AF1156" s="11"/>
      <c r="AG1156" s="15"/>
      <c r="AH1156" s="15"/>
    </row>
    <row r="1157" spans="2:34" x14ac:dyDescent="0.2">
      <c r="B1157" s="9">
        <f>G1142</f>
        <v>24</v>
      </c>
      <c r="C1157" s="9" t="str">
        <f t="shared" si="3332"/>
        <v>24 - Doctor Compensation</v>
      </c>
      <c r="D1157" s="9" t="s">
        <v>56</v>
      </c>
      <c r="F1157" t="s">
        <v>4</v>
      </c>
      <c r="G1157" s="178">
        <f>_xlfn.XLOOKUP($C1157,'Site Level Financials - ''23 ''24'!$C$2:$C$1577,'Site Level Financials - ''23 ''24'!S$2:S$1577)</f>
        <v>-89.17287620146675</v>
      </c>
      <c r="H1157" s="179">
        <f>_xlfn.XLOOKUP($C1157,'Site Level Financials - ''23 ''24'!$C$2:$C$1577,'Site Level Financials - ''23 ''24'!T$2:T$1577)</f>
        <v>-103.63351934474568</v>
      </c>
      <c r="I1157" s="179">
        <f>_xlfn.XLOOKUP($C1157,'Site Level Financials - ''23 ''24'!$C$2:$C$1577,'Site Level Financials - ''23 ''24'!U$2:U$1577)</f>
        <v>-113.62043388478507</v>
      </c>
      <c r="J1157" s="179">
        <f>_xlfn.XLOOKUP($C1157,'Site Level Financials - ''23 ''24'!$C$2:$C$1577,'Site Level Financials - ''23 ''24'!V$2:V$1577)</f>
        <v>-108.9597000280278</v>
      </c>
      <c r="K1157" s="179">
        <f>_xlfn.XLOOKUP($C1157,'Site Level Financials - ''23 ''24'!$C$2:$C$1577,'Site Level Financials - ''23 ''24'!W$2:W$1577)</f>
        <v>-133.45814752634064</v>
      </c>
      <c r="L1157" s="179">
        <f>_xlfn.XLOOKUP($C1157,'Site Level Financials - ''23 ''24'!$C$2:$C$1577,'Site Level Financials - ''23 ''24'!X$2:X$1577)</f>
        <v>-115.96246500087049</v>
      </c>
      <c r="M1157" s="179">
        <f>_xlfn.XLOOKUP($C1157,'Site Level Financials - ''23 ''24'!$C$2:$C$1577,'Site Level Financials - ''23 ''24'!Y$2:Y$1577)</f>
        <v>-113.9666535299956</v>
      </c>
      <c r="N1157" s="179">
        <f>_xlfn.XLOOKUP($C1157,'Site Level Financials - ''23 ''24'!$C$2:$C$1577,'Site Level Financials - ''23 ''24'!Z$2:Z$1577)</f>
        <v>-92.396482220456022</v>
      </c>
      <c r="O1157" s="179">
        <f>_xlfn.XLOOKUP($C1157,'Site Level Financials - ''23 ''24'!$C$2:$C$1577,'Site Level Financials - ''23 ''24'!AA$2:AA$1577)</f>
        <v>-93.701496732633629</v>
      </c>
      <c r="P1157" s="179">
        <f>_xlfn.XLOOKUP($C1157,'Site Level Financials - ''23 ''24'!$C$2:$C$1577,'Site Level Financials - ''23 ''24'!AB$2:AB$1577)</f>
        <v>-102.77237597253348</v>
      </c>
      <c r="Q1157" s="179">
        <f>_xlfn.XLOOKUP($C1157,'Site Level Financials - ''23 ''24'!$C$2:$C$1577,'Site Level Financials - ''23 ''24'!AC$2:AC$1577)</f>
        <v>-81.288269231080093</v>
      </c>
      <c r="R1157" s="179">
        <f>_xlfn.XLOOKUP($C1157,'Site Level Financials - ''23 ''24'!$C$2:$C$1577,'Site Level Financials - ''23 ''24'!AD$2:AD$1577)</f>
        <v>-74.754616059522618</v>
      </c>
      <c r="S1157" s="155">
        <f>S1158*S1154</f>
        <v>-124.43813078858025</v>
      </c>
      <c r="T1157" s="154">
        <f t="shared" ref="T1157" si="3352">T1158*T1154</f>
        <v>-169.97780718575041</v>
      </c>
      <c r="U1157" s="154">
        <f t="shared" ref="U1157" si="3353">U1158*U1154</f>
        <v>-186.02960744322837</v>
      </c>
      <c r="V1157" s="154">
        <f t="shared" ref="V1157" si="3354">V1158*V1154</f>
        <v>-200.66077549590861</v>
      </c>
      <c r="W1157" s="154">
        <f t="shared" ref="W1157" si="3355">W1158*W1154</f>
        <v>-358.0255084111422</v>
      </c>
      <c r="X1157" s="154">
        <f t="shared" ref="X1157" si="3356">X1158*X1154</f>
        <v>-303.04702688101452</v>
      </c>
      <c r="Y1157" s="154">
        <f t="shared" ref="Y1157" si="3357">Y1158*Y1154</f>
        <v>-205.48975833305272</v>
      </c>
      <c r="Z1157" s="154">
        <f t="shared" ref="Z1157" si="3358">Z1158*Z1154</f>
        <v>-132.937203632988</v>
      </c>
      <c r="AA1157" s="154">
        <f t="shared" ref="AA1157" si="3359">AA1158*AA1154</f>
        <v>-124.34017676397114</v>
      </c>
      <c r="AB1157" s="154">
        <f t="shared" ref="AB1157" si="3360">AB1158*AB1154</f>
        <v>-144.15407652666715</v>
      </c>
      <c r="AC1157" s="154">
        <f t="shared" ref="AC1157" si="3361">AC1158*AC1154</f>
        <v>-92.989274018935404</v>
      </c>
      <c r="AD1157" s="156">
        <f t="shared" ref="AD1157" si="3362">AD1158*AD1154</f>
        <v>-77.514951027682031</v>
      </c>
      <c r="AE1157" s="15"/>
      <c r="AF1157" s="115">
        <f>_xlfn.XLOOKUP($C1157,'Site Level Financials - ''23 ''24'!$C$2:$C$1577,'Site Level Financials - ''23 ''24'!$AF$2:$AF$1577)</f>
        <v>-1183.9229817598005</v>
      </c>
      <c r="AG1157" s="93">
        <f>SUM(G1157:R1157)</f>
        <v>-1223.6870357324578</v>
      </c>
      <c r="AH1157" s="93">
        <f t="shared" ref="AH1157" si="3363">SUM(S1157:AD1157)</f>
        <v>-2119.6042965089209</v>
      </c>
    </row>
    <row r="1158" spans="2:34" x14ac:dyDescent="0.2">
      <c r="B1158" s="9">
        <f>G1142</f>
        <v>24</v>
      </c>
      <c r="C1158" s="9" t="str">
        <f t="shared" si="3332"/>
        <v>24 - % of Revenue - Doctor Compensation</v>
      </c>
      <c r="D1158" s="9" t="s">
        <v>56</v>
      </c>
      <c r="F1158" s="16" t="str">
        <f>"% of Revenue - "&amp;F1157</f>
        <v>% of Revenue - Doctor Compensation</v>
      </c>
      <c r="G1158" s="148">
        <f>G1157/G1154</f>
        <v>-0.26499791460823896</v>
      </c>
      <c r="H1158" s="149">
        <f t="shared" ref="H1158:R1158" si="3364">H1157/H1154</f>
        <v>-0.34957469138985192</v>
      </c>
      <c r="I1158" s="149">
        <f t="shared" si="3364"/>
        <v>-0.35629586720204565</v>
      </c>
      <c r="J1158" s="149">
        <f t="shared" si="3364"/>
        <v>-0.35878661246672072</v>
      </c>
      <c r="K1158" s="149">
        <f t="shared" si="3364"/>
        <v>-0.53862220946640171</v>
      </c>
      <c r="L1158" s="149">
        <f t="shared" si="3364"/>
        <v>-0.54291388710511446</v>
      </c>
      <c r="M1158" s="149">
        <f t="shared" si="3364"/>
        <v>-0.36542069691011375</v>
      </c>
      <c r="N1158" s="149">
        <f t="shared" si="3364"/>
        <v>-0.27568936575233144</v>
      </c>
      <c r="O1158" s="149">
        <f t="shared" si="3364"/>
        <v>-0.28125017845361217</v>
      </c>
      <c r="P1158" s="149">
        <f t="shared" si="3364"/>
        <v>-0.28390954905188404</v>
      </c>
      <c r="Q1158" s="149">
        <f t="shared" si="3364"/>
        <v>-0.23168670206242661</v>
      </c>
      <c r="R1158" s="149">
        <f t="shared" si="3364"/>
        <v>-0.23661945947334012</v>
      </c>
      <c r="S1158" s="245">
        <f>_xlfn.XLOOKUP($F1158,'Budget Assumption Driver'!$A$33:$A$39,'Budget Assumption Driver'!E$33:E$39)+G1158</f>
        <v>-0.26499791460823896</v>
      </c>
      <c r="T1158" s="246">
        <f>_xlfn.XLOOKUP($F1158,'Budget Assumption Driver'!$A$33:$A$39,'Budget Assumption Driver'!F$33:F$39)+H1158</f>
        <v>-0.34957469138985192</v>
      </c>
      <c r="U1158" s="246">
        <f>_xlfn.XLOOKUP($F1158,'Budget Assumption Driver'!$A$33:$A$39,'Budget Assumption Driver'!G$33:G$39)+I1158</f>
        <v>-0.35629586720204565</v>
      </c>
      <c r="V1158" s="246">
        <f>_xlfn.XLOOKUP($F1158,'Budget Assumption Driver'!$A$33:$A$39,'Budget Assumption Driver'!H$33:H$39)+J1158</f>
        <v>-0.35878661246672072</v>
      </c>
      <c r="W1158" s="246">
        <f>_xlfn.XLOOKUP($F1158,'Budget Assumption Driver'!$A$33:$A$39,'Budget Assumption Driver'!I$33:I$39)+K1158</f>
        <v>-0.53862220946640171</v>
      </c>
      <c r="X1158" s="246">
        <f>_xlfn.XLOOKUP($F1158,'Budget Assumption Driver'!$A$33:$A$39,'Budget Assumption Driver'!J$33:J$39)+L1158</f>
        <v>-0.54291388710511446</v>
      </c>
      <c r="Y1158" s="246">
        <f>_xlfn.XLOOKUP($F1158,'Budget Assumption Driver'!$A$33:$A$39,'Budget Assumption Driver'!K$33:K$39)+M1158</f>
        <v>-0.36542069691011375</v>
      </c>
      <c r="Z1158" s="246">
        <f>_xlfn.XLOOKUP($F1158,'Budget Assumption Driver'!$A$33:$A$39,'Budget Assumption Driver'!L$33:L$39)+N1158</f>
        <v>-0.27568936575233144</v>
      </c>
      <c r="AA1158" s="246">
        <f>_xlfn.XLOOKUP($F1158,'Budget Assumption Driver'!$A$33:$A$39,'Budget Assumption Driver'!M$33:M$39)+O1158</f>
        <v>-0.28125017845361217</v>
      </c>
      <c r="AB1158" s="246">
        <f>_xlfn.XLOOKUP($F1158,'Budget Assumption Driver'!$A$33:$A$39,'Budget Assumption Driver'!N$33:N$39)+P1158</f>
        <v>-0.28390954905188404</v>
      </c>
      <c r="AC1158" s="246">
        <f>_xlfn.XLOOKUP($F1158,'Budget Assumption Driver'!$A$33:$A$39,'Budget Assumption Driver'!O$33:O$39)+Q1158</f>
        <v>-0.23168670206242661</v>
      </c>
      <c r="AD1158" s="296">
        <f>_xlfn.XLOOKUP($F1158,'Budget Assumption Driver'!$A$33:$A$39,'Budget Assumption Driver'!P$33:P$39)+R1158</f>
        <v>-0.23661945947334012</v>
      </c>
      <c r="AE1158" s="15"/>
      <c r="AF1158" s="232">
        <f>_xlfn.XLOOKUP($C1158,'Site Level Financials - ''23 ''24'!$C$2:$C$1577,'Site Level Financials - ''23 ''24'!$AF$2:$AF$1577)</f>
        <v>-0.30519527709912858</v>
      </c>
      <c r="AG1158" s="97">
        <f t="shared" ref="AG1158:AH1158" si="3365">AG1157/AG1154</f>
        <v>-0.3284298761603423</v>
      </c>
      <c r="AH1158" s="97">
        <f t="shared" si="3365"/>
        <v>-0.35424478071954107</v>
      </c>
    </row>
    <row r="1159" spans="2:34" ht="3" customHeight="1" x14ac:dyDescent="0.2">
      <c r="B1159" s="9">
        <f>G1142</f>
        <v>24</v>
      </c>
      <c r="C1159" s="9" t="str">
        <f t="shared" si="3332"/>
        <v xml:space="preserve">24 - </v>
      </c>
      <c r="D1159" s="9" t="s">
        <v>56</v>
      </c>
      <c r="F1159" s="16"/>
      <c r="G1159" s="84"/>
      <c r="H1159" s="85"/>
      <c r="I1159" s="85"/>
      <c r="J1159" s="85"/>
      <c r="K1159" s="85"/>
      <c r="L1159" s="85"/>
      <c r="M1159" s="85"/>
      <c r="N1159" s="85"/>
      <c r="O1159" s="85"/>
      <c r="P1159" s="85"/>
      <c r="Q1159" s="85"/>
      <c r="R1159" s="85"/>
      <c r="S1159" s="84"/>
      <c r="T1159" s="85"/>
      <c r="U1159" s="85"/>
      <c r="V1159" s="85"/>
      <c r="W1159" s="85"/>
      <c r="X1159" s="85"/>
      <c r="Y1159" s="85"/>
      <c r="Z1159" s="85"/>
      <c r="AA1159" s="85"/>
      <c r="AB1159" s="85"/>
      <c r="AC1159" s="85"/>
      <c r="AD1159" s="86"/>
      <c r="AE1159" s="15"/>
      <c r="AF1159" s="36"/>
      <c r="AG1159" s="38"/>
      <c r="AH1159" s="38"/>
    </row>
    <row r="1160" spans="2:34" x14ac:dyDescent="0.2">
      <c r="B1160" s="9">
        <f>G1142</f>
        <v>24</v>
      </c>
      <c r="C1160" s="9" t="str">
        <f t="shared" si="3332"/>
        <v>24 - Administrative Staff Compensation</v>
      </c>
      <c r="D1160" s="9" t="s">
        <v>56</v>
      </c>
      <c r="F1160" t="s">
        <v>5</v>
      </c>
      <c r="G1160" s="178">
        <f>_xlfn.XLOOKUP($C1160,'Site Level Financials - ''23 ''24'!$C$2:$C$1577,'Site Level Financials - ''23 ''24'!S$2:S$1577)</f>
        <v>-49.484359764733149</v>
      </c>
      <c r="H1160" s="179">
        <f>_xlfn.XLOOKUP($C1160,'Site Level Financials - ''23 ''24'!$C$2:$C$1577,'Site Level Financials - ''23 ''24'!T$2:T$1577)</f>
        <v>-58.123717034060952</v>
      </c>
      <c r="I1160" s="179">
        <f>_xlfn.XLOOKUP($C1160,'Site Level Financials - ''23 ''24'!$C$2:$C$1577,'Site Level Financials - ''23 ''24'!U$2:U$1577)</f>
        <v>-62.593255332189337</v>
      </c>
      <c r="J1160" s="179">
        <f>_xlfn.XLOOKUP($C1160,'Site Level Financials - ''23 ''24'!$C$2:$C$1577,'Site Level Financials - ''23 ''24'!V$2:V$1577)</f>
        <v>-61.93678128524617</v>
      </c>
      <c r="K1160" s="179">
        <f>_xlfn.XLOOKUP($C1160,'Site Level Financials - ''23 ''24'!$C$2:$C$1577,'Site Level Financials - ''23 ''24'!W$2:W$1577)</f>
        <v>-78.205420377326192</v>
      </c>
      <c r="L1160" s="179">
        <f>_xlfn.XLOOKUP($C1160,'Site Level Financials - ''23 ''24'!$C$2:$C$1577,'Site Level Financials - ''23 ''24'!X$2:X$1577)</f>
        <v>-69.917062878022506</v>
      </c>
      <c r="M1160" s="179">
        <f>_xlfn.XLOOKUP($C1160,'Site Level Financials - ''23 ''24'!$C$2:$C$1577,'Site Level Financials - ''23 ''24'!Y$2:Y$1577)</f>
        <v>-70.398245667731615</v>
      </c>
      <c r="N1160" s="179">
        <f>_xlfn.XLOOKUP($C1160,'Site Level Financials - ''23 ''24'!$C$2:$C$1577,'Site Level Financials - ''23 ''24'!Z$2:Z$1577)</f>
        <v>-57.405645558345064</v>
      </c>
      <c r="O1160" s="179">
        <f>_xlfn.XLOOKUP($C1160,'Site Level Financials - ''23 ''24'!$C$2:$C$1577,'Site Level Financials - ''23 ''24'!AA$2:AA$1577)</f>
        <v>-58.935847616040107</v>
      </c>
      <c r="P1160" s="179">
        <f>_xlfn.XLOOKUP($C1160,'Site Level Financials - ''23 ''24'!$C$2:$C$1577,'Site Level Financials - ''23 ''24'!AB$2:AB$1577)</f>
        <v>-61.392450841435569</v>
      </c>
      <c r="Q1160" s="179">
        <f>_xlfn.XLOOKUP($C1160,'Site Level Financials - ''23 ''24'!$C$2:$C$1577,'Site Level Financials - ''23 ''24'!AC$2:AC$1577)</f>
        <v>-47.917875327373146</v>
      </c>
      <c r="R1160" s="179">
        <f>_xlfn.XLOOKUP($C1160,'Site Level Financials - ''23 ''24'!$C$2:$C$1577,'Site Level Financials - ''23 ''24'!AD$2:AD$1577)</f>
        <v>-43.450012300473119</v>
      </c>
      <c r="S1160" s="155">
        <f>S1161*S1154</f>
        <v>-69.053971282488888</v>
      </c>
      <c r="T1160" s="154">
        <f t="shared" ref="T1160" si="3366">T1161*T1154</f>
        <v>-95.333459959696356</v>
      </c>
      <c r="U1160" s="154">
        <f t="shared" ref="U1160" si="3367">U1161*U1154</f>
        <v>-102.48331501575282</v>
      </c>
      <c r="V1160" s="154">
        <f t="shared" ref="V1160" si="3368">V1161*V1154</f>
        <v>-114.06311288688421</v>
      </c>
      <c r="W1160" s="154">
        <f t="shared" ref="W1160" si="3369">W1161*W1154</f>
        <v>-209.80012018803905</v>
      </c>
      <c r="X1160" s="154">
        <f t="shared" ref="X1160" si="3370">X1161*X1154</f>
        <v>-182.7156574610467</v>
      </c>
      <c r="Y1160" s="154">
        <f t="shared" ref="Y1160" si="3371">Y1161*Y1154</f>
        <v>-126.93290573391819</v>
      </c>
      <c r="Z1160" s="154">
        <f t="shared" ref="Z1160" si="3372">Z1161*Z1154</f>
        <v>-82.59346903559188</v>
      </c>
      <c r="AA1160" s="154">
        <f t="shared" ref="AA1160" si="3373">AA1161*AA1154</f>
        <v>-78.20679461740896</v>
      </c>
      <c r="AB1160" s="154">
        <f t="shared" ref="AB1160" si="3374">AB1161*AB1154</f>
        <v>-86.112362130473272</v>
      </c>
      <c r="AC1160" s="154">
        <f t="shared" ref="AC1160" si="3375">AC1161*AC1154</f>
        <v>-54.815393184907649</v>
      </c>
      <c r="AD1160" s="156">
        <f t="shared" ref="AD1160" si="3376">AD1161*AD1154</f>
        <v>-45.054416077016555</v>
      </c>
      <c r="AE1160" s="15"/>
      <c r="AF1160" s="115">
        <f>_xlfn.XLOOKUP($C1160,'Site Level Financials - ''23 ''24'!$C$2:$C$1577,'Site Level Financials - ''23 ''24'!$AF$2:$AF$1577)</f>
        <v>-601.0524808094691</v>
      </c>
      <c r="AG1160" s="93">
        <f>SUM(G1160:R1160)</f>
        <v>-719.76067398297687</v>
      </c>
      <c r="AH1160" s="93">
        <f t="shared" ref="AH1160" si="3377">SUM(S1160:AD1160)</f>
        <v>-1247.1649775732246</v>
      </c>
    </row>
    <row r="1161" spans="2:34" x14ac:dyDescent="0.2">
      <c r="B1161" s="9">
        <f>G1142</f>
        <v>24</v>
      </c>
      <c r="C1161" s="9" t="str">
        <f t="shared" si="3332"/>
        <v>24 - % of Revenue - Administrative Staff Compensation</v>
      </c>
      <c r="D1161" s="9" t="s">
        <v>56</v>
      </c>
      <c r="F1161" s="16" t="str">
        <f>"% of Revenue - "&amp;F1160</f>
        <v>% of Revenue - Administrative Staff Compensation</v>
      </c>
      <c r="G1161" s="148">
        <f>G1160/G1154</f>
        <v>-0.14705426921244064</v>
      </c>
      <c r="H1161" s="149">
        <f t="shared" ref="H1161:R1161" si="3378">H1160/H1154</f>
        <v>-0.19606185887619487</v>
      </c>
      <c r="I1161" s="149">
        <f t="shared" si="3378"/>
        <v>-0.19628263532417203</v>
      </c>
      <c r="J1161" s="149">
        <f t="shared" si="3378"/>
        <v>-0.20394777095301705</v>
      </c>
      <c r="K1161" s="149">
        <f t="shared" si="3378"/>
        <v>-0.31562836062571853</v>
      </c>
      <c r="L1161" s="149">
        <f t="shared" si="3378"/>
        <v>-0.32733819845753498</v>
      </c>
      <c r="M1161" s="149">
        <f t="shared" si="3378"/>
        <v>-0.22572371124665133</v>
      </c>
      <c r="N1161" s="149">
        <f t="shared" si="3378"/>
        <v>-0.17128494109572803</v>
      </c>
      <c r="O1161" s="149">
        <f t="shared" si="3378"/>
        <v>-0.17689917703900787</v>
      </c>
      <c r="P1161" s="149">
        <f t="shared" si="3378"/>
        <v>-0.16959715943747544</v>
      </c>
      <c r="Q1161" s="149">
        <f t="shared" si="3378"/>
        <v>-0.13657486633007124</v>
      </c>
      <c r="R1161" s="149">
        <f t="shared" si="3378"/>
        <v>-0.13753155278680973</v>
      </c>
      <c r="S1161" s="245">
        <f>_xlfn.XLOOKUP($F1161,'Budget Assumption Driver'!$A$33:$A$39,'Budget Assumption Driver'!E$33:E$39)+G1161</f>
        <v>-0.14705426921244064</v>
      </c>
      <c r="T1161" s="246">
        <f>_xlfn.XLOOKUP($F1161,'Budget Assumption Driver'!$A$33:$A$39,'Budget Assumption Driver'!F$33:F$39)+H1161</f>
        <v>-0.19606185887619487</v>
      </c>
      <c r="U1161" s="246">
        <f>_xlfn.XLOOKUP($F1161,'Budget Assumption Driver'!$A$33:$A$39,'Budget Assumption Driver'!G$33:G$39)+I1161</f>
        <v>-0.19628263532417203</v>
      </c>
      <c r="V1161" s="246">
        <f>_xlfn.XLOOKUP($F1161,'Budget Assumption Driver'!$A$33:$A$39,'Budget Assumption Driver'!H$33:H$39)+J1161</f>
        <v>-0.20394777095301705</v>
      </c>
      <c r="W1161" s="246">
        <f>_xlfn.XLOOKUP($F1161,'Budget Assumption Driver'!$A$33:$A$39,'Budget Assumption Driver'!I$33:I$39)+K1161</f>
        <v>-0.31562836062571853</v>
      </c>
      <c r="X1161" s="246">
        <f>_xlfn.XLOOKUP($F1161,'Budget Assumption Driver'!$A$33:$A$39,'Budget Assumption Driver'!J$33:J$39)+L1161</f>
        <v>-0.32733819845753498</v>
      </c>
      <c r="Y1161" s="246">
        <f>_xlfn.XLOOKUP($F1161,'Budget Assumption Driver'!$A$33:$A$39,'Budget Assumption Driver'!K$33:K$39)+M1161</f>
        <v>-0.22572371124665133</v>
      </c>
      <c r="Z1161" s="246">
        <f>_xlfn.XLOOKUP($F1161,'Budget Assumption Driver'!$A$33:$A$39,'Budget Assumption Driver'!L$33:L$39)+N1161</f>
        <v>-0.17128494109572803</v>
      </c>
      <c r="AA1161" s="246">
        <f>_xlfn.XLOOKUP($F1161,'Budget Assumption Driver'!$A$33:$A$39,'Budget Assumption Driver'!M$33:M$39)+O1161</f>
        <v>-0.17689917703900787</v>
      </c>
      <c r="AB1161" s="246">
        <f>_xlfn.XLOOKUP($F1161,'Budget Assumption Driver'!$A$33:$A$39,'Budget Assumption Driver'!N$33:N$39)+P1161</f>
        <v>-0.16959715943747544</v>
      </c>
      <c r="AC1161" s="246">
        <f>_xlfn.XLOOKUP($F1161,'Budget Assumption Driver'!$A$33:$A$39,'Budget Assumption Driver'!O$33:O$39)+Q1161</f>
        <v>-0.13657486633007124</v>
      </c>
      <c r="AD1161" s="296">
        <f>_xlfn.XLOOKUP($F1161,'Budget Assumption Driver'!$A$33:$A$39,'Budget Assumption Driver'!P$33:P$39)+R1161</f>
        <v>-0.13753155278680973</v>
      </c>
      <c r="AE1161" s="15"/>
      <c r="AF1161" s="232">
        <f>_xlfn.XLOOKUP($C1161,'Site Level Financials - ''23 ''24'!$C$2:$C$1577,'Site Level Financials - ''23 ''24'!$AF$2:$AF$1577)</f>
        <v>-0.15494114166032921</v>
      </c>
      <c r="AG1161" s="97">
        <f t="shared" ref="AG1161:AH1161" si="3379">AG1160/AG1154</f>
        <v>-0.19317922158080064</v>
      </c>
      <c r="AH1161" s="97">
        <f t="shared" si="3379"/>
        <v>-0.20843592586087159</v>
      </c>
    </row>
    <row r="1162" spans="2:34" ht="3" customHeight="1" x14ac:dyDescent="0.2">
      <c r="B1162" s="9">
        <f>G1142</f>
        <v>24</v>
      </c>
      <c r="C1162" s="9" t="str">
        <f t="shared" si="3332"/>
        <v xml:space="preserve">24 - </v>
      </c>
      <c r="D1162" s="9" t="s">
        <v>56</v>
      </c>
      <c r="F1162" s="16"/>
      <c r="G1162" s="84"/>
      <c r="H1162" s="85"/>
      <c r="I1162" s="85"/>
      <c r="J1162" s="85"/>
      <c r="K1162" s="85"/>
      <c r="L1162" s="85"/>
      <c r="M1162" s="85"/>
      <c r="N1162" s="85"/>
      <c r="O1162" s="85"/>
      <c r="P1162" s="85"/>
      <c r="Q1162" s="85"/>
      <c r="R1162" s="85"/>
      <c r="S1162" s="84"/>
      <c r="T1162" s="85"/>
      <c r="U1162" s="85"/>
      <c r="V1162" s="85"/>
      <c r="W1162" s="85"/>
      <c r="X1162" s="85"/>
      <c r="Y1162" s="85"/>
      <c r="Z1162" s="85"/>
      <c r="AA1162" s="85"/>
      <c r="AB1162" s="85"/>
      <c r="AC1162" s="85"/>
      <c r="AD1162" s="86"/>
      <c r="AE1162" s="15"/>
      <c r="AF1162" s="36"/>
      <c r="AG1162" s="38"/>
      <c r="AH1162" s="38"/>
    </row>
    <row r="1163" spans="2:34" x14ac:dyDescent="0.2">
      <c r="B1163" s="9">
        <f>G1142</f>
        <v>24</v>
      </c>
      <c r="C1163" s="9" t="str">
        <f t="shared" si="3332"/>
        <v>24 - Office Supplies</v>
      </c>
      <c r="D1163" s="9" t="s">
        <v>56</v>
      </c>
      <c r="F1163" t="s">
        <v>6</v>
      </c>
      <c r="G1163" s="178">
        <f>_xlfn.XLOOKUP($C1163,'Site Level Financials - ''23 ''24'!$C$2:$C$1577,'Site Level Financials - ''23 ''24'!S$2:S$1577)</f>
        <v>-13.572261539054216</v>
      </c>
      <c r="H1163" s="179">
        <f>_xlfn.XLOOKUP($C1163,'Site Level Financials - ''23 ''24'!$C$2:$C$1577,'Site Level Financials - ''23 ''24'!T$2:T$1577)</f>
        <v>-14.640223029409579</v>
      </c>
      <c r="I1163" s="179">
        <f>_xlfn.XLOOKUP($C1163,'Site Level Financials - ''23 ''24'!$C$2:$C$1577,'Site Level Financials - ''23 ''24'!U$2:U$1577)</f>
        <v>-14.692827231382571</v>
      </c>
      <c r="J1163" s="179">
        <f>_xlfn.XLOOKUP($C1163,'Site Level Financials - ''23 ''24'!$C$2:$C$1577,'Site Level Financials - ''23 ''24'!V$2:V$1577)</f>
        <v>-14.116677678076192</v>
      </c>
      <c r="K1163" s="179">
        <f>_xlfn.XLOOKUP($C1163,'Site Level Financials - ''23 ''24'!$C$2:$C$1577,'Site Level Financials - ''23 ''24'!W$2:W$1577)</f>
        <v>-18.741593847598189</v>
      </c>
      <c r="L1163" s="179">
        <f>_xlfn.XLOOKUP($C1163,'Site Level Financials - ''23 ''24'!$C$2:$C$1577,'Site Level Financials - ''23 ''24'!X$2:X$1577)</f>
        <v>-16.708226409114534</v>
      </c>
      <c r="M1163" s="179">
        <f>_xlfn.XLOOKUP($C1163,'Site Level Financials - ''23 ''24'!$C$2:$C$1577,'Site Level Financials - ''23 ''24'!Y$2:Y$1577)</f>
        <v>-16.933603930977409</v>
      </c>
      <c r="N1163" s="179">
        <f>_xlfn.XLOOKUP($C1163,'Site Level Financials - ''23 ''24'!$C$2:$C$1577,'Site Level Financials - ''23 ''24'!Z$2:Z$1577)</f>
        <v>-14.425533067289361</v>
      </c>
      <c r="O1163" s="179">
        <f>_xlfn.XLOOKUP($C1163,'Site Level Financials - ''23 ''24'!$C$2:$C$1577,'Site Level Financials - ''23 ''24'!AA$2:AA$1577)</f>
        <v>-13.597200579474757</v>
      </c>
      <c r="P1163" s="179">
        <f>_xlfn.XLOOKUP($C1163,'Site Level Financials - ''23 ''24'!$C$2:$C$1577,'Site Level Financials - ''23 ''24'!AB$2:AB$1577)</f>
        <v>-14.362473067766501</v>
      </c>
      <c r="Q1163" s="179">
        <f>_xlfn.XLOOKUP($C1163,'Site Level Financials - ''23 ''24'!$C$2:$C$1577,'Site Level Financials - ''23 ''24'!AC$2:AC$1577)</f>
        <v>-11.533683428532374</v>
      </c>
      <c r="R1163" s="179">
        <f>_xlfn.XLOOKUP($C1163,'Site Level Financials - ''23 ''24'!$C$2:$C$1577,'Site Level Financials - ''23 ''24'!AD$2:AD$1577)</f>
        <v>-9.9486272778296154</v>
      </c>
      <c r="S1163" s="155">
        <f>S1164*S1154</f>
        <v>-18.939692521276623</v>
      </c>
      <c r="T1163" s="154">
        <f t="shared" ref="T1163" si="3380">T1164*T1154</f>
        <v>-24.012626638405617</v>
      </c>
      <c r="U1163" s="154">
        <f t="shared" ref="U1163" si="3381">U1164*U1154</f>
        <v>-24.056420034946658</v>
      </c>
      <c r="V1163" s="154">
        <f t="shared" ref="V1163" si="3382">V1164*V1154</f>
        <v>-25.997350300890169</v>
      </c>
      <c r="W1163" s="154">
        <f t="shared" ref="W1163" si="3383">W1164*W1154</f>
        <v>-50.277699714040537</v>
      </c>
      <c r="X1163" s="154">
        <f t="shared" ref="X1163" si="3384">X1164*X1154</f>
        <v>-43.66394192895951</v>
      </c>
      <c r="Y1163" s="154">
        <f t="shared" ref="Y1163" si="3385">Y1164*Y1154</f>
        <v>-30.532459028187048</v>
      </c>
      <c r="Z1163" s="154">
        <f t="shared" ref="Z1163" si="3386">Z1164*Z1154</f>
        <v>-20.755011238469883</v>
      </c>
      <c r="AA1163" s="154">
        <f t="shared" ref="AA1163" si="3387">AA1164*AA1154</f>
        <v>-18.043237114677229</v>
      </c>
      <c r="AB1163" s="154">
        <f t="shared" ref="AB1163" si="3388">AB1164*AB1154</f>
        <v>-20.145579219423098</v>
      </c>
      <c r="AC1163" s="154">
        <f t="shared" ref="AC1163" si="3389">AC1164*AC1154</f>
        <v>-13.193894505670984</v>
      </c>
      <c r="AD1163" s="156">
        <f t="shared" ref="AD1163" si="3390">AD1164*AD1154</f>
        <v>-10.315983104235196</v>
      </c>
      <c r="AE1163" s="15"/>
      <c r="AF1163" s="115">
        <f>_xlfn.XLOOKUP($C1163,'Site Level Financials - ''23 ''24'!$C$2:$C$1577,'Site Level Financials - ''23 ''24'!$AF$2:$AF$1577)</f>
        <v>-175.94730992289882</v>
      </c>
      <c r="AG1163" s="93">
        <f>SUM(G1163:R1163)</f>
        <v>-173.27293108650531</v>
      </c>
      <c r="AH1163" s="93">
        <f t="shared" ref="AH1163" si="3391">SUM(S1163:AD1163)</f>
        <v>-299.93389534918254</v>
      </c>
    </row>
    <row r="1164" spans="2:34" x14ac:dyDescent="0.2">
      <c r="B1164" s="9">
        <f>G1142</f>
        <v>24</v>
      </c>
      <c r="C1164" s="9" t="str">
        <f t="shared" si="3332"/>
        <v>24 - % of Revenue - Office Supplies</v>
      </c>
      <c r="D1164" s="9" t="s">
        <v>56</v>
      </c>
      <c r="F1164" s="16" t="str">
        <f>"% of Revenue - "&amp;F1163</f>
        <v>% of Revenue - Office Supplies</v>
      </c>
      <c r="G1164" s="148">
        <f>G1163/G1154</f>
        <v>-4.0333127712973961E-2</v>
      </c>
      <c r="H1164" s="149">
        <f t="shared" ref="H1164:R1164" si="3392">H1163/H1154</f>
        <v>-4.938413246740652E-2</v>
      </c>
      <c r="I1164" s="149">
        <f t="shared" si="3392"/>
        <v>-4.6074402649823917E-2</v>
      </c>
      <c r="J1164" s="149">
        <f t="shared" si="3392"/>
        <v>-4.6483929031547327E-2</v>
      </c>
      <c r="K1164" s="149">
        <f t="shared" si="3392"/>
        <v>-7.5638984012743604E-2</v>
      </c>
      <c r="L1164" s="149">
        <f t="shared" si="3392"/>
        <v>-7.8224692328992887E-2</v>
      </c>
      <c r="M1164" s="149">
        <f t="shared" si="3392"/>
        <v>-5.4295613304368696E-2</v>
      </c>
      <c r="N1164" s="149">
        <f t="shared" si="3392"/>
        <v>-4.3042396922334469E-2</v>
      </c>
      <c r="O1164" s="149">
        <f t="shared" si="3392"/>
        <v>-4.0812742835461734E-2</v>
      </c>
      <c r="P1164" s="149">
        <f t="shared" si="3392"/>
        <v>-3.9676452094765148E-2</v>
      </c>
      <c r="Q1164" s="149">
        <f t="shared" si="3392"/>
        <v>-3.2873145183992022E-2</v>
      </c>
      <c r="R1164" s="149">
        <f t="shared" si="3392"/>
        <v>-3.1490213354950426E-2</v>
      </c>
      <c r="S1164" s="245">
        <f>_xlfn.XLOOKUP($F1164,'Budget Assumption Driver'!$A$33:$A$39,'Budget Assumption Driver'!E$33:E$39)+G1164</f>
        <v>-4.0333127712973961E-2</v>
      </c>
      <c r="T1164" s="246">
        <f>_xlfn.XLOOKUP($F1164,'Budget Assumption Driver'!$A$33:$A$39,'Budget Assumption Driver'!F$33:F$39)+H1164</f>
        <v>-4.938413246740652E-2</v>
      </c>
      <c r="U1164" s="246">
        <f>_xlfn.XLOOKUP($F1164,'Budget Assumption Driver'!$A$33:$A$39,'Budget Assumption Driver'!G$33:G$39)+I1164</f>
        <v>-4.6074402649823917E-2</v>
      </c>
      <c r="V1164" s="246">
        <f>_xlfn.XLOOKUP($F1164,'Budget Assumption Driver'!$A$33:$A$39,'Budget Assumption Driver'!H$33:H$39)+J1164</f>
        <v>-4.6483929031547327E-2</v>
      </c>
      <c r="W1164" s="246">
        <f>_xlfn.XLOOKUP($F1164,'Budget Assumption Driver'!$A$33:$A$39,'Budget Assumption Driver'!I$33:I$39)+K1164</f>
        <v>-7.5638984012743604E-2</v>
      </c>
      <c r="X1164" s="246">
        <f>_xlfn.XLOOKUP($F1164,'Budget Assumption Driver'!$A$33:$A$39,'Budget Assumption Driver'!J$33:J$39)+L1164</f>
        <v>-7.8224692328992887E-2</v>
      </c>
      <c r="Y1164" s="246">
        <f>_xlfn.XLOOKUP($F1164,'Budget Assumption Driver'!$A$33:$A$39,'Budget Assumption Driver'!K$33:K$39)+M1164</f>
        <v>-5.4295613304368696E-2</v>
      </c>
      <c r="Z1164" s="246">
        <f>_xlfn.XLOOKUP($F1164,'Budget Assumption Driver'!$A$33:$A$39,'Budget Assumption Driver'!L$33:L$39)+N1164</f>
        <v>-4.3042396922334469E-2</v>
      </c>
      <c r="AA1164" s="246">
        <f>_xlfn.XLOOKUP($F1164,'Budget Assumption Driver'!$A$33:$A$39,'Budget Assumption Driver'!M$33:M$39)+O1164</f>
        <v>-4.0812742835461734E-2</v>
      </c>
      <c r="AB1164" s="246">
        <f>_xlfn.XLOOKUP($F1164,'Budget Assumption Driver'!$A$33:$A$39,'Budget Assumption Driver'!N$33:N$39)+P1164</f>
        <v>-3.9676452094765148E-2</v>
      </c>
      <c r="AC1164" s="246">
        <f>_xlfn.XLOOKUP($F1164,'Budget Assumption Driver'!$A$33:$A$39,'Budget Assumption Driver'!O$33:O$39)+Q1164</f>
        <v>-3.2873145183992022E-2</v>
      </c>
      <c r="AD1164" s="296">
        <f>_xlfn.XLOOKUP($F1164,'Budget Assumption Driver'!$A$33:$A$39,'Budget Assumption Driver'!P$33:P$39)+R1164</f>
        <v>-3.1490213354950426E-2</v>
      </c>
      <c r="AE1164" s="15"/>
      <c r="AF1164" s="232">
        <f>_xlfn.XLOOKUP($C1164,'Site Level Financials - ''23 ''24'!$C$2:$C$1577,'Site Level Financials - ''23 ''24'!$AF$2:$AF$1577)</f>
        <v>-4.5356234175763226E-2</v>
      </c>
      <c r="AG1164" s="97">
        <f t="shared" ref="AG1164:AH1164" si="3393">AG1163/AG1154</f>
        <v>-4.6505360959893841E-2</v>
      </c>
      <c r="AH1164" s="97">
        <f t="shared" si="3393"/>
        <v>-5.0127288929979655E-2</v>
      </c>
    </row>
    <row r="1165" spans="2:34" ht="6" customHeight="1" x14ac:dyDescent="0.2">
      <c r="B1165" s="9">
        <f>G1142</f>
        <v>24</v>
      </c>
      <c r="C1165" s="9" t="str">
        <f t="shared" si="3332"/>
        <v xml:space="preserve">24 - </v>
      </c>
      <c r="D1165" s="9" t="s">
        <v>56</v>
      </c>
      <c r="F1165" s="16"/>
      <c r="G1165" s="80"/>
      <c r="H1165" s="63"/>
      <c r="I1165" s="63"/>
      <c r="J1165" s="63"/>
      <c r="K1165" s="63"/>
      <c r="L1165" s="63"/>
      <c r="M1165" s="63"/>
      <c r="N1165" s="63"/>
      <c r="O1165" s="63"/>
      <c r="P1165" s="63"/>
      <c r="Q1165" s="63"/>
      <c r="R1165" s="63"/>
      <c r="S1165" s="80"/>
      <c r="T1165" s="63"/>
      <c r="U1165" s="63"/>
      <c r="V1165" s="63"/>
      <c r="W1165" s="63"/>
      <c r="X1165" s="63"/>
      <c r="Y1165" s="63"/>
      <c r="Z1165" s="63"/>
      <c r="AA1165" s="63"/>
      <c r="AB1165" s="63"/>
      <c r="AC1165" s="63"/>
      <c r="AD1165" s="81"/>
      <c r="AE1165" s="15"/>
      <c r="AF1165" s="11"/>
      <c r="AG1165" s="15"/>
      <c r="AH1165" s="15"/>
    </row>
    <row r="1166" spans="2:34" x14ac:dyDescent="0.2">
      <c r="B1166" s="9">
        <f>G1142</f>
        <v>24</v>
      </c>
      <c r="C1166" s="9" t="str">
        <f t="shared" si="3332"/>
        <v>24 - Office Gross Profit</v>
      </c>
      <c r="D1166" s="9" t="s">
        <v>56</v>
      </c>
      <c r="F1166" s="8" t="s">
        <v>11</v>
      </c>
      <c r="G1166" s="241">
        <f>_xlfn.XLOOKUP($C1166,'Site Level Financials - ''23 ''24'!$C$2:$C$1577,'Site Level Financials - ''23 ''24'!S$2:S$1577)</f>
        <v>184.27457020899917</v>
      </c>
      <c r="H1166" s="242">
        <f>_xlfn.XLOOKUP($C1166,'Site Level Financials - ''23 ''24'!$C$2:$C$1577,'Site Level Financials - ''23 ''24'!T$2:T$1577)</f>
        <v>120.05855384810883</v>
      </c>
      <c r="I1166" s="242">
        <f>_xlfn.XLOOKUP($C1166,'Site Level Financials - ''23 ''24'!$C$2:$C$1577,'Site Level Financials - ''23 ''24'!U$2:U$1577)</f>
        <v>127.98697725684512</v>
      </c>
      <c r="J1166" s="242">
        <f>_xlfn.XLOOKUP($C1166,'Site Level Financials - ''23 ''24'!$C$2:$C$1577,'Site Level Financials - ''23 ''24'!V$2:V$1577)</f>
        <v>118.67626598164647</v>
      </c>
      <c r="K1166" s="242">
        <f>_xlfn.XLOOKUP($C1166,'Site Level Financials - ''23 ''24'!$C$2:$C$1577,'Site Level Financials - ''23 ''24'!W$2:W$1577)</f>
        <v>17.371749747713032</v>
      </c>
      <c r="L1166" s="242">
        <f>_xlfn.XLOOKUP($C1166,'Site Level Financials - ''23 ''24'!$C$2:$C$1577,'Site Level Financials - ''23 ''24'!X$2:X$1577)</f>
        <v>11.004986209379677</v>
      </c>
      <c r="M1166" s="242">
        <f>_xlfn.XLOOKUP($C1166,'Site Level Financials - ''23 ''24'!$C$2:$C$1577,'Site Level Financials - ''23 ''24'!Y$2:Y$1577)</f>
        <v>110.57943507693875</v>
      </c>
      <c r="N1166" s="242">
        <f>_xlfn.XLOOKUP($C1166,'Site Level Financials - ''23 ''24'!$C$2:$C$1577,'Site Level Financials - ''23 ''24'!Z$2:Z$1577)</f>
        <v>170.9194057384851</v>
      </c>
      <c r="O1166" s="242">
        <f>_xlfn.XLOOKUP($C1166,'Site Level Financials - ''23 ''24'!$C$2:$C$1577,'Site Level Financials - ''23 ''24'!AA$2:AA$1577)</f>
        <v>166.9261209524181</v>
      </c>
      <c r="P1166" s="242">
        <f>_xlfn.XLOOKUP($C1166,'Site Level Financials - ''23 ''24'!$C$2:$C$1577,'Site Level Financials - ''23 ''24'!AB$2:AB$1577)</f>
        <v>183.46255328009656</v>
      </c>
      <c r="Q1166" s="242">
        <f>_xlfn.XLOOKUP($C1166,'Site Level Financials - ''23 ''24'!$C$2:$C$1577,'Site Level Financials - ''23 ''24'!AC$2:AC$1577)</f>
        <v>210.11444421538465</v>
      </c>
      <c r="R1166" s="242">
        <f>_xlfn.XLOOKUP($C1166,'Site Level Financials - ''23 ''24'!$C$2:$C$1577,'Site Level Financials - ''23 ''24'!AD$2:AD$1577)</f>
        <v>187.7743363950066</v>
      </c>
      <c r="S1166" s="134">
        <f t="shared" ref="S1166:AD1166" si="3394">S1154+S1157+S1160+S1163</f>
        <v>257.1497527664099</v>
      </c>
      <c r="T1166" s="135">
        <f t="shared" si="3394"/>
        <v>196.91784903210026</v>
      </c>
      <c r="U1166" s="135">
        <f t="shared" si="3394"/>
        <v>209.55180615733079</v>
      </c>
      <c r="V1166" s="135">
        <f t="shared" si="3394"/>
        <v>218.55485614140167</v>
      </c>
      <c r="W1166" s="135">
        <f t="shared" si="3394"/>
        <v>46.602846290733552</v>
      </c>
      <c r="X1166" s="135">
        <f t="shared" si="3394"/>
        <v>28.759550356178117</v>
      </c>
      <c r="Y1166" s="135">
        <f t="shared" si="3394"/>
        <v>199.38236919964535</v>
      </c>
      <c r="Z1166" s="135">
        <f t="shared" si="3394"/>
        <v>245.91355968805357</v>
      </c>
      <c r="AA1166" s="135">
        <f t="shared" si="3394"/>
        <v>221.50791726381348</v>
      </c>
      <c r="AB1166" s="135">
        <f t="shared" si="3394"/>
        <v>257.33447042603035</v>
      </c>
      <c r="AC1166" s="135">
        <f t="shared" si="3394"/>
        <v>240.35927709247295</v>
      </c>
      <c r="AD1166" s="136">
        <f t="shared" si="3394"/>
        <v>194.70795593846546</v>
      </c>
      <c r="AE1166" s="15"/>
      <c r="AF1166" s="114">
        <f>_xlfn.XLOOKUP($C1166,'Site Level Financials - ''23 ''24'!$C$2:$C$1577,'Site Level Financials - ''23 ''24'!$AF$2:$AF$1577)</f>
        <v>1918.308233350881</v>
      </c>
      <c r="AG1166" s="95">
        <f>SUM(G1166:R1166)</f>
        <v>1609.1493989110222</v>
      </c>
      <c r="AH1166" s="95">
        <f t="shared" ref="AH1166" si="3395">SUM(S1166:AD1166)</f>
        <v>2316.7422103526355</v>
      </c>
    </row>
    <row r="1167" spans="2:34" x14ac:dyDescent="0.2">
      <c r="B1167" s="9">
        <f>G1142</f>
        <v>24</v>
      </c>
      <c r="C1167" s="9" t="str">
        <f t="shared" si="3332"/>
        <v>24 - % of Revenue - Office Gross Profit</v>
      </c>
      <c r="D1167" s="9" t="s">
        <v>56</v>
      </c>
      <c r="F1167" s="16" t="str">
        <f>"% of Revenue - "&amp;F1166</f>
        <v>% of Revenue - Office Gross Profit</v>
      </c>
      <c r="G1167" s="148">
        <f>G1166/G1154</f>
        <v>0.54761468846634653</v>
      </c>
      <c r="H1167" s="149">
        <f t="shared" ref="H1167:AD1167" si="3396">H1166/H1154</f>
        <v>0.40497931726654668</v>
      </c>
      <c r="I1167" s="149">
        <f t="shared" si="3396"/>
        <v>0.40134709482395836</v>
      </c>
      <c r="J1167" s="149">
        <f t="shared" si="3396"/>
        <v>0.3907816875487149</v>
      </c>
      <c r="K1167" s="149">
        <f t="shared" si="3396"/>
        <v>7.0110445895136125E-2</v>
      </c>
      <c r="L1167" s="149">
        <f t="shared" si="3396"/>
        <v>5.1523222108357643E-2</v>
      </c>
      <c r="M1167" s="149">
        <f t="shared" si="3396"/>
        <v>0.35455997853886617</v>
      </c>
      <c r="N1167" s="149">
        <f t="shared" si="3396"/>
        <v>0.50998329622960603</v>
      </c>
      <c r="O1167" s="149">
        <f t="shared" si="3396"/>
        <v>0.50103790167191808</v>
      </c>
      <c r="P1167" s="149">
        <f t="shared" si="3396"/>
        <v>0.5068168394158753</v>
      </c>
      <c r="Q1167" s="149">
        <f t="shared" si="3396"/>
        <v>0.59886528642351011</v>
      </c>
      <c r="R1167" s="149">
        <f t="shared" si="3396"/>
        <v>0.5943587743848997</v>
      </c>
      <c r="S1167" s="148">
        <f t="shared" si="3396"/>
        <v>0.54761468846634653</v>
      </c>
      <c r="T1167" s="149">
        <f t="shared" si="3396"/>
        <v>0.40497931726654662</v>
      </c>
      <c r="U1167" s="149">
        <f t="shared" si="3396"/>
        <v>0.40134709482395842</v>
      </c>
      <c r="V1167" s="149">
        <f t="shared" si="3396"/>
        <v>0.3907816875487149</v>
      </c>
      <c r="W1167" s="149">
        <f t="shared" si="3396"/>
        <v>7.0110445895136181E-2</v>
      </c>
      <c r="X1167" s="149">
        <f t="shared" si="3396"/>
        <v>5.1523222108357643E-2</v>
      </c>
      <c r="Y1167" s="149">
        <f t="shared" si="3396"/>
        <v>0.35455997853886634</v>
      </c>
      <c r="Z1167" s="149">
        <f t="shared" si="3396"/>
        <v>0.50998329622960614</v>
      </c>
      <c r="AA1167" s="149">
        <f t="shared" si="3396"/>
        <v>0.5010379016719182</v>
      </c>
      <c r="AB1167" s="149">
        <f t="shared" si="3396"/>
        <v>0.5068168394158753</v>
      </c>
      <c r="AC1167" s="149">
        <f t="shared" si="3396"/>
        <v>0.59886528642351011</v>
      </c>
      <c r="AD1167" s="150">
        <f t="shared" si="3396"/>
        <v>0.59435877438489981</v>
      </c>
      <c r="AE1167" s="15"/>
      <c r="AF1167" s="233">
        <f>_xlfn.XLOOKUP($C1167,'Site Level Financials - ''23 ''24'!$C$2:$C$1577,'Site Level Financials - ''23 ''24'!$AF$2:$AF$1577)</f>
        <v>0.49450734706477922</v>
      </c>
      <c r="AG1167" s="97">
        <f t="shared" ref="AG1167:AH1167" si="3397">AG1166/AG1154</f>
        <v>0.43188554129896317</v>
      </c>
      <c r="AH1167" s="97">
        <f t="shared" si="3397"/>
        <v>0.38719200448960789</v>
      </c>
    </row>
    <row r="1168" spans="2:34" ht="6" customHeight="1" x14ac:dyDescent="0.2">
      <c r="B1168" s="9">
        <f>G1142</f>
        <v>24</v>
      </c>
      <c r="C1168" s="9" t="str">
        <f t="shared" si="3332"/>
        <v xml:space="preserve">24 - </v>
      </c>
      <c r="D1168" s="9" t="s">
        <v>56</v>
      </c>
      <c r="F1168" s="16"/>
      <c r="G1168" s="80"/>
      <c r="H1168" s="63"/>
      <c r="I1168" s="63"/>
      <c r="J1168" s="63"/>
      <c r="K1168" s="63"/>
      <c r="L1168" s="63"/>
      <c r="M1168" s="63"/>
      <c r="N1168" s="63"/>
      <c r="O1168" s="63"/>
      <c r="P1168" s="63"/>
      <c r="Q1168" s="63"/>
      <c r="R1168" s="63"/>
      <c r="S1168" s="80"/>
      <c r="T1168" s="63"/>
      <c r="U1168" s="63"/>
      <c r="V1168" s="63"/>
      <c r="W1168" s="63"/>
      <c r="X1168" s="63"/>
      <c r="Y1168" s="63"/>
      <c r="Z1168" s="63"/>
      <c r="AA1168" s="63"/>
      <c r="AB1168" s="63"/>
      <c r="AC1168" s="63"/>
      <c r="AD1168" s="81"/>
      <c r="AE1168" s="15"/>
      <c r="AF1168" s="11"/>
      <c r="AG1168" s="15"/>
      <c r="AH1168" s="15"/>
    </row>
    <row r="1169" spans="2:34" x14ac:dyDescent="0.2">
      <c r="B1169" s="9">
        <f>G1142</f>
        <v>24</v>
      </c>
      <c r="C1169" s="9" t="str">
        <f t="shared" si="3332"/>
        <v>24 - General and Administrative Expense</v>
      </c>
      <c r="D1169" s="9" t="s">
        <v>56</v>
      </c>
      <c r="F1169" t="s">
        <v>10</v>
      </c>
      <c r="G1169" s="178">
        <f>_xlfn.XLOOKUP($C1169,'Site Level Financials - ''23 ''24'!$C$2:$C$1577,'Site Level Financials - ''23 ''24'!S$2:S$1577)</f>
        <v>-23.455808955480975</v>
      </c>
      <c r="H1169" s="179">
        <f>_xlfn.XLOOKUP($C1169,'Site Level Financials - ''23 ''24'!$C$2:$C$1577,'Site Level Financials - ''23 ''24'!T$2:T$1577)</f>
        <v>-26.91073104142626</v>
      </c>
      <c r="I1169" s="179">
        <f>_xlfn.XLOOKUP($C1169,'Site Level Financials - ''23 ''24'!$C$2:$C$1577,'Site Level Financials - ''23 ''24'!U$2:U$1577)</f>
        <v>-27.739630385115309</v>
      </c>
      <c r="J1169" s="179">
        <f>_xlfn.XLOOKUP($C1169,'Site Level Financials - ''23 ''24'!$C$2:$C$1577,'Site Level Financials - ''23 ''24'!V$2:V$1577)</f>
        <v>-26.796187647935202</v>
      </c>
      <c r="K1169" s="179">
        <f>_xlfn.XLOOKUP($C1169,'Site Level Financials - ''23 ''24'!$C$2:$C$1577,'Site Level Financials - ''23 ''24'!W$2:W$1577)</f>
        <v>-34.581237464084438</v>
      </c>
      <c r="L1169" s="179">
        <f>_xlfn.XLOOKUP($C1169,'Site Level Financials - ''23 ''24'!$C$2:$C$1577,'Site Level Financials - ''23 ''24'!X$2:X$1577)</f>
        <v>-29.087521235632209</v>
      </c>
      <c r="M1169" s="179">
        <f>_xlfn.XLOOKUP($C1169,'Site Level Financials - ''23 ''24'!$C$2:$C$1577,'Site Level Financials - ''23 ''24'!Y$2:Y$1577)</f>
        <v>-29.756046510064941</v>
      </c>
      <c r="N1169" s="179">
        <f>_xlfn.XLOOKUP($C1169,'Site Level Financials - ''23 ''24'!$C$2:$C$1577,'Site Level Financials - ''23 ''24'!Z$2:Z$1577)</f>
        <v>-24.818893536286428</v>
      </c>
      <c r="O1169" s="179">
        <f>_xlfn.XLOOKUP($C1169,'Site Level Financials - ''23 ''24'!$C$2:$C$1577,'Site Level Financials - ''23 ''24'!AA$2:AA$1577)</f>
        <v>-25.187062300806211</v>
      </c>
      <c r="P1169" s="179">
        <f>_xlfn.XLOOKUP($C1169,'Site Level Financials - ''23 ''24'!$C$2:$C$1577,'Site Level Financials - ''23 ''24'!AB$2:AB$1577)</f>
        <v>-28.499744335426062</v>
      </c>
      <c r="Q1169" s="179">
        <f>_xlfn.XLOOKUP($C1169,'Site Level Financials - ''23 ''24'!$C$2:$C$1577,'Site Level Financials - ''23 ''24'!AC$2:AC$1577)</f>
        <v>-21.889877961549171</v>
      </c>
      <c r="R1169" s="179">
        <f>_xlfn.XLOOKUP($C1169,'Site Level Financials - ''23 ''24'!$C$2:$C$1577,'Site Level Financials - ''23 ''24'!AD$2:AD$1577)</f>
        <v>-19.257724030357689</v>
      </c>
      <c r="S1169" s="155">
        <f>S1170*S1154</f>
        <v>-32.731892778244649</v>
      </c>
      <c r="T1169" s="154">
        <f t="shared" ref="T1169" si="3398">T1170*T1154</f>
        <v>-44.138489951022386</v>
      </c>
      <c r="U1169" s="154">
        <f t="shared" ref="U1169" si="3399">U1170*U1154</f>
        <v>-45.417821202795814</v>
      </c>
      <c r="V1169" s="154">
        <f t="shared" ref="V1169" si="3400">V1170*V1154</f>
        <v>-49.348004742904479</v>
      </c>
      <c r="W1169" s="154">
        <f t="shared" ref="W1169" si="3401">W1170*W1154</f>
        <v>-92.770395468898883</v>
      </c>
      <c r="X1169" s="154">
        <f t="shared" ref="X1169" si="3402">X1170*X1154</f>
        <v>-76.015000454936384</v>
      </c>
      <c r="Y1169" s="154">
        <f t="shared" ref="Y1169" si="3403">Y1170*Y1154</f>
        <v>-53.652209807941688</v>
      </c>
      <c r="Z1169" s="154">
        <f t="shared" ref="Z1169" si="3404">Z1170*Z1154</f>
        <v>-35.708657133791839</v>
      </c>
      <c r="AA1169" s="154">
        <f t="shared" ref="AA1169" si="3405">AA1170*AA1154</f>
        <v>-33.422772184563108</v>
      </c>
      <c r="AB1169" s="154">
        <f t="shared" ref="AB1169" si="3406">AB1170*AB1154</f>
        <v>-39.975278250037135</v>
      </c>
      <c r="AC1169" s="154">
        <f t="shared" ref="AC1169" si="3407">AC1170*AC1154</f>
        <v>-25.04080698558262</v>
      </c>
      <c r="AD1169" s="156">
        <f t="shared" ref="AD1169" si="3408">AD1170*AD1154</f>
        <v>-19.968820840832027</v>
      </c>
      <c r="AE1169" s="15"/>
      <c r="AF1169" s="115">
        <f>_xlfn.XLOOKUP($C1169,'Site Level Financials - ''23 ''24'!$C$2:$C$1577,'Site Level Financials - ''23 ''24'!$AF$2:$AF$1577)</f>
        <v>-264.79001305773579</v>
      </c>
      <c r="AG1169" s="93">
        <f>SUM(G1169:R1169)</f>
        <v>-317.98046540416487</v>
      </c>
      <c r="AH1169" s="93">
        <f t="shared" ref="AH1169" si="3409">SUM(S1169:AD1169)</f>
        <v>-548.190149801551</v>
      </c>
    </row>
    <row r="1170" spans="2:34" x14ac:dyDescent="0.2">
      <c r="B1170" s="9">
        <f>G1142</f>
        <v>24</v>
      </c>
      <c r="C1170" s="9" t="str">
        <f t="shared" si="3332"/>
        <v>24 - % of Revenue - General and Administrative Expense</v>
      </c>
      <c r="D1170" s="9" t="s">
        <v>56</v>
      </c>
      <c r="F1170" s="16" t="str">
        <f>"% of Revenue - "&amp;F1169</f>
        <v>% of Revenue - General and Administrative Expense</v>
      </c>
      <c r="G1170" s="148">
        <f>G1169/G1154</f>
        <v>-6.970438460018491E-2</v>
      </c>
      <c r="H1170" s="149">
        <f t="shared" ref="H1170:R1170" si="3410">H1169/H1154</f>
        <v>-9.0774785594105692E-2</v>
      </c>
      <c r="I1170" s="149">
        <f t="shared" si="3410"/>
        <v>-8.6987131856502947E-2</v>
      </c>
      <c r="J1170" s="149">
        <f t="shared" si="3410"/>
        <v>-8.8235497993773934E-2</v>
      </c>
      <c r="K1170" s="149">
        <f t="shared" si="3410"/>
        <v>-0.13956602031592871</v>
      </c>
      <c r="L1170" s="149">
        <f t="shared" si="3410"/>
        <v>-0.13618216222094881</v>
      </c>
      <c r="M1170" s="149">
        <f t="shared" si="3410"/>
        <v>-9.5409270310247651E-2</v>
      </c>
      <c r="N1170" s="149">
        <f t="shared" si="3410"/>
        <v>-7.4053739420163744E-2</v>
      </c>
      <c r="O1170" s="149">
        <f t="shared" si="3410"/>
        <v>-7.5600348061002548E-2</v>
      </c>
      <c r="P1170" s="149">
        <f t="shared" si="3410"/>
        <v>-7.8730782331307203E-2</v>
      </c>
      <c r="Q1170" s="149">
        <f t="shared" si="3410"/>
        <v>-6.2390227783583163E-2</v>
      </c>
      <c r="R1170" s="149">
        <f t="shared" si="3410"/>
        <v>-6.095613208850837E-2</v>
      </c>
      <c r="S1170" s="245">
        <f>_xlfn.XLOOKUP($F1170,'Budget Assumption Driver'!$A$33:$A$39,'Budget Assumption Driver'!E$33:E$39)+G1170</f>
        <v>-6.970438460018491E-2</v>
      </c>
      <c r="T1170" s="246">
        <f>_xlfn.XLOOKUP($F1170,'Budget Assumption Driver'!$A$33:$A$39,'Budget Assumption Driver'!F$33:F$39)+H1170</f>
        <v>-9.0774785594105692E-2</v>
      </c>
      <c r="U1170" s="246">
        <f>_xlfn.XLOOKUP($F1170,'Budget Assumption Driver'!$A$33:$A$39,'Budget Assumption Driver'!G$33:G$39)+I1170</f>
        <v>-8.6987131856502947E-2</v>
      </c>
      <c r="V1170" s="246">
        <f>_xlfn.XLOOKUP($F1170,'Budget Assumption Driver'!$A$33:$A$39,'Budget Assumption Driver'!H$33:H$39)+J1170</f>
        <v>-8.8235497993773934E-2</v>
      </c>
      <c r="W1170" s="246">
        <f>_xlfn.XLOOKUP($F1170,'Budget Assumption Driver'!$A$33:$A$39,'Budget Assumption Driver'!I$33:I$39)+K1170</f>
        <v>-0.13956602031592871</v>
      </c>
      <c r="X1170" s="246">
        <f>_xlfn.XLOOKUP($F1170,'Budget Assumption Driver'!$A$33:$A$39,'Budget Assumption Driver'!J$33:J$39)+L1170</f>
        <v>-0.13618216222094881</v>
      </c>
      <c r="Y1170" s="246">
        <f>_xlfn.XLOOKUP($F1170,'Budget Assumption Driver'!$A$33:$A$39,'Budget Assumption Driver'!K$33:K$39)+M1170</f>
        <v>-9.5409270310247651E-2</v>
      </c>
      <c r="Z1170" s="246">
        <f>_xlfn.XLOOKUP($F1170,'Budget Assumption Driver'!$A$33:$A$39,'Budget Assumption Driver'!L$33:L$39)+N1170</f>
        <v>-7.4053739420163744E-2</v>
      </c>
      <c r="AA1170" s="246">
        <f>_xlfn.XLOOKUP($F1170,'Budget Assumption Driver'!$A$33:$A$39,'Budget Assumption Driver'!M$33:M$39)+O1170</f>
        <v>-7.5600348061002548E-2</v>
      </c>
      <c r="AB1170" s="246">
        <f>_xlfn.XLOOKUP($F1170,'Budget Assumption Driver'!$A$33:$A$39,'Budget Assumption Driver'!N$33:N$39)+P1170</f>
        <v>-7.8730782331307203E-2</v>
      </c>
      <c r="AC1170" s="246">
        <f>_xlfn.XLOOKUP($F1170,'Budget Assumption Driver'!$A$33:$A$39,'Budget Assumption Driver'!O$33:O$39)+Q1170</f>
        <v>-6.2390227783583163E-2</v>
      </c>
      <c r="AD1170" s="296">
        <f>_xlfn.XLOOKUP($F1170,'Budget Assumption Driver'!$A$33:$A$39,'Budget Assumption Driver'!P$33:P$39)+R1170</f>
        <v>-6.095613208850837E-2</v>
      </c>
      <c r="AE1170" s="15"/>
      <c r="AF1170" s="232">
        <f>_xlfn.XLOOKUP($C1170,'Site Level Financials - ''23 ''24'!$C$2:$C$1577,'Site Level Financials - ''23 ''24'!$AF$2:$AF$1577)</f>
        <v>-6.8258377152301264E-2</v>
      </c>
      <c r="AG1170" s="97">
        <f t="shared" ref="AG1170:AH1170" si="3411">AG1169/AG1154</f>
        <v>-8.5343949739229708E-2</v>
      </c>
      <c r="AH1170" s="97">
        <f t="shared" si="3411"/>
        <v>-9.161780796958556E-2</v>
      </c>
    </row>
    <row r="1171" spans="2:34" ht="3" customHeight="1" x14ac:dyDescent="0.2">
      <c r="B1171" s="9">
        <f>G1142</f>
        <v>24</v>
      </c>
      <c r="C1171" s="9" t="str">
        <f t="shared" si="3332"/>
        <v xml:space="preserve">24 - </v>
      </c>
      <c r="D1171" s="9" t="s">
        <v>56</v>
      </c>
      <c r="F1171" s="16"/>
      <c r="G1171" s="84"/>
      <c r="H1171" s="85"/>
      <c r="I1171" s="85"/>
      <c r="J1171" s="85"/>
      <c r="K1171" s="85"/>
      <c r="L1171" s="85"/>
      <c r="M1171" s="85"/>
      <c r="N1171" s="85"/>
      <c r="O1171" s="85"/>
      <c r="P1171" s="85"/>
      <c r="Q1171" s="85"/>
      <c r="R1171" s="85"/>
      <c r="S1171" s="84"/>
      <c r="T1171" s="85"/>
      <c r="U1171" s="85"/>
      <c r="V1171" s="85"/>
      <c r="W1171" s="85"/>
      <c r="X1171" s="85"/>
      <c r="Y1171" s="85"/>
      <c r="Z1171" s="85"/>
      <c r="AA1171" s="85"/>
      <c r="AB1171" s="85"/>
      <c r="AC1171" s="85"/>
      <c r="AD1171" s="86"/>
      <c r="AE1171" s="15"/>
      <c r="AF1171" s="36"/>
      <c r="AG1171" s="38"/>
      <c r="AH1171" s="38"/>
    </row>
    <row r="1172" spans="2:34" x14ac:dyDescent="0.2">
      <c r="B1172" s="9">
        <f>G1142</f>
        <v>24</v>
      </c>
      <c r="C1172" s="9" t="str">
        <f t="shared" si="3332"/>
        <v>24 - Marketing</v>
      </c>
      <c r="D1172" s="9" t="s">
        <v>56</v>
      </c>
      <c r="F1172" t="s">
        <v>7</v>
      </c>
      <c r="G1172" s="178">
        <f>_xlfn.XLOOKUP($C1172,'Site Level Financials - ''23 ''24'!$C$2:$C$1577,'Site Level Financials - ''23 ''24'!S$2:S$1577)</f>
        <v>-4.7685381765482084</v>
      </c>
      <c r="H1172" s="179">
        <f>_xlfn.XLOOKUP($C1172,'Site Level Financials - ''23 ''24'!$C$2:$C$1577,'Site Level Financials - ''23 ''24'!T$2:T$1577)</f>
        <v>-4.1952983201493961</v>
      </c>
      <c r="I1172" s="179">
        <f>_xlfn.XLOOKUP($C1172,'Site Level Financials - ''23 ''24'!$C$2:$C$1577,'Site Level Financials - ''23 ''24'!U$2:U$1577)</f>
        <v>-5.6321881762102866</v>
      </c>
      <c r="J1172" s="179">
        <f>_xlfn.XLOOKUP($C1172,'Site Level Financials - ''23 ''24'!$C$2:$C$1577,'Site Level Financials - ''23 ''24'!V$2:V$1577)</f>
        <v>-4.0845761072115856</v>
      </c>
      <c r="K1172" s="179">
        <f>_xlfn.XLOOKUP($C1172,'Site Level Financials - ''23 ''24'!$C$2:$C$1577,'Site Level Financials - ''23 ''24'!W$2:W$1577)</f>
        <v>-5.8371752921015707</v>
      </c>
      <c r="L1172" s="179">
        <f>_xlfn.XLOOKUP($C1172,'Site Level Financials - ''23 ''24'!$C$2:$C$1577,'Site Level Financials - ''23 ''24'!X$2:X$1577)</f>
        <v>-3.9269282054342289</v>
      </c>
      <c r="M1172" s="179">
        <f>_xlfn.XLOOKUP($C1172,'Site Level Financials - ''23 ''24'!$C$2:$C$1577,'Site Level Financials - ''23 ''24'!Y$2:Y$1577)</f>
        <v>-4.3858689741577788</v>
      </c>
      <c r="N1172" s="179">
        <f>_xlfn.XLOOKUP($C1172,'Site Level Financials - ''23 ''24'!$C$2:$C$1577,'Site Level Financials - ''23 ''24'!Z$2:Z$1577)</f>
        <v>-4.1096960729579237</v>
      </c>
      <c r="O1172" s="179">
        <f>_xlfn.XLOOKUP($C1172,'Site Level Financials - ''23 ''24'!$C$2:$C$1577,'Site Level Financials - ''23 ''24'!AA$2:AA$1577)</f>
        <v>-4.828505649004069</v>
      </c>
      <c r="P1172" s="179">
        <f>_xlfn.XLOOKUP($C1172,'Site Level Financials - ''23 ''24'!$C$2:$C$1577,'Site Level Financials - ''23 ''24'!AB$2:AB$1577)</f>
        <v>-6.4016153312667425</v>
      </c>
      <c r="Q1172" s="179">
        <f>_xlfn.XLOOKUP($C1172,'Site Level Financials - ''23 ''24'!$C$2:$C$1577,'Site Level Financials - ''23 ''24'!AC$2:AC$1577)</f>
        <v>-5.7257866432783278</v>
      </c>
      <c r="R1172" s="179">
        <f>_xlfn.XLOOKUP($C1172,'Site Level Financials - ''23 ''24'!$C$2:$C$1577,'Site Level Financials - ''23 ''24'!AD$2:AD$1577)</f>
        <v>-4.9293384926679282</v>
      </c>
      <c r="S1172" s="155">
        <f>S1173*S1154</f>
        <v>-6.6543550299197785</v>
      </c>
      <c r="T1172" s="154">
        <f t="shared" ref="T1172" si="3412">T1173*T1154</f>
        <v>-6.8810517432766494</v>
      </c>
      <c r="U1172" s="154">
        <f t="shared" ref="U1172" si="3413">U1173*U1154</f>
        <v>-9.2215257383126126</v>
      </c>
      <c r="V1172" s="154">
        <f t="shared" ref="V1172" si="3414">V1173*V1154</f>
        <v>-7.5221775485276323</v>
      </c>
      <c r="W1172" s="154">
        <f t="shared" ref="W1172" si="3415">W1173*W1154</f>
        <v>-15.65927364027848</v>
      </c>
      <c r="X1172" s="154">
        <f t="shared" ref="X1172" si="3416">X1173*X1154</f>
        <v>-10.262319944846874</v>
      </c>
      <c r="Y1172" s="154">
        <f t="shared" ref="Y1172" si="3417">Y1173*Y1154</f>
        <v>-7.9080250903647871</v>
      </c>
      <c r="Z1172" s="154">
        <f t="shared" ref="Z1172" si="3418">Z1173*Z1154</f>
        <v>-5.9129037230764183</v>
      </c>
      <c r="AA1172" s="154">
        <f t="shared" ref="AA1172" si="3419">AA1173*AA1154</f>
        <v>-6.4073389096025446</v>
      </c>
      <c r="AB1172" s="154">
        <f t="shared" ref="AB1172" si="3420">AB1173*AB1154</f>
        <v>-8.9792508699452522</v>
      </c>
      <c r="AC1172" s="154">
        <f t="shared" ref="AC1172" si="3421">AC1173*AC1154</f>
        <v>-6.5499825273951666</v>
      </c>
      <c r="AD1172" s="156">
        <f t="shared" ref="AD1172" si="3422">AD1173*AD1154</f>
        <v>-5.1113556860994533</v>
      </c>
      <c r="AE1172" s="15"/>
      <c r="AF1172" s="115">
        <f>_xlfn.XLOOKUP($C1172,'Site Level Financials - ''23 ''24'!$C$2:$C$1577,'Site Level Financials - ''23 ''24'!$AF$2:$AF$1577)</f>
        <v>-78.069778037911618</v>
      </c>
      <c r="AG1172" s="93">
        <f>SUM(G1172:R1172)</f>
        <v>-58.825515440988049</v>
      </c>
      <c r="AH1172" s="93">
        <f t="shared" ref="AH1172" si="3423">SUM(S1172:AD1172)</f>
        <v>-97.069560451645643</v>
      </c>
    </row>
    <row r="1173" spans="2:34" x14ac:dyDescent="0.2">
      <c r="B1173" s="9">
        <f>G1142</f>
        <v>24</v>
      </c>
      <c r="C1173" s="9" t="str">
        <f t="shared" si="3332"/>
        <v>24 - % of Revenue - Marketing</v>
      </c>
      <c r="D1173" s="9" t="s">
        <v>56</v>
      </c>
      <c r="F1173" s="16" t="str">
        <f>"% of Revenue - "&amp;F1172</f>
        <v>% of Revenue - Marketing</v>
      </c>
      <c r="G1173" s="148">
        <f>G1172/G1154</f>
        <v>-1.4170818822307592E-2</v>
      </c>
      <c r="H1173" s="149">
        <f t="shared" ref="H1173:R1173" si="3424">H1172/H1154</f>
        <v>-1.4151503536958151E-2</v>
      </c>
      <c r="I1173" s="149">
        <f t="shared" si="3424"/>
        <v>-1.7661659103703466E-2</v>
      </c>
      <c r="J1173" s="149">
        <f t="shared" si="3424"/>
        <v>-1.3449846360553309E-2</v>
      </c>
      <c r="K1173" s="149">
        <f t="shared" si="3424"/>
        <v>-2.3558188924013793E-2</v>
      </c>
      <c r="L1173" s="149">
        <f t="shared" si="3424"/>
        <v>-1.8385120188493791E-2</v>
      </c>
      <c r="M1173" s="149">
        <f t="shared" si="3424"/>
        <v>-1.4062774043561434E-2</v>
      </c>
      <c r="N1173" s="149">
        <f t="shared" si="3424"/>
        <v>-1.2262366234737213E-2</v>
      </c>
      <c r="O1173" s="149">
        <f t="shared" si="3424"/>
        <v>-1.4493024367813636E-2</v>
      </c>
      <c r="P1173" s="149">
        <f t="shared" si="3424"/>
        <v>-1.7684515948033549E-2</v>
      </c>
      <c r="Q1173" s="149">
        <f t="shared" si="3424"/>
        <v>-1.6319557995793006E-2</v>
      </c>
      <c r="R1173" s="149">
        <f t="shared" si="3424"/>
        <v>-1.5602747645275817E-2</v>
      </c>
      <c r="S1173" s="245">
        <f>_xlfn.XLOOKUP($F1173,'Budget Assumption Driver'!$A$33:$A$39,'Budget Assumption Driver'!E$33:E$39)+G1173</f>
        <v>-1.4170818822307592E-2</v>
      </c>
      <c r="T1173" s="246">
        <f>_xlfn.XLOOKUP($F1173,'Budget Assumption Driver'!$A$33:$A$39,'Budget Assumption Driver'!F$33:F$39)+H1173</f>
        <v>-1.4151503536958151E-2</v>
      </c>
      <c r="U1173" s="246">
        <f>_xlfn.XLOOKUP($F1173,'Budget Assumption Driver'!$A$33:$A$39,'Budget Assumption Driver'!G$33:G$39)+I1173</f>
        <v>-1.7661659103703466E-2</v>
      </c>
      <c r="V1173" s="246">
        <f>_xlfn.XLOOKUP($F1173,'Budget Assumption Driver'!$A$33:$A$39,'Budget Assumption Driver'!H$33:H$39)+J1173</f>
        <v>-1.3449846360553309E-2</v>
      </c>
      <c r="W1173" s="246">
        <f>_xlfn.XLOOKUP($F1173,'Budget Assumption Driver'!$A$33:$A$39,'Budget Assumption Driver'!I$33:I$39)+K1173</f>
        <v>-2.3558188924013793E-2</v>
      </c>
      <c r="X1173" s="246">
        <f>_xlfn.XLOOKUP($F1173,'Budget Assumption Driver'!$A$33:$A$39,'Budget Assumption Driver'!J$33:J$39)+L1173</f>
        <v>-1.8385120188493791E-2</v>
      </c>
      <c r="Y1173" s="246">
        <f>_xlfn.XLOOKUP($F1173,'Budget Assumption Driver'!$A$33:$A$39,'Budget Assumption Driver'!K$33:K$39)+M1173</f>
        <v>-1.4062774043561434E-2</v>
      </c>
      <c r="Z1173" s="246">
        <f>_xlfn.XLOOKUP($F1173,'Budget Assumption Driver'!$A$33:$A$39,'Budget Assumption Driver'!L$33:L$39)+N1173</f>
        <v>-1.2262366234737213E-2</v>
      </c>
      <c r="AA1173" s="246">
        <f>_xlfn.XLOOKUP($F1173,'Budget Assumption Driver'!$A$33:$A$39,'Budget Assumption Driver'!M$33:M$39)+O1173</f>
        <v>-1.4493024367813636E-2</v>
      </c>
      <c r="AB1173" s="246">
        <f>_xlfn.XLOOKUP($F1173,'Budget Assumption Driver'!$A$33:$A$39,'Budget Assumption Driver'!N$33:N$39)+P1173</f>
        <v>-1.7684515948033549E-2</v>
      </c>
      <c r="AC1173" s="246">
        <f>_xlfn.XLOOKUP($F1173,'Budget Assumption Driver'!$A$33:$A$39,'Budget Assumption Driver'!O$33:O$39)+Q1173</f>
        <v>-1.6319557995793006E-2</v>
      </c>
      <c r="AD1173" s="296">
        <f>_xlfn.XLOOKUP($F1173,'Budget Assumption Driver'!$A$33:$A$39,'Budget Assumption Driver'!P$33:P$39)+R1173</f>
        <v>-1.5602747645275817E-2</v>
      </c>
      <c r="AE1173" s="15"/>
      <c r="AF1173" s="232">
        <f>_xlfn.XLOOKUP($C1173,'Site Level Financials - ''23 ''24'!$C$2:$C$1577,'Site Level Financials - ''23 ''24'!$AF$2:$AF$1577)</f>
        <v>-2.0125065488577475E-2</v>
      </c>
      <c r="AG1173" s="97">
        <f t="shared" ref="AG1173:AH1173" si="3425">AG1172/AG1154</f>
        <v>-1.5788397022436111E-2</v>
      </c>
      <c r="AH1173" s="97">
        <f t="shared" si="3425"/>
        <v>-1.6223021067362099E-2</v>
      </c>
    </row>
    <row r="1174" spans="2:34" ht="3" customHeight="1" x14ac:dyDescent="0.2">
      <c r="B1174" s="9">
        <f>G1142</f>
        <v>24</v>
      </c>
      <c r="C1174" s="9" t="str">
        <f t="shared" si="3332"/>
        <v xml:space="preserve">24 - </v>
      </c>
      <c r="D1174" s="9" t="s">
        <v>56</v>
      </c>
      <c r="F1174" s="16"/>
      <c r="G1174" s="84"/>
      <c r="H1174" s="85"/>
      <c r="I1174" s="85"/>
      <c r="J1174" s="85"/>
      <c r="K1174" s="85"/>
      <c r="L1174" s="85"/>
      <c r="M1174" s="85"/>
      <c r="N1174" s="85"/>
      <c r="O1174" s="85"/>
      <c r="P1174" s="85"/>
      <c r="Q1174" s="85"/>
      <c r="R1174" s="85"/>
      <c r="S1174" s="84"/>
      <c r="T1174" s="85"/>
      <c r="U1174" s="85"/>
      <c r="V1174" s="85"/>
      <c r="W1174" s="85"/>
      <c r="X1174" s="85"/>
      <c r="Y1174" s="85"/>
      <c r="Z1174" s="85"/>
      <c r="AA1174" s="85"/>
      <c r="AB1174" s="85"/>
      <c r="AC1174" s="85"/>
      <c r="AD1174" s="86"/>
      <c r="AE1174" s="15"/>
      <c r="AF1174" s="36"/>
      <c r="AG1174" s="38"/>
      <c r="AH1174" s="38"/>
    </row>
    <row r="1175" spans="2:34" x14ac:dyDescent="0.2">
      <c r="B1175" s="9">
        <f>G1142</f>
        <v>24</v>
      </c>
      <c r="C1175" s="9" t="str">
        <f t="shared" si="3332"/>
        <v>24 - Office Rent</v>
      </c>
      <c r="D1175" s="9" t="s">
        <v>56</v>
      </c>
      <c r="F1175" t="s">
        <v>162</v>
      </c>
      <c r="G1175" s="178">
        <f>_xlfn.XLOOKUP($C1175,'Site Level Financials - ''23 ''24'!$C$2:$C$1577,'Site Level Financials - ''23 ''24'!S$2:S$1577)</f>
        <v>-26.238037733197775</v>
      </c>
      <c r="H1175" s="179">
        <f>_xlfn.XLOOKUP($C1175,'Site Level Financials - ''23 ''24'!$C$2:$C$1577,'Site Level Financials - ''23 ''24'!T$2:T$1577)</f>
        <v>-26.238037733197775</v>
      </c>
      <c r="I1175" s="179">
        <f>_xlfn.XLOOKUP($C1175,'Site Level Financials - ''23 ''24'!$C$2:$C$1577,'Site Level Financials - ''23 ''24'!U$2:U$1577)</f>
        <v>-27.025178865193702</v>
      </c>
      <c r="J1175" s="179">
        <f>_xlfn.XLOOKUP($C1175,'Site Level Financials - ''23 ''24'!$C$2:$C$1577,'Site Level Financials - ''23 ''24'!V$2:V$1577)</f>
        <v>-27.025178865193702</v>
      </c>
      <c r="K1175" s="179">
        <f>_xlfn.XLOOKUP($C1175,'Site Level Financials - ''23 ''24'!$C$2:$C$1577,'Site Level Financials - ''23 ''24'!W$2:W$1577)</f>
        <v>-27.025178865193702</v>
      </c>
      <c r="L1175" s="179">
        <f>_xlfn.XLOOKUP($C1175,'Site Level Financials - ''23 ''24'!$C$2:$C$1577,'Site Level Financials - ''23 ''24'!X$2:X$1577)</f>
        <v>-27.025178865193702</v>
      </c>
      <c r="M1175" s="179">
        <f>_xlfn.XLOOKUP($C1175,'Site Level Financials - ''23 ''24'!$C$2:$C$1577,'Site Level Financials - ''23 ''24'!Y$2:Y$1577)</f>
        <v>-27.025178865193702</v>
      </c>
      <c r="N1175" s="179">
        <f>_xlfn.XLOOKUP($C1175,'Site Level Financials - ''23 ''24'!$C$2:$C$1577,'Site Level Financials - ''23 ''24'!Z$2:Z$1577)</f>
        <v>-27.025178865193702</v>
      </c>
      <c r="O1175" s="179">
        <f>_xlfn.XLOOKUP($C1175,'Site Level Financials - ''23 ''24'!$C$2:$C$1577,'Site Level Financials - ''23 ''24'!AA$2:AA$1577)</f>
        <v>-27.025178865193702</v>
      </c>
      <c r="P1175" s="179">
        <f>_xlfn.XLOOKUP($C1175,'Site Level Financials - ''23 ''24'!$C$2:$C$1577,'Site Level Financials - ''23 ''24'!AB$2:AB$1577)</f>
        <v>-27.025178865193702</v>
      </c>
      <c r="Q1175" s="179">
        <f>_xlfn.XLOOKUP($C1175,'Site Level Financials - ''23 ''24'!$C$2:$C$1577,'Site Level Financials - ''23 ''24'!AC$2:AC$1577)</f>
        <v>-27.025178865193702</v>
      </c>
      <c r="R1175" s="179">
        <f>_xlfn.XLOOKUP($C1175,'Site Level Financials - ''23 ''24'!$C$2:$C$1577,'Site Level Financials - ''23 ''24'!AD$2:AD$1577)</f>
        <v>-27.025178865193702</v>
      </c>
      <c r="S1175" s="155">
        <f>G1175*(1+S1176)</f>
        <v>-27.025178865193709</v>
      </c>
      <c r="T1175" s="154">
        <f t="shared" ref="T1175" si="3426">H1175*(1+T1176)</f>
        <v>-27.025178865193709</v>
      </c>
      <c r="U1175" s="154">
        <f t="shared" ref="U1175" si="3427">I1175*(1+U1176)</f>
        <v>-27.835934231149515</v>
      </c>
      <c r="V1175" s="154">
        <f t="shared" ref="V1175" si="3428">J1175*(1+V1176)</f>
        <v>-27.835934231149515</v>
      </c>
      <c r="W1175" s="154">
        <f t="shared" ref="W1175" si="3429">K1175*(1+W1176)</f>
        <v>-27.835934231149515</v>
      </c>
      <c r="X1175" s="154">
        <f t="shared" ref="X1175" si="3430">L1175*(1+X1176)</f>
        <v>-27.835934231149515</v>
      </c>
      <c r="Y1175" s="154">
        <f t="shared" ref="Y1175" si="3431">M1175*(1+Y1176)</f>
        <v>-27.835934231149515</v>
      </c>
      <c r="Z1175" s="154">
        <f t="shared" ref="Z1175" si="3432">N1175*(1+Z1176)</f>
        <v>-27.835934231149515</v>
      </c>
      <c r="AA1175" s="154">
        <f t="shared" ref="AA1175" si="3433">O1175*(1+AA1176)</f>
        <v>-27.835934231149515</v>
      </c>
      <c r="AB1175" s="154">
        <f t="shared" ref="AB1175" si="3434">P1175*(1+AB1176)</f>
        <v>-27.835934231149515</v>
      </c>
      <c r="AC1175" s="154">
        <f t="shared" ref="AC1175" si="3435">Q1175*(1+AC1176)</f>
        <v>-27.835934231149515</v>
      </c>
      <c r="AD1175" s="156">
        <f t="shared" ref="AD1175" si="3436">R1175*(1+AD1176)</f>
        <v>-27.835934231149515</v>
      </c>
      <c r="AE1175" s="15"/>
      <c r="AF1175" s="115">
        <f>_xlfn.XLOOKUP($C1175,'Site Level Financials - ''23 ''24'!$C$2:$C$1577,'Site Level Financials - ''23 ''24'!$AF$2:$AF$1577)</f>
        <v>-313.32923048278644</v>
      </c>
      <c r="AG1175" s="93">
        <f>SUM(G1175:R1175)</f>
        <v>-322.7278641183326</v>
      </c>
      <c r="AH1175" s="93">
        <f t="shared" ref="AH1175" si="3437">SUM(S1175:AD1175)</f>
        <v>-332.4097000418825</v>
      </c>
    </row>
    <row r="1176" spans="2:34" x14ac:dyDescent="0.2">
      <c r="B1176" s="9">
        <f>G1142</f>
        <v>24</v>
      </c>
      <c r="C1176" s="9" t="str">
        <f t="shared" si="3332"/>
        <v>24 - % YoY Growth</v>
      </c>
      <c r="D1176" s="9" t="s">
        <v>56</v>
      </c>
      <c r="F1176" s="16" t="s">
        <v>8</v>
      </c>
      <c r="G1176" s="245">
        <f>_xlfn.XLOOKUP($C1176,'Site Level Financials - ''23 ''24'!$C$2:$C$1577,'Site Level Financials - ''23 ''24'!S$2:S$1577)</f>
        <v>2.9996032036540443E-2</v>
      </c>
      <c r="H1176" s="246">
        <f>_xlfn.XLOOKUP($C1176,'Site Level Financials - ''23 ''24'!$C$2:$C$1577,'Site Level Financials - ''23 ''24'!T$2:T$1577)</f>
        <v>2.9996032036540443E-2</v>
      </c>
      <c r="I1176" s="246">
        <f>_xlfn.XLOOKUP($C1176,'Site Level Financials - ''23 ''24'!$C$2:$C$1577,'Site Level Financials - ''23 ''24'!U$2:U$1577)</f>
        <v>2.9996032036540221E-2</v>
      </c>
      <c r="J1176" s="246">
        <f>_xlfn.XLOOKUP($C1176,'Site Level Financials - ''23 ''24'!$C$2:$C$1577,'Site Level Financials - ''23 ''24'!V$2:V$1577)</f>
        <v>2.9996032036540221E-2</v>
      </c>
      <c r="K1176" s="246">
        <f>_xlfn.XLOOKUP($C1176,'Site Level Financials - ''23 ''24'!$C$2:$C$1577,'Site Level Financials - ''23 ''24'!W$2:W$1577)</f>
        <v>2.9996032036540221E-2</v>
      </c>
      <c r="L1176" s="246">
        <f>_xlfn.XLOOKUP($C1176,'Site Level Financials - ''23 ''24'!$C$2:$C$1577,'Site Level Financials - ''23 ''24'!X$2:X$1577)</f>
        <v>2.9996032036540221E-2</v>
      </c>
      <c r="M1176" s="246">
        <f>_xlfn.XLOOKUP($C1176,'Site Level Financials - ''23 ''24'!$C$2:$C$1577,'Site Level Financials - ''23 ''24'!Y$2:Y$1577)</f>
        <v>2.9996032036540221E-2</v>
      </c>
      <c r="N1176" s="246">
        <f>_xlfn.XLOOKUP($C1176,'Site Level Financials - ''23 ''24'!$C$2:$C$1577,'Site Level Financials - ''23 ''24'!Z$2:Z$1577)</f>
        <v>2.9996032036540221E-2</v>
      </c>
      <c r="O1176" s="246">
        <f>_xlfn.XLOOKUP($C1176,'Site Level Financials - ''23 ''24'!$C$2:$C$1577,'Site Level Financials - ''23 ''24'!AA$2:AA$1577)</f>
        <v>2.9996032036540221E-2</v>
      </c>
      <c r="P1176" s="246">
        <f>_xlfn.XLOOKUP($C1176,'Site Level Financials - ''23 ''24'!$C$2:$C$1577,'Site Level Financials - ''23 ''24'!AB$2:AB$1577)</f>
        <v>2.9996032036540221E-2</v>
      </c>
      <c r="Q1176" s="246">
        <f>_xlfn.XLOOKUP($C1176,'Site Level Financials - ''23 ''24'!$C$2:$C$1577,'Site Level Financials - ''23 ''24'!AC$2:AC$1577)</f>
        <v>2.9996032036540221E-2</v>
      </c>
      <c r="R1176" s="246">
        <f>_xlfn.XLOOKUP($C1176,'Site Level Financials - ''23 ''24'!$C$2:$C$1577,'Site Level Financials - ''23 ''24'!AD$2:AD$1577)</f>
        <v>2.9996032036540221E-2</v>
      </c>
      <c r="S1176" s="245">
        <f>_xlfn.XLOOKUP($F1176,'Budget Assumption Driver'!$A$33:$A$39,'Budget Assumption Driver'!E$33:E$39)</f>
        <v>0.03</v>
      </c>
      <c r="T1176" s="246">
        <f>_xlfn.XLOOKUP($F1176,'Budget Assumption Driver'!$A$33:$A$39,'Budget Assumption Driver'!F$33:F$39)</f>
        <v>0.03</v>
      </c>
      <c r="U1176" s="246">
        <f>_xlfn.XLOOKUP($F1176,'Budget Assumption Driver'!$A$33:$A$39,'Budget Assumption Driver'!G$33:G$39)</f>
        <v>0.03</v>
      </c>
      <c r="V1176" s="246">
        <f>_xlfn.XLOOKUP($F1176,'Budget Assumption Driver'!$A$33:$A$39,'Budget Assumption Driver'!H$33:H$39)</f>
        <v>0.03</v>
      </c>
      <c r="W1176" s="246">
        <f>_xlfn.XLOOKUP($F1176,'Budget Assumption Driver'!$A$33:$A$39,'Budget Assumption Driver'!I$33:I$39)</f>
        <v>0.03</v>
      </c>
      <c r="X1176" s="246">
        <f>_xlfn.XLOOKUP($F1176,'Budget Assumption Driver'!$A$33:$A$39,'Budget Assumption Driver'!J$33:J$39)</f>
        <v>0.03</v>
      </c>
      <c r="Y1176" s="246">
        <f>_xlfn.XLOOKUP($F1176,'Budget Assumption Driver'!$A$33:$A$39,'Budget Assumption Driver'!K$33:K$39)</f>
        <v>0.03</v>
      </c>
      <c r="Z1176" s="246">
        <f>_xlfn.XLOOKUP($F1176,'Budget Assumption Driver'!$A$33:$A$39,'Budget Assumption Driver'!L$33:L$39)</f>
        <v>0.03</v>
      </c>
      <c r="AA1176" s="246">
        <f>_xlfn.XLOOKUP($F1176,'Budget Assumption Driver'!$A$33:$A$39,'Budget Assumption Driver'!M$33:M$39)</f>
        <v>0.03</v>
      </c>
      <c r="AB1176" s="246">
        <f>_xlfn.XLOOKUP($F1176,'Budget Assumption Driver'!$A$33:$A$39,'Budget Assumption Driver'!N$33:N$39)</f>
        <v>0.03</v>
      </c>
      <c r="AC1176" s="246">
        <f>_xlfn.XLOOKUP($F1176,'Budget Assumption Driver'!$A$33:$A$39,'Budget Assumption Driver'!O$33:O$39)</f>
        <v>0.03</v>
      </c>
      <c r="AD1176" s="296">
        <f>_xlfn.XLOOKUP($F1176,'Budget Assumption Driver'!$A$33:$A$39,'Budget Assumption Driver'!P$33:P$39)</f>
        <v>0.03</v>
      </c>
      <c r="AE1176" s="15"/>
      <c r="AF1176" s="11"/>
      <c r="AG1176" s="97">
        <f>AG1175/AF1175-1</f>
        <v>2.9996032036540221E-2</v>
      </c>
      <c r="AH1176" s="97">
        <f>AH1175/AG1175-1</f>
        <v>2.9999999999999805E-2</v>
      </c>
    </row>
    <row r="1177" spans="2:34" ht="6" customHeight="1" x14ac:dyDescent="0.2">
      <c r="B1177" s="9">
        <f>G1142</f>
        <v>24</v>
      </c>
      <c r="C1177" s="9" t="str">
        <f t="shared" si="3332"/>
        <v xml:space="preserve">24 - </v>
      </c>
      <c r="D1177" s="9" t="s">
        <v>56</v>
      </c>
      <c r="F1177" s="16"/>
      <c r="G1177" s="80"/>
      <c r="H1177" s="63"/>
      <c r="I1177" s="63"/>
      <c r="J1177" s="63"/>
      <c r="K1177" s="63"/>
      <c r="L1177" s="63"/>
      <c r="M1177" s="63"/>
      <c r="N1177" s="63"/>
      <c r="O1177" s="63"/>
      <c r="P1177" s="63"/>
      <c r="Q1177" s="63"/>
      <c r="R1177" s="63"/>
      <c r="S1177" s="80"/>
      <c r="T1177" s="63"/>
      <c r="U1177" s="63"/>
      <c r="V1177" s="63"/>
      <c r="W1177" s="63"/>
      <c r="X1177" s="63"/>
      <c r="Y1177" s="63"/>
      <c r="Z1177" s="63"/>
      <c r="AA1177" s="63"/>
      <c r="AB1177" s="63"/>
      <c r="AC1177" s="63"/>
      <c r="AD1177" s="81"/>
      <c r="AE1177" s="15"/>
      <c r="AF1177" s="11"/>
      <c r="AG1177" s="15"/>
      <c r="AH1177" s="15"/>
    </row>
    <row r="1178" spans="2:34" x14ac:dyDescent="0.2">
      <c r="B1178" s="9">
        <f>G1142</f>
        <v>24</v>
      </c>
      <c r="C1178" s="9" t="str">
        <f t="shared" si="3332"/>
        <v>24 - Office EBITDA</v>
      </c>
      <c r="D1178" s="9" t="s">
        <v>56</v>
      </c>
      <c r="F1178" s="8" t="s">
        <v>12</v>
      </c>
      <c r="G1178" s="241">
        <f>_xlfn.XLOOKUP($C1178,'Site Level Financials - ''23 ''24'!$C$2:$C$1577,'Site Level Financials - ''23 ''24'!S$2:S$1577)</f>
        <v>129.81218534377217</v>
      </c>
      <c r="H1178" s="242">
        <f>_xlfn.XLOOKUP($C1178,'Site Level Financials - ''23 ''24'!$C$2:$C$1577,'Site Level Financials - ''23 ''24'!T$2:T$1577)</f>
        <v>62.714486753335407</v>
      </c>
      <c r="I1178" s="242">
        <f>_xlfn.XLOOKUP($C1178,'Site Level Financials - ''23 ''24'!$C$2:$C$1577,'Site Level Financials - ''23 ''24'!U$2:U$1577)</f>
        <v>67.589979830325831</v>
      </c>
      <c r="J1178" s="242">
        <f>_xlfn.XLOOKUP($C1178,'Site Level Financials - ''23 ''24'!$C$2:$C$1577,'Site Level Financials - ''23 ''24'!V$2:V$1577)</f>
        <v>60.770323361305977</v>
      </c>
      <c r="K1178" s="242">
        <f>_xlfn.XLOOKUP($C1178,'Site Level Financials - ''23 ''24'!$C$2:$C$1577,'Site Level Financials - ''23 ''24'!W$2:W$1577)</f>
        <v>-50.071841873666678</v>
      </c>
      <c r="L1178" s="242">
        <f>_xlfn.XLOOKUP($C1178,'Site Level Financials - ''23 ''24'!$C$2:$C$1577,'Site Level Financials - ''23 ''24'!X$2:X$1577)</f>
        <v>-49.034642096880461</v>
      </c>
      <c r="M1178" s="242">
        <f>_xlfn.XLOOKUP($C1178,'Site Level Financials - ''23 ''24'!$C$2:$C$1577,'Site Level Financials - ''23 ''24'!Y$2:Y$1577)</f>
        <v>49.412340727522327</v>
      </c>
      <c r="N1178" s="242">
        <f>_xlfn.XLOOKUP($C1178,'Site Level Financials - ''23 ''24'!$C$2:$C$1577,'Site Level Financials - ''23 ''24'!Z$2:Z$1577)</f>
        <v>114.96563726404705</v>
      </c>
      <c r="O1178" s="242">
        <f>_xlfn.XLOOKUP($C1178,'Site Level Financials - ''23 ''24'!$C$2:$C$1577,'Site Level Financials - ''23 ''24'!AA$2:AA$1577)</f>
        <v>109.88537413741412</v>
      </c>
      <c r="P1178" s="242">
        <f>_xlfn.XLOOKUP($C1178,'Site Level Financials - ''23 ''24'!$C$2:$C$1577,'Site Level Financials - ''23 ''24'!AB$2:AB$1577)</f>
        <v>121.53601474821002</v>
      </c>
      <c r="Q1178" s="242">
        <f>_xlfn.XLOOKUP($C1178,'Site Level Financials - ''23 ''24'!$C$2:$C$1577,'Site Level Financials - ''23 ''24'!AC$2:AC$1577)</f>
        <v>155.47360074536346</v>
      </c>
      <c r="R1178" s="242">
        <f>_xlfn.XLOOKUP($C1178,'Site Level Financials - ''23 ''24'!$C$2:$C$1577,'Site Level Financials - ''23 ''24'!AD$2:AD$1577)</f>
        <v>136.56209500678727</v>
      </c>
      <c r="S1178" s="134">
        <f t="shared" ref="S1178:AD1178" si="3438">S1166+S1169+S1172+S1175</f>
        <v>190.73832609305177</v>
      </c>
      <c r="T1178" s="135">
        <f t="shared" si="3438"/>
        <v>118.8731284726075</v>
      </c>
      <c r="U1178" s="135">
        <f t="shared" si="3438"/>
        <v>127.07652498507287</v>
      </c>
      <c r="V1178" s="135">
        <f t="shared" si="3438"/>
        <v>133.84873961882005</v>
      </c>
      <c r="W1178" s="135">
        <f t="shared" si="3438"/>
        <v>-89.662757049593324</v>
      </c>
      <c r="X1178" s="135">
        <f t="shared" si="3438"/>
        <v>-85.353704274754648</v>
      </c>
      <c r="Y1178" s="135">
        <f t="shared" si="3438"/>
        <v>109.98620007018937</v>
      </c>
      <c r="Z1178" s="135">
        <f t="shared" si="3438"/>
        <v>176.4560646000358</v>
      </c>
      <c r="AA1178" s="135">
        <f t="shared" si="3438"/>
        <v>153.84187193849831</v>
      </c>
      <c r="AB1178" s="135">
        <f t="shared" si="3438"/>
        <v>180.54400707489845</v>
      </c>
      <c r="AC1178" s="135">
        <f t="shared" si="3438"/>
        <v>180.93255334834566</v>
      </c>
      <c r="AD1178" s="136">
        <f t="shared" si="3438"/>
        <v>141.79184518038448</v>
      </c>
      <c r="AE1178" s="15"/>
      <c r="AF1178" s="113">
        <f>_xlfn.XLOOKUP($C1178,'Site Level Financials - ''23 ''24'!$C$2:$C$1577,'Site Level Financials - ''23 ''24'!$AF$2:$AF$1577)</f>
        <v>1262.1192117724472</v>
      </c>
      <c r="AG1178" s="95">
        <f>SUM(G1178:R1178)</f>
        <v>909.61555394753645</v>
      </c>
      <c r="AH1178" s="95">
        <f t="shared" ref="AH1178" si="3439">SUM(S1178:AD1178)</f>
        <v>1339.0728000575564</v>
      </c>
    </row>
    <row r="1179" spans="2:34" x14ac:dyDescent="0.2">
      <c r="B1179" s="9">
        <f>G1142</f>
        <v>24</v>
      </c>
      <c r="C1179" s="9" t="str">
        <f t="shared" si="3332"/>
        <v>24 - % of Revenue - Office EBITDA</v>
      </c>
      <c r="D1179" s="9" t="s">
        <v>56</v>
      </c>
      <c r="F1179" s="16" t="str">
        <f>"% of Revenue - "&amp;F1178</f>
        <v>% of Revenue - Office EBITDA</v>
      </c>
      <c r="G1179" s="148">
        <f>G1178/G1154</f>
        <v>0.38576706137770628</v>
      </c>
      <c r="H1179" s="149">
        <f t="shared" ref="H1179:AD1179" si="3440">H1178/H1154</f>
        <v>0.21154735930119428</v>
      </c>
      <c r="I1179" s="149">
        <f t="shared" si="3440"/>
        <v>0.21195157996170569</v>
      </c>
      <c r="J1179" s="149">
        <f t="shared" si="3440"/>
        <v>0.20010681427813806</v>
      </c>
      <c r="K1179" s="149">
        <f t="shared" si="3440"/>
        <v>-0.20208437328057177</v>
      </c>
      <c r="L1179" s="149">
        <f t="shared" si="3440"/>
        <v>-0.22957073345608522</v>
      </c>
      <c r="M1179" s="149">
        <f t="shared" si="3440"/>
        <v>0.15843487042338097</v>
      </c>
      <c r="N1179" s="149">
        <f t="shared" si="3440"/>
        <v>0.34303041478369933</v>
      </c>
      <c r="O1179" s="149">
        <f t="shared" si="3440"/>
        <v>0.32982697356237867</v>
      </c>
      <c r="P1179" s="149">
        <f t="shared" si="3440"/>
        <v>0.33574425826205634</v>
      </c>
      <c r="Q1179" s="149">
        <f t="shared" si="3440"/>
        <v>0.44312870916300934</v>
      </c>
      <c r="R1179" s="149">
        <f t="shared" si="3440"/>
        <v>0.43225757563016343</v>
      </c>
      <c r="S1179" s="148">
        <f t="shared" si="3440"/>
        <v>0.40618786484667718</v>
      </c>
      <c r="T1179" s="149">
        <f t="shared" si="3440"/>
        <v>0.24447331030072045</v>
      </c>
      <c r="U1179" s="149">
        <f t="shared" si="3440"/>
        <v>0.24338513257571823</v>
      </c>
      <c r="V1179" s="149">
        <f t="shared" si="3440"/>
        <v>0.23932497894565233</v>
      </c>
      <c r="W1179" s="149">
        <f t="shared" si="3440"/>
        <v>-0.13489081413004192</v>
      </c>
      <c r="X1179" s="149">
        <f t="shared" si="3440"/>
        <v>-0.15291260846067251</v>
      </c>
      <c r="Y1179" s="149">
        <f t="shared" si="3440"/>
        <v>0.19558752808985663</v>
      </c>
      <c r="Z1179" s="149">
        <f t="shared" si="3440"/>
        <v>0.36594015221683712</v>
      </c>
      <c r="AA1179" s="149">
        <f t="shared" si="3440"/>
        <v>0.34798128056769634</v>
      </c>
      <c r="AB1179" s="149">
        <f t="shared" si="3440"/>
        <v>0.35557903645667838</v>
      </c>
      <c r="AC1179" s="149">
        <f t="shared" si="3440"/>
        <v>0.45080109532284518</v>
      </c>
      <c r="AD1179" s="150">
        <f t="shared" si="3440"/>
        <v>0.43282888422813448</v>
      </c>
      <c r="AE1179" s="15"/>
      <c r="AF1179" s="232">
        <f>_xlfn.XLOOKUP($C1179,'Site Level Financials - ''23 ''24'!$C$2:$C$1577,'Site Level Financials - ''23 ''24'!$AF$2:$AF$1577)</f>
        <v>0.32535293976342067</v>
      </c>
      <c r="AG1179" s="97">
        <f t="shared" ref="AG1179:AH1179" si="3441">AG1178/AG1154</f>
        <v>0.24413507294999812</v>
      </c>
      <c r="AH1179" s="97">
        <f t="shared" si="3441"/>
        <v>0.22379627707170693</v>
      </c>
    </row>
    <row r="1180" spans="2:34" ht="6" customHeight="1" x14ac:dyDescent="0.2">
      <c r="B1180" s="9">
        <f>G1142</f>
        <v>24</v>
      </c>
      <c r="C1180" s="9" t="str">
        <f t="shared" si="3332"/>
        <v xml:space="preserve">24 - </v>
      </c>
      <c r="D1180" s="9" t="s">
        <v>56</v>
      </c>
      <c r="G1180" s="80"/>
      <c r="H1180" s="63"/>
      <c r="I1180" s="63"/>
      <c r="J1180" s="63"/>
      <c r="K1180" s="63"/>
      <c r="L1180" s="63"/>
      <c r="M1180" s="63"/>
      <c r="N1180" s="63"/>
      <c r="O1180" s="63"/>
      <c r="P1180" s="63"/>
      <c r="Q1180" s="63"/>
      <c r="R1180" s="63"/>
      <c r="S1180" s="80"/>
      <c r="T1180" s="63"/>
      <c r="U1180" s="63"/>
      <c r="V1180" s="63"/>
      <c r="W1180" s="63"/>
      <c r="X1180" s="63"/>
      <c r="Y1180" s="63"/>
      <c r="Z1180" s="63"/>
      <c r="AA1180" s="63"/>
      <c r="AB1180" s="63"/>
      <c r="AC1180" s="63"/>
      <c r="AD1180" s="81"/>
      <c r="AE1180" s="15"/>
      <c r="AF1180" s="11"/>
      <c r="AG1180" s="15"/>
      <c r="AH1180" s="15"/>
    </row>
    <row r="1181" spans="2:34" x14ac:dyDescent="0.2">
      <c r="B1181" s="9">
        <f>G1142</f>
        <v>24</v>
      </c>
      <c r="C1181" s="9" t="str">
        <f t="shared" si="3332"/>
        <v>24 - Memo:</v>
      </c>
      <c r="D1181" s="9" t="s">
        <v>56</v>
      </c>
      <c r="F1181" s="6" t="s">
        <v>13</v>
      </c>
      <c r="G1181" s="80"/>
      <c r="H1181" s="63"/>
      <c r="I1181" s="63"/>
      <c r="J1181" s="63"/>
      <c r="K1181" s="63"/>
      <c r="L1181" s="63"/>
      <c r="M1181" s="63"/>
      <c r="N1181" s="63"/>
      <c r="O1181" s="63"/>
      <c r="P1181" s="63"/>
      <c r="Q1181" s="63"/>
      <c r="R1181" s="63"/>
      <c r="S1181" s="80"/>
      <c r="T1181" s="63"/>
      <c r="U1181" s="63"/>
      <c r="V1181" s="63"/>
      <c r="W1181" s="63"/>
      <c r="X1181" s="63"/>
      <c r="Y1181" s="63"/>
      <c r="Z1181" s="63"/>
      <c r="AA1181" s="63"/>
      <c r="AB1181" s="63"/>
      <c r="AC1181" s="63"/>
      <c r="AD1181" s="81"/>
      <c r="AE1181" s="15"/>
      <c r="AF1181" s="11"/>
      <c r="AG1181" s="15"/>
      <c r="AH1181" s="15"/>
    </row>
    <row r="1182" spans="2:34" s="24" customFormat="1" x14ac:dyDescent="0.2">
      <c r="B1182" s="9">
        <f>G1142</f>
        <v>24</v>
      </c>
      <c r="C1182" s="9" t="str">
        <f t="shared" si="3332"/>
        <v>24 - Collections</v>
      </c>
      <c r="D1182" s="9" t="s">
        <v>56</v>
      </c>
      <c r="E1182" s="49"/>
      <c r="F1182" s="24" t="s">
        <v>15</v>
      </c>
      <c r="G1182" s="247">
        <f>_xlfn.XLOOKUP($C1182,'Site Level Financials - ''23 ''24'!$C$2:$C$1577,'Site Level Financials - ''23 ''24'!S$2:S$1577)</f>
        <v>341.40621864970086</v>
      </c>
      <c r="H1182" s="248">
        <f>_xlfn.XLOOKUP($C1182,'Site Level Financials - ''23 ''24'!$C$2:$C$1577,'Site Level Financials - ''23 ''24'!T$2:T$1577)</f>
        <v>291.83746694299606</v>
      </c>
      <c r="I1182" s="248">
        <f>_xlfn.XLOOKUP($C1182,'Site Level Financials - ''23 ''24'!$C$2:$C$1577,'Site Level Financials - ''23 ''24'!U$2:U$1577)</f>
        <v>323.76112517865209</v>
      </c>
      <c r="J1182" s="248">
        <f>_xlfn.XLOOKUP($C1182,'Site Level Financials - ''23 ''24'!$C$2:$C$1577,'Site Level Financials - ''23 ''24'!V$2:V$1577)</f>
        <v>309.42833971571895</v>
      </c>
      <c r="K1182" s="248">
        <f>_xlfn.XLOOKUP($C1182,'Site Level Financials - ''23 ''24'!$C$2:$C$1577,'Site Level Financials - ''23 ''24'!W$2:W$1577)</f>
        <v>248.36617845458184</v>
      </c>
      <c r="L1182" s="248">
        <f>_xlfn.XLOOKUP($C1182,'Site Level Financials - ''23 ''24'!$C$2:$C$1577,'Site Level Financials - ''23 ''24'!X$2:X$1577)</f>
        <v>213.5407025470528</v>
      </c>
      <c r="M1182" s="248">
        <f>_xlfn.XLOOKUP($C1182,'Site Level Financials - ''23 ''24'!$C$2:$C$1577,'Site Level Financials - ''23 ''24'!Y$2:Y$1577)</f>
        <v>315.89027460695212</v>
      </c>
      <c r="N1182" s="248">
        <f>_xlfn.XLOOKUP($C1182,'Site Level Financials - ''23 ''24'!$C$2:$C$1577,'Site Level Financials - ''23 ''24'!Z$2:Z$1577)</f>
        <v>329.40092574997726</v>
      </c>
      <c r="O1182" s="248">
        <f>_xlfn.XLOOKUP($C1182,'Site Level Financials - ''23 ''24'!$C$2:$C$1577,'Site Level Financials - ''23 ''24'!AA$2:AA$1577)</f>
        <v>335.86219395721622</v>
      </c>
      <c r="P1182" s="248">
        <f>_xlfn.XLOOKUP($C1182,'Site Level Financials - ''23 ''24'!$C$2:$C$1577,'Site Level Financials - ''23 ''24'!AB$2:AB$1577)</f>
        <v>363.50910026082533</v>
      </c>
      <c r="Q1182" s="248">
        <f>_xlfn.XLOOKUP($C1182,'Site Level Financials - ''23 ''24'!$C$2:$C$1577,'Site Level Financials - ''23 ''24'!AC$2:AC$1577)</f>
        <v>356.70991544763507</v>
      </c>
      <c r="R1182" s="248">
        <f>_xlfn.XLOOKUP($C1182,'Site Level Financials - ''23 ''24'!$C$2:$C$1577,'Site Level Financials - ''23 ''24'!AD$2:AD$1577)</f>
        <v>314.39476595575087</v>
      </c>
      <c r="S1182" s="169">
        <f t="shared" ref="S1182:AD1182" si="3442">S1183*S1152</f>
        <v>469.58154735875564</v>
      </c>
      <c r="T1182" s="170">
        <f t="shared" si="3442"/>
        <v>486.24174281595265</v>
      </c>
      <c r="U1182" s="170">
        <f t="shared" si="3442"/>
        <v>522.12114865125864</v>
      </c>
      <c r="V1182" s="170">
        <f t="shared" si="3442"/>
        <v>559.27609482508467</v>
      </c>
      <c r="W1182" s="170">
        <f t="shared" si="3442"/>
        <v>664.70617460395533</v>
      </c>
      <c r="X1182" s="170">
        <f t="shared" si="3442"/>
        <v>558.18617662719885</v>
      </c>
      <c r="Y1182" s="170">
        <f t="shared" si="3442"/>
        <v>562.33749229480327</v>
      </c>
      <c r="Z1182" s="170">
        <f t="shared" si="3442"/>
        <v>482.19924359510327</v>
      </c>
      <c r="AA1182" s="170">
        <f t="shared" si="3442"/>
        <v>442.09812575987081</v>
      </c>
      <c r="AB1182" s="170">
        <f t="shared" si="3442"/>
        <v>507.74648830259389</v>
      </c>
      <c r="AC1182" s="170">
        <f t="shared" si="3442"/>
        <v>401.35783880198699</v>
      </c>
      <c r="AD1182" s="171">
        <f t="shared" si="3442"/>
        <v>327.59330614739923</v>
      </c>
      <c r="AE1182" s="26"/>
      <c r="AF1182" s="234">
        <f>_xlfn.XLOOKUP($C1182,'Site Level Financials - ''23 ''24'!$C$2:$C$1577,'Site Level Financials - ''23 ''24'!$AF$2:$AF$1577)</f>
        <v>3913.9609075149733</v>
      </c>
      <c r="AG1182" s="99">
        <f>SUM(G1182:R1182)</f>
        <v>3744.1072074670597</v>
      </c>
      <c r="AH1182" s="99">
        <f t="shared" ref="AH1182" si="3443">SUM(S1182:AD1182)</f>
        <v>5983.4453797839624</v>
      </c>
    </row>
    <row r="1183" spans="2:34" x14ac:dyDescent="0.2">
      <c r="B1183" s="9">
        <f>G1142</f>
        <v>24</v>
      </c>
      <c r="C1183" s="9" t="str">
        <f t="shared" si="3332"/>
        <v>24 - Collections as a % of Production</v>
      </c>
      <c r="D1183" s="9" t="s">
        <v>56</v>
      </c>
      <c r="F1183" s="16" t="s">
        <v>17</v>
      </c>
      <c r="G1183" s="245">
        <f>_xlfn.XLOOKUP($C1183,'Site Level Financials - ''23 ''24'!$C$2:$C$1577,'Site Level Financials - ''23 ''24'!S$2:S$1577)</f>
        <v>0.99548213138650288</v>
      </c>
      <c r="H1183" s="246">
        <f>_xlfn.XLOOKUP($C1183,'Site Level Financials - ''23 ''24'!$C$2:$C$1577,'Site Level Financials - ''23 ''24'!T$2:T$1577)</f>
        <v>0.96590217310836646</v>
      </c>
      <c r="I1183" s="246">
        <f>_xlfn.XLOOKUP($C1183,'Site Level Financials - ''23 ''24'!$C$2:$C$1577,'Site Level Financials - ''23 ''24'!U$2:U$1577)</f>
        <v>0.99616528273862803</v>
      </c>
      <c r="J1183" s="246">
        <f>_xlfn.XLOOKUP($C1183,'Site Level Financials - ''23 ''24'!$C$2:$C$1577,'Site Level Financials - ''23 ''24'!V$2:V$1577)</f>
        <v>0.99973012223157409</v>
      </c>
      <c r="K1183" s="246">
        <f>_xlfn.XLOOKUP($C1183,'Site Level Financials - ''23 ''24'!$C$2:$C$1577,'Site Level Financials - ''23 ''24'!W$2:W$1577)</f>
        <v>0.98352177531091001</v>
      </c>
      <c r="L1183" s="246">
        <f>_xlfn.XLOOKUP($C1183,'Site Level Financials - ''23 ''24'!$C$2:$C$1577,'Site Level Financials - ''23 ''24'!X$2:X$1577)</f>
        <v>0.9809492493213483</v>
      </c>
      <c r="M1183" s="246">
        <f>_xlfn.XLOOKUP($C1183,'Site Level Financials - ''23 ''24'!$C$2:$C$1577,'Site Level Financials - ''23 ''24'!Y$2:Y$1577)</f>
        <v>0.99381136937295178</v>
      </c>
      <c r="N1183" s="246">
        <f>_xlfn.XLOOKUP($C1183,'Site Level Financials - ''23 ''24'!$C$2:$C$1577,'Site Level Financials - ''23 ''24'!Z$2:Z$1577)</f>
        <v>0.96436569454955245</v>
      </c>
      <c r="O1183" s="246">
        <f>_xlfn.XLOOKUP($C1183,'Site Level Financials - ''23 ''24'!$C$2:$C$1577,'Site Level Financials - ''23 ''24'!AA$2:AA$1577)</f>
        <v>0.98914454239731775</v>
      </c>
      <c r="P1183" s="246">
        <f>_xlfn.XLOOKUP($C1183,'Site Level Financials - ''23 ''24'!$C$2:$C$1577,'Site Level Financials - ''23 ''24'!AB$2:AB$1577)</f>
        <v>0.98530627921856695</v>
      </c>
      <c r="Q1183" s="246">
        <f>_xlfn.XLOOKUP($C1183,'Site Level Financials - ''23 ''24'!$C$2:$C$1577,'Site Level Financials - ''23 ''24'!AC$2:AC$1577)</f>
        <v>0.99756401016071616</v>
      </c>
      <c r="R1183" s="246">
        <f>_xlfn.XLOOKUP($C1183,'Site Level Financials - ''23 ''24'!$C$2:$C$1577,'Site Level Financials - ''23 ''24'!AD$2:AD$1577)</f>
        <v>0.97642774178910663</v>
      </c>
      <c r="S1183" s="148">
        <f>S1153</f>
        <v>0.98599096014171628</v>
      </c>
      <c r="T1183" s="149">
        <f t="shared" ref="T1183:AD1183" si="3444">T1153</f>
        <v>0.98599096014171628</v>
      </c>
      <c r="U1183" s="149">
        <f t="shared" si="3444"/>
        <v>0.98599096014171628</v>
      </c>
      <c r="V1183" s="149">
        <f t="shared" si="3444"/>
        <v>0.98599096014171628</v>
      </c>
      <c r="W1183" s="149">
        <f t="shared" si="3444"/>
        <v>0.98599096014171628</v>
      </c>
      <c r="X1183" s="149">
        <f t="shared" si="3444"/>
        <v>0.98599096014171628</v>
      </c>
      <c r="Y1183" s="149">
        <f t="shared" si="3444"/>
        <v>0.98599096014171628</v>
      </c>
      <c r="Z1183" s="149">
        <f t="shared" si="3444"/>
        <v>0.98599096014171628</v>
      </c>
      <c r="AA1183" s="149">
        <f t="shared" si="3444"/>
        <v>0.98599096014171628</v>
      </c>
      <c r="AB1183" s="149">
        <f t="shared" si="3444"/>
        <v>0.98599096014171628</v>
      </c>
      <c r="AC1183" s="149">
        <f t="shared" si="3444"/>
        <v>0.98599096014171628</v>
      </c>
      <c r="AD1183" s="150">
        <f t="shared" si="3444"/>
        <v>0.98599096014171628</v>
      </c>
      <c r="AE1183" s="15"/>
      <c r="AF1183" s="232">
        <f>_xlfn.XLOOKUP($C1183,'Site Level Financials - ''23 ''24'!$C$2:$C$1577,'Site Level Financials - ''23 ''24'!$AF$2:$AF$1577)</f>
        <v>0.981629054884815</v>
      </c>
      <c r="AG1183" s="97">
        <f t="shared" ref="AG1183:AH1183" si="3445">AG1182/AG1152</f>
        <v>0.98599096014171628</v>
      </c>
      <c r="AH1183" s="97">
        <f t="shared" si="3445"/>
        <v>0.98599096014171606</v>
      </c>
    </row>
    <row r="1184" spans="2:34" ht="6" customHeight="1" x14ac:dyDescent="0.2">
      <c r="B1184" s="9">
        <f>G1142</f>
        <v>24</v>
      </c>
      <c r="C1184" s="9" t="str">
        <f t="shared" si="3332"/>
        <v xml:space="preserve">24 - </v>
      </c>
      <c r="D1184" s="9" t="s">
        <v>56</v>
      </c>
      <c r="F1184" s="27"/>
      <c r="G1184" s="63"/>
      <c r="H1184" s="63"/>
      <c r="I1184" s="63"/>
      <c r="J1184" s="63"/>
      <c r="K1184" s="63"/>
      <c r="L1184" s="63"/>
      <c r="M1184" s="63"/>
      <c r="N1184" s="63"/>
      <c r="O1184" s="63"/>
      <c r="P1184" s="63"/>
      <c r="Q1184" s="63"/>
      <c r="R1184" s="81"/>
      <c r="S1184" s="63"/>
      <c r="T1184" s="63"/>
      <c r="U1184" s="63"/>
      <c r="V1184" s="63"/>
      <c r="W1184" s="63"/>
      <c r="X1184" s="63"/>
      <c r="Y1184" s="63"/>
      <c r="Z1184" s="63"/>
      <c r="AA1184" s="63"/>
      <c r="AB1184" s="63"/>
      <c r="AC1184" s="63"/>
      <c r="AD1184" s="81"/>
      <c r="AE1184" s="15"/>
      <c r="AF1184" s="11"/>
      <c r="AH1184" s="224"/>
    </row>
    <row r="1185" spans="2:35" s="24" customFormat="1" x14ac:dyDescent="0.2">
      <c r="B1185" s="9">
        <f>G1142</f>
        <v>24</v>
      </c>
      <c r="C1185" s="9" t="str">
        <f t="shared" si="3332"/>
        <v>24 - Production per Vet Workday - YoY Change</v>
      </c>
      <c r="D1185" s="9" t="s">
        <v>56</v>
      </c>
      <c r="E1185" s="49"/>
      <c r="F1185" s="24" t="s">
        <v>55</v>
      </c>
      <c r="G1185" s="249">
        <f>_xlfn.XLOOKUP($C1185,'Site Level Financials - ''23 ''24'!$C$2:$C$1577,'Site Level Financials - ''23 ''24'!S$2:S$1577)</f>
        <v>-0.16439721115498529</v>
      </c>
      <c r="H1185" s="250">
        <f>_xlfn.XLOOKUP($C1185,'Site Level Financials - ''23 ''24'!$C$2:$C$1577,'Site Level Financials - ''23 ''24'!T$2:T$1577)</f>
        <v>-1.2028372394214948E-2</v>
      </c>
      <c r="I1185" s="250">
        <f>_xlfn.XLOOKUP($C1185,'Site Level Financials - ''23 ''24'!$C$2:$C$1577,'Site Level Financials - ''23 ''24'!U$2:U$1577)</f>
        <v>-2.2126852705062205E-4</v>
      </c>
      <c r="J1185" s="250">
        <f>_xlfn.XLOOKUP($C1185,'Site Level Financials - ''23 ''24'!$C$2:$C$1577,'Site Level Financials - ''23 ''24'!V$2:V$1577)</f>
        <v>-9.252221472771438E-2</v>
      </c>
      <c r="K1185" s="250">
        <f>_xlfn.XLOOKUP($C1185,'Site Level Financials - ''23 ''24'!$C$2:$C$1577,'Site Level Financials - ''23 ''24'!W$2:W$1577)</f>
        <v>-2.2114053302861314E-2</v>
      </c>
      <c r="L1185" s="250">
        <f>_xlfn.XLOOKUP($C1185,'Site Level Financials - ''23 ''24'!$C$2:$C$1577,'Site Level Financials - ''23 ''24'!X$2:X$1577)</f>
        <v>5.6320481765362862E-2</v>
      </c>
      <c r="M1185" s="250">
        <f>_xlfn.XLOOKUP($C1185,'Site Level Financials - ''23 ''24'!$C$2:$C$1577,'Site Level Financials - ''23 ''24'!Y$2:Y$1577)</f>
        <v>4.3081293468407722E-2</v>
      </c>
      <c r="N1185" s="250">
        <f>_xlfn.XLOOKUP($C1185,'Site Level Financials - ''23 ''24'!$C$2:$C$1577,'Site Level Financials - ''23 ''24'!Z$2:Z$1577)</f>
        <v>-1.2351608684883941E-2</v>
      </c>
      <c r="O1185" s="250">
        <f>_xlfn.XLOOKUP($C1185,'Site Level Financials - ''23 ''24'!$C$2:$C$1577,'Site Level Financials - ''23 ''24'!AA$2:AA$1577)</f>
        <v>7.5798029068962158E-2</v>
      </c>
      <c r="P1185" s="250">
        <f>_xlfn.XLOOKUP($C1185,'Site Level Financials - ''23 ''24'!$C$2:$C$1577,'Site Level Financials - ''23 ''24'!AB$2:AB$1577)</f>
        <v>-1.1907424227189045E-2</v>
      </c>
      <c r="Q1185" s="250">
        <f>_xlfn.XLOOKUP($C1185,'Site Level Financials - ''23 ''24'!$C$2:$C$1577,'Site Level Financials - ''23 ''24'!AC$2:AC$1577)</f>
        <v>-1.6737553297819452E-2</v>
      </c>
      <c r="R1185" s="251">
        <f>_xlfn.XLOOKUP($C1185,'Site Level Financials - ''23 ''24'!$C$2:$C$1577,'Site Level Financials - ''23 ''24'!AD$2:AD$1577)</f>
        <v>5.4295630381873794E-2</v>
      </c>
      <c r="S1185" s="151">
        <f>S1151/G1151-1</f>
        <v>0.11093875632688599</v>
      </c>
      <c r="T1185" s="152">
        <f t="shared" ref="T1185" si="3446">T1151/H1151-1</f>
        <v>-2.0684445315956035E-2</v>
      </c>
      <c r="U1185" s="152">
        <f t="shared" ref="U1185" si="3447">U1151/I1151-1</f>
        <v>-2.2411006367449415E-2</v>
      </c>
      <c r="V1185" s="152">
        <f t="shared" ref="V1185" si="3448">V1151/J1151-1</f>
        <v>9.9581095156359156E-2</v>
      </c>
      <c r="W1185" s="152">
        <f t="shared" ref="W1185" si="3449">W1151/K1151-1</f>
        <v>6.7845190278806644E-2</v>
      </c>
      <c r="X1185" s="152">
        <f t="shared" ref="X1185" si="3450">X1151/L1151-1</f>
        <v>4.0236305576068832E-2</v>
      </c>
      <c r="Y1185" s="152">
        <f t="shared" ref="Y1185" si="3451">Y1151/M1151-1</f>
        <v>7.6571955869081165E-2</v>
      </c>
      <c r="Z1185" s="152">
        <f t="shared" ref="Z1185" si="3452">Z1151/N1151-1</f>
        <v>0.14540880147980184</v>
      </c>
      <c r="AA1185" s="152">
        <f t="shared" ref="AA1185" si="3453">AA1151/O1151-1</f>
        <v>5.6414530361595272E-2</v>
      </c>
      <c r="AB1185" s="152">
        <f t="shared" ref="AB1185" si="3454">AB1151/P1151-1</f>
        <v>0.11665739150998511</v>
      </c>
      <c r="AC1185" s="152">
        <f t="shared" ref="AC1185" si="3455">AC1151/Q1151-1</f>
        <v>0.13837252951551804</v>
      </c>
      <c r="AD1185" s="153">
        <f t="shared" ref="AD1185" si="3456">AD1151/R1151-1</f>
        <v>3.1874519628317444E-2</v>
      </c>
      <c r="AF1185" s="43"/>
      <c r="AG1185" s="177">
        <f>AG1151/AF1151-1</f>
        <v>-5.7304323922478972E-2</v>
      </c>
      <c r="AH1185" s="225">
        <f>AH1151/AG1151-1</f>
        <v>0.11807360333127903</v>
      </c>
    </row>
    <row r="1186" spans="2:35" s="24" customFormat="1" ht="6" customHeight="1" x14ac:dyDescent="0.2">
      <c r="D1186" s="9" t="s">
        <v>56</v>
      </c>
      <c r="E1186" s="49"/>
      <c r="G1186" s="28"/>
      <c r="H1186" s="30"/>
      <c r="I1186" s="30"/>
      <c r="J1186" s="30"/>
      <c r="K1186" s="30"/>
      <c r="L1186" s="30"/>
      <c r="M1186" s="30"/>
      <c r="N1186" s="30"/>
      <c r="O1186" s="30"/>
      <c r="P1186" s="30"/>
      <c r="Q1186" s="30"/>
      <c r="R1186" s="29"/>
      <c r="S1186" s="30"/>
      <c r="T1186" s="30"/>
      <c r="U1186" s="30"/>
      <c r="V1186" s="30"/>
      <c r="W1186" s="30"/>
      <c r="X1186" s="30"/>
      <c r="Y1186" s="30"/>
      <c r="Z1186" s="30"/>
      <c r="AA1186" s="30"/>
      <c r="AB1186" s="30"/>
      <c r="AC1186" s="30"/>
      <c r="AD1186" s="29"/>
      <c r="AE1186" s="25"/>
      <c r="AF1186" s="28"/>
      <c r="AG1186" s="30"/>
      <c r="AH1186" s="226"/>
    </row>
    <row r="1187" spans="2:35" s="24" customFormat="1" ht="6" customHeight="1" x14ac:dyDescent="0.2">
      <c r="D1187" s="9" t="s">
        <v>56</v>
      </c>
      <c r="E1187" s="49"/>
    </row>
    <row r="1188" spans="2:35" x14ac:dyDescent="0.2">
      <c r="D1188" s="9" t="s">
        <v>56</v>
      </c>
      <c r="F1188" s="16"/>
    </row>
    <row r="1189" spans="2:35" ht="15.75" thickBot="1" x14ac:dyDescent="0.4">
      <c r="B1189" s="35" t="s">
        <v>52</v>
      </c>
      <c r="C1189" s="35"/>
      <c r="D1189" s="9" t="s">
        <v>56</v>
      </c>
      <c r="E1189" s="48" t="s">
        <v>0</v>
      </c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74"/>
      <c r="AH1189" s="3">
        <f ca="1">TODAY()</f>
        <v>45999</v>
      </c>
      <c r="AI1189" s="1"/>
    </row>
    <row r="1190" spans="2:35" x14ac:dyDescent="0.2">
      <c r="B1190" s="9">
        <f>G1191</f>
        <v>25</v>
      </c>
      <c r="C1190" s="9"/>
      <c r="D1190" s="9" t="s">
        <v>56</v>
      </c>
      <c r="F1190" t="s">
        <v>159</v>
      </c>
      <c r="AG1190" s="6"/>
      <c r="AH1190" s="6" t="s">
        <v>16</v>
      </c>
    </row>
    <row r="1191" spans="2:35" x14ac:dyDescent="0.2">
      <c r="B1191" s="9">
        <f>G1191</f>
        <v>25</v>
      </c>
      <c r="C1191" s="9"/>
      <c r="D1191" s="9" t="s">
        <v>56</v>
      </c>
      <c r="F1191" s="40" t="s">
        <v>53</v>
      </c>
      <c r="G1191" s="42">
        <v>25</v>
      </c>
    </row>
    <row r="1192" spans="2:35" x14ac:dyDescent="0.2">
      <c r="B1192" s="9">
        <f>G1191</f>
        <v>25</v>
      </c>
      <c r="C1192" s="9"/>
      <c r="D1192" s="9" t="s">
        <v>56</v>
      </c>
      <c r="F1192" s="39" t="s">
        <v>42</v>
      </c>
      <c r="G1192" s="41"/>
      <c r="H1192" s="11"/>
    </row>
    <row r="1193" spans="2:35" x14ac:dyDescent="0.2">
      <c r="B1193" s="9">
        <f>G1191</f>
        <v>25</v>
      </c>
      <c r="C1193" s="9"/>
      <c r="D1193" s="9" t="s">
        <v>56</v>
      </c>
      <c r="G1193" s="23"/>
    </row>
    <row r="1194" spans="2:35" x14ac:dyDescent="0.2">
      <c r="B1194" s="9">
        <f>G1191</f>
        <v>25</v>
      </c>
      <c r="C1194" s="9"/>
      <c r="D1194" s="9" t="s">
        <v>56</v>
      </c>
      <c r="G1194" s="208" t="s">
        <v>229</v>
      </c>
      <c r="H1194" s="209"/>
      <c r="I1194" s="209"/>
      <c r="J1194" s="209"/>
      <c r="K1194" s="209"/>
      <c r="L1194" s="209"/>
      <c r="M1194" s="209"/>
      <c r="N1194" s="209"/>
      <c r="O1194" s="209"/>
      <c r="P1194" s="209"/>
      <c r="Q1194" s="209"/>
      <c r="R1194" s="210"/>
      <c r="S1194" s="266" t="s">
        <v>230</v>
      </c>
      <c r="T1194" s="267"/>
      <c r="U1194" s="267"/>
      <c r="V1194" s="267"/>
      <c r="W1194" s="267"/>
      <c r="X1194" s="267"/>
      <c r="Y1194" s="267"/>
      <c r="Z1194" s="267"/>
      <c r="AA1194" s="267"/>
      <c r="AB1194" s="267"/>
      <c r="AC1194" s="267"/>
      <c r="AD1194" s="268"/>
      <c r="AF1194" s="17" t="s">
        <v>231</v>
      </c>
      <c r="AG1194" s="50"/>
      <c r="AH1194" s="269" t="s">
        <v>232</v>
      </c>
    </row>
    <row r="1195" spans="2:35" ht="15" customHeight="1" x14ac:dyDescent="0.35">
      <c r="B1195" s="9">
        <f>G1191</f>
        <v>25</v>
      </c>
      <c r="C1195" s="9"/>
      <c r="D1195" s="9" t="s">
        <v>56</v>
      </c>
      <c r="G1195" s="211">
        <v>44957</v>
      </c>
      <c r="H1195" s="212">
        <f>EOMONTH(G1195,1)</f>
        <v>44985</v>
      </c>
      <c r="I1195" s="212">
        <f t="shared" ref="I1195" si="3457">EOMONTH(H1195,1)</f>
        <v>45016</v>
      </c>
      <c r="J1195" s="212">
        <f t="shared" ref="J1195" si="3458">EOMONTH(I1195,1)</f>
        <v>45046</v>
      </c>
      <c r="K1195" s="212">
        <f t="shared" ref="K1195" si="3459">EOMONTH(J1195,1)</f>
        <v>45077</v>
      </c>
      <c r="L1195" s="212">
        <f t="shared" ref="L1195" si="3460">EOMONTH(K1195,1)</f>
        <v>45107</v>
      </c>
      <c r="M1195" s="212">
        <f t="shared" ref="M1195" si="3461">EOMONTH(L1195,1)</f>
        <v>45138</v>
      </c>
      <c r="N1195" s="212">
        <f t="shared" ref="N1195" si="3462">EOMONTH(M1195,1)</f>
        <v>45169</v>
      </c>
      <c r="O1195" s="212">
        <f t="shared" ref="O1195" si="3463">EOMONTH(N1195,1)</f>
        <v>45199</v>
      </c>
      <c r="P1195" s="212">
        <f t="shared" ref="P1195" si="3464">EOMONTH(O1195,1)</f>
        <v>45230</v>
      </c>
      <c r="Q1195" s="212">
        <f t="shared" ref="Q1195" si="3465">EOMONTH(P1195,1)</f>
        <v>45260</v>
      </c>
      <c r="R1195" s="213">
        <f t="shared" ref="R1195" si="3466">EOMONTH(Q1195,1)</f>
        <v>45291</v>
      </c>
      <c r="S1195" s="4">
        <f t="shared" ref="S1195" si="3467">EOMONTH(R1195,1)</f>
        <v>45322</v>
      </c>
      <c r="T1195" s="19">
        <f t="shared" ref="T1195" si="3468">EOMONTH(S1195,1)</f>
        <v>45351</v>
      </c>
      <c r="U1195" s="19">
        <f t="shared" ref="U1195" si="3469">EOMONTH(T1195,1)</f>
        <v>45382</v>
      </c>
      <c r="V1195" s="19">
        <f t="shared" ref="V1195" si="3470">EOMONTH(U1195,1)</f>
        <v>45412</v>
      </c>
      <c r="W1195" s="19">
        <f t="shared" ref="W1195" si="3471">EOMONTH(V1195,1)</f>
        <v>45443</v>
      </c>
      <c r="X1195" s="19">
        <f t="shared" ref="X1195" si="3472">EOMONTH(W1195,1)</f>
        <v>45473</v>
      </c>
      <c r="Y1195" s="19">
        <f t="shared" ref="Y1195" si="3473">EOMONTH(X1195,1)</f>
        <v>45504</v>
      </c>
      <c r="Z1195" s="19">
        <f t="shared" ref="Z1195" si="3474">EOMONTH(Y1195,1)</f>
        <v>45535</v>
      </c>
      <c r="AA1195" s="19">
        <f t="shared" ref="AA1195" si="3475">EOMONTH(Z1195,1)</f>
        <v>45565</v>
      </c>
      <c r="AB1195" s="19">
        <f t="shared" ref="AB1195" si="3476">EOMONTH(AA1195,1)</f>
        <v>45596</v>
      </c>
      <c r="AC1195" s="19">
        <f t="shared" ref="AC1195" si="3477">EOMONTH(AB1195,1)</f>
        <v>45626</v>
      </c>
      <c r="AD1195" s="5">
        <f t="shared" ref="AD1195" si="3478">EOMONTH(AC1195,1)</f>
        <v>45657</v>
      </c>
      <c r="AE1195" s="168"/>
      <c r="AF1195" s="13">
        <v>45291</v>
      </c>
      <c r="AG1195" s="14">
        <v>45657</v>
      </c>
      <c r="AH1195" s="14">
        <v>46022</v>
      </c>
    </row>
    <row r="1196" spans="2:35" ht="0.95" customHeight="1" x14ac:dyDescent="0.2">
      <c r="B1196" s="9">
        <f>G1191</f>
        <v>25</v>
      </c>
      <c r="C1196" s="9"/>
      <c r="D1196" s="9" t="s">
        <v>56</v>
      </c>
      <c r="G1196" s="11"/>
      <c r="S1196" s="11"/>
      <c r="AD1196" s="15"/>
      <c r="AE1196" s="15"/>
      <c r="AF1196" s="11"/>
      <c r="AG1196" s="15"/>
      <c r="AH1196" s="15"/>
    </row>
    <row r="1197" spans="2:35" x14ac:dyDescent="0.2">
      <c r="B1197" s="9">
        <f>G1191</f>
        <v>25</v>
      </c>
      <c r="C1197" s="9" t="str">
        <f>B1197&amp;" - "&amp;F1197</f>
        <v>25 - Employed Vets</v>
      </c>
      <c r="D1197" s="9" t="s">
        <v>56</v>
      </c>
      <c r="F1197" s="7" t="s">
        <v>160</v>
      </c>
      <c r="G1197" s="178">
        <f>_xlfn.XLOOKUP($C1197,'Site Level Financials - ''23 ''24'!$C$2:$C$1577,'Site Level Financials - ''23 ''24'!S$2:S$1577)</f>
        <v>4</v>
      </c>
      <c r="H1197" s="179">
        <f>_xlfn.XLOOKUP($C1197,'Site Level Financials - ''23 ''24'!$C$2:$C$1577,'Site Level Financials - ''23 ''24'!T$2:T$1577)</f>
        <v>4</v>
      </c>
      <c r="I1197" s="179">
        <f>_xlfn.XLOOKUP($C1197,'Site Level Financials - ''23 ''24'!$C$2:$C$1577,'Site Level Financials - ''23 ''24'!U$2:U$1577)</f>
        <v>4</v>
      </c>
      <c r="J1197" s="179">
        <f>_xlfn.XLOOKUP($C1197,'Site Level Financials - ''23 ''24'!$C$2:$C$1577,'Site Level Financials - ''23 ''24'!V$2:V$1577)</f>
        <v>3</v>
      </c>
      <c r="K1197" s="179">
        <f>_xlfn.XLOOKUP($C1197,'Site Level Financials - ''23 ''24'!$C$2:$C$1577,'Site Level Financials - ''23 ''24'!W$2:W$1577)</f>
        <v>3</v>
      </c>
      <c r="L1197" s="179">
        <f>_xlfn.XLOOKUP($C1197,'Site Level Financials - ''23 ''24'!$C$2:$C$1577,'Site Level Financials - ''23 ''24'!X$2:X$1577)</f>
        <v>3</v>
      </c>
      <c r="M1197" s="179">
        <f>_xlfn.XLOOKUP($C1197,'Site Level Financials - ''23 ''24'!$C$2:$C$1577,'Site Level Financials - ''23 ''24'!Y$2:Y$1577)</f>
        <v>4</v>
      </c>
      <c r="N1197" s="179">
        <f>_xlfn.XLOOKUP($C1197,'Site Level Financials - ''23 ''24'!$C$2:$C$1577,'Site Level Financials - ''23 ''24'!Z$2:Z$1577)</f>
        <v>4</v>
      </c>
      <c r="O1197" s="179">
        <f>_xlfn.XLOOKUP($C1197,'Site Level Financials - ''23 ''24'!$C$2:$C$1577,'Site Level Financials - ''23 ''24'!AA$2:AA$1577)</f>
        <v>4</v>
      </c>
      <c r="P1197" s="179">
        <f>_xlfn.XLOOKUP($C1197,'Site Level Financials - ''23 ''24'!$C$2:$C$1577,'Site Level Financials - ''23 ''24'!AB$2:AB$1577)</f>
        <v>4</v>
      </c>
      <c r="Q1197" s="179">
        <f>_xlfn.XLOOKUP($C1197,'Site Level Financials - ''23 ''24'!$C$2:$C$1577,'Site Level Financials - ''23 ''24'!AC$2:AC$1577)</f>
        <v>4</v>
      </c>
      <c r="R1197" s="179">
        <f>_xlfn.XLOOKUP($C1197,'Site Level Financials - ''23 ''24'!$C$2:$C$1577,'Site Level Financials - ''23 ''24'!AD$2:AD$1577)</f>
        <v>4</v>
      </c>
      <c r="S1197" s="178">
        <f>R1197+_xlfn.XLOOKUP($R1197,'Budget Assumption Driver'!$A$7:$A$11,'Budget Assumption Driver'!E$7:E$11)</f>
        <v>4</v>
      </c>
      <c r="T1197" s="179">
        <f>S1197+_xlfn.XLOOKUP($R1197,'Budget Assumption Driver'!$A$7:$A$11,'Budget Assumption Driver'!F$7:F$11)</f>
        <v>4</v>
      </c>
      <c r="U1197" s="179">
        <f>T1197+_xlfn.XLOOKUP($R1197,'Budget Assumption Driver'!$A$7:$A$11,'Budget Assumption Driver'!G$7:G$11)</f>
        <v>4</v>
      </c>
      <c r="V1197" s="179">
        <f>U1197+_xlfn.XLOOKUP($R1197,'Budget Assumption Driver'!$A$7:$A$11,'Budget Assumption Driver'!H$7:H$11)</f>
        <v>4</v>
      </c>
      <c r="W1197" s="179">
        <f>V1197+_xlfn.XLOOKUP($R1197,'Budget Assumption Driver'!$A$7:$A$11,'Budget Assumption Driver'!I$7:I$11)</f>
        <v>4</v>
      </c>
      <c r="X1197" s="179">
        <f>W1197+_xlfn.XLOOKUP($R1197,'Budget Assumption Driver'!$A$7:$A$11,'Budget Assumption Driver'!J$7:J$11)</f>
        <v>4</v>
      </c>
      <c r="Y1197" s="179">
        <f>X1197+_xlfn.XLOOKUP($R1197,'Budget Assumption Driver'!$A$7:$A$11,'Budget Assumption Driver'!K$7:K$11)</f>
        <v>4</v>
      </c>
      <c r="Z1197" s="179">
        <f>Y1197+_xlfn.XLOOKUP($R1197,'Budget Assumption Driver'!$A$7:$A$11,'Budget Assumption Driver'!L$7:L$11)</f>
        <v>4</v>
      </c>
      <c r="AA1197" s="179">
        <f>Z1197+_xlfn.XLOOKUP($R1197,'Budget Assumption Driver'!$A$7:$A$11,'Budget Assumption Driver'!M$7:M$11)</f>
        <v>4</v>
      </c>
      <c r="AB1197" s="179">
        <f>AA1197+_xlfn.XLOOKUP($R1197,'Budget Assumption Driver'!$A$7:$A$11,'Budget Assumption Driver'!N$7:N$11)</f>
        <v>4</v>
      </c>
      <c r="AC1197" s="179">
        <f>AB1197+_xlfn.XLOOKUP($R1197,'Budget Assumption Driver'!$A$7:$A$11,'Budget Assumption Driver'!O$7:O$11)</f>
        <v>4</v>
      </c>
      <c r="AD1197" s="290">
        <f>AC1197+_xlfn.XLOOKUP($R1197,'Budget Assumption Driver'!$A$7:$A$11,'Budget Assumption Driver'!P$7:P$11)</f>
        <v>4</v>
      </c>
      <c r="AE1197" s="15"/>
      <c r="AF1197" s="229">
        <f>_xlfn.XLOOKUP($C1197,'Site Level Financials - ''23 ''24'!$C$2:$C$1577,'Site Level Financials - ''23 ''24'!$AF$2:$AF$1577)</f>
        <v>3.5833333333333335</v>
      </c>
      <c r="AG1197" s="91">
        <f t="shared" ref="AG1197:AH1197" si="3479">AG1199/AG1198</f>
        <v>3.7509293680297398</v>
      </c>
      <c r="AH1197" s="91">
        <f t="shared" si="3479"/>
        <v>4</v>
      </c>
    </row>
    <row r="1198" spans="2:35" x14ac:dyDescent="0.2">
      <c r="B1198" s="9">
        <f>G1191</f>
        <v>25</v>
      </c>
      <c r="C1198" s="9" t="str">
        <f t="shared" ref="C1198:C1234" si="3480">B1198&amp;" - "&amp;F1198</f>
        <v>25 - Workdays in Month / Year</v>
      </c>
      <c r="D1198" s="9" t="s">
        <v>56</v>
      </c>
      <c r="F1198" s="7" t="s">
        <v>54</v>
      </c>
      <c r="G1198" s="178">
        <f>_xlfn.XLOOKUP($C1198,'Site Level Financials - ''23 ''24'!$C$2:$C$1577,'Site Level Financials - ''23 ''24'!S$2:S$1577)</f>
        <v>23</v>
      </c>
      <c r="H1198" s="235">
        <f>_xlfn.XLOOKUP($C1198,'Site Level Financials - ''23 ''24'!$C$2:$C$1577,'Site Level Financials - ''23 ''24'!T$2:T$1577)</f>
        <v>22</v>
      </c>
      <c r="I1198" s="235">
        <f>_xlfn.XLOOKUP($C1198,'Site Level Financials - ''23 ''24'!$C$2:$C$1577,'Site Level Financials - ''23 ''24'!U$2:U$1577)</f>
        <v>22</v>
      </c>
      <c r="J1198" s="179">
        <f>_xlfn.XLOOKUP($C1198,'Site Level Financials - ''23 ''24'!$C$2:$C$1577,'Site Level Financials - ''23 ''24'!V$2:V$1577)</f>
        <v>22</v>
      </c>
      <c r="K1198" s="179">
        <f>_xlfn.XLOOKUP($C1198,'Site Level Financials - ''23 ''24'!$C$2:$C$1577,'Site Level Financials - ''23 ''24'!W$2:W$1577)</f>
        <v>24</v>
      </c>
      <c r="L1198" s="179">
        <f>_xlfn.XLOOKUP($C1198,'Site Level Financials - ''23 ''24'!$C$2:$C$1577,'Site Level Financials - ''23 ''24'!X$2:X$1577)</f>
        <v>21</v>
      </c>
      <c r="M1198" s="179">
        <f>_xlfn.XLOOKUP($C1198,'Site Level Financials - ''23 ''24'!$C$2:$C$1577,'Site Level Financials - ''23 ''24'!Y$2:Y$1577)</f>
        <v>23</v>
      </c>
      <c r="N1198" s="179">
        <f>_xlfn.XLOOKUP($C1198,'Site Level Financials - ''23 ''24'!$C$2:$C$1577,'Site Level Financials - ''23 ''24'!Z$2:Z$1577)</f>
        <v>23</v>
      </c>
      <c r="O1198" s="179">
        <f>_xlfn.XLOOKUP($C1198,'Site Level Financials - ''23 ''24'!$C$2:$C$1577,'Site Level Financials - ''23 ''24'!AA$2:AA$1577)</f>
        <v>21</v>
      </c>
      <c r="P1198" s="179">
        <f>_xlfn.XLOOKUP($C1198,'Site Level Financials - ''23 ''24'!$C$2:$C$1577,'Site Level Financials - ''23 ''24'!AB$2:AB$1577)</f>
        <v>24</v>
      </c>
      <c r="Q1198" s="179">
        <f>_xlfn.XLOOKUP($C1198,'Site Level Financials - ''23 ''24'!$C$2:$C$1577,'Site Level Financials - ''23 ''24'!AC$2:AC$1577)</f>
        <v>22</v>
      </c>
      <c r="R1198" s="179">
        <f>_xlfn.XLOOKUP($C1198,'Site Level Financials - ''23 ''24'!$C$2:$C$1577,'Site Level Financials - ''23 ''24'!AD$2:AD$1577)</f>
        <v>22</v>
      </c>
      <c r="S1198" s="155">
        <f>NETWORKDAYS(R1195,S1195)</f>
        <v>23</v>
      </c>
      <c r="T1198" s="154">
        <f t="shared" ref="T1198:AD1198" si="3481">NETWORKDAYS(S1195,T1195)</f>
        <v>22</v>
      </c>
      <c r="U1198" s="154">
        <f t="shared" si="3481"/>
        <v>22</v>
      </c>
      <c r="V1198" s="154">
        <f t="shared" si="3481"/>
        <v>22</v>
      </c>
      <c r="W1198" s="154">
        <f t="shared" si="3481"/>
        <v>24</v>
      </c>
      <c r="X1198" s="154">
        <f t="shared" si="3481"/>
        <v>21</v>
      </c>
      <c r="Y1198" s="154">
        <f t="shared" si="3481"/>
        <v>23</v>
      </c>
      <c r="Z1198" s="154">
        <f t="shared" si="3481"/>
        <v>23</v>
      </c>
      <c r="AA1198" s="154">
        <f t="shared" si="3481"/>
        <v>21</v>
      </c>
      <c r="AB1198" s="154">
        <f t="shared" si="3481"/>
        <v>24</v>
      </c>
      <c r="AC1198" s="154">
        <f t="shared" si="3481"/>
        <v>22</v>
      </c>
      <c r="AD1198" s="156">
        <f t="shared" si="3481"/>
        <v>22</v>
      </c>
      <c r="AE1198" s="15"/>
      <c r="AF1198" s="115">
        <f>_xlfn.XLOOKUP($C1198,'Site Level Financials - ''23 ''24'!$C$2:$C$1577,'Site Level Financials - ''23 ''24'!$AF$2:$AF$1577)</f>
        <v>269</v>
      </c>
      <c r="AG1198" s="93">
        <f>SUM(G1198:R1198)</f>
        <v>269</v>
      </c>
      <c r="AH1198" s="93">
        <f>SUM(S1198:AD1198)</f>
        <v>269</v>
      </c>
    </row>
    <row r="1199" spans="2:35" x14ac:dyDescent="0.2">
      <c r="B1199" s="9">
        <f>G1191</f>
        <v>25</v>
      </c>
      <c r="C1199" s="9" t="str">
        <f t="shared" si="3480"/>
        <v>25 - Total Vet Days</v>
      </c>
      <c r="D1199" s="9" t="s">
        <v>56</v>
      </c>
      <c r="F1199" s="8" t="s">
        <v>51</v>
      </c>
      <c r="G1199" s="236">
        <f>_xlfn.XLOOKUP($C1199,'Site Level Financials - ''23 ''24'!$C$2:$C$1577,'Site Level Financials - ''23 ''24'!S$2:S$1577)</f>
        <v>92</v>
      </c>
      <c r="H1199" s="237">
        <f>_xlfn.XLOOKUP($C1199,'Site Level Financials - ''23 ''24'!$C$2:$C$1577,'Site Level Financials - ''23 ''24'!T$2:T$1577)</f>
        <v>88</v>
      </c>
      <c r="I1199" s="237">
        <f>_xlfn.XLOOKUP($C1199,'Site Level Financials - ''23 ''24'!$C$2:$C$1577,'Site Level Financials - ''23 ''24'!U$2:U$1577)</f>
        <v>88</v>
      </c>
      <c r="J1199" s="238">
        <f>_xlfn.XLOOKUP($C1199,'Site Level Financials - ''23 ''24'!$C$2:$C$1577,'Site Level Financials - ''23 ''24'!V$2:V$1577)</f>
        <v>66</v>
      </c>
      <c r="K1199" s="238">
        <f>_xlfn.XLOOKUP($C1199,'Site Level Financials - ''23 ''24'!$C$2:$C$1577,'Site Level Financials - ''23 ''24'!W$2:W$1577)</f>
        <v>72</v>
      </c>
      <c r="L1199" s="238">
        <f>_xlfn.XLOOKUP($C1199,'Site Level Financials - ''23 ''24'!$C$2:$C$1577,'Site Level Financials - ''23 ''24'!X$2:X$1577)</f>
        <v>63</v>
      </c>
      <c r="M1199" s="238">
        <f>_xlfn.XLOOKUP($C1199,'Site Level Financials - ''23 ''24'!$C$2:$C$1577,'Site Level Financials - ''23 ''24'!Y$2:Y$1577)</f>
        <v>92</v>
      </c>
      <c r="N1199" s="238">
        <f>_xlfn.XLOOKUP($C1199,'Site Level Financials - ''23 ''24'!$C$2:$C$1577,'Site Level Financials - ''23 ''24'!Z$2:Z$1577)</f>
        <v>92</v>
      </c>
      <c r="O1199" s="238">
        <f>_xlfn.XLOOKUP($C1199,'Site Level Financials - ''23 ''24'!$C$2:$C$1577,'Site Level Financials - ''23 ''24'!AA$2:AA$1577)</f>
        <v>84</v>
      </c>
      <c r="P1199" s="238">
        <f>_xlfn.XLOOKUP($C1199,'Site Level Financials - ''23 ''24'!$C$2:$C$1577,'Site Level Financials - ''23 ''24'!AB$2:AB$1577)</f>
        <v>96</v>
      </c>
      <c r="Q1199" s="238">
        <f>_xlfn.XLOOKUP($C1199,'Site Level Financials - ''23 ''24'!$C$2:$C$1577,'Site Level Financials - ''23 ''24'!AC$2:AC$1577)</f>
        <v>88</v>
      </c>
      <c r="R1199" s="238">
        <f>_xlfn.XLOOKUP($C1199,'Site Level Financials - ''23 ''24'!$C$2:$C$1577,'Site Level Financials - ''23 ''24'!AD$2:AD$1577)</f>
        <v>88</v>
      </c>
      <c r="S1199" s="125">
        <f t="shared" ref="S1199:AD1199" si="3482">S1197*S1198</f>
        <v>92</v>
      </c>
      <c r="T1199" s="127">
        <f t="shared" si="3482"/>
        <v>88</v>
      </c>
      <c r="U1199" s="127">
        <f t="shared" si="3482"/>
        <v>88</v>
      </c>
      <c r="V1199" s="127">
        <f t="shared" si="3482"/>
        <v>88</v>
      </c>
      <c r="W1199" s="127">
        <f t="shared" si="3482"/>
        <v>96</v>
      </c>
      <c r="X1199" s="127">
        <f t="shared" si="3482"/>
        <v>84</v>
      </c>
      <c r="Y1199" s="127">
        <f t="shared" si="3482"/>
        <v>92</v>
      </c>
      <c r="Z1199" s="127">
        <f t="shared" si="3482"/>
        <v>92</v>
      </c>
      <c r="AA1199" s="127">
        <f t="shared" si="3482"/>
        <v>84</v>
      </c>
      <c r="AB1199" s="127">
        <f t="shared" si="3482"/>
        <v>96</v>
      </c>
      <c r="AC1199" s="127">
        <f t="shared" si="3482"/>
        <v>88</v>
      </c>
      <c r="AD1199" s="128">
        <f t="shared" si="3482"/>
        <v>88</v>
      </c>
      <c r="AF1199" s="112">
        <f>_xlfn.XLOOKUP($C1199,'Site Level Financials - ''23 ''24'!$C$2:$C$1577,'Site Level Financials - ''23 ''24'!$AF$2:$AF$1577)</f>
        <v>962</v>
      </c>
      <c r="AG1199" s="120">
        <f>SUM(G1199:R1199)</f>
        <v>1009</v>
      </c>
      <c r="AH1199" s="120">
        <f t="shared" ref="AH1199" si="3483">SUM(S1199:AD1199)</f>
        <v>1076</v>
      </c>
    </row>
    <row r="1200" spans="2:35" x14ac:dyDescent="0.2">
      <c r="B1200" s="9">
        <f>G1191</f>
        <v>25</v>
      </c>
      <c r="C1200" s="9" t="str">
        <f t="shared" si="3480"/>
        <v>25 - Production per Vet Workday</v>
      </c>
      <c r="D1200" s="9" t="s">
        <v>56</v>
      </c>
      <c r="F1200" s="7" t="s">
        <v>50</v>
      </c>
      <c r="G1200" s="239">
        <f>_xlfn.XLOOKUP($C1200,'Site Level Financials - ''23 ''24'!$C$2:$C$1577,'Site Level Financials - ''23 ''24'!S$2:S$1577)</f>
        <v>4.2559681276631576</v>
      </c>
      <c r="H1200" s="240">
        <f>_xlfn.XLOOKUP($C1200,'Site Level Financials - ''23 ''24'!$C$2:$C$1577,'Site Level Financials - ''23 ''24'!T$2:T$1577)</f>
        <v>4.3365393340952574</v>
      </c>
      <c r="I1200" s="240">
        <f>_xlfn.XLOOKUP($C1200,'Site Level Financials - ''23 ''24'!$C$2:$C$1577,'Site Level Financials - ''23 ''24'!U$2:U$1577)</f>
        <v>4.4200843299965307</v>
      </c>
      <c r="J1200" s="240">
        <f>_xlfn.XLOOKUP($C1200,'Site Level Financials - ''23 ''24'!$C$2:$C$1577,'Site Level Financials - ''23 ''24'!V$2:V$1577)</f>
        <v>5.2015886569793013</v>
      </c>
      <c r="K1200" s="240">
        <f>_xlfn.XLOOKUP($C1200,'Site Level Financials - ''23 ''24'!$C$2:$C$1577,'Site Level Financials - ''23 ''24'!W$2:W$1577)</f>
        <v>5.5298567280327742</v>
      </c>
      <c r="L1200" s="240">
        <f>_xlfn.XLOOKUP($C1200,'Site Level Financials - ''23 ''24'!$C$2:$C$1577,'Site Level Financials - ''23 ''24'!X$2:X$1577)</f>
        <v>6.0011313283631385</v>
      </c>
      <c r="M1200" s="240">
        <f>_xlfn.XLOOKUP($C1200,'Site Level Financials - ''23 ''24'!$C$2:$C$1577,'Site Level Financials - ''23 ''24'!Y$2:Y$1577)</f>
        <v>5.2083193330714952</v>
      </c>
      <c r="N1200" s="240">
        <f>_xlfn.XLOOKUP($C1200,'Site Level Financials - ''23 ''24'!$C$2:$C$1577,'Site Level Financials - ''23 ''24'!Z$2:Z$1577)</f>
        <v>4.7683994543203383</v>
      </c>
      <c r="O1200" s="240">
        <f>_xlfn.XLOOKUP($C1200,'Site Level Financials - ''23 ''24'!$C$2:$C$1577,'Site Level Financials - ''23 ''24'!AA$2:AA$1577)</f>
        <v>4.7044561828499472</v>
      </c>
      <c r="P1200" s="240">
        <f>_xlfn.XLOOKUP($C1200,'Site Level Financials - ''23 ''24'!$C$2:$C$1577,'Site Level Financials - ''23 ''24'!AB$2:AB$1577)</f>
        <v>4.2605111986356494</v>
      </c>
      <c r="Q1200" s="240">
        <f>_xlfn.XLOOKUP($C1200,'Site Level Financials - ''23 ''24'!$C$2:$C$1577,'Site Level Financials - ''23 ''24'!AC$2:AC$1577)</f>
        <v>4.0823992042806223</v>
      </c>
      <c r="R1200" s="240">
        <f>_xlfn.XLOOKUP($C1200,'Site Level Financials - ''23 ''24'!$C$2:$C$1577,'Site Level Financials - ''23 ''24'!AD$2:AD$1577)</f>
        <v>3.0162131887596306</v>
      </c>
      <c r="S1200" s="239">
        <f>R1200*(1+_xlfn.XLOOKUP($R1197,'Budget Assumption Driver'!$A$15:$A$19,'Budget Assumption Driver'!E$15:E$19))</f>
        <v>4.2673648080581152</v>
      </c>
      <c r="T1200" s="240">
        <f>S1200*(1+_xlfn.XLOOKUP($R1197,'Budget Assumption Driver'!$A$15:$A$19,'Budget Assumption Driver'!F$15:F$19))</f>
        <v>4.6196188348165483</v>
      </c>
      <c r="U1200" s="240">
        <f>T1200*(1+_xlfn.XLOOKUP($R1197,'Budget Assumption Driver'!$A$15:$A$19,'Budget Assumption Driver'!G$15:G$19))</f>
        <v>4.9604969709035682</v>
      </c>
      <c r="V1200" s="240">
        <f>U1200*(1+_xlfn.XLOOKUP($R1197,'Budget Assumption Driver'!$A$15:$A$19,'Budget Assumption Driver'!H$15:H$19))</f>
        <v>5.3134935856268957</v>
      </c>
      <c r="W1200" s="240">
        <f>V1200*(1+_xlfn.XLOOKUP($R1197,'Budget Assumption Driver'!$A$15:$A$19,'Budget Assumption Driver'!I$15:I$19))</f>
        <v>5.7888867867790434</v>
      </c>
      <c r="X1200" s="240">
        <f>W1200*(1+_xlfn.XLOOKUP($R1197,'Budget Assumption Driver'!$A$15:$A$19,'Budget Assumption Driver'!J$15:J$19))</f>
        <v>5.5556690518013561</v>
      </c>
      <c r="Y1200" s="240">
        <f>X1200*(1+_xlfn.XLOOKUP($R1197,'Budget Assumption Driver'!$A$15:$A$19,'Budget Assumption Driver'!K$15:K$19))</f>
        <v>5.11029285194026</v>
      </c>
      <c r="Z1200" s="240">
        <f>Y1200*(1+_xlfn.XLOOKUP($R1197,'Budget Assumption Driver'!$A$15:$A$19,'Budget Assumption Driver'!L$15:L$19))</f>
        <v>4.3820292644887706</v>
      </c>
      <c r="AA1200" s="240">
        <f>Z1200*(1+_xlfn.XLOOKUP($R1197,'Budget Assumption Driver'!$A$15:$A$19,'Budget Assumption Driver'!M$15:M$19))</f>
        <v>4.4002359391710826</v>
      </c>
      <c r="AB1200" s="240">
        <f>AA1200*(1+_xlfn.XLOOKUP($R1197,'Budget Assumption Driver'!$A$15:$A$19,'Budget Assumption Driver'!N$15:N$19))</f>
        <v>4.4219341559744505</v>
      </c>
      <c r="AC1200" s="240">
        <f>AB1200*(1+_xlfn.XLOOKUP($R1197,'Budget Assumption Driver'!$A$15:$A$19,'Budget Assumption Driver'!O$15:O$19))</f>
        <v>3.8131654861494004</v>
      </c>
      <c r="AD1200" s="291">
        <f>AC1200*(1+_xlfn.XLOOKUP($R1197,'Budget Assumption Driver'!$A$15:$A$19,'Budget Assumption Driver'!P$15:P$19))</f>
        <v>3.1123535352479403</v>
      </c>
      <c r="AE1200" s="15"/>
      <c r="AF1200" s="230">
        <f>_xlfn.XLOOKUP($C1200,'Site Level Financials - ''23 ''24'!$C$2:$C$1577,'Site Level Financials - ''23 ''24'!$AF$2:$AF$1577)</f>
        <v>4.6751140650666976</v>
      </c>
      <c r="AG1200" s="101">
        <f>AG1201/AG1199</f>
        <v>4.5870933331089878</v>
      </c>
      <c r="AH1200" s="101">
        <f>AH1201/AH1199</f>
        <v>4.6491722371006876</v>
      </c>
    </row>
    <row r="1201" spans="2:34" x14ac:dyDescent="0.2">
      <c r="B1201" s="9">
        <f>G1191</f>
        <v>25</v>
      </c>
      <c r="C1201" s="9" t="str">
        <f t="shared" si="3480"/>
        <v>25 - Total Production</v>
      </c>
      <c r="D1201" s="9" t="s">
        <v>56</v>
      </c>
      <c r="F1201" s="8" t="s">
        <v>1</v>
      </c>
      <c r="G1201" s="241">
        <f>_xlfn.XLOOKUP($C1201,'Site Level Financials - ''23 ''24'!$C$2:$C$1577,'Site Level Financials - ''23 ''24'!S$2:S$1577)</f>
        <v>391.54906774501052</v>
      </c>
      <c r="H1201" s="242">
        <f>_xlfn.XLOOKUP($C1201,'Site Level Financials - ''23 ''24'!$C$2:$C$1577,'Site Level Financials - ''23 ''24'!T$2:T$1577)</f>
        <v>381.61546140038263</v>
      </c>
      <c r="I1201" s="242">
        <f>_xlfn.XLOOKUP($C1201,'Site Level Financials - ''23 ''24'!$C$2:$C$1577,'Site Level Financials - ''23 ''24'!U$2:U$1577)</f>
        <v>388.96742103969473</v>
      </c>
      <c r="J1201" s="242">
        <f>_xlfn.XLOOKUP($C1201,'Site Level Financials - ''23 ''24'!$C$2:$C$1577,'Site Level Financials - ''23 ''24'!V$2:V$1577)</f>
        <v>343.3048513606339</v>
      </c>
      <c r="K1201" s="242">
        <f>_xlfn.XLOOKUP($C1201,'Site Level Financials - ''23 ''24'!$C$2:$C$1577,'Site Level Financials - ''23 ''24'!W$2:W$1577)</f>
        <v>398.14968441835975</v>
      </c>
      <c r="L1201" s="242">
        <f>_xlfn.XLOOKUP($C1201,'Site Level Financials - ''23 ''24'!$C$2:$C$1577,'Site Level Financials - ''23 ''24'!X$2:X$1577)</f>
        <v>378.0712736868777</v>
      </c>
      <c r="M1201" s="242">
        <f>_xlfn.XLOOKUP($C1201,'Site Level Financials - ''23 ''24'!$C$2:$C$1577,'Site Level Financials - ''23 ''24'!Y$2:Y$1577)</f>
        <v>479.16537864257754</v>
      </c>
      <c r="N1201" s="242">
        <f>_xlfn.XLOOKUP($C1201,'Site Level Financials - ''23 ''24'!$C$2:$C$1577,'Site Level Financials - ''23 ''24'!Z$2:Z$1577)</f>
        <v>438.69274979747115</v>
      </c>
      <c r="O1201" s="242">
        <f>_xlfn.XLOOKUP($C1201,'Site Level Financials - ''23 ''24'!$C$2:$C$1577,'Site Level Financials - ''23 ''24'!AA$2:AA$1577)</f>
        <v>395.17431935939555</v>
      </c>
      <c r="P1201" s="242">
        <f>_xlfn.XLOOKUP($C1201,'Site Level Financials - ''23 ''24'!$C$2:$C$1577,'Site Level Financials - ''23 ''24'!AB$2:AB$1577)</f>
        <v>409.00907506902234</v>
      </c>
      <c r="Q1201" s="242">
        <f>_xlfn.XLOOKUP($C1201,'Site Level Financials - ''23 ''24'!$C$2:$C$1577,'Site Level Financials - ''23 ''24'!AC$2:AC$1577)</f>
        <v>359.25112997669476</v>
      </c>
      <c r="R1201" s="242">
        <f>_xlfn.XLOOKUP($C1201,'Site Level Financials - ''23 ''24'!$C$2:$C$1577,'Site Level Financials - ''23 ''24'!AD$2:AD$1577)</f>
        <v>265.42676061084751</v>
      </c>
      <c r="S1201" s="134">
        <f t="shared" ref="S1201:AD1201" si="3484">S1200*S1199</f>
        <v>392.59756234134659</v>
      </c>
      <c r="T1201" s="135">
        <f t="shared" si="3484"/>
        <v>406.52645746385627</v>
      </c>
      <c r="U1201" s="135">
        <f t="shared" si="3484"/>
        <v>436.52373343951399</v>
      </c>
      <c r="V1201" s="135">
        <f t="shared" si="3484"/>
        <v>467.58743553516683</v>
      </c>
      <c r="W1201" s="135">
        <f t="shared" si="3484"/>
        <v>555.73313153078811</v>
      </c>
      <c r="X1201" s="135">
        <f t="shared" si="3484"/>
        <v>466.67620035131392</v>
      </c>
      <c r="Y1201" s="135">
        <f t="shared" si="3484"/>
        <v>470.14694237850392</v>
      </c>
      <c r="Z1201" s="135">
        <f t="shared" si="3484"/>
        <v>403.14669233296689</v>
      </c>
      <c r="AA1201" s="135">
        <f t="shared" si="3484"/>
        <v>369.61981889037094</v>
      </c>
      <c r="AB1201" s="135">
        <f t="shared" si="3484"/>
        <v>424.50567897354722</v>
      </c>
      <c r="AC1201" s="135">
        <f t="shared" si="3484"/>
        <v>335.55856278114726</v>
      </c>
      <c r="AD1201" s="136">
        <f t="shared" si="3484"/>
        <v>273.88711110181873</v>
      </c>
      <c r="AE1201" s="15"/>
      <c r="AF1201" s="113">
        <f>_xlfn.XLOOKUP($C1201,'Site Level Financials - ''23 ''24'!$C$2:$C$1577,'Site Level Financials - ''23 ''24'!$AF$2:$AF$1577)</f>
        <v>4286.753684559184</v>
      </c>
      <c r="AG1201" s="95">
        <f>SUM(G1201:R1201)</f>
        <v>4628.3771731069683</v>
      </c>
      <c r="AH1201" s="95">
        <f t="shared" ref="AH1201" si="3485">SUM(S1201:AD1201)</f>
        <v>5002.5093271203395</v>
      </c>
    </row>
    <row r="1202" spans="2:34" x14ac:dyDescent="0.2">
      <c r="B1202" s="9">
        <f>G1191</f>
        <v>25</v>
      </c>
      <c r="C1202" s="9" t="str">
        <f t="shared" si="3480"/>
        <v>25 - Revenue as a % of Production</v>
      </c>
      <c r="D1202" s="9" t="s">
        <v>56</v>
      </c>
      <c r="F1202" s="7" t="s">
        <v>2</v>
      </c>
      <c r="G1202" s="243">
        <f>_xlfn.XLOOKUP($C1202,'Site Level Financials - ''23 ''24'!$C$2:$C$1577,'Site Level Financials - ''23 ''24'!S$2:S$1577)</f>
        <v>0.97977735088003293</v>
      </c>
      <c r="H1202" s="244">
        <f>_xlfn.XLOOKUP($C1202,'Site Level Financials - ''23 ''24'!$C$2:$C$1577,'Site Level Financials - ''23 ''24'!T$2:T$1577)</f>
        <v>0.97977735088003293</v>
      </c>
      <c r="I1202" s="244">
        <f>_xlfn.XLOOKUP($C1202,'Site Level Financials - ''23 ''24'!$C$2:$C$1577,'Site Level Financials - ''23 ''24'!U$2:U$1577)</f>
        <v>0.97977735088003293</v>
      </c>
      <c r="J1202" s="244">
        <f>_xlfn.XLOOKUP($C1202,'Site Level Financials - ''23 ''24'!$C$2:$C$1577,'Site Level Financials - ''23 ''24'!V$2:V$1577)</f>
        <v>0.97977735088003293</v>
      </c>
      <c r="K1202" s="244">
        <f>_xlfn.XLOOKUP($C1202,'Site Level Financials - ''23 ''24'!$C$2:$C$1577,'Site Level Financials - ''23 ''24'!W$2:W$1577)</f>
        <v>0.97977735088003293</v>
      </c>
      <c r="L1202" s="244">
        <f>_xlfn.XLOOKUP($C1202,'Site Level Financials - ''23 ''24'!$C$2:$C$1577,'Site Level Financials - ''23 ''24'!X$2:X$1577)</f>
        <v>0.97977735088003293</v>
      </c>
      <c r="M1202" s="244">
        <f>_xlfn.XLOOKUP($C1202,'Site Level Financials - ''23 ''24'!$C$2:$C$1577,'Site Level Financials - ''23 ''24'!Y$2:Y$1577)</f>
        <v>0.97977735088003293</v>
      </c>
      <c r="N1202" s="244">
        <f>_xlfn.XLOOKUP($C1202,'Site Level Financials - ''23 ''24'!$C$2:$C$1577,'Site Level Financials - ''23 ''24'!Z$2:Z$1577)</f>
        <v>0.97977735088003293</v>
      </c>
      <c r="O1202" s="244">
        <f>_xlfn.XLOOKUP($C1202,'Site Level Financials - ''23 ''24'!$C$2:$C$1577,'Site Level Financials - ''23 ''24'!AA$2:AA$1577)</f>
        <v>0.97977735088003293</v>
      </c>
      <c r="P1202" s="244">
        <f>_xlfn.XLOOKUP($C1202,'Site Level Financials - ''23 ''24'!$C$2:$C$1577,'Site Level Financials - ''23 ''24'!AB$2:AB$1577)</f>
        <v>0.97977735088003293</v>
      </c>
      <c r="Q1202" s="244">
        <f>_xlfn.XLOOKUP($C1202,'Site Level Financials - ''23 ''24'!$C$2:$C$1577,'Site Level Financials - ''23 ''24'!AC$2:AC$1577)</f>
        <v>0.97977735088003293</v>
      </c>
      <c r="R1202" s="244">
        <f>_xlfn.XLOOKUP($C1202,'Site Level Financials - ''23 ''24'!$C$2:$C$1577,'Site Level Financials - ''23 ''24'!AD$2:AD$1577)</f>
        <v>0.97977735088003293</v>
      </c>
      <c r="S1202" s="292">
        <f>SUM(G1231:R1231)/SUM(G1201:R1201)</f>
        <v>0.97539143808545747</v>
      </c>
      <c r="T1202" s="203">
        <f>S1202</f>
        <v>0.97539143808545747</v>
      </c>
      <c r="U1202" s="203">
        <f t="shared" ref="U1202:AD1202" si="3486">T1202</f>
        <v>0.97539143808545747</v>
      </c>
      <c r="V1202" s="203">
        <f t="shared" si="3486"/>
        <v>0.97539143808545747</v>
      </c>
      <c r="W1202" s="203">
        <f t="shared" si="3486"/>
        <v>0.97539143808545747</v>
      </c>
      <c r="X1202" s="203">
        <f t="shared" si="3486"/>
        <v>0.97539143808545747</v>
      </c>
      <c r="Y1202" s="203">
        <f t="shared" si="3486"/>
        <v>0.97539143808545747</v>
      </c>
      <c r="Z1202" s="203">
        <f t="shared" si="3486"/>
        <v>0.97539143808545747</v>
      </c>
      <c r="AA1202" s="203">
        <f t="shared" si="3486"/>
        <v>0.97539143808545747</v>
      </c>
      <c r="AB1202" s="203">
        <f t="shared" si="3486"/>
        <v>0.97539143808545747</v>
      </c>
      <c r="AC1202" s="203">
        <f t="shared" si="3486"/>
        <v>0.97539143808545747</v>
      </c>
      <c r="AD1202" s="204">
        <f t="shared" si="3486"/>
        <v>0.97539143808545747</v>
      </c>
      <c r="AE1202" s="15"/>
      <c r="AF1202" s="231">
        <f>_xlfn.XLOOKUP($C1202,'Site Level Financials - ''23 ''24'!$C$2:$C$1577,'Site Level Financials - ''23 ''24'!$AF$2:$AF$1577)</f>
        <v>0.9799628342104646</v>
      </c>
      <c r="AG1202" s="103">
        <f>AG1203/AG1201</f>
        <v>0.97977735088003293</v>
      </c>
      <c r="AH1202" s="103">
        <f>AH1203/AH1201</f>
        <v>0.9753914380854577</v>
      </c>
    </row>
    <row r="1203" spans="2:34" x14ac:dyDescent="0.2">
      <c r="B1203" s="9">
        <f>G1191</f>
        <v>25</v>
      </c>
      <c r="C1203" s="9" t="str">
        <f t="shared" si="3480"/>
        <v>25 - Total Revenue</v>
      </c>
      <c r="D1203" s="9" t="s">
        <v>56</v>
      </c>
      <c r="F1203" s="8" t="s">
        <v>3</v>
      </c>
      <c r="G1203" s="241">
        <f>_xlfn.XLOOKUP($C1203,'Site Level Financials - ''23 ''24'!$C$2:$C$1577,'Site Level Financials - ''23 ''24'!S$2:S$1577)</f>
        <v>383.63090833475297</v>
      </c>
      <c r="H1203" s="242">
        <f>_xlfn.XLOOKUP($C1203,'Site Level Financials - ''23 ''24'!$C$2:$C$1577,'Site Level Financials - ''23 ''24'!T$2:T$1577)</f>
        <v>373.89818582572838</v>
      </c>
      <c r="I1203" s="242">
        <f>_xlfn.XLOOKUP($C1203,'Site Level Financials - ''23 ''24'!$C$2:$C$1577,'Site Level Financials - ''23 ''24'!U$2:U$1577)</f>
        <v>381.10146936491049</v>
      </c>
      <c r="J1203" s="242">
        <f>_xlfn.XLOOKUP($C1203,'Site Level Financials - ''23 ''24'!$C$2:$C$1577,'Site Level Financials - ''23 ''24'!V$2:V$1577)</f>
        <v>336.36231781038538</v>
      </c>
      <c r="K1203" s="242">
        <f>_xlfn.XLOOKUP($C1203,'Site Level Financials - ''23 ''24'!$C$2:$C$1577,'Site Level Financials - ''23 ''24'!W$2:W$1577)</f>
        <v>390.09804305314162</v>
      </c>
      <c r="L1203" s="242">
        <f>_xlfn.XLOOKUP($C1203,'Site Level Financials - ''23 ''24'!$C$2:$C$1577,'Site Level Financials - ''23 ''24'!X$2:X$1577)</f>
        <v>370.42567097676891</v>
      </c>
      <c r="M1203" s="242">
        <f>_xlfn.XLOOKUP($C1203,'Site Level Financials - ''23 ''24'!$C$2:$C$1577,'Site Level Financials - ''23 ''24'!Y$2:Y$1577)</f>
        <v>469.47538531985253</v>
      </c>
      <c r="N1203" s="242">
        <f>_xlfn.XLOOKUP($C1203,'Site Level Financials - ''23 ''24'!$C$2:$C$1577,'Site Level Financials - ''23 ''24'!Z$2:Z$1577)</f>
        <v>429.82122024684338</v>
      </c>
      <c r="O1203" s="242">
        <f>_xlfn.XLOOKUP($C1203,'Site Level Financials - ''23 ''24'!$C$2:$C$1577,'Site Level Financials - ''23 ''24'!AA$2:AA$1577)</f>
        <v>387.18284775776868</v>
      </c>
      <c r="P1203" s="242">
        <f>_xlfn.XLOOKUP($C1203,'Site Level Financials - ''23 ''24'!$C$2:$C$1577,'Site Level Financials - ''23 ''24'!AB$2:AB$1577)</f>
        <v>400.73782805701921</v>
      </c>
      <c r="Q1203" s="242">
        <f>_xlfn.XLOOKUP($C1203,'Site Level Financials - ''23 ''24'!$C$2:$C$1577,'Site Level Financials - ''23 ''24'!AC$2:AC$1577)</f>
        <v>351.9861204292244</v>
      </c>
      <c r="R1203" s="242">
        <f>_xlfn.XLOOKUP($C1203,'Site Level Financials - ''23 ''24'!$C$2:$C$1577,'Site Level Financials - ''23 ''24'!AD$2:AD$1577)</f>
        <v>260.05912836396482</v>
      </c>
      <c r="S1203" s="134">
        <f t="shared" ref="S1203:AD1203" si="3487">S1202*S1201</f>
        <v>382.93630092097106</v>
      </c>
      <c r="T1203" s="135">
        <f t="shared" si="3487"/>
        <v>396.52242596545733</v>
      </c>
      <c r="U1203" s="135">
        <f t="shared" si="3487"/>
        <v>425.78151211800048</v>
      </c>
      <c r="V1203" s="135">
        <f t="shared" si="3487"/>
        <v>456.08078117733754</v>
      </c>
      <c r="W1203" s="135">
        <f t="shared" si="3487"/>
        <v>542.05733835555009</v>
      </c>
      <c r="X1203" s="135">
        <f t="shared" si="3487"/>
        <v>455.19197018092518</v>
      </c>
      <c r="Y1203" s="135">
        <f t="shared" si="3487"/>
        <v>458.57730223804964</v>
      </c>
      <c r="Z1203" s="135">
        <f t="shared" si="3487"/>
        <v>393.22583199404806</v>
      </c>
      <c r="AA1203" s="135">
        <f t="shared" si="3487"/>
        <v>360.52400669236528</v>
      </c>
      <c r="AB1203" s="135">
        <f t="shared" si="3487"/>
        <v>414.05920468945175</v>
      </c>
      <c r="AC1203" s="135">
        <f t="shared" si="3487"/>
        <v>327.3009491129925</v>
      </c>
      <c r="AD1203" s="136">
        <f t="shared" si="3487"/>
        <v>267.14714317067444</v>
      </c>
      <c r="AE1203" s="15"/>
      <c r="AF1203" s="113">
        <f>_xlfn.XLOOKUP($C1203,'Site Level Financials - ''23 ''24'!$C$2:$C$1577,'Site Level Financials - ''23 ''24'!$AF$2:$AF$1577)</f>
        <v>4200.8592902827686</v>
      </c>
      <c r="AG1203" s="95">
        <f>SUM(G1203:R1203)</f>
        <v>4534.7791255403608</v>
      </c>
      <c r="AH1203" s="95">
        <f t="shared" ref="AH1203" si="3488">SUM(S1203:AD1203)</f>
        <v>4879.4047666158231</v>
      </c>
    </row>
    <row r="1204" spans="2:34" x14ac:dyDescent="0.2">
      <c r="B1204" s="9">
        <f>G1191</f>
        <v>25</v>
      </c>
      <c r="C1204" s="9" t="str">
        <f t="shared" si="3480"/>
        <v>25 - % YoY Revenue Growth</v>
      </c>
      <c r="D1204" s="9" t="s">
        <v>56</v>
      </c>
      <c r="F1204" s="16" t="s">
        <v>174</v>
      </c>
      <c r="G1204" s="245">
        <f>_xlfn.XLOOKUP($C1204,'Site Level Financials - ''23 ''24'!$C$2:$C$1577,'Site Level Financials - ''23 ''24'!S$2:S$1577)</f>
        <v>4.4877720894007878E-2</v>
      </c>
      <c r="H1204" s="246">
        <f>_xlfn.XLOOKUP($C1204,'Site Level Financials - ''23 ''24'!$C$2:$C$1577,'Site Level Financials - ''23 ''24'!T$2:T$1577)</f>
        <v>-5.529892366389566E-3</v>
      </c>
      <c r="I1204" s="246">
        <f>_xlfn.XLOOKUP($C1204,'Site Level Financials - ''23 ''24'!$C$2:$C$1577,'Site Level Financials - ''23 ''24'!U$2:U$1577)</f>
        <v>6.8291237307071873E-2</v>
      </c>
      <c r="J1204" s="246">
        <f>_xlfn.XLOOKUP($C1204,'Site Level Financials - ''23 ''24'!$C$2:$C$1577,'Site Level Financials - ''23 ''24'!V$2:V$1577)</f>
        <v>1.6739632589904963E-2</v>
      </c>
      <c r="K1204" s="246">
        <f>_xlfn.XLOOKUP($C1204,'Site Level Financials - ''23 ''24'!$C$2:$C$1577,'Site Level Financials - ''23 ''24'!W$2:W$1577)</f>
        <v>0.44256630034544764</v>
      </c>
      <c r="L1204" s="246">
        <f>_xlfn.XLOOKUP($C1204,'Site Level Financials - ''23 ''24'!$C$2:$C$1577,'Site Level Financials - ''23 ''24'!X$2:X$1577)</f>
        <v>0.39069777752281176</v>
      </c>
      <c r="M1204" s="246">
        <f>_xlfn.XLOOKUP($C1204,'Site Level Financials - ''23 ''24'!$C$2:$C$1577,'Site Level Financials - ''23 ''24'!Y$2:Y$1577)</f>
        <v>0.42284508774127061</v>
      </c>
      <c r="N1204" s="246">
        <f>_xlfn.XLOOKUP($C1204,'Site Level Financials - ''23 ''24'!$C$2:$C$1577,'Site Level Financials - ''23 ''24'!Z$2:Z$1577)</f>
        <v>3.2141779649574653E-2</v>
      </c>
      <c r="O1204" s="246">
        <f>_xlfn.XLOOKUP($C1204,'Site Level Financials - ''23 ''24'!$C$2:$C$1577,'Site Level Financials - ''23 ''24'!AA$2:AA$1577)</f>
        <v>2.3150680672279433E-2</v>
      </c>
      <c r="P1204" s="246">
        <f>_xlfn.XLOOKUP($C1204,'Site Level Financials - ''23 ''24'!$C$2:$C$1577,'Site Level Financials - ''23 ''24'!AB$2:AB$1577)</f>
        <v>7.5369701956920165E-2</v>
      </c>
      <c r="Q1204" s="246">
        <f>_xlfn.XLOOKUP($C1204,'Site Level Financials - ''23 ''24'!$C$2:$C$1577,'Site Level Financials - ''23 ''24'!AC$2:AC$1577)</f>
        <v>-0.16409773111259351</v>
      </c>
      <c r="R1204" s="246">
        <f>_xlfn.XLOOKUP($C1204,'Site Level Financials - ''23 ''24'!$C$2:$C$1577,'Site Level Financials - ''23 ''24'!AD$2:AD$1577)</f>
        <v>-0.17398310628505431</v>
      </c>
      <c r="S1204" s="148">
        <f>S1203/G1203-1</f>
        <v>-1.8106137922958565E-3</v>
      </c>
      <c r="T1204" s="149">
        <f t="shared" ref="T1204" si="3489">T1203/H1203-1</f>
        <v>6.0509093109839096E-2</v>
      </c>
      <c r="U1204" s="149">
        <f t="shared" ref="U1204" si="3490">U1203/I1203-1</f>
        <v>0.11723922982387713</v>
      </c>
      <c r="V1204" s="149">
        <f t="shared" ref="V1204" si="3491">V1203/J1203-1</f>
        <v>0.35592115117496603</v>
      </c>
      <c r="W1204" s="149">
        <f t="shared" ref="W1204" si="3492">W1203/K1203-1</f>
        <v>0.38954129098696244</v>
      </c>
      <c r="X1204" s="149">
        <f t="shared" ref="X1204" si="3493">X1203/L1203-1</f>
        <v>0.22883484014657385</v>
      </c>
      <c r="Y1204" s="149">
        <f t="shared" ref="Y1204" si="3494">Y1203/M1203-1</f>
        <v>-2.3213321555459299E-2</v>
      </c>
      <c r="Z1204" s="149">
        <f t="shared" ref="Z1204" si="3495">Z1203/N1203-1</f>
        <v>-8.5140952863562269E-2</v>
      </c>
      <c r="AA1204" s="149">
        <f t="shared" ref="AA1204" si="3496">AA1203/O1203-1</f>
        <v>-6.8853362745247004E-2</v>
      </c>
      <c r="AB1204" s="149">
        <f t="shared" ref="AB1204" si="3497">AB1203/P1203-1</f>
        <v>3.3242124151396713E-2</v>
      </c>
      <c r="AC1204" s="149">
        <f t="shared" ref="AC1204" si="3498">AC1203/Q1203-1</f>
        <v>-7.013109291391928E-2</v>
      </c>
      <c r="AD1204" s="150">
        <f t="shared" ref="AD1204" si="3499">AD1203/R1203-1</f>
        <v>2.7255397075659049E-2</v>
      </c>
      <c r="AE1204" s="15"/>
      <c r="AF1204" s="11"/>
      <c r="AG1204" s="97">
        <f>AG1203/AF1203-1</f>
        <v>7.948845990390585E-2</v>
      </c>
      <c r="AH1204" s="97">
        <f>AH1203/AG1203-1</f>
        <v>7.5996124956669631E-2</v>
      </c>
    </row>
    <row r="1205" spans="2:34" ht="6" customHeight="1" x14ac:dyDescent="0.2">
      <c r="B1205" s="9">
        <f>G1191</f>
        <v>25</v>
      </c>
      <c r="C1205" s="9" t="str">
        <f t="shared" si="3480"/>
        <v xml:space="preserve">25 - </v>
      </c>
      <c r="D1205" s="9" t="s">
        <v>56</v>
      </c>
      <c r="G1205" s="80"/>
      <c r="H1205" s="63"/>
      <c r="I1205" s="63"/>
      <c r="J1205" s="63"/>
      <c r="K1205" s="63"/>
      <c r="L1205" s="63"/>
      <c r="M1205" s="63"/>
      <c r="N1205" s="63"/>
      <c r="O1205" s="63"/>
      <c r="P1205" s="63"/>
      <c r="Q1205" s="63"/>
      <c r="R1205" s="63"/>
      <c r="S1205" s="80"/>
      <c r="T1205" s="63"/>
      <c r="U1205" s="63"/>
      <c r="V1205" s="63"/>
      <c r="W1205" s="63"/>
      <c r="X1205" s="63"/>
      <c r="Y1205" s="63"/>
      <c r="Z1205" s="63"/>
      <c r="AA1205" s="63"/>
      <c r="AB1205" s="63"/>
      <c r="AC1205" s="63"/>
      <c r="AD1205" s="81"/>
      <c r="AE1205" s="15"/>
      <c r="AF1205" s="11"/>
      <c r="AG1205" s="15"/>
      <c r="AH1205" s="15"/>
    </row>
    <row r="1206" spans="2:34" x14ac:dyDescent="0.2">
      <c r="B1206" s="9">
        <f>G1191</f>
        <v>25</v>
      </c>
      <c r="C1206" s="9" t="str">
        <f t="shared" si="3480"/>
        <v>25 - Doctor Compensation</v>
      </c>
      <c r="D1206" s="9" t="s">
        <v>56</v>
      </c>
      <c r="F1206" t="s">
        <v>4</v>
      </c>
      <c r="G1206" s="178">
        <f>_xlfn.XLOOKUP($C1206,'Site Level Financials - ''23 ''24'!$C$2:$C$1577,'Site Level Financials - ''23 ''24'!S$2:S$1577)</f>
        <v>-150.8364336710504</v>
      </c>
      <c r="H1206" s="179">
        <f>_xlfn.XLOOKUP($C1206,'Site Level Financials - ''23 ''24'!$C$2:$C$1577,'Site Level Financials - ''23 ''24'!T$2:T$1577)</f>
        <v>-144.25419823793132</v>
      </c>
      <c r="I1206" s="179">
        <f>_xlfn.XLOOKUP($C1206,'Site Level Financials - ''23 ''24'!$C$2:$C$1577,'Site Level Financials - ''23 ''24'!U$2:U$1577)</f>
        <v>-149.22949844308641</v>
      </c>
      <c r="J1206" s="179">
        <f>_xlfn.XLOOKUP($C1206,'Site Level Financials - ''23 ''24'!$C$2:$C$1577,'Site Level Financials - ''23 ''24'!V$2:V$1577)</f>
        <v>-118.42820105701441</v>
      </c>
      <c r="K1206" s="179">
        <f>_xlfn.XLOOKUP($C1206,'Site Level Financials - ''23 ''24'!$C$2:$C$1577,'Site Level Financials - ''23 ''24'!W$2:W$1577)</f>
        <v>-139.16982019648461</v>
      </c>
      <c r="L1206" s="179">
        <f>_xlfn.XLOOKUP($C1206,'Site Level Financials - ''23 ''24'!$C$2:$C$1577,'Site Level Financials - ''23 ''24'!X$2:X$1577)</f>
        <v>-129.44295799447508</v>
      </c>
      <c r="M1206" s="179">
        <f>_xlfn.XLOOKUP($C1206,'Site Level Financials - ''23 ''24'!$C$2:$C$1577,'Site Level Financials - ''23 ''24'!Y$2:Y$1577)</f>
        <v>-188.24987170192747</v>
      </c>
      <c r="N1206" s="179">
        <f>_xlfn.XLOOKUP($C1206,'Site Level Financials - ''23 ''24'!$C$2:$C$1577,'Site Level Financials - ''23 ''24'!Z$2:Z$1577)</f>
        <v>-171.38285795855677</v>
      </c>
      <c r="O1206" s="179">
        <f>_xlfn.XLOOKUP($C1206,'Site Level Financials - ''23 ''24'!$C$2:$C$1577,'Site Level Financials - ''23 ''24'!AA$2:AA$1577)</f>
        <v>-155.87655979671399</v>
      </c>
      <c r="P1206" s="179">
        <f>_xlfn.XLOOKUP($C1206,'Site Level Financials - ''23 ''24'!$C$2:$C$1577,'Site Level Financials - ''23 ''24'!AB$2:AB$1577)</f>
        <v>-164.43609324851241</v>
      </c>
      <c r="Q1206" s="179">
        <f>_xlfn.XLOOKUP($C1206,'Site Level Financials - ''23 ''24'!$C$2:$C$1577,'Site Level Financials - ''23 ''24'!AC$2:AC$1577)</f>
        <v>-144.87031944051202</v>
      </c>
      <c r="R1206" s="179">
        <f>_xlfn.XLOOKUP($C1206,'Site Level Financials - ''23 ''24'!$C$2:$C$1577,'Site Level Financials - ''23 ''24'!AD$2:AD$1577)</f>
        <v>-107.35986663523424</v>
      </c>
      <c r="S1206" s="155">
        <f>S1207*S1203</f>
        <v>-150.56332714386485</v>
      </c>
      <c r="T1206" s="154">
        <f t="shared" ref="T1206" si="3500">T1207*T1203</f>
        <v>-152.98288895059551</v>
      </c>
      <c r="U1206" s="154">
        <f t="shared" ref="U1206" si="3501">U1207*U1203</f>
        <v>-166.72504990755732</v>
      </c>
      <c r="V1206" s="154">
        <f t="shared" ref="V1206" si="3502">V1207*V1203</f>
        <v>-160.57930270880729</v>
      </c>
      <c r="W1206" s="154">
        <f t="shared" ref="W1206" si="3503">W1207*W1203</f>
        <v>-193.38221162224667</v>
      </c>
      <c r="X1206" s="154">
        <f t="shared" ref="X1206" si="3504">X1207*X1203</f>
        <v>-159.06401659524045</v>
      </c>
      <c r="Y1206" s="154">
        <f t="shared" ref="Y1206" si="3505">Y1207*Y1203</f>
        <v>-183.87996689733669</v>
      </c>
      <c r="Z1206" s="154">
        <f t="shared" ref="Z1206" si="3506">Z1207*Z1203</f>
        <v>-156.79115812748469</v>
      </c>
      <c r="AA1206" s="154">
        <f t="shared" ref="AA1206" si="3507">AA1207*AA1203</f>
        <v>-145.14393448154965</v>
      </c>
      <c r="AB1206" s="154">
        <f t="shared" ref="AB1206" si="3508">AB1207*AB1203</f>
        <v>-169.9022982752501</v>
      </c>
      <c r="AC1206" s="154">
        <f t="shared" ref="AC1206" si="3509">AC1207*AC1203</f>
        <v>-134.71040560736031</v>
      </c>
      <c r="AD1206" s="156">
        <f t="shared" ref="AD1206" si="3510">AD1207*AD1203</f>
        <v>-110.28600243036733</v>
      </c>
      <c r="AE1206" s="15"/>
      <c r="AF1206" s="115">
        <f>_xlfn.XLOOKUP($C1206,'Site Level Financials - ''23 ''24'!$C$2:$C$1577,'Site Level Financials - ''23 ''24'!$AF$2:$AF$1577)</f>
        <v>-1482.9154280679218</v>
      </c>
      <c r="AG1206" s="93">
        <f>SUM(G1206:R1206)</f>
        <v>-1763.5366783814993</v>
      </c>
      <c r="AH1206" s="93">
        <f t="shared" ref="AH1206" si="3511">SUM(S1206:AD1206)</f>
        <v>-1884.010562747661</v>
      </c>
    </row>
    <row r="1207" spans="2:34" x14ac:dyDescent="0.2">
      <c r="B1207" s="9">
        <f>G1191</f>
        <v>25</v>
      </c>
      <c r="C1207" s="9" t="str">
        <f t="shared" si="3480"/>
        <v>25 - % of Revenue - Doctor Compensation</v>
      </c>
      <c r="D1207" s="9" t="s">
        <v>56</v>
      </c>
      <c r="F1207" s="16" t="str">
        <f>"% of Revenue - "&amp;F1206</f>
        <v>% of Revenue - Doctor Compensation</v>
      </c>
      <c r="G1207" s="148">
        <f>G1206/G1203</f>
        <v>-0.39318112903309616</v>
      </c>
      <c r="H1207" s="149">
        <f t="shared" ref="H1207:R1207" si="3512">H1206/H1203</f>
        <v>-0.38581144200888767</v>
      </c>
      <c r="I1207" s="149">
        <f t="shared" si="3512"/>
        <v>-0.39157418808111938</v>
      </c>
      <c r="J1207" s="149">
        <f t="shared" si="3512"/>
        <v>-0.35208522116254087</v>
      </c>
      <c r="K1207" s="149">
        <f t="shared" si="3512"/>
        <v>-0.35675600704699256</v>
      </c>
      <c r="L1207" s="149">
        <f t="shared" si="3512"/>
        <v>-0.34944381055759238</v>
      </c>
      <c r="M1207" s="149">
        <f t="shared" si="3512"/>
        <v>-0.40097921549960125</v>
      </c>
      <c r="N1207" s="149">
        <f t="shared" si="3512"/>
        <v>-0.39873056490820247</v>
      </c>
      <c r="O1207" s="149">
        <f t="shared" si="3512"/>
        <v>-0.4025915938668706</v>
      </c>
      <c r="P1207" s="149">
        <f t="shared" si="3512"/>
        <v>-0.41033334448555109</v>
      </c>
      <c r="Q1207" s="149">
        <f t="shared" si="3512"/>
        <v>-0.41157963633296674</v>
      </c>
      <c r="R1207" s="149">
        <f t="shared" si="3512"/>
        <v>-0.41282867981076643</v>
      </c>
      <c r="S1207" s="245">
        <f>_xlfn.XLOOKUP($F1207,'Budget Assumption Driver'!$A$33:$A$39,'Budget Assumption Driver'!E$33:E$39)+G1207</f>
        <v>-0.39318112903309616</v>
      </c>
      <c r="T1207" s="246">
        <f>_xlfn.XLOOKUP($F1207,'Budget Assumption Driver'!$A$33:$A$39,'Budget Assumption Driver'!F$33:F$39)+H1207</f>
        <v>-0.38581144200888767</v>
      </c>
      <c r="U1207" s="246">
        <f>_xlfn.XLOOKUP($F1207,'Budget Assumption Driver'!$A$33:$A$39,'Budget Assumption Driver'!G$33:G$39)+I1207</f>
        <v>-0.39157418808111938</v>
      </c>
      <c r="V1207" s="246">
        <f>_xlfn.XLOOKUP($F1207,'Budget Assumption Driver'!$A$33:$A$39,'Budget Assumption Driver'!H$33:H$39)+J1207</f>
        <v>-0.35208522116254087</v>
      </c>
      <c r="W1207" s="246">
        <f>_xlfn.XLOOKUP($F1207,'Budget Assumption Driver'!$A$33:$A$39,'Budget Assumption Driver'!I$33:I$39)+K1207</f>
        <v>-0.35675600704699256</v>
      </c>
      <c r="X1207" s="246">
        <f>_xlfn.XLOOKUP($F1207,'Budget Assumption Driver'!$A$33:$A$39,'Budget Assumption Driver'!J$33:J$39)+L1207</f>
        <v>-0.34944381055759238</v>
      </c>
      <c r="Y1207" s="246">
        <f>_xlfn.XLOOKUP($F1207,'Budget Assumption Driver'!$A$33:$A$39,'Budget Assumption Driver'!K$33:K$39)+M1207</f>
        <v>-0.40097921549960125</v>
      </c>
      <c r="Z1207" s="246">
        <f>_xlfn.XLOOKUP($F1207,'Budget Assumption Driver'!$A$33:$A$39,'Budget Assumption Driver'!L$33:L$39)+N1207</f>
        <v>-0.39873056490820247</v>
      </c>
      <c r="AA1207" s="246">
        <f>_xlfn.XLOOKUP($F1207,'Budget Assumption Driver'!$A$33:$A$39,'Budget Assumption Driver'!M$33:M$39)+O1207</f>
        <v>-0.4025915938668706</v>
      </c>
      <c r="AB1207" s="246">
        <f>_xlfn.XLOOKUP($F1207,'Budget Assumption Driver'!$A$33:$A$39,'Budget Assumption Driver'!N$33:N$39)+P1207</f>
        <v>-0.41033334448555109</v>
      </c>
      <c r="AC1207" s="246">
        <f>_xlfn.XLOOKUP($F1207,'Budget Assumption Driver'!$A$33:$A$39,'Budget Assumption Driver'!O$33:O$39)+Q1207</f>
        <v>-0.41157963633296674</v>
      </c>
      <c r="AD1207" s="296">
        <f>_xlfn.XLOOKUP($F1207,'Budget Assumption Driver'!$A$33:$A$39,'Budget Assumption Driver'!P$33:P$39)+R1207</f>
        <v>-0.41282867981076643</v>
      </c>
      <c r="AE1207" s="15"/>
      <c r="AF1207" s="232">
        <f>_xlfn.XLOOKUP($C1207,'Site Level Financials - ''23 ''24'!$C$2:$C$1577,'Site Level Financials - ''23 ''24'!$AF$2:$AF$1577)</f>
        <v>-0.35300288002936264</v>
      </c>
      <c r="AG1207" s="97">
        <f t="shared" ref="AG1207:AH1207" si="3513">AG1206/AG1203</f>
        <v>-0.38889141666218585</v>
      </c>
      <c r="AH1207" s="97">
        <f t="shared" si="3513"/>
        <v>-0.38611483425965948</v>
      </c>
    </row>
    <row r="1208" spans="2:34" ht="3" customHeight="1" x14ac:dyDescent="0.2">
      <c r="B1208" s="9">
        <f>G1191</f>
        <v>25</v>
      </c>
      <c r="C1208" s="9" t="str">
        <f t="shared" si="3480"/>
        <v xml:space="preserve">25 - </v>
      </c>
      <c r="D1208" s="9" t="s">
        <v>56</v>
      </c>
      <c r="F1208" s="16"/>
      <c r="G1208" s="84"/>
      <c r="H1208" s="85"/>
      <c r="I1208" s="85"/>
      <c r="J1208" s="85"/>
      <c r="K1208" s="85"/>
      <c r="L1208" s="85"/>
      <c r="M1208" s="85"/>
      <c r="N1208" s="85"/>
      <c r="O1208" s="85"/>
      <c r="P1208" s="85"/>
      <c r="Q1208" s="85"/>
      <c r="R1208" s="85"/>
      <c r="S1208" s="84"/>
      <c r="T1208" s="85"/>
      <c r="U1208" s="85"/>
      <c r="V1208" s="85"/>
      <c r="W1208" s="85"/>
      <c r="X1208" s="85"/>
      <c r="Y1208" s="85"/>
      <c r="Z1208" s="85"/>
      <c r="AA1208" s="85"/>
      <c r="AB1208" s="85"/>
      <c r="AC1208" s="85"/>
      <c r="AD1208" s="86"/>
      <c r="AE1208" s="15"/>
      <c r="AF1208" s="36"/>
      <c r="AG1208" s="38"/>
      <c r="AH1208" s="38"/>
    </row>
    <row r="1209" spans="2:34" x14ac:dyDescent="0.2">
      <c r="B1209" s="9">
        <f>G1191</f>
        <v>25</v>
      </c>
      <c r="C1209" s="9" t="str">
        <f t="shared" si="3480"/>
        <v>25 - Administrative Staff Compensation</v>
      </c>
      <c r="D1209" s="9" t="s">
        <v>56</v>
      </c>
      <c r="F1209" t="s">
        <v>5</v>
      </c>
      <c r="G1209" s="178">
        <f>_xlfn.XLOOKUP($C1209,'Site Level Financials - ''23 ''24'!$C$2:$C$1577,'Site Level Financials - ''23 ''24'!S$2:S$1577)</f>
        <v>-83.977494536092067</v>
      </c>
      <c r="H1209" s="179">
        <f>_xlfn.XLOOKUP($C1209,'Site Level Financials - ''23 ''24'!$C$2:$C$1577,'Site Level Financials - ''23 ''24'!T$2:T$1577)</f>
        <v>-85.175601381759435</v>
      </c>
      <c r="I1209" s="179">
        <f>_xlfn.XLOOKUP($C1209,'Site Level Financials - ''23 ''24'!$C$2:$C$1577,'Site Level Financials - ''23 ''24'!U$2:U$1577)</f>
        <v>-87.10792534849098</v>
      </c>
      <c r="J1209" s="179">
        <f>_xlfn.XLOOKUP($C1209,'Site Level Financials - ''23 ''24'!$C$2:$C$1577,'Site Level Financials - ''23 ''24'!V$2:V$1577)</f>
        <v>-105.41143340641007</v>
      </c>
      <c r="K1209" s="179">
        <f>_xlfn.XLOOKUP($C1209,'Site Level Financials - ''23 ''24'!$C$2:$C$1577,'Site Level Financials - ''23 ''24'!W$2:W$1577)</f>
        <v>-116.43709921202836</v>
      </c>
      <c r="L1209" s="179">
        <f>_xlfn.XLOOKUP($C1209,'Site Level Financials - ''23 ''24'!$C$2:$C$1577,'Site Level Financials - ''23 ''24'!X$2:X$1577)</f>
        <v>-105.37146717866536</v>
      </c>
      <c r="M1209" s="179">
        <f>_xlfn.XLOOKUP($C1209,'Site Level Financials - ''23 ''24'!$C$2:$C$1577,'Site Level Financials - ''23 ''24'!Y$2:Y$1577)</f>
        <v>-102.87456798327669</v>
      </c>
      <c r="N1209" s="179">
        <f>_xlfn.XLOOKUP($C1209,'Site Level Financials - ''23 ''24'!$C$2:$C$1577,'Site Level Financials - ''23 ''24'!Z$2:Z$1577)</f>
        <v>-92.117527892773538</v>
      </c>
      <c r="O1209" s="179">
        <f>_xlfn.XLOOKUP($C1209,'Site Level Financials - ''23 ''24'!$C$2:$C$1577,'Site Level Financials - ''23 ''24'!AA$2:AA$1577)</f>
        <v>-85.409771411788185</v>
      </c>
      <c r="P1209" s="179">
        <f>_xlfn.XLOOKUP($C1209,'Site Level Financials - ''23 ''24'!$C$2:$C$1577,'Site Level Financials - ''23 ''24'!AB$2:AB$1577)</f>
        <v>-86.889492920762137</v>
      </c>
      <c r="Q1209" s="179">
        <f>_xlfn.XLOOKUP($C1209,'Site Level Financials - ''23 ''24'!$C$2:$C$1577,'Site Level Financials - ''23 ''24'!AC$2:AC$1577)</f>
        <v>-78.847839654776109</v>
      </c>
      <c r="R1209" s="179">
        <f>_xlfn.XLOOKUP($C1209,'Site Level Financials - ''23 ''24'!$C$2:$C$1577,'Site Level Financials - ''23 ''24'!AD$2:AD$1577)</f>
        <v>-57.604207129829938</v>
      </c>
      <c r="S1209" s="155">
        <f>S1210*S1203</f>
        <v>-83.825443726242568</v>
      </c>
      <c r="T1209" s="154">
        <f t="shared" ref="T1209" si="3514">T1210*T1203</f>
        <v>-90.329499776454867</v>
      </c>
      <c r="U1209" s="154">
        <f t="shared" ref="U1209" si="3515">U1210*U1203</f>
        <v>-97.320391427903843</v>
      </c>
      <c r="V1209" s="154">
        <f t="shared" ref="V1209" si="3516">V1210*V1203</f>
        <v>-142.92959213142282</v>
      </c>
      <c r="W1209" s="154">
        <f t="shared" ref="W1209" si="3517">W1210*W1203</f>
        <v>-161.79415715785893</v>
      </c>
      <c r="X1209" s="154">
        <f t="shared" ref="X1209" si="3518">X1210*X1203</f>
        <v>-129.4841300265052</v>
      </c>
      <c r="Y1209" s="154">
        <f t="shared" ref="Y1209" si="3519">Y1210*Y1203</f>
        <v>-100.48650755680193</v>
      </c>
      <c r="Z1209" s="154">
        <f t="shared" ref="Z1209" si="3520">Z1210*Z1203</f>
        <v>-84.274553792547024</v>
      </c>
      <c r="AA1209" s="154">
        <f t="shared" ref="AA1209" si="3521">AA1210*AA1203</f>
        <v>-79.529021438783701</v>
      </c>
      <c r="AB1209" s="154">
        <f t="shared" ref="AB1209" si="3522">AB1210*AB1203</f>
        <v>-89.77788423188602</v>
      </c>
      <c r="AC1209" s="154">
        <f t="shared" ref="AC1209" si="3523">AC1210*AC1203</f>
        <v>-73.318154485885202</v>
      </c>
      <c r="AD1209" s="156">
        <f t="shared" ref="AD1209" si="3524">AD1210*AD1203</f>
        <v>-59.174232668381961</v>
      </c>
      <c r="AE1209" s="15"/>
      <c r="AF1209" s="115">
        <f>_xlfn.XLOOKUP($C1209,'Site Level Financials - ''23 ''24'!$C$2:$C$1577,'Site Level Financials - ''23 ''24'!$AF$2:$AF$1577)</f>
        <v>-854.95254367698556</v>
      </c>
      <c r="AG1209" s="93">
        <f>SUM(G1209:R1209)</f>
        <v>-1087.2244280566529</v>
      </c>
      <c r="AH1209" s="93">
        <f t="shared" ref="AH1209" si="3525">SUM(S1209:AD1209)</f>
        <v>-1192.2435684206744</v>
      </c>
    </row>
    <row r="1210" spans="2:34" x14ac:dyDescent="0.2">
      <c r="B1210" s="9">
        <f>G1191</f>
        <v>25</v>
      </c>
      <c r="C1210" s="9" t="str">
        <f t="shared" si="3480"/>
        <v>25 - % of Revenue - Administrative Staff Compensation</v>
      </c>
      <c r="D1210" s="9" t="s">
        <v>56</v>
      </c>
      <c r="F1210" s="16" t="str">
        <f>"% of Revenue - "&amp;F1209</f>
        <v>% of Revenue - Administrative Staff Compensation</v>
      </c>
      <c r="G1210" s="148">
        <f>G1209/G1203</f>
        <v>-0.21890179521931022</v>
      </c>
      <c r="H1210" s="149">
        <f t="shared" ref="H1210:R1210" si="3526">H1209/H1203</f>
        <v>-0.22780426493285863</v>
      </c>
      <c r="I1210" s="149">
        <f t="shared" si="3526"/>
        <v>-0.22856885200063035</v>
      </c>
      <c r="J1210" s="149">
        <f t="shared" si="3526"/>
        <v>-0.31338657104221984</v>
      </c>
      <c r="K1210" s="149">
        <f t="shared" si="3526"/>
        <v>-0.29848162862013272</v>
      </c>
      <c r="L1210" s="149">
        <f t="shared" si="3526"/>
        <v>-0.28446048812117475</v>
      </c>
      <c r="M1210" s="149">
        <f t="shared" si="3526"/>
        <v>-0.21912664902162757</v>
      </c>
      <c r="N1210" s="149">
        <f t="shared" si="3526"/>
        <v>-0.21431591450945831</v>
      </c>
      <c r="O1210" s="149">
        <f t="shared" si="3526"/>
        <v>-0.2205928591785726</v>
      </c>
      <c r="P1210" s="149">
        <f t="shared" si="3526"/>
        <v>-0.21682378562075505</v>
      </c>
      <c r="Q1210" s="149">
        <f t="shared" si="3526"/>
        <v>-0.22400837725824599</v>
      </c>
      <c r="R1210" s="149">
        <f t="shared" si="3526"/>
        <v>-0.22150426901842946</v>
      </c>
      <c r="S1210" s="245">
        <f>_xlfn.XLOOKUP($F1210,'Budget Assumption Driver'!$A$33:$A$39,'Budget Assumption Driver'!E$33:E$39)+G1210</f>
        <v>-0.21890179521931022</v>
      </c>
      <c r="T1210" s="246">
        <f>_xlfn.XLOOKUP($F1210,'Budget Assumption Driver'!$A$33:$A$39,'Budget Assumption Driver'!F$33:F$39)+H1210</f>
        <v>-0.22780426493285863</v>
      </c>
      <c r="U1210" s="246">
        <f>_xlfn.XLOOKUP($F1210,'Budget Assumption Driver'!$A$33:$A$39,'Budget Assumption Driver'!G$33:G$39)+I1210</f>
        <v>-0.22856885200063035</v>
      </c>
      <c r="V1210" s="246">
        <f>_xlfn.XLOOKUP($F1210,'Budget Assumption Driver'!$A$33:$A$39,'Budget Assumption Driver'!H$33:H$39)+J1210</f>
        <v>-0.31338657104221984</v>
      </c>
      <c r="W1210" s="246">
        <f>_xlfn.XLOOKUP($F1210,'Budget Assumption Driver'!$A$33:$A$39,'Budget Assumption Driver'!I$33:I$39)+K1210</f>
        <v>-0.29848162862013272</v>
      </c>
      <c r="X1210" s="246">
        <f>_xlfn.XLOOKUP($F1210,'Budget Assumption Driver'!$A$33:$A$39,'Budget Assumption Driver'!J$33:J$39)+L1210</f>
        <v>-0.28446048812117475</v>
      </c>
      <c r="Y1210" s="246">
        <f>_xlfn.XLOOKUP($F1210,'Budget Assumption Driver'!$A$33:$A$39,'Budget Assumption Driver'!K$33:K$39)+M1210</f>
        <v>-0.21912664902162757</v>
      </c>
      <c r="Z1210" s="246">
        <f>_xlfn.XLOOKUP($F1210,'Budget Assumption Driver'!$A$33:$A$39,'Budget Assumption Driver'!L$33:L$39)+N1210</f>
        <v>-0.21431591450945831</v>
      </c>
      <c r="AA1210" s="246">
        <f>_xlfn.XLOOKUP($F1210,'Budget Assumption Driver'!$A$33:$A$39,'Budget Assumption Driver'!M$33:M$39)+O1210</f>
        <v>-0.2205928591785726</v>
      </c>
      <c r="AB1210" s="246">
        <f>_xlfn.XLOOKUP($F1210,'Budget Assumption Driver'!$A$33:$A$39,'Budget Assumption Driver'!N$33:N$39)+P1210</f>
        <v>-0.21682378562075505</v>
      </c>
      <c r="AC1210" s="246">
        <f>_xlfn.XLOOKUP($F1210,'Budget Assumption Driver'!$A$33:$A$39,'Budget Assumption Driver'!O$33:O$39)+Q1210</f>
        <v>-0.22400837725824599</v>
      </c>
      <c r="AD1210" s="296">
        <f>_xlfn.XLOOKUP($F1210,'Budget Assumption Driver'!$A$33:$A$39,'Budget Assumption Driver'!P$33:P$39)+R1210</f>
        <v>-0.22150426901842946</v>
      </c>
      <c r="AE1210" s="15"/>
      <c r="AF1210" s="232">
        <f>_xlfn.XLOOKUP($C1210,'Site Level Financials - ''23 ''24'!$C$2:$C$1577,'Site Level Financials - ''23 ''24'!$AF$2:$AF$1577)</f>
        <v>-0.20351849100364341</v>
      </c>
      <c r="AG1210" s="97">
        <f t="shared" ref="AG1210:AH1210" si="3527">AG1209/AG1203</f>
        <v>-0.23975245496154127</v>
      </c>
      <c r="AH1210" s="97">
        <f t="shared" si="3527"/>
        <v>-0.24434201002913947</v>
      </c>
    </row>
    <row r="1211" spans="2:34" ht="3" customHeight="1" x14ac:dyDescent="0.2">
      <c r="B1211" s="9">
        <f>G1191</f>
        <v>25</v>
      </c>
      <c r="C1211" s="9" t="str">
        <f t="shared" si="3480"/>
        <v xml:space="preserve">25 - </v>
      </c>
      <c r="D1211" s="9" t="s">
        <v>56</v>
      </c>
      <c r="F1211" s="16"/>
      <c r="G1211" s="84"/>
      <c r="H1211" s="85"/>
      <c r="I1211" s="85"/>
      <c r="J1211" s="85"/>
      <c r="K1211" s="85"/>
      <c r="L1211" s="85"/>
      <c r="M1211" s="85"/>
      <c r="N1211" s="85"/>
      <c r="O1211" s="85"/>
      <c r="P1211" s="85"/>
      <c r="Q1211" s="85"/>
      <c r="R1211" s="85"/>
      <c r="S1211" s="84"/>
      <c r="T1211" s="85"/>
      <c r="U1211" s="85"/>
      <c r="V1211" s="85"/>
      <c r="W1211" s="85"/>
      <c r="X1211" s="85"/>
      <c r="Y1211" s="85"/>
      <c r="Z1211" s="85"/>
      <c r="AA1211" s="85"/>
      <c r="AB1211" s="85"/>
      <c r="AC1211" s="85"/>
      <c r="AD1211" s="86"/>
      <c r="AE1211" s="15"/>
      <c r="AF1211" s="36"/>
      <c r="AG1211" s="38"/>
      <c r="AH1211" s="38"/>
    </row>
    <row r="1212" spans="2:34" x14ac:dyDescent="0.2">
      <c r="B1212" s="9">
        <f>G1191</f>
        <v>25</v>
      </c>
      <c r="C1212" s="9" t="str">
        <f t="shared" si="3480"/>
        <v>25 - Office Supplies</v>
      </c>
      <c r="D1212" s="9" t="s">
        <v>56</v>
      </c>
      <c r="F1212" t="s">
        <v>6</v>
      </c>
      <c r="G1212" s="178">
        <f>_xlfn.XLOOKUP($C1212,'Site Level Financials - ''23 ''24'!$C$2:$C$1577,'Site Level Financials - ''23 ''24'!S$2:S$1577)</f>
        <v>-32.655042355081235</v>
      </c>
      <c r="H1212" s="179">
        <f>_xlfn.XLOOKUP($C1212,'Site Level Financials - ''23 ''24'!$C$2:$C$1577,'Site Level Financials - ''23 ''24'!T$2:T$1577)</f>
        <v>-31.784106339178916</v>
      </c>
      <c r="I1212" s="179">
        <f>_xlfn.XLOOKUP($C1212,'Site Level Financials - ''23 ''24'!$C$2:$C$1577,'Site Level Financials - ''23 ''24'!U$2:U$1577)</f>
        <v>-32.109503057009661</v>
      </c>
      <c r="J1212" s="179">
        <f>_xlfn.XLOOKUP($C1212,'Site Level Financials - ''23 ''24'!$C$2:$C$1577,'Site Level Financials - ''23 ''24'!V$2:V$1577)</f>
        <v>-39.410923968164944</v>
      </c>
      <c r="K1212" s="179">
        <f>_xlfn.XLOOKUP($C1212,'Site Level Financials - ''23 ''24'!$C$2:$C$1577,'Site Level Financials - ''23 ''24'!W$2:W$1577)</f>
        <v>-46.730946188087891</v>
      </c>
      <c r="L1212" s="179">
        <f>_xlfn.XLOOKUP($C1212,'Site Level Financials - ''23 ''24'!$C$2:$C$1577,'Site Level Financials - ''23 ''24'!X$2:X$1577)</f>
        <v>-42.897812764398971</v>
      </c>
      <c r="M1212" s="179">
        <f>_xlfn.XLOOKUP($C1212,'Site Level Financials - ''23 ''24'!$C$2:$C$1577,'Site Level Financials - ''23 ''24'!Y$2:Y$1577)</f>
        <v>-42.693626342499627</v>
      </c>
      <c r="N1212" s="179">
        <f>_xlfn.XLOOKUP($C1212,'Site Level Financials - ''23 ''24'!$C$2:$C$1577,'Site Level Financials - ''23 ''24'!Z$2:Z$1577)</f>
        <v>-39.743784268236773</v>
      </c>
      <c r="O1212" s="179">
        <f>_xlfn.XLOOKUP($C1212,'Site Level Financials - ''23 ''24'!$C$2:$C$1577,'Site Level Financials - ''23 ''24'!AA$2:AA$1577)</f>
        <v>-37.071329748931376</v>
      </c>
      <c r="P1212" s="179">
        <f>_xlfn.XLOOKUP($C1212,'Site Level Financials - ''23 ''24'!$C$2:$C$1577,'Site Level Financials - ''23 ''24'!AB$2:AB$1577)</f>
        <v>-37.452058756425757</v>
      </c>
      <c r="Q1212" s="179">
        <f>_xlfn.XLOOKUP($C1212,'Site Level Financials - ''23 ''24'!$C$2:$C$1577,'Site Level Financials - ''23 ''24'!AC$2:AC$1577)</f>
        <v>-33.134060203028604</v>
      </c>
      <c r="R1212" s="179">
        <f>_xlfn.XLOOKUP($C1212,'Site Level Financials - ''23 ''24'!$C$2:$C$1577,'Site Level Financials - ''23 ''24'!AD$2:AD$1577)</f>
        <v>-25.520743366023648</v>
      </c>
      <c r="S1212" s="155">
        <f>S1213*S1203</f>
        <v>-32.595916685005122</v>
      </c>
      <c r="T1212" s="154">
        <f t="shared" ref="T1212" si="3528">T1213*T1203</f>
        <v>-33.707333789069324</v>
      </c>
      <c r="U1212" s="154">
        <f t="shared" ref="U1212" si="3529">U1213*U1203</f>
        <v>-35.873996465440904</v>
      </c>
      <c r="V1212" s="154">
        <f t="shared" ref="V1212" si="3530">V1213*V1203</f>
        <v>-53.438105395783275</v>
      </c>
      <c r="W1212" s="154">
        <f t="shared" ref="W1212" si="3531">W1213*W1203</f>
        <v>-64.934579295237924</v>
      </c>
      <c r="X1212" s="154">
        <f t="shared" ref="X1212" si="3532">X1213*X1203</f>
        <v>-52.714326890977866</v>
      </c>
      <c r="Y1212" s="154">
        <f t="shared" ref="Y1212" si="3533">Y1213*Y1203</f>
        <v>-41.702565465842554</v>
      </c>
      <c r="Z1212" s="154">
        <f t="shared" ref="Z1212" si="3534">Z1213*Z1203</f>
        <v>-36.359960605235237</v>
      </c>
      <c r="AA1212" s="154">
        <f t="shared" ref="AA1212" si="3535">AA1213*AA1203</f>
        <v>-34.518844034279539</v>
      </c>
      <c r="AB1212" s="154">
        <f t="shared" ref="AB1212" si="3536">AB1213*AB1203</f>
        <v>-38.69704474333227</v>
      </c>
      <c r="AC1212" s="154">
        <f t="shared" ref="AC1212" si="3537">AC1213*AC1203</f>
        <v>-30.810332348314613</v>
      </c>
      <c r="AD1212" s="156">
        <f t="shared" ref="AD1212" si="3538">AD1213*AD1203</f>
        <v>-26.21632136013061</v>
      </c>
      <c r="AE1212" s="15"/>
      <c r="AF1212" s="115">
        <f>_xlfn.XLOOKUP($C1212,'Site Level Financials - ''23 ''24'!$C$2:$C$1577,'Site Level Financials - ''23 ''24'!$AF$2:$AF$1577)</f>
        <v>-319.98630931427522</v>
      </c>
      <c r="AG1212" s="93">
        <f>SUM(G1212:R1212)</f>
        <v>-441.20393735706733</v>
      </c>
      <c r="AH1212" s="93">
        <f t="shared" ref="AH1212" si="3539">SUM(S1212:AD1212)</f>
        <v>-481.56932707864928</v>
      </c>
    </row>
    <row r="1213" spans="2:34" x14ac:dyDescent="0.2">
      <c r="B1213" s="9">
        <f>G1191</f>
        <v>25</v>
      </c>
      <c r="C1213" s="9" t="str">
        <f t="shared" si="3480"/>
        <v>25 - % of Revenue - Office Supplies</v>
      </c>
      <c r="D1213" s="9" t="s">
        <v>56</v>
      </c>
      <c r="F1213" s="16" t="str">
        <f>"% of Revenue - "&amp;F1212</f>
        <v>% of Revenue - Office Supplies</v>
      </c>
      <c r="G1213" s="148">
        <f>G1212/G1203</f>
        <v>-8.5120989069490546E-2</v>
      </c>
      <c r="H1213" s="149">
        <f t="shared" ref="H1213:R1213" si="3540">H1212/H1203</f>
        <v>-8.5007383143584678E-2</v>
      </c>
      <c r="I1213" s="149">
        <f t="shared" si="3540"/>
        <v>-8.425447194029137E-2</v>
      </c>
      <c r="J1213" s="149">
        <f t="shared" si="3540"/>
        <v>-0.11716807109880163</v>
      </c>
      <c r="K1213" s="149">
        <f t="shared" si="3540"/>
        <v>-0.11979282393303856</v>
      </c>
      <c r="L1213" s="149">
        <f t="shared" si="3540"/>
        <v>-0.11580680316048962</v>
      </c>
      <c r="M1213" s="149">
        <f t="shared" si="3540"/>
        <v>-9.0939009109950578E-2</v>
      </c>
      <c r="N1213" s="149">
        <f t="shared" si="3540"/>
        <v>-9.246584951159971E-2</v>
      </c>
      <c r="O1213" s="149">
        <f t="shared" si="3540"/>
        <v>-9.5746312016704138E-2</v>
      </c>
      <c r="P1213" s="149">
        <f t="shared" si="3540"/>
        <v>-9.3457757501986732E-2</v>
      </c>
      <c r="Q1213" s="149">
        <f t="shared" si="3540"/>
        <v>-9.4134564631763756E-2</v>
      </c>
      <c r="R1213" s="149">
        <f t="shared" si="3540"/>
        <v>-9.8134387847006024E-2</v>
      </c>
      <c r="S1213" s="245">
        <f>_xlfn.XLOOKUP($F1213,'Budget Assumption Driver'!$A$33:$A$39,'Budget Assumption Driver'!E$33:E$39)+G1213</f>
        <v>-8.5120989069490546E-2</v>
      </c>
      <c r="T1213" s="246">
        <f>_xlfn.XLOOKUP($F1213,'Budget Assumption Driver'!$A$33:$A$39,'Budget Assumption Driver'!F$33:F$39)+H1213</f>
        <v>-8.5007383143584678E-2</v>
      </c>
      <c r="U1213" s="246">
        <f>_xlfn.XLOOKUP($F1213,'Budget Assumption Driver'!$A$33:$A$39,'Budget Assumption Driver'!G$33:G$39)+I1213</f>
        <v>-8.425447194029137E-2</v>
      </c>
      <c r="V1213" s="246">
        <f>_xlfn.XLOOKUP($F1213,'Budget Assumption Driver'!$A$33:$A$39,'Budget Assumption Driver'!H$33:H$39)+J1213</f>
        <v>-0.11716807109880163</v>
      </c>
      <c r="W1213" s="246">
        <f>_xlfn.XLOOKUP($F1213,'Budget Assumption Driver'!$A$33:$A$39,'Budget Assumption Driver'!I$33:I$39)+K1213</f>
        <v>-0.11979282393303856</v>
      </c>
      <c r="X1213" s="246">
        <f>_xlfn.XLOOKUP($F1213,'Budget Assumption Driver'!$A$33:$A$39,'Budget Assumption Driver'!J$33:J$39)+L1213</f>
        <v>-0.11580680316048962</v>
      </c>
      <c r="Y1213" s="246">
        <f>_xlfn.XLOOKUP($F1213,'Budget Assumption Driver'!$A$33:$A$39,'Budget Assumption Driver'!K$33:K$39)+M1213</f>
        <v>-9.0939009109950578E-2</v>
      </c>
      <c r="Z1213" s="246">
        <f>_xlfn.XLOOKUP($F1213,'Budget Assumption Driver'!$A$33:$A$39,'Budget Assumption Driver'!L$33:L$39)+N1213</f>
        <v>-9.246584951159971E-2</v>
      </c>
      <c r="AA1213" s="246">
        <f>_xlfn.XLOOKUP($F1213,'Budget Assumption Driver'!$A$33:$A$39,'Budget Assumption Driver'!M$33:M$39)+O1213</f>
        <v>-9.5746312016704138E-2</v>
      </c>
      <c r="AB1213" s="246">
        <f>_xlfn.XLOOKUP($F1213,'Budget Assumption Driver'!$A$33:$A$39,'Budget Assumption Driver'!N$33:N$39)+P1213</f>
        <v>-9.3457757501986732E-2</v>
      </c>
      <c r="AC1213" s="246">
        <f>_xlfn.XLOOKUP($F1213,'Budget Assumption Driver'!$A$33:$A$39,'Budget Assumption Driver'!O$33:O$39)+Q1213</f>
        <v>-9.4134564631763756E-2</v>
      </c>
      <c r="AD1213" s="296">
        <f>_xlfn.XLOOKUP($F1213,'Budget Assumption Driver'!$A$33:$A$39,'Budget Assumption Driver'!P$33:P$39)+R1213</f>
        <v>-9.8134387847006024E-2</v>
      </c>
      <c r="AE1213" s="15"/>
      <c r="AF1213" s="232">
        <f>_xlfn.XLOOKUP($C1213,'Site Level Financials - ''23 ''24'!$C$2:$C$1577,'Site Level Financials - ''23 ''24'!$AF$2:$AF$1577)</f>
        <v>-7.6171632326379649E-2</v>
      </c>
      <c r="AG1213" s="97">
        <f t="shared" ref="AG1213:AH1213" si="3541">AG1212/AG1203</f>
        <v>-9.7293368682977208E-2</v>
      </c>
      <c r="AH1213" s="97">
        <f t="shared" si="3541"/>
        <v>-9.8694277296582672E-2</v>
      </c>
    </row>
    <row r="1214" spans="2:34" ht="6" customHeight="1" x14ac:dyDescent="0.2">
      <c r="B1214" s="9">
        <f>G1191</f>
        <v>25</v>
      </c>
      <c r="C1214" s="9" t="str">
        <f t="shared" si="3480"/>
        <v xml:space="preserve">25 - </v>
      </c>
      <c r="D1214" s="9" t="s">
        <v>56</v>
      </c>
      <c r="F1214" s="16"/>
      <c r="G1214" s="80"/>
      <c r="H1214" s="63"/>
      <c r="I1214" s="63"/>
      <c r="J1214" s="63"/>
      <c r="K1214" s="63"/>
      <c r="L1214" s="63"/>
      <c r="M1214" s="63"/>
      <c r="N1214" s="63"/>
      <c r="O1214" s="63"/>
      <c r="P1214" s="63"/>
      <c r="Q1214" s="63"/>
      <c r="R1214" s="63"/>
      <c r="S1214" s="80"/>
      <c r="T1214" s="63"/>
      <c r="U1214" s="63"/>
      <c r="V1214" s="63"/>
      <c r="W1214" s="63"/>
      <c r="X1214" s="63"/>
      <c r="Y1214" s="63"/>
      <c r="Z1214" s="63"/>
      <c r="AA1214" s="63"/>
      <c r="AB1214" s="63"/>
      <c r="AC1214" s="63"/>
      <c r="AD1214" s="81"/>
      <c r="AE1214" s="15"/>
      <c r="AF1214" s="11"/>
      <c r="AG1214" s="15"/>
      <c r="AH1214" s="15"/>
    </row>
    <row r="1215" spans="2:34" x14ac:dyDescent="0.2">
      <c r="B1215" s="9">
        <f>G1191</f>
        <v>25</v>
      </c>
      <c r="C1215" s="9" t="str">
        <f t="shared" si="3480"/>
        <v>25 - Office Gross Profit</v>
      </c>
      <c r="D1215" s="9" t="s">
        <v>56</v>
      </c>
      <c r="F1215" s="8" t="s">
        <v>11</v>
      </c>
      <c r="G1215" s="241">
        <f>_xlfn.XLOOKUP($C1215,'Site Level Financials - ''23 ''24'!$C$2:$C$1577,'Site Level Financials - ''23 ''24'!S$2:S$1577)</f>
        <v>116.16193777252928</v>
      </c>
      <c r="H1215" s="242">
        <f>_xlfn.XLOOKUP($C1215,'Site Level Financials - ''23 ''24'!$C$2:$C$1577,'Site Level Financials - ''23 ''24'!T$2:T$1577)</f>
        <v>112.6842798668587</v>
      </c>
      <c r="I1215" s="242">
        <f>_xlfn.XLOOKUP($C1215,'Site Level Financials - ''23 ''24'!$C$2:$C$1577,'Site Level Financials - ''23 ''24'!U$2:U$1577)</f>
        <v>112.65454251632342</v>
      </c>
      <c r="J1215" s="242">
        <f>_xlfn.XLOOKUP($C1215,'Site Level Financials - ''23 ''24'!$C$2:$C$1577,'Site Level Financials - ''23 ''24'!V$2:V$1577)</f>
        <v>73.111759378795966</v>
      </c>
      <c r="K1215" s="242">
        <f>_xlfn.XLOOKUP($C1215,'Site Level Financials - ''23 ''24'!$C$2:$C$1577,'Site Level Financials - ''23 ''24'!W$2:W$1577)</f>
        <v>87.76017745654076</v>
      </c>
      <c r="L1215" s="242">
        <f>_xlfn.XLOOKUP($C1215,'Site Level Financials - ''23 ''24'!$C$2:$C$1577,'Site Level Financials - ''23 ''24'!X$2:X$1577)</f>
        <v>92.713433039229528</v>
      </c>
      <c r="M1215" s="242">
        <f>_xlfn.XLOOKUP($C1215,'Site Level Financials - ''23 ''24'!$C$2:$C$1577,'Site Level Financials - ''23 ''24'!Y$2:Y$1577)</f>
        <v>135.65731929214877</v>
      </c>
      <c r="N1215" s="242">
        <f>_xlfn.XLOOKUP($C1215,'Site Level Financials - ''23 ''24'!$C$2:$C$1577,'Site Level Financials - ''23 ''24'!Z$2:Z$1577)</f>
        <v>126.57705012727632</v>
      </c>
      <c r="O1215" s="242">
        <f>_xlfn.XLOOKUP($C1215,'Site Level Financials - ''23 ''24'!$C$2:$C$1577,'Site Level Financials - ''23 ''24'!AA$2:AA$1577)</f>
        <v>108.82518680033512</v>
      </c>
      <c r="P1215" s="242">
        <f>_xlfn.XLOOKUP($C1215,'Site Level Financials - ''23 ''24'!$C$2:$C$1577,'Site Level Financials - ''23 ''24'!AB$2:AB$1577)</f>
        <v>111.96018313131891</v>
      </c>
      <c r="Q1215" s="242">
        <f>_xlfn.XLOOKUP($C1215,'Site Level Financials - ''23 ''24'!$C$2:$C$1577,'Site Level Financials - ''23 ''24'!AC$2:AC$1577)</f>
        <v>95.133901130907674</v>
      </c>
      <c r="R1215" s="242">
        <f>_xlfn.XLOOKUP($C1215,'Site Level Financials - ''23 ''24'!$C$2:$C$1577,'Site Level Financials - ''23 ''24'!AD$2:AD$1577)</f>
        <v>69.574311232876966</v>
      </c>
      <c r="S1215" s="134">
        <f t="shared" ref="S1215:AD1215" si="3542">S1203+S1206+S1209+S1212</f>
        <v>115.95161336585853</v>
      </c>
      <c r="T1215" s="135">
        <f t="shared" si="3542"/>
        <v>119.50270344933763</v>
      </c>
      <c r="U1215" s="135">
        <f t="shared" si="3542"/>
        <v>125.8620743170984</v>
      </c>
      <c r="V1215" s="135">
        <f t="shared" si="3542"/>
        <v>99.133780941324147</v>
      </c>
      <c r="W1215" s="135">
        <f t="shared" si="3542"/>
        <v>121.94639028020653</v>
      </c>
      <c r="X1215" s="135">
        <f t="shared" si="3542"/>
        <v>113.92949666820166</v>
      </c>
      <c r="Y1215" s="135">
        <f t="shared" si="3542"/>
        <v>132.50826231806843</v>
      </c>
      <c r="Z1215" s="135">
        <f t="shared" si="3542"/>
        <v>115.80015946878109</v>
      </c>
      <c r="AA1215" s="135">
        <f t="shared" si="3542"/>
        <v>101.33220673775239</v>
      </c>
      <c r="AB1215" s="135">
        <f t="shared" si="3542"/>
        <v>115.68197743898335</v>
      </c>
      <c r="AC1215" s="135">
        <f t="shared" si="3542"/>
        <v>88.462056671432364</v>
      </c>
      <c r="AD1215" s="136">
        <f t="shared" si="3542"/>
        <v>71.470586711794553</v>
      </c>
      <c r="AE1215" s="15"/>
      <c r="AF1215" s="114">
        <f>_xlfn.XLOOKUP($C1215,'Site Level Financials - ''23 ''24'!$C$2:$C$1577,'Site Level Financials - ''23 ''24'!$AF$2:$AF$1577)</f>
        <v>1479.0077473607316</v>
      </c>
      <c r="AG1215" s="95">
        <f>SUM(G1215:R1215)</f>
        <v>1242.8140817451413</v>
      </c>
      <c r="AH1215" s="95">
        <f t="shared" ref="AH1215" si="3543">SUM(S1215:AD1215)</f>
        <v>1321.581308368839</v>
      </c>
    </row>
    <row r="1216" spans="2:34" x14ac:dyDescent="0.2">
      <c r="B1216" s="9">
        <f>G1191</f>
        <v>25</v>
      </c>
      <c r="C1216" s="9" t="str">
        <f t="shared" si="3480"/>
        <v>25 - % of Revenue - Office Gross Profit</v>
      </c>
      <c r="D1216" s="9" t="s">
        <v>56</v>
      </c>
      <c r="F1216" s="16" t="str">
        <f>"% of Revenue - "&amp;F1215</f>
        <v>% of Revenue - Office Gross Profit</v>
      </c>
      <c r="G1216" s="148">
        <f>G1215/G1203</f>
        <v>0.30279608667810309</v>
      </c>
      <c r="H1216" s="149">
        <f t="shared" ref="H1216:AD1216" si="3544">H1215/H1203</f>
        <v>0.30137690991466898</v>
      </c>
      <c r="I1216" s="149">
        <f t="shared" si="3544"/>
        <v>0.29560248797795891</v>
      </c>
      <c r="J1216" s="149">
        <f t="shared" si="3544"/>
        <v>0.21736013669643764</v>
      </c>
      <c r="K1216" s="149">
        <f t="shared" si="3544"/>
        <v>0.22496954039983613</v>
      </c>
      <c r="L1216" s="149">
        <f t="shared" si="3544"/>
        <v>0.25028889816074334</v>
      </c>
      <c r="M1216" s="149">
        <f t="shared" si="3544"/>
        <v>0.2889551263688207</v>
      </c>
      <c r="N1216" s="149">
        <f t="shared" si="3544"/>
        <v>0.29448767107073959</v>
      </c>
      <c r="O1216" s="149">
        <f t="shared" si="3544"/>
        <v>0.28106923493785263</v>
      </c>
      <c r="P1216" s="149">
        <f t="shared" si="3544"/>
        <v>0.2793851123917071</v>
      </c>
      <c r="Q1216" s="149">
        <f t="shared" si="3544"/>
        <v>0.27027742177702352</v>
      </c>
      <c r="R1216" s="149">
        <f t="shared" si="3544"/>
        <v>0.26753266332379799</v>
      </c>
      <c r="S1216" s="148">
        <f t="shared" si="3544"/>
        <v>0.30279608667810315</v>
      </c>
      <c r="T1216" s="149">
        <f t="shared" si="3544"/>
        <v>0.30137690991466898</v>
      </c>
      <c r="U1216" s="149">
        <f t="shared" si="3544"/>
        <v>0.29560248797795891</v>
      </c>
      <c r="V1216" s="149">
        <f t="shared" si="3544"/>
        <v>0.21736013669643764</v>
      </c>
      <c r="W1216" s="149">
        <f t="shared" si="3544"/>
        <v>0.22496954039983605</v>
      </c>
      <c r="X1216" s="149">
        <f t="shared" si="3544"/>
        <v>0.25028889816074323</v>
      </c>
      <c r="Y1216" s="149">
        <f t="shared" si="3544"/>
        <v>0.28895512636882054</v>
      </c>
      <c r="Z1216" s="149">
        <f t="shared" si="3544"/>
        <v>0.29448767107073948</v>
      </c>
      <c r="AA1216" s="149">
        <f t="shared" si="3544"/>
        <v>0.28106923493785269</v>
      </c>
      <c r="AB1216" s="149">
        <f t="shared" si="3544"/>
        <v>0.27938511239170716</v>
      </c>
      <c r="AC1216" s="149">
        <f t="shared" si="3544"/>
        <v>0.27027742177702346</v>
      </c>
      <c r="AD1216" s="150">
        <f t="shared" si="3544"/>
        <v>0.26753266332379816</v>
      </c>
      <c r="AE1216" s="15"/>
      <c r="AF1216" s="233">
        <f>_xlfn.XLOOKUP($C1216,'Site Level Financials - ''23 ''24'!$C$2:$C$1577,'Site Level Financials - ''23 ''24'!$AF$2:$AF$1577)</f>
        <v>0.35207267017533844</v>
      </c>
      <c r="AG1216" s="97">
        <f t="shared" ref="AG1216:AH1216" si="3545">AG1215/AG1203</f>
        <v>0.27406275969329563</v>
      </c>
      <c r="AH1216" s="97">
        <f t="shared" si="3545"/>
        <v>0.27084887841461852</v>
      </c>
    </row>
    <row r="1217" spans="2:34" ht="6" customHeight="1" x14ac:dyDescent="0.2">
      <c r="B1217" s="9">
        <f>G1191</f>
        <v>25</v>
      </c>
      <c r="C1217" s="9" t="str">
        <f t="shared" si="3480"/>
        <v xml:space="preserve">25 - </v>
      </c>
      <c r="D1217" s="9" t="s">
        <v>56</v>
      </c>
      <c r="F1217" s="16"/>
      <c r="G1217" s="80"/>
      <c r="H1217" s="63"/>
      <c r="I1217" s="63"/>
      <c r="J1217" s="63"/>
      <c r="K1217" s="63"/>
      <c r="L1217" s="63"/>
      <c r="M1217" s="63"/>
      <c r="N1217" s="63"/>
      <c r="O1217" s="63"/>
      <c r="P1217" s="63"/>
      <c r="Q1217" s="63"/>
      <c r="R1217" s="63"/>
      <c r="S1217" s="80"/>
      <c r="T1217" s="63"/>
      <c r="U1217" s="63"/>
      <c r="V1217" s="63"/>
      <c r="W1217" s="63"/>
      <c r="X1217" s="63"/>
      <c r="Y1217" s="63"/>
      <c r="Z1217" s="63"/>
      <c r="AA1217" s="63"/>
      <c r="AB1217" s="63"/>
      <c r="AC1217" s="63"/>
      <c r="AD1217" s="81"/>
      <c r="AE1217" s="15"/>
      <c r="AF1217" s="11"/>
      <c r="AG1217" s="15"/>
      <c r="AH1217" s="15"/>
    </row>
    <row r="1218" spans="2:34" x14ac:dyDescent="0.2">
      <c r="B1218" s="9">
        <f>G1191</f>
        <v>25</v>
      </c>
      <c r="C1218" s="9" t="str">
        <f t="shared" si="3480"/>
        <v>25 - General and Administrative Expense</v>
      </c>
      <c r="D1218" s="9" t="s">
        <v>56</v>
      </c>
      <c r="F1218" t="s">
        <v>10</v>
      </c>
      <c r="G1218" s="178">
        <f>_xlfn.XLOOKUP($C1218,'Site Level Financials - ''23 ''24'!$C$2:$C$1577,'Site Level Financials - ''23 ''24'!S$2:S$1577)</f>
        <v>-28.733470182112406</v>
      </c>
      <c r="H1218" s="179">
        <f>_xlfn.XLOOKUP($C1218,'Site Level Financials - ''23 ''24'!$C$2:$C$1577,'Site Level Financials - ''23 ''24'!T$2:T$1577)</f>
        <v>-29.775963298246772</v>
      </c>
      <c r="I1218" s="179">
        <f>_xlfn.XLOOKUP($C1218,'Site Level Financials - ''23 ''24'!$C$2:$C$1577,'Site Level Financials - ''23 ''24'!U$2:U$1577)</f>
        <v>-29.741735559028125</v>
      </c>
      <c r="J1218" s="179">
        <f>_xlfn.XLOOKUP($C1218,'Site Level Financials - ''23 ''24'!$C$2:$C$1577,'Site Level Financials - ''23 ''24'!V$2:V$1577)</f>
        <v>-32.981154567081163</v>
      </c>
      <c r="K1218" s="179">
        <f>_xlfn.XLOOKUP($C1218,'Site Level Financials - ''23 ''24'!$C$2:$C$1577,'Site Level Financials - ''23 ''24'!W$2:W$1577)</f>
        <v>-39.714161193947483</v>
      </c>
      <c r="L1218" s="179">
        <f>_xlfn.XLOOKUP($C1218,'Site Level Financials - ''23 ''24'!$C$2:$C$1577,'Site Level Financials - ''23 ''24'!X$2:X$1577)</f>
        <v>-36.172566099895057</v>
      </c>
      <c r="M1218" s="179">
        <f>_xlfn.XLOOKUP($C1218,'Site Level Financials - ''23 ''24'!$C$2:$C$1577,'Site Level Financials - ''23 ''24'!Y$2:Y$1577)</f>
        <v>-35.767507532764519</v>
      </c>
      <c r="N1218" s="179">
        <f>_xlfn.XLOOKUP($C1218,'Site Level Financials - ''23 ''24'!$C$2:$C$1577,'Site Level Financials - ''23 ''24'!Z$2:Z$1577)</f>
        <v>-31.807660042551426</v>
      </c>
      <c r="O1218" s="179">
        <f>_xlfn.XLOOKUP($C1218,'Site Level Financials - ''23 ''24'!$C$2:$C$1577,'Site Level Financials - ''23 ''24'!AA$2:AA$1577)</f>
        <v>-28.698497915629883</v>
      </c>
      <c r="P1218" s="179">
        <f>_xlfn.XLOOKUP($C1218,'Site Level Financials - ''23 ''24'!$C$2:$C$1577,'Site Level Financials - ''23 ''24'!AB$2:AB$1577)</f>
        <v>-29.499717890838127</v>
      </c>
      <c r="Q1218" s="179">
        <f>_xlfn.XLOOKUP($C1218,'Site Level Financials - ''23 ''24'!$C$2:$C$1577,'Site Level Financials - ''23 ''24'!AC$2:AC$1577)</f>
        <v>-26.493325515297133</v>
      </c>
      <c r="R1218" s="179">
        <f>_xlfn.XLOOKUP($C1218,'Site Level Financials - ''23 ''24'!$C$2:$C$1577,'Site Level Financials - ''23 ''24'!AD$2:AD$1577)</f>
        <v>-18.687648750668266</v>
      </c>
      <c r="S1218" s="155">
        <f>S1219*S1203</f>
        <v>-28.681444964700148</v>
      </c>
      <c r="T1218" s="154">
        <f t="shared" ref="T1218" si="3546">T1219*T1203</f>
        <v>-31.577679833895541</v>
      </c>
      <c r="U1218" s="154">
        <f t="shared" ref="U1218" si="3547">U1219*U1203</f>
        <v>-33.228633729594002</v>
      </c>
      <c r="V1218" s="154">
        <f t="shared" ref="V1218" si="3548">V1219*V1203</f>
        <v>-44.719845067676182</v>
      </c>
      <c r="W1218" s="154">
        <f t="shared" ref="W1218" si="3549">W1219*W1203</f>
        <v>-55.184466815902113</v>
      </c>
      <c r="X1218" s="154">
        <f t="shared" ref="X1218" si="3550">X1219*X1203</f>
        <v>-44.450109481055918</v>
      </c>
      <c r="Y1218" s="154">
        <f t="shared" ref="Y1218" si="3551">Y1219*Y1203</f>
        <v>-34.937224879169143</v>
      </c>
      <c r="Z1218" s="154">
        <f t="shared" ref="Z1218" si="3552">Z1219*Z1203</f>
        <v>-29.099525558168342</v>
      </c>
      <c r="AA1218" s="154">
        <f t="shared" ref="AA1218" si="3553">AA1219*AA1203</f>
        <v>-26.7225098284013</v>
      </c>
      <c r="AB1218" s="154">
        <f t="shared" ref="AB1218" si="3554">AB1219*AB1203</f>
        <v>-30.480351175396549</v>
      </c>
      <c r="AC1218" s="154">
        <f t="shared" ref="AC1218" si="3555">AC1219*AC1203</f>
        <v>-24.63531964198512</v>
      </c>
      <c r="AD1218" s="156">
        <f t="shared" ref="AD1218" si="3556">AD1219*AD1203</f>
        <v>-19.196988037778173</v>
      </c>
      <c r="AE1218" s="15"/>
      <c r="AF1218" s="115">
        <f>_xlfn.XLOOKUP($C1218,'Site Level Financials - ''23 ''24'!$C$2:$C$1577,'Site Level Financials - ''23 ''24'!$AF$2:$AF$1577)</f>
        <v>-390.78582526278075</v>
      </c>
      <c r="AG1218" s="93">
        <f>SUM(G1218:R1218)</f>
        <v>-368.0734085480604</v>
      </c>
      <c r="AH1218" s="93">
        <f t="shared" ref="AH1218" si="3557">SUM(S1218:AD1218)</f>
        <v>-402.91409901372253</v>
      </c>
    </row>
    <row r="1219" spans="2:34" x14ac:dyDescent="0.2">
      <c r="B1219" s="9">
        <f>G1191</f>
        <v>25</v>
      </c>
      <c r="C1219" s="9" t="str">
        <f t="shared" si="3480"/>
        <v>25 - % of Revenue - General and Administrative Expense</v>
      </c>
      <c r="D1219" s="9" t="s">
        <v>56</v>
      </c>
      <c r="F1219" s="16" t="str">
        <f>"% of Revenue - "&amp;F1218</f>
        <v>% of Revenue - General and Administrative Expense</v>
      </c>
      <c r="G1219" s="148">
        <f>G1218/G1203</f>
        <v>-7.4898736149381973E-2</v>
      </c>
      <c r="H1219" s="149">
        <f t="shared" ref="H1219:R1219" si="3558">H1218/H1203</f>
        <v>-7.9636554621115935E-2</v>
      </c>
      <c r="I1219" s="149">
        <f t="shared" si="3558"/>
        <v>-7.804151374328594E-2</v>
      </c>
      <c r="J1219" s="149">
        <f t="shared" si="3558"/>
        <v>-9.8052465513313966E-2</v>
      </c>
      <c r="K1219" s="149">
        <f t="shared" si="3558"/>
        <v>-0.10180558939265781</v>
      </c>
      <c r="L1219" s="149">
        <f t="shared" si="3558"/>
        <v>-9.7651347987066497E-2</v>
      </c>
      <c r="M1219" s="149">
        <f t="shared" si="3558"/>
        <v>-7.6186118913127251E-2</v>
      </c>
      <c r="N1219" s="149">
        <f t="shared" si="3558"/>
        <v>-7.4002070033407155E-2</v>
      </c>
      <c r="O1219" s="149">
        <f t="shared" si="3558"/>
        <v>-7.4121304912722744E-2</v>
      </c>
      <c r="P1219" s="149">
        <f t="shared" si="3558"/>
        <v>-7.3613509445484004E-2</v>
      </c>
      <c r="Q1219" s="149">
        <f t="shared" si="3558"/>
        <v>-7.5268097170962958E-2</v>
      </c>
      <c r="R1219" s="149">
        <f t="shared" si="3558"/>
        <v>-7.1859230122905113E-2</v>
      </c>
      <c r="S1219" s="245">
        <f>_xlfn.XLOOKUP($F1219,'Budget Assumption Driver'!$A$33:$A$39,'Budget Assumption Driver'!E$33:E$39)+G1219</f>
        <v>-7.4898736149381973E-2</v>
      </c>
      <c r="T1219" s="246">
        <f>_xlfn.XLOOKUP($F1219,'Budget Assumption Driver'!$A$33:$A$39,'Budget Assumption Driver'!F$33:F$39)+H1219</f>
        <v>-7.9636554621115935E-2</v>
      </c>
      <c r="U1219" s="246">
        <f>_xlfn.XLOOKUP($F1219,'Budget Assumption Driver'!$A$33:$A$39,'Budget Assumption Driver'!G$33:G$39)+I1219</f>
        <v>-7.804151374328594E-2</v>
      </c>
      <c r="V1219" s="246">
        <f>_xlfn.XLOOKUP($F1219,'Budget Assumption Driver'!$A$33:$A$39,'Budget Assumption Driver'!H$33:H$39)+J1219</f>
        <v>-9.8052465513313966E-2</v>
      </c>
      <c r="W1219" s="246">
        <f>_xlfn.XLOOKUP($F1219,'Budget Assumption Driver'!$A$33:$A$39,'Budget Assumption Driver'!I$33:I$39)+K1219</f>
        <v>-0.10180558939265781</v>
      </c>
      <c r="X1219" s="246">
        <f>_xlfn.XLOOKUP($F1219,'Budget Assumption Driver'!$A$33:$A$39,'Budget Assumption Driver'!J$33:J$39)+L1219</f>
        <v>-9.7651347987066497E-2</v>
      </c>
      <c r="Y1219" s="246">
        <f>_xlfn.XLOOKUP($F1219,'Budget Assumption Driver'!$A$33:$A$39,'Budget Assumption Driver'!K$33:K$39)+M1219</f>
        <v>-7.6186118913127251E-2</v>
      </c>
      <c r="Z1219" s="246">
        <f>_xlfn.XLOOKUP($F1219,'Budget Assumption Driver'!$A$33:$A$39,'Budget Assumption Driver'!L$33:L$39)+N1219</f>
        <v>-7.4002070033407155E-2</v>
      </c>
      <c r="AA1219" s="246">
        <f>_xlfn.XLOOKUP($F1219,'Budget Assumption Driver'!$A$33:$A$39,'Budget Assumption Driver'!M$33:M$39)+O1219</f>
        <v>-7.4121304912722744E-2</v>
      </c>
      <c r="AB1219" s="246">
        <f>_xlfn.XLOOKUP($F1219,'Budget Assumption Driver'!$A$33:$A$39,'Budget Assumption Driver'!N$33:N$39)+P1219</f>
        <v>-7.3613509445484004E-2</v>
      </c>
      <c r="AC1219" s="246">
        <f>_xlfn.XLOOKUP($F1219,'Budget Assumption Driver'!$A$33:$A$39,'Budget Assumption Driver'!O$33:O$39)+Q1219</f>
        <v>-7.5268097170962958E-2</v>
      </c>
      <c r="AD1219" s="296">
        <f>_xlfn.XLOOKUP($F1219,'Budget Assumption Driver'!$A$33:$A$39,'Budget Assumption Driver'!P$33:P$39)+R1219</f>
        <v>-7.1859230122905113E-2</v>
      </c>
      <c r="AE1219" s="15"/>
      <c r="AF1219" s="232">
        <f>_xlfn.XLOOKUP($C1219,'Site Level Financials - ''23 ''24'!$C$2:$C$1577,'Site Level Financials - ''23 ''24'!$AF$2:$AF$1577)</f>
        <v>-9.3025211810052355E-2</v>
      </c>
      <c r="AG1219" s="97">
        <f t="shared" ref="AG1219:AH1219" si="3559">AG1218/AG1203</f>
        <v>-8.1166777555941289E-2</v>
      </c>
      <c r="AH1219" s="97">
        <f t="shared" si="3559"/>
        <v>-8.2574436490778988E-2</v>
      </c>
    </row>
    <row r="1220" spans="2:34" ht="3" customHeight="1" x14ac:dyDescent="0.2">
      <c r="B1220" s="9">
        <f>G1191</f>
        <v>25</v>
      </c>
      <c r="C1220" s="9" t="str">
        <f t="shared" si="3480"/>
        <v xml:space="preserve">25 - </v>
      </c>
      <c r="D1220" s="9" t="s">
        <v>56</v>
      </c>
      <c r="F1220" s="16"/>
      <c r="G1220" s="84"/>
      <c r="H1220" s="85"/>
      <c r="I1220" s="85"/>
      <c r="J1220" s="85"/>
      <c r="K1220" s="85"/>
      <c r="L1220" s="85"/>
      <c r="M1220" s="85"/>
      <c r="N1220" s="85"/>
      <c r="O1220" s="85"/>
      <c r="P1220" s="85"/>
      <c r="Q1220" s="85"/>
      <c r="R1220" s="85"/>
      <c r="S1220" s="84"/>
      <c r="T1220" s="85"/>
      <c r="U1220" s="85"/>
      <c r="V1220" s="85"/>
      <c r="W1220" s="85"/>
      <c r="X1220" s="85"/>
      <c r="Y1220" s="85"/>
      <c r="Z1220" s="85"/>
      <c r="AA1220" s="85"/>
      <c r="AB1220" s="85"/>
      <c r="AC1220" s="85"/>
      <c r="AD1220" s="86"/>
      <c r="AE1220" s="15"/>
      <c r="AF1220" s="36"/>
      <c r="AG1220" s="38"/>
      <c r="AH1220" s="38"/>
    </row>
    <row r="1221" spans="2:34" x14ac:dyDescent="0.2">
      <c r="B1221" s="9">
        <f>G1191</f>
        <v>25</v>
      </c>
      <c r="C1221" s="9" t="str">
        <f t="shared" si="3480"/>
        <v>25 - Marketing</v>
      </c>
      <c r="D1221" s="9" t="s">
        <v>56</v>
      </c>
      <c r="F1221" t="s">
        <v>7</v>
      </c>
      <c r="G1221" s="178">
        <f>_xlfn.XLOOKUP($C1221,'Site Level Financials - ''23 ''24'!$C$2:$C$1577,'Site Level Financials - ''23 ''24'!S$2:S$1577)</f>
        <v>-16.476045362619963</v>
      </c>
      <c r="H1221" s="179">
        <f>_xlfn.XLOOKUP($C1221,'Site Level Financials - ''23 ''24'!$C$2:$C$1577,'Site Level Financials - ''23 ''24'!T$2:T$1577)</f>
        <v>-14.890918080985724</v>
      </c>
      <c r="I1221" s="179">
        <f>_xlfn.XLOOKUP($C1221,'Site Level Financials - ''23 ''24'!$C$2:$C$1577,'Site Level Financials - ''23 ''24'!U$2:U$1577)</f>
        <v>-16.097295231097334</v>
      </c>
      <c r="J1221" s="179">
        <f>_xlfn.XLOOKUP($C1221,'Site Level Financials - ''23 ''24'!$C$2:$C$1577,'Site Level Financials - ''23 ''24'!V$2:V$1577)</f>
        <v>-18.835262151634421</v>
      </c>
      <c r="K1221" s="179">
        <f>_xlfn.XLOOKUP($C1221,'Site Level Financials - ''23 ''24'!$C$2:$C$1577,'Site Level Financials - ''23 ''24'!W$2:W$1577)</f>
        <v>-19.862682866816044</v>
      </c>
      <c r="L1221" s="179">
        <f>_xlfn.XLOOKUP($C1221,'Site Level Financials - ''23 ''24'!$C$2:$C$1577,'Site Level Financials - ''23 ''24'!X$2:X$1577)</f>
        <v>-18.200445296562187</v>
      </c>
      <c r="M1221" s="179">
        <f>_xlfn.XLOOKUP($C1221,'Site Level Financials - ''23 ''24'!$C$2:$C$1577,'Site Level Financials - ''23 ''24'!Y$2:Y$1577)</f>
        <v>-15.714763664715759</v>
      </c>
      <c r="N1221" s="179">
        <f>_xlfn.XLOOKUP($C1221,'Site Level Financials - ''23 ''24'!$C$2:$C$1577,'Site Level Financials - ''23 ''24'!Z$2:Z$1577)</f>
        <v>-16.257837657038795</v>
      </c>
      <c r="O1221" s="179">
        <f>_xlfn.XLOOKUP($C1221,'Site Level Financials - ''23 ''24'!$C$2:$C$1577,'Site Level Financials - ''23 ''24'!AA$2:AA$1577)</f>
        <v>-13.584408216564622</v>
      </c>
      <c r="P1221" s="179">
        <f>_xlfn.XLOOKUP($C1221,'Site Level Financials - ''23 ''24'!$C$2:$C$1577,'Site Level Financials - ''23 ''24'!AB$2:AB$1577)</f>
        <v>-14.291257373816251</v>
      </c>
      <c r="Q1221" s="179">
        <f>_xlfn.XLOOKUP($C1221,'Site Level Financials - ''23 ''24'!$C$2:$C$1577,'Site Level Financials - ''23 ''24'!AC$2:AC$1577)</f>
        <v>-12.219892398373096</v>
      </c>
      <c r="R1221" s="179">
        <f>_xlfn.XLOOKUP($C1221,'Site Level Financials - ''23 ''24'!$C$2:$C$1577,'Site Level Financials - ''23 ''24'!AD$2:AD$1577)</f>
        <v>-9.1412742026827125</v>
      </c>
      <c r="S1221" s="155">
        <f>S1222*S1203</f>
        <v>-16.446213607643912</v>
      </c>
      <c r="T1221" s="154">
        <f t="shared" ref="T1221" si="3560">T1222*T1203</f>
        <v>-15.791954029639077</v>
      </c>
      <c r="U1221" s="154">
        <f t="shared" ref="U1221" si="3561">U1222*U1203</f>
        <v>-17.984529726238755</v>
      </c>
      <c r="V1221" s="154">
        <f t="shared" ref="V1221" si="3562">V1222*V1203</f>
        <v>-25.539130339326412</v>
      </c>
      <c r="W1221" s="154">
        <f t="shared" ref="W1221" si="3563">W1222*W1203</f>
        <v>-27.600017993220185</v>
      </c>
      <c r="X1221" s="154">
        <f t="shared" ref="X1221" si="3564">X1222*X1203</f>
        <v>-22.365341286597456</v>
      </c>
      <c r="Y1221" s="154">
        <f t="shared" ref="Y1221" si="3565">Y1222*Y1203</f>
        <v>-15.349971802598663</v>
      </c>
      <c r="Z1221" s="154">
        <f t="shared" ref="Z1221" si="3566">Z1222*Z1203</f>
        <v>-14.873629867417407</v>
      </c>
      <c r="AA1221" s="154">
        <f t="shared" ref="AA1221" si="3567">AA1222*AA1203</f>
        <v>-12.649076029949985</v>
      </c>
      <c r="AB1221" s="154">
        <f t="shared" ref="AB1221" si="3568">AB1222*AB1203</f>
        <v>-14.766329125716215</v>
      </c>
      <c r="AC1221" s="154">
        <f t="shared" ref="AC1221" si="3569">AC1222*AC1203</f>
        <v>-11.362897989184697</v>
      </c>
      <c r="AD1221" s="156">
        <f t="shared" ref="AD1221" si="3570">AD1222*AD1203</f>
        <v>-9.3904232608543072</v>
      </c>
      <c r="AE1221" s="15"/>
      <c r="AF1221" s="115">
        <f>_xlfn.XLOOKUP($C1221,'Site Level Financials - ''23 ''24'!$C$2:$C$1577,'Site Level Financials - ''23 ''24'!$AF$2:$AF$1577)</f>
        <v>-229.54335102843706</v>
      </c>
      <c r="AG1221" s="93">
        <f>SUM(G1221:R1221)</f>
        <v>-185.57208250290691</v>
      </c>
      <c r="AH1221" s="93">
        <f t="shared" ref="AH1221" si="3571">SUM(S1221:AD1221)</f>
        <v>-204.11951505838707</v>
      </c>
    </row>
    <row r="1222" spans="2:34" x14ac:dyDescent="0.2">
      <c r="B1222" s="9">
        <f>G1191</f>
        <v>25</v>
      </c>
      <c r="C1222" s="9" t="str">
        <f t="shared" si="3480"/>
        <v>25 - % of Revenue - Marketing</v>
      </c>
      <c r="D1222" s="9" t="s">
        <v>56</v>
      </c>
      <c r="F1222" s="16" t="str">
        <f>"% of Revenue - "&amp;F1221</f>
        <v>% of Revenue - Marketing</v>
      </c>
      <c r="G1222" s="148">
        <f>G1221/G1203</f>
        <v>-4.2947648389798435E-2</v>
      </c>
      <c r="H1222" s="149">
        <f t="shared" ref="H1222:R1222" si="3572">H1221/H1203</f>
        <v>-3.9826130870627675E-2</v>
      </c>
      <c r="I1222" s="149">
        <f t="shared" si="3572"/>
        <v>-4.2238869500878067E-2</v>
      </c>
      <c r="J1222" s="149">
        <f t="shared" si="3572"/>
        <v>-5.5996944824991547E-2</v>
      </c>
      <c r="K1222" s="149">
        <f t="shared" si="3572"/>
        <v>-5.0917155880503155E-2</v>
      </c>
      <c r="L1222" s="149">
        <f t="shared" si="3572"/>
        <v>-4.9133866042733364E-2</v>
      </c>
      <c r="M1222" s="149">
        <f t="shared" si="3572"/>
        <v>-3.3473030016279395E-2</v>
      </c>
      <c r="N1222" s="149">
        <f t="shared" si="3572"/>
        <v>-3.7824651020491797E-2</v>
      </c>
      <c r="O1222" s="149">
        <f t="shared" si="3572"/>
        <v>-3.5085253118091041E-2</v>
      </c>
      <c r="P1222" s="149">
        <f t="shared" si="3572"/>
        <v>-3.5662361706923287E-2</v>
      </c>
      <c r="Q1222" s="149">
        <f t="shared" si="3572"/>
        <v>-3.4716972315475748E-2</v>
      </c>
      <c r="R1222" s="149">
        <f t="shared" si="3572"/>
        <v>-3.5150753062161595E-2</v>
      </c>
      <c r="S1222" s="245">
        <f>_xlfn.XLOOKUP($F1222,'Budget Assumption Driver'!$A$33:$A$39,'Budget Assumption Driver'!E$33:E$39)+G1222</f>
        <v>-4.2947648389798435E-2</v>
      </c>
      <c r="T1222" s="246">
        <f>_xlfn.XLOOKUP($F1222,'Budget Assumption Driver'!$A$33:$A$39,'Budget Assumption Driver'!F$33:F$39)+H1222</f>
        <v>-3.9826130870627675E-2</v>
      </c>
      <c r="U1222" s="246">
        <f>_xlfn.XLOOKUP($F1222,'Budget Assumption Driver'!$A$33:$A$39,'Budget Assumption Driver'!G$33:G$39)+I1222</f>
        <v>-4.2238869500878067E-2</v>
      </c>
      <c r="V1222" s="246">
        <f>_xlfn.XLOOKUP($F1222,'Budget Assumption Driver'!$A$33:$A$39,'Budget Assumption Driver'!H$33:H$39)+J1222</f>
        <v>-5.5996944824991547E-2</v>
      </c>
      <c r="W1222" s="246">
        <f>_xlfn.XLOOKUP($F1222,'Budget Assumption Driver'!$A$33:$A$39,'Budget Assumption Driver'!I$33:I$39)+K1222</f>
        <v>-5.0917155880503155E-2</v>
      </c>
      <c r="X1222" s="246">
        <f>_xlfn.XLOOKUP($F1222,'Budget Assumption Driver'!$A$33:$A$39,'Budget Assumption Driver'!J$33:J$39)+L1222</f>
        <v>-4.9133866042733364E-2</v>
      </c>
      <c r="Y1222" s="246">
        <f>_xlfn.XLOOKUP($F1222,'Budget Assumption Driver'!$A$33:$A$39,'Budget Assumption Driver'!K$33:K$39)+M1222</f>
        <v>-3.3473030016279395E-2</v>
      </c>
      <c r="Z1222" s="246">
        <f>_xlfn.XLOOKUP($F1222,'Budget Assumption Driver'!$A$33:$A$39,'Budget Assumption Driver'!L$33:L$39)+N1222</f>
        <v>-3.7824651020491797E-2</v>
      </c>
      <c r="AA1222" s="246">
        <f>_xlfn.XLOOKUP($F1222,'Budget Assumption Driver'!$A$33:$A$39,'Budget Assumption Driver'!M$33:M$39)+O1222</f>
        <v>-3.5085253118091041E-2</v>
      </c>
      <c r="AB1222" s="246">
        <f>_xlfn.XLOOKUP($F1222,'Budget Assumption Driver'!$A$33:$A$39,'Budget Assumption Driver'!N$33:N$39)+P1222</f>
        <v>-3.5662361706923287E-2</v>
      </c>
      <c r="AC1222" s="246">
        <f>_xlfn.XLOOKUP($F1222,'Budget Assumption Driver'!$A$33:$A$39,'Budget Assumption Driver'!O$33:O$39)+Q1222</f>
        <v>-3.4716972315475748E-2</v>
      </c>
      <c r="AD1222" s="296">
        <f>_xlfn.XLOOKUP($F1222,'Budget Assumption Driver'!$A$33:$A$39,'Budget Assumption Driver'!P$33:P$39)+R1222</f>
        <v>-3.5150753062161595E-2</v>
      </c>
      <c r="AE1222" s="15"/>
      <c r="AF1222" s="232">
        <f>_xlfn.XLOOKUP($C1222,'Site Level Financials - ''23 ''24'!$C$2:$C$1577,'Site Level Financials - ''23 ''24'!$AF$2:$AF$1577)</f>
        <v>-5.4641999449828282E-2</v>
      </c>
      <c r="AG1222" s="97">
        <f t="shared" ref="AG1222:AH1222" si="3573">AG1221/AG1203</f>
        <v>-4.0921967170957696E-2</v>
      </c>
      <c r="AH1222" s="97">
        <f t="shared" si="3573"/>
        <v>-4.1832872004172121E-2</v>
      </c>
    </row>
    <row r="1223" spans="2:34" ht="3" customHeight="1" x14ac:dyDescent="0.2">
      <c r="B1223" s="9">
        <f>G1191</f>
        <v>25</v>
      </c>
      <c r="C1223" s="9" t="str">
        <f t="shared" si="3480"/>
        <v xml:space="preserve">25 - </v>
      </c>
      <c r="D1223" s="9" t="s">
        <v>56</v>
      </c>
      <c r="F1223" s="16"/>
      <c r="G1223" s="84"/>
      <c r="H1223" s="85"/>
      <c r="I1223" s="85"/>
      <c r="J1223" s="85"/>
      <c r="K1223" s="85"/>
      <c r="L1223" s="85"/>
      <c r="M1223" s="85"/>
      <c r="N1223" s="85"/>
      <c r="O1223" s="85"/>
      <c r="P1223" s="85"/>
      <c r="Q1223" s="85"/>
      <c r="R1223" s="85"/>
      <c r="S1223" s="84"/>
      <c r="T1223" s="85"/>
      <c r="U1223" s="85"/>
      <c r="V1223" s="85"/>
      <c r="W1223" s="85"/>
      <c r="X1223" s="85"/>
      <c r="Y1223" s="85"/>
      <c r="Z1223" s="85"/>
      <c r="AA1223" s="85"/>
      <c r="AB1223" s="85"/>
      <c r="AC1223" s="85"/>
      <c r="AD1223" s="86"/>
      <c r="AE1223" s="15"/>
      <c r="AF1223" s="36"/>
      <c r="AG1223" s="38"/>
      <c r="AH1223" s="38"/>
    </row>
    <row r="1224" spans="2:34" x14ac:dyDescent="0.2">
      <c r="B1224" s="9">
        <f>G1191</f>
        <v>25</v>
      </c>
      <c r="C1224" s="9" t="str">
        <f t="shared" si="3480"/>
        <v>25 - Office Rent</v>
      </c>
      <c r="D1224" s="9" t="s">
        <v>56</v>
      </c>
      <c r="F1224" t="s">
        <v>162</v>
      </c>
      <c r="G1224" s="178">
        <f>_xlfn.XLOOKUP($C1224,'Site Level Financials - ''23 ''24'!$C$2:$C$1577,'Site Level Financials - ''23 ''24'!S$2:S$1577)</f>
        <v>-31.393117659819183</v>
      </c>
      <c r="H1224" s="179">
        <f>_xlfn.XLOOKUP($C1224,'Site Level Financials - ''23 ''24'!$C$2:$C$1577,'Site Level Financials - ''23 ''24'!T$2:T$1577)</f>
        <v>-31.393117659819183</v>
      </c>
      <c r="I1224" s="179">
        <f>_xlfn.XLOOKUP($C1224,'Site Level Financials - ''23 ''24'!$C$2:$C$1577,'Site Level Financials - ''23 ''24'!U$2:U$1577)</f>
        <v>-31.393117659819183</v>
      </c>
      <c r="J1224" s="179">
        <f>_xlfn.XLOOKUP($C1224,'Site Level Financials - ''23 ''24'!$C$2:$C$1577,'Site Level Financials - ''23 ''24'!V$2:V$1577)</f>
        <v>-31.393117659819183</v>
      </c>
      <c r="K1224" s="179">
        <f>_xlfn.XLOOKUP($C1224,'Site Level Financials - ''23 ''24'!$C$2:$C$1577,'Site Level Financials - ''23 ''24'!W$2:W$1577)</f>
        <v>-31.393117659819183</v>
      </c>
      <c r="L1224" s="179">
        <f>_xlfn.XLOOKUP($C1224,'Site Level Financials - ''23 ''24'!$C$2:$C$1577,'Site Level Financials - ''23 ''24'!X$2:X$1577)</f>
        <v>-32.334911189613756</v>
      </c>
      <c r="M1224" s="179">
        <f>_xlfn.XLOOKUP($C1224,'Site Level Financials - ''23 ''24'!$C$2:$C$1577,'Site Level Financials - ''23 ''24'!Y$2:Y$1577)</f>
        <v>-32.334911189613756</v>
      </c>
      <c r="N1224" s="179">
        <f>_xlfn.XLOOKUP($C1224,'Site Level Financials - ''23 ''24'!$C$2:$C$1577,'Site Level Financials - ''23 ''24'!Z$2:Z$1577)</f>
        <v>-32.334911189613756</v>
      </c>
      <c r="O1224" s="179">
        <f>_xlfn.XLOOKUP($C1224,'Site Level Financials - ''23 ''24'!$C$2:$C$1577,'Site Level Financials - ''23 ''24'!AA$2:AA$1577)</f>
        <v>-32.334911189613756</v>
      </c>
      <c r="P1224" s="179">
        <f>_xlfn.XLOOKUP($C1224,'Site Level Financials - ''23 ''24'!$C$2:$C$1577,'Site Level Financials - ''23 ''24'!AB$2:AB$1577)</f>
        <v>-32.334911189613756</v>
      </c>
      <c r="Q1224" s="179">
        <f>_xlfn.XLOOKUP($C1224,'Site Level Financials - ''23 ''24'!$C$2:$C$1577,'Site Level Financials - ''23 ''24'!AC$2:AC$1577)</f>
        <v>-32.334911189613756</v>
      </c>
      <c r="R1224" s="179">
        <f>_xlfn.XLOOKUP($C1224,'Site Level Financials - ''23 ''24'!$C$2:$C$1577,'Site Level Financials - ''23 ''24'!AD$2:AD$1577)</f>
        <v>-32.334911189613756</v>
      </c>
      <c r="S1224" s="155">
        <f>G1224*(1+S1225)</f>
        <v>-32.334911189613756</v>
      </c>
      <c r="T1224" s="154">
        <f t="shared" ref="T1224" si="3574">H1224*(1+T1225)</f>
        <v>-32.334911189613756</v>
      </c>
      <c r="U1224" s="154">
        <f t="shared" ref="U1224" si="3575">I1224*(1+U1225)</f>
        <v>-32.334911189613756</v>
      </c>
      <c r="V1224" s="154">
        <f t="shared" ref="V1224" si="3576">J1224*(1+V1225)</f>
        <v>-32.334911189613756</v>
      </c>
      <c r="W1224" s="154">
        <f t="shared" ref="W1224" si="3577">K1224*(1+W1225)</f>
        <v>-32.334911189613756</v>
      </c>
      <c r="X1224" s="154">
        <f t="shared" ref="X1224" si="3578">L1224*(1+X1225)</f>
        <v>-33.304958525302169</v>
      </c>
      <c r="Y1224" s="154">
        <f t="shared" ref="Y1224" si="3579">M1224*(1+Y1225)</f>
        <v>-33.304958525302169</v>
      </c>
      <c r="Z1224" s="154">
        <f t="shared" ref="Z1224" si="3580">N1224*(1+Z1225)</f>
        <v>-33.304958525302169</v>
      </c>
      <c r="AA1224" s="154">
        <f t="shared" ref="AA1224" si="3581">O1224*(1+AA1225)</f>
        <v>-33.304958525302169</v>
      </c>
      <c r="AB1224" s="154">
        <f t="shared" ref="AB1224" si="3582">P1224*(1+AB1225)</f>
        <v>-33.304958525302169</v>
      </c>
      <c r="AC1224" s="154">
        <f t="shared" ref="AC1224" si="3583">Q1224*(1+AC1225)</f>
        <v>-33.304958525302169</v>
      </c>
      <c r="AD1224" s="156">
        <f t="shared" ref="AD1224" si="3584">R1224*(1+AD1225)</f>
        <v>-33.304958525302169</v>
      </c>
      <c r="AE1224" s="15"/>
      <c r="AF1224" s="115">
        <f>_xlfn.XLOOKUP($C1224,'Site Level Financials - ''23 ''24'!$C$2:$C$1577,'Site Level Financials - ''23 ''24'!$AF$2:$AF$1577)</f>
        <v>-372.14567805259628</v>
      </c>
      <c r="AG1224" s="93">
        <f>SUM(G1224:R1224)</f>
        <v>-383.30996662639222</v>
      </c>
      <c r="AH1224" s="93">
        <f t="shared" ref="AH1224" si="3585">SUM(S1224:AD1224)</f>
        <v>-394.80926562518391</v>
      </c>
    </row>
    <row r="1225" spans="2:34" x14ac:dyDescent="0.2">
      <c r="B1225" s="9">
        <f>G1191</f>
        <v>25</v>
      </c>
      <c r="C1225" s="9" t="str">
        <f t="shared" si="3480"/>
        <v>25 - % YoY Growth</v>
      </c>
      <c r="D1225" s="9" t="s">
        <v>56</v>
      </c>
      <c r="F1225" s="16" t="s">
        <v>8</v>
      </c>
      <c r="G1225" s="245">
        <f>_xlfn.XLOOKUP($C1225,'Site Level Financials - ''23 ''24'!$C$2:$C$1577,'Site Level Financials - ''23 ''24'!S$2:S$1577)</f>
        <v>2.99997802801788E-2</v>
      </c>
      <c r="H1225" s="246">
        <f>_xlfn.XLOOKUP($C1225,'Site Level Financials - ''23 ''24'!$C$2:$C$1577,'Site Level Financials - ''23 ''24'!T$2:T$1577)</f>
        <v>2.99997802801788E-2</v>
      </c>
      <c r="I1225" s="246">
        <f>_xlfn.XLOOKUP($C1225,'Site Level Financials - ''23 ''24'!$C$2:$C$1577,'Site Level Financials - ''23 ''24'!U$2:U$1577)</f>
        <v>2.99997802801788E-2</v>
      </c>
      <c r="J1225" s="246">
        <f>_xlfn.XLOOKUP($C1225,'Site Level Financials - ''23 ''24'!$C$2:$C$1577,'Site Level Financials - ''23 ''24'!V$2:V$1577)</f>
        <v>2.99997802801788E-2</v>
      </c>
      <c r="K1225" s="246">
        <f>_xlfn.XLOOKUP($C1225,'Site Level Financials - ''23 ''24'!$C$2:$C$1577,'Site Level Financials - ''23 ''24'!W$2:W$1577)</f>
        <v>2.99997802801788E-2</v>
      </c>
      <c r="L1225" s="246">
        <f>_xlfn.XLOOKUP($C1225,'Site Level Financials - ''23 ''24'!$C$2:$C$1577,'Site Level Financials - ''23 ''24'!X$2:X$1577)</f>
        <v>2.9999780280178578E-2</v>
      </c>
      <c r="M1225" s="246">
        <f>_xlfn.XLOOKUP($C1225,'Site Level Financials - ''23 ''24'!$C$2:$C$1577,'Site Level Financials - ''23 ''24'!Y$2:Y$1577)</f>
        <v>2.9999780280178578E-2</v>
      </c>
      <c r="N1225" s="246">
        <f>_xlfn.XLOOKUP($C1225,'Site Level Financials - ''23 ''24'!$C$2:$C$1577,'Site Level Financials - ''23 ''24'!Z$2:Z$1577)</f>
        <v>2.9999780280178578E-2</v>
      </c>
      <c r="O1225" s="246">
        <f>_xlfn.XLOOKUP($C1225,'Site Level Financials - ''23 ''24'!$C$2:$C$1577,'Site Level Financials - ''23 ''24'!AA$2:AA$1577)</f>
        <v>2.9999780280178578E-2</v>
      </c>
      <c r="P1225" s="246">
        <f>_xlfn.XLOOKUP($C1225,'Site Level Financials - ''23 ''24'!$C$2:$C$1577,'Site Level Financials - ''23 ''24'!AB$2:AB$1577)</f>
        <v>2.9999780280178578E-2</v>
      </c>
      <c r="Q1225" s="246">
        <f>_xlfn.XLOOKUP($C1225,'Site Level Financials - ''23 ''24'!$C$2:$C$1577,'Site Level Financials - ''23 ''24'!AC$2:AC$1577)</f>
        <v>2.9999780280178578E-2</v>
      </c>
      <c r="R1225" s="246">
        <f>_xlfn.XLOOKUP($C1225,'Site Level Financials - ''23 ''24'!$C$2:$C$1577,'Site Level Financials - ''23 ''24'!AD$2:AD$1577)</f>
        <v>2.9999780280178578E-2</v>
      </c>
      <c r="S1225" s="245">
        <f>_xlfn.XLOOKUP($F1225,'Budget Assumption Driver'!$A$33:$A$39,'Budget Assumption Driver'!E$33:E$39)</f>
        <v>0.03</v>
      </c>
      <c r="T1225" s="246">
        <f>_xlfn.XLOOKUP($F1225,'Budget Assumption Driver'!$A$33:$A$39,'Budget Assumption Driver'!F$33:F$39)</f>
        <v>0.03</v>
      </c>
      <c r="U1225" s="246">
        <f>_xlfn.XLOOKUP($F1225,'Budget Assumption Driver'!$A$33:$A$39,'Budget Assumption Driver'!G$33:G$39)</f>
        <v>0.03</v>
      </c>
      <c r="V1225" s="246">
        <f>_xlfn.XLOOKUP($F1225,'Budget Assumption Driver'!$A$33:$A$39,'Budget Assumption Driver'!H$33:H$39)</f>
        <v>0.03</v>
      </c>
      <c r="W1225" s="246">
        <f>_xlfn.XLOOKUP($F1225,'Budget Assumption Driver'!$A$33:$A$39,'Budget Assumption Driver'!I$33:I$39)</f>
        <v>0.03</v>
      </c>
      <c r="X1225" s="246">
        <f>_xlfn.XLOOKUP($F1225,'Budget Assumption Driver'!$A$33:$A$39,'Budget Assumption Driver'!J$33:J$39)</f>
        <v>0.03</v>
      </c>
      <c r="Y1225" s="246">
        <f>_xlfn.XLOOKUP($F1225,'Budget Assumption Driver'!$A$33:$A$39,'Budget Assumption Driver'!K$33:K$39)</f>
        <v>0.03</v>
      </c>
      <c r="Z1225" s="246">
        <f>_xlfn.XLOOKUP($F1225,'Budget Assumption Driver'!$A$33:$A$39,'Budget Assumption Driver'!L$33:L$39)</f>
        <v>0.03</v>
      </c>
      <c r="AA1225" s="246">
        <f>_xlfn.XLOOKUP($F1225,'Budget Assumption Driver'!$A$33:$A$39,'Budget Assumption Driver'!M$33:M$39)</f>
        <v>0.03</v>
      </c>
      <c r="AB1225" s="246">
        <f>_xlfn.XLOOKUP($F1225,'Budget Assumption Driver'!$A$33:$A$39,'Budget Assumption Driver'!N$33:N$39)</f>
        <v>0.03</v>
      </c>
      <c r="AC1225" s="246">
        <f>_xlfn.XLOOKUP($F1225,'Budget Assumption Driver'!$A$33:$A$39,'Budget Assumption Driver'!O$33:O$39)</f>
        <v>0.03</v>
      </c>
      <c r="AD1225" s="296">
        <f>_xlfn.XLOOKUP($F1225,'Budget Assumption Driver'!$A$33:$A$39,'Budget Assumption Driver'!P$33:P$39)</f>
        <v>0.03</v>
      </c>
      <c r="AE1225" s="15"/>
      <c r="AF1225" s="11"/>
      <c r="AG1225" s="97">
        <f>AG1224/AF1224-1</f>
        <v>2.9999780280178578E-2</v>
      </c>
      <c r="AH1225" s="97">
        <f>AH1224/AG1224-1</f>
        <v>2.9999999999999805E-2</v>
      </c>
    </row>
    <row r="1226" spans="2:34" ht="6" customHeight="1" x14ac:dyDescent="0.2">
      <c r="B1226" s="9">
        <f>G1191</f>
        <v>25</v>
      </c>
      <c r="C1226" s="9" t="str">
        <f t="shared" si="3480"/>
        <v xml:space="preserve">25 - </v>
      </c>
      <c r="D1226" s="9" t="s">
        <v>56</v>
      </c>
      <c r="F1226" s="16"/>
      <c r="G1226" s="80"/>
      <c r="H1226" s="63"/>
      <c r="I1226" s="63"/>
      <c r="J1226" s="63"/>
      <c r="K1226" s="63"/>
      <c r="L1226" s="63"/>
      <c r="M1226" s="63"/>
      <c r="N1226" s="63"/>
      <c r="O1226" s="63"/>
      <c r="P1226" s="63"/>
      <c r="Q1226" s="63"/>
      <c r="R1226" s="63"/>
      <c r="S1226" s="80"/>
      <c r="T1226" s="63"/>
      <c r="U1226" s="63"/>
      <c r="V1226" s="63"/>
      <c r="W1226" s="63"/>
      <c r="X1226" s="63"/>
      <c r="Y1226" s="63"/>
      <c r="Z1226" s="63"/>
      <c r="AA1226" s="63"/>
      <c r="AB1226" s="63"/>
      <c r="AC1226" s="63"/>
      <c r="AD1226" s="81"/>
      <c r="AE1226" s="15"/>
      <c r="AF1226" s="11"/>
      <c r="AG1226" s="15"/>
      <c r="AH1226" s="15"/>
    </row>
    <row r="1227" spans="2:34" x14ac:dyDescent="0.2">
      <c r="B1227" s="9">
        <f>G1191</f>
        <v>25</v>
      </c>
      <c r="C1227" s="9" t="str">
        <f t="shared" si="3480"/>
        <v>25 - Office EBITDA</v>
      </c>
      <c r="D1227" s="9" t="s">
        <v>56</v>
      </c>
      <c r="F1227" s="8" t="s">
        <v>12</v>
      </c>
      <c r="G1227" s="241">
        <f>_xlfn.XLOOKUP($C1227,'Site Level Financials - ''23 ''24'!$C$2:$C$1577,'Site Level Financials - ''23 ''24'!S$2:S$1577)</f>
        <v>39.559304567977733</v>
      </c>
      <c r="H1227" s="242">
        <f>_xlfn.XLOOKUP($C1227,'Site Level Financials - ''23 ''24'!$C$2:$C$1577,'Site Level Financials - ''23 ''24'!T$2:T$1577)</f>
        <v>36.624280827807013</v>
      </c>
      <c r="I1227" s="242">
        <f>_xlfn.XLOOKUP($C1227,'Site Level Financials - ''23 ''24'!$C$2:$C$1577,'Site Level Financials - ''23 ''24'!U$2:U$1577)</f>
        <v>35.422394066378772</v>
      </c>
      <c r="J1227" s="242">
        <f>_xlfn.XLOOKUP($C1227,'Site Level Financials - ''23 ''24'!$C$2:$C$1577,'Site Level Financials - ''23 ''24'!V$2:V$1577)</f>
        <v>-10.0977749997388</v>
      </c>
      <c r="K1227" s="242">
        <f>_xlfn.XLOOKUP($C1227,'Site Level Financials - ''23 ''24'!$C$2:$C$1577,'Site Level Financials - ''23 ''24'!W$2:W$1577)</f>
        <v>-3.2097842640419501</v>
      </c>
      <c r="L1227" s="242">
        <f>_xlfn.XLOOKUP($C1227,'Site Level Financials - ''23 ''24'!$C$2:$C$1577,'Site Level Financials - ''23 ''24'!X$2:X$1577)</f>
        <v>6.0055104531585286</v>
      </c>
      <c r="M1227" s="242">
        <f>_xlfn.XLOOKUP($C1227,'Site Level Financials - ''23 ''24'!$C$2:$C$1577,'Site Level Financials - ''23 ''24'!Y$2:Y$1577)</f>
        <v>51.840136905054742</v>
      </c>
      <c r="N1227" s="242">
        <f>_xlfn.XLOOKUP($C1227,'Site Level Financials - ''23 ''24'!$C$2:$C$1577,'Site Level Financials - ''23 ''24'!Z$2:Z$1577)</f>
        <v>46.176641238072357</v>
      </c>
      <c r="O1227" s="242">
        <f>_xlfn.XLOOKUP($C1227,'Site Level Financials - ''23 ''24'!$C$2:$C$1577,'Site Level Financials - ''23 ''24'!AA$2:AA$1577)</f>
        <v>34.20736947852685</v>
      </c>
      <c r="P1227" s="242">
        <f>_xlfn.XLOOKUP($C1227,'Site Level Financials - ''23 ''24'!$C$2:$C$1577,'Site Level Financials - ''23 ''24'!AB$2:AB$1577)</f>
        <v>35.83429667705078</v>
      </c>
      <c r="Q1227" s="242">
        <f>_xlfn.XLOOKUP($C1227,'Site Level Financials - ''23 ''24'!$C$2:$C$1577,'Site Level Financials - ''23 ''24'!AC$2:AC$1577)</f>
        <v>24.08577202762369</v>
      </c>
      <c r="R1227" s="242">
        <f>_xlfn.XLOOKUP($C1227,'Site Level Financials - ''23 ''24'!$C$2:$C$1577,'Site Level Financials - ''23 ''24'!AD$2:AD$1577)</f>
        <v>9.4104770899122272</v>
      </c>
      <c r="S1227" s="134">
        <f t="shared" ref="S1227:AD1227" si="3586">S1215+S1218+S1221+S1224</f>
        <v>38.489043603900718</v>
      </c>
      <c r="T1227" s="135">
        <f t="shared" si="3586"/>
        <v>39.798158396189258</v>
      </c>
      <c r="U1227" s="135">
        <f t="shared" si="3586"/>
        <v>42.313999671651892</v>
      </c>
      <c r="V1227" s="135">
        <f t="shared" si="3586"/>
        <v>-3.4601056552922032</v>
      </c>
      <c r="W1227" s="135">
        <f t="shared" si="3586"/>
        <v>6.8269942814704763</v>
      </c>
      <c r="X1227" s="135">
        <f t="shared" si="3586"/>
        <v>13.809087375246122</v>
      </c>
      <c r="Y1227" s="135">
        <f t="shared" si="3586"/>
        <v>48.916107110998453</v>
      </c>
      <c r="Z1227" s="135">
        <f t="shared" si="3586"/>
        <v>38.522045517893176</v>
      </c>
      <c r="AA1227" s="135">
        <f t="shared" si="3586"/>
        <v>28.655662354098936</v>
      </c>
      <c r="AB1227" s="135">
        <f t="shared" si="3586"/>
        <v>37.130338612568423</v>
      </c>
      <c r="AC1227" s="135">
        <f t="shared" si="3586"/>
        <v>19.15888051496038</v>
      </c>
      <c r="AD1227" s="136">
        <f t="shared" si="3586"/>
        <v>9.5782168878599094</v>
      </c>
      <c r="AE1227" s="15"/>
      <c r="AF1227" s="113">
        <f>_xlfn.XLOOKUP($C1227,'Site Level Financials - ''23 ''24'!$C$2:$C$1577,'Site Level Financials - ''23 ''24'!$AF$2:$AF$1577)</f>
        <v>486.53289301691768</v>
      </c>
      <c r="AG1227" s="95">
        <f>SUM(G1227:R1227)</f>
        <v>305.85862406778193</v>
      </c>
      <c r="AH1227" s="95">
        <f t="shared" ref="AH1227" si="3587">SUM(S1227:AD1227)</f>
        <v>319.73842867154553</v>
      </c>
    </row>
    <row r="1228" spans="2:34" x14ac:dyDescent="0.2">
      <c r="B1228" s="9">
        <f>G1191</f>
        <v>25</v>
      </c>
      <c r="C1228" s="9" t="str">
        <f t="shared" si="3480"/>
        <v>25 - % of Revenue - Office EBITDA</v>
      </c>
      <c r="D1228" s="9" t="s">
        <v>56</v>
      </c>
      <c r="F1228" s="16" t="str">
        <f>"% of Revenue - "&amp;F1227</f>
        <v>% of Revenue - Office EBITDA</v>
      </c>
      <c r="G1228" s="148">
        <f>G1227/G1203</f>
        <v>0.10311813701272117</v>
      </c>
      <c r="H1228" s="149">
        <f t="shared" ref="H1228:AD1228" si="3588">H1227/H1203</f>
        <v>9.7952550229482432E-2</v>
      </c>
      <c r="I1228" s="149">
        <f t="shared" si="3588"/>
        <v>9.2947408797475109E-2</v>
      </c>
      <c r="J1228" s="149">
        <f t="shared" si="3588"/>
        <v>-3.0020529842558437E-2</v>
      </c>
      <c r="K1228" s="149">
        <f t="shared" si="3588"/>
        <v>-8.2281475675198227E-3</v>
      </c>
      <c r="L1228" s="149">
        <f t="shared" si="3588"/>
        <v>1.6212457514952202E-2</v>
      </c>
      <c r="M1228" s="149">
        <f t="shared" si="3588"/>
        <v>0.11042141617230086</v>
      </c>
      <c r="N1228" s="149">
        <f t="shared" si="3588"/>
        <v>0.10743220451413131</v>
      </c>
      <c r="O1228" s="149">
        <f t="shared" si="3588"/>
        <v>8.8349392739442423E-2</v>
      </c>
      <c r="P1228" s="149">
        <f t="shared" si="3588"/>
        <v>8.9420798757116782E-2</v>
      </c>
      <c r="Q1228" s="149">
        <f t="shared" si="3588"/>
        <v>6.8428186879223085E-2</v>
      </c>
      <c r="R1228" s="149">
        <f t="shared" si="3588"/>
        <v>3.6185913369446612E-2</v>
      </c>
      <c r="S1228" s="148">
        <f t="shared" si="3588"/>
        <v>0.10051030291809274</v>
      </c>
      <c r="T1228" s="149">
        <f t="shared" si="3588"/>
        <v>0.10036798876958408</v>
      </c>
      <c r="U1228" s="149">
        <f t="shared" si="3588"/>
        <v>9.9379607773869366E-2</v>
      </c>
      <c r="V1228" s="149">
        <f t="shared" si="3588"/>
        <v>-7.5866070180817657E-3</v>
      </c>
      <c r="W1228" s="149">
        <f t="shared" si="3588"/>
        <v>1.2594598022013062E-2</v>
      </c>
      <c r="X1228" s="149">
        <f t="shared" si="3588"/>
        <v>3.0336843090086635E-2</v>
      </c>
      <c r="Y1228" s="149">
        <f t="shared" si="3588"/>
        <v>0.10666927227376351</v>
      </c>
      <c r="Z1228" s="149">
        <f t="shared" si="3588"/>
        <v>9.7964178300667323E-2</v>
      </c>
      <c r="AA1228" s="149">
        <f t="shared" si="3588"/>
        <v>7.9483368159032966E-2</v>
      </c>
      <c r="AB1228" s="149">
        <f t="shared" si="3588"/>
        <v>8.9673984280621233E-2</v>
      </c>
      <c r="AC1228" s="149">
        <f t="shared" si="3588"/>
        <v>5.8535976039428637E-2</v>
      </c>
      <c r="AD1228" s="150">
        <f t="shared" si="3588"/>
        <v>3.5853712580188803E-2</v>
      </c>
      <c r="AE1228" s="15"/>
      <c r="AF1228" s="232">
        <f>_xlfn.XLOOKUP($C1228,'Site Level Financials - ''23 ''24'!$C$2:$C$1577,'Site Level Financials - ''23 ''24'!$AF$2:$AF$1577)</f>
        <v>0.11581746956922429</v>
      </c>
      <c r="AG1228" s="97">
        <f t="shared" ref="AG1228:AH1228" si="3589">AG1227/AG1203</f>
        <v>6.7447303518081717E-2</v>
      </c>
      <c r="AH1228" s="97">
        <f t="shared" si="3589"/>
        <v>6.5528162545388596E-2</v>
      </c>
    </row>
    <row r="1229" spans="2:34" ht="6" customHeight="1" x14ac:dyDescent="0.2">
      <c r="B1229" s="9">
        <f>G1191</f>
        <v>25</v>
      </c>
      <c r="C1229" s="9" t="str">
        <f t="shared" si="3480"/>
        <v xml:space="preserve">25 - </v>
      </c>
      <c r="D1229" s="9" t="s">
        <v>56</v>
      </c>
      <c r="G1229" s="80"/>
      <c r="H1229" s="63"/>
      <c r="I1229" s="63"/>
      <c r="J1229" s="63"/>
      <c r="K1229" s="63"/>
      <c r="L1229" s="63"/>
      <c r="M1229" s="63"/>
      <c r="N1229" s="63"/>
      <c r="O1229" s="63"/>
      <c r="P1229" s="63"/>
      <c r="Q1229" s="63"/>
      <c r="R1229" s="63"/>
      <c r="S1229" s="80"/>
      <c r="T1229" s="63"/>
      <c r="U1229" s="63"/>
      <c r="V1229" s="63"/>
      <c r="W1229" s="63"/>
      <c r="X1229" s="63"/>
      <c r="Y1229" s="63"/>
      <c r="Z1229" s="63"/>
      <c r="AA1229" s="63"/>
      <c r="AB1229" s="63"/>
      <c r="AC1229" s="63"/>
      <c r="AD1229" s="81"/>
      <c r="AE1229" s="15"/>
      <c r="AF1229" s="11"/>
      <c r="AG1229" s="15"/>
      <c r="AH1229" s="15"/>
    </row>
    <row r="1230" spans="2:34" x14ac:dyDescent="0.2">
      <c r="B1230" s="9">
        <f>G1191</f>
        <v>25</v>
      </c>
      <c r="C1230" s="9" t="str">
        <f t="shared" si="3480"/>
        <v>25 - Memo:</v>
      </c>
      <c r="D1230" s="9" t="s">
        <v>56</v>
      </c>
      <c r="F1230" s="6" t="s">
        <v>13</v>
      </c>
      <c r="G1230" s="80"/>
      <c r="H1230" s="63"/>
      <c r="I1230" s="63"/>
      <c r="J1230" s="63"/>
      <c r="K1230" s="63"/>
      <c r="L1230" s="63"/>
      <c r="M1230" s="63"/>
      <c r="N1230" s="63"/>
      <c r="O1230" s="63"/>
      <c r="P1230" s="63"/>
      <c r="Q1230" s="63"/>
      <c r="R1230" s="63"/>
      <c r="S1230" s="80"/>
      <c r="T1230" s="63"/>
      <c r="U1230" s="63"/>
      <c r="V1230" s="63"/>
      <c r="W1230" s="63"/>
      <c r="X1230" s="63"/>
      <c r="Y1230" s="63"/>
      <c r="Z1230" s="63"/>
      <c r="AA1230" s="63"/>
      <c r="AB1230" s="63"/>
      <c r="AC1230" s="63"/>
      <c r="AD1230" s="81"/>
      <c r="AE1230" s="15"/>
      <c r="AF1230" s="11"/>
      <c r="AG1230" s="15"/>
      <c r="AH1230" s="15"/>
    </row>
    <row r="1231" spans="2:34" s="24" customFormat="1" x14ac:dyDescent="0.2">
      <c r="B1231" s="9">
        <f>G1191</f>
        <v>25</v>
      </c>
      <c r="C1231" s="9" t="str">
        <f t="shared" si="3480"/>
        <v>25 - Collections</v>
      </c>
      <c r="D1231" s="9" t="s">
        <v>56</v>
      </c>
      <c r="E1231" s="49"/>
      <c r="F1231" s="24" t="s">
        <v>15</v>
      </c>
      <c r="G1231" s="247">
        <f>_xlfn.XLOOKUP($C1231,'Site Level Financials - ''23 ''24'!$C$2:$C$1577,'Site Level Financials - ''23 ''24'!S$2:S$1577)</f>
        <v>387.69414547775239</v>
      </c>
      <c r="H1231" s="248">
        <f>_xlfn.XLOOKUP($C1231,'Site Level Financials - ''23 ''24'!$C$2:$C$1577,'Site Level Financials - ''23 ''24'!T$2:T$1577)</f>
        <v>373.33210659410798</v>
      </c>
      <c r="I1231" s="248">
        <f>_xlfn.XLOOKUP($C1231,'Site Level Financials - ''23 ''24'!$C$2:$C$1577,'Site Level Financials - ''23 ''24'!U$2:U$1577)</f>
        <v>377.66953822081308</v>
      </c>
      <c r="J1231" s="248">
        <f>_xlfn.XLOOKUP($C1231,'Site Level Financials - ''23 ''24'!$C$2:$C$1577,'Site Level Financials - ''23 ''24'!V$2:V$1577)</f>
        <v>334.08674336217649</v>
      </c>
      <c r="K1231" s="248">
        <f>_xlfn.XLOOKUP($C1231,'Site Level Financials - ''23 ''24'!$C$2:$C$1577,'Site Level Financials - ''23 ''24'!W$2:W$1577)</f>
        <v>384.48542038794551</v>
      </c>
      <c r="L1231" s="248">
        <f>_xlfn.XLOOKUP($C1231,'Site Level Financials - ''23 ''24'!$C$2:$C$1577,'Site Level Financials - ''23 ''24'!X$2:X$1577)</f>
        <v>371.50455920665775</v>
      </c>
      <c r="M1231" s="248">
        <f>_xlfn.XLOOKUP($C1231,'Site Level Financials - ''23 ''24'!$C$2:$C$1577,'Site Level Financials - ''23 ''24'!Y$2:Y$1577)</f>
        <v>465.55992616496462</v>
      </c>
      <c r="N1231" s="248">
        <f>_xlfn.XLOOKUP($C1231,'Site Level Financials - ''23 ''24'!$C$2:$C$1577,'Site Level Financials - ''23 ''24'!Z$2:Z$1577)</f>
        <v>429.65813122169226</v>
      </c>
      <c r="O1231" s="248">
        <f>_xlfn.XLOOKUP($C1231,'Site Level Financials - ''23 ''24'!$C$2:$C$1577,'Site Level Financials - ''23 ''24'!AA$2:AA$1577)</f>
        <v>380.77281841170685</v>
      </c>
      <c r="P1231" s="248">
        <f>_xlfn.XLOOKUP($C1231,'Site Level Financials - ''23 ''24'!$C$2:$C$1577,'Site Level Financials - ''23 ''24'!AB$2:AB$1577)</f>
        <v>396.22288952103281</v>
      </c>
      <c r="Q1231" s="248">
        <f>_xlfn.XLOOKUP($C1231,'Site Level Financials - ''23 ''24'!$C$2:$C$1577,'Site Level Financials - ''23 ''24'!AC$2:AC$1577)</f>
        <v>351.03248941571314</v>
      </c>
      <c r="R1231" s="248">
        <f>_xlfn.XLOOKUP($C1231,'Site Level Financials - ''23 ''24'!$C$2:$C$1577,'Site Level Financials - ''23 ''24'!AD$2:AD$1577)</f>
        <v>262.46069889414679</v>
      </c>
      <c r="S1231" s="169">
        <f t="shared" ref="S1231:AD1231" si="3590">S1232*S1201</f>
        <v>382.93630092097106</v>
      </c>
      <c r="T1231" s="170">
        <f t="shared" si="3590"/>
        <v>396.52242596545733</v>
      </c>
      <c r="U1231" s="170">
        <f t="shared" si="3590"/>
        <v>425.78151211800048</v>
      </c>
      <c r="V1231" s="170">
        <f t="shared" si="3590"/>
        <v>456.08078117733754</v>
      </c>
      <c r="W1231" s="170">
        <f t="shared" si="3590"/>
        <v>542.05733835555009</v>
      </c>
      <c r="X1231" s="170">
        <f t="shared" si="3590"/>
        <v>455.19197018092518</v>
      </c>
      <c r="Y1231" s="170">
        <f t="shared" si="3590"/>
        <v>458.57730223804964</v>
      </c>
      <c r="Z1231" s="170">
        <f t="shared" si="3590"/>
        <v>393.22583199404806</v>
      </c>
      <c r="AA1231" s="170">
        <f t="shared" si="3590"/>
        <v>360.52400669236528</v>
      </c>
      <c r="AB1231" s="170">
        <f t="shared" si="3590"/>
        <v>414.05920468945175</v>
      </c>
      <c r="AC1231" s="170">
        <f t="shared" si="3590"/>
        <v>327.3009491129925</v>
      </c>
      <c r="AD1231" s="171">
        <f t="shared" si="3590"/>
        <v>267.14714317067444</v>
      </c>
      <c r="AE1231" s="26"/>
      <c r="AF1231" s="234">
        <f>_xlfn.XLOOKUP($C1231,'Site Level Financials - ''23 ''24'!$C$2:$C$1577,'Site Level Financials - ''23 ''24'!$AF$2:$AF$1577)</f>
        <v>4192.2969199801746</v>
      </c>
      <c r="AG1231" s="99">
        <f>SUM(G1231:R1231)</f>
        <v>4514.4794668787099</v>
      </c>
      <c r="AH1231" s="99">
        <f t="shared" ref="AH1231" si="3591">SUM(S1231:AD1231)</f>
        <v>4879.4047666158231</v>
      </c>
    </row>
    <row r="1232" spans="2:34" x14ac:dyDescent="0.2">
      <c r="B1232" s="9">
        <f>G1191</f>
        <v>25</v>
      </c>
      <c r="C1232" s="9" t="str">
        <f t="shared" si="3480"/>
        <v>25 - Collections as a % of Production</v>
      </c>
      <c r="D1232" s="9" t="s">
        <v>56</v>
      </c>
      <c r="F1232" s="16" t="s">
        <v>17</v>
      </c>
      <c r="G1232" s="245">
        <f>_xlfn.XLOOKUP($C1232,'Site Level Financials - ''23 ''24'!$C$2:$C$1577,'Site Level Financials - ''23 ''24'!S$2:S$1577)</f>
        <v>0.99015468919525418</v>
      </c>
      <c r="H1232" s="246">
        <f>_xlfn.XLOOKUP($C1232,'Site Level Financials - ''23 ''24'!$C$2:$C$1577,'Site Level Financials - ''23 ''24'!T$2:T$1577)</f>
        <v>0.97829397484085701</v>
      </c>
      <c r="I1232" s="246">
        <f>_xlfn.XLOOKUP($C1232,'Site Level Financials - ''23 ''24'!$C$2:$C$1577,'Site Level Financials - ''23 ''24'!U$2:U$1577)</f>
        <v>0.97095416683309144</v>
      </c>
      <c r="J1232" s="246">
        <f>_xlfn.XLOOKUP($C1232,'Site Level Financials - ''23 ''24'!$C$2:$C$1577,'Site Level Financials - ''23 ''24'!V$2:V$1577)</f>
        <v>0.97314891426112127</v>
      </c>
      <c r="K1232" s="246">
        <f>_xlfn.XLOOKUP($C1232,'Site Level Financials - ''23 ''24'!$C$2:$C$1577,'Site Level Financials - ''23 ''24'!W$2:W$1577)</f>
        <v>0.96568058555571679</v>
      </c>
      <c r="L1232" s="246">
        <f>_xlfn.XLOOKUP($C1232,'Site Level Financials - ''23 ''24'!$C$2:$C$1577,'Site Level Financials - ''23 ''24'!X$2:X$1577)</f>
        <v>0.98263101447464485</v>
      </c>
      <c r="M1232" s="246">
        <f>_xlfn.XLOOKUP($C1232,'Site Level Financials - ''23 ''24'!$C$2:$C$1577,'Site Level Financials - ''23 ''24'!Y$2:Y$1577)</f>
        <v>0.97160593589596211</v>
      </c>
      <c r="N1232" s="246">
        <f>_xlfn.XLOOKUP($C1232,'Site Level Financials - ''23 ''24'!$C$2:$C$1577,'Site Level Financials - ''23 ''24'!Z$2:Z$1577)</f>
        <v>0.97940558949298828</v>
      </c>
      <c r="O1232" s="246">
        <f>_xlfn.XLOOKUP($C1232,'Site Level Financials - ''23 ''24'!$C$2:$C$1577,'Site Level Financials - ''23 ''24'!AA$2:AA$1577)</f>
        <v>0.96355658694867996</v>
      </c>
      <c r="P1232" s="246">
        <f>_xlfn.XLOOKUP($C1232,'Site Level Financials - ''23 ''24'!$C$2:$C$1577,'Site Level Financials - ''23 ''24'!AB$2:AB$1577)</f>
        <v>0.96873862628639285</v>
      </c>
      <c r="Q1232" s="246">
        <f>_xlfn.XLOOKUP($C1232,'Site Level Financials - ''23 ''24'!$C$2:$C$1577,'Site Level Financials - ''23 ''24'!AC$2:AC$1577)</f>
        <v>0.97712285397261023</v>
      </c>
      <c r="R1232" s="246">
        <f>_xlfn.XLOOKUP($C1232,'Site Level Financials - ''23 ''24'!$C$2:$C$1577,'Site Level Financials - ''23 ''24'!AD$2:AD$1577)</f>
        <v>0.98882531019150188</v>
      </c>
      <c r="S1232" s="148">
        <f>S1202</f>
        <v>0.97539143808545747</v>
      </c>
      <c r="T1232" s="149">
        <f t="shared" ref="T1232:AD1232" si="3592">T1202</f>
        <v>0.97539143808545747</v>
      </c>
      <c r="U1232" s="149">
        <f t="shared" si="3592"/>
        <v>0.97539143808545747</v>
      </c>
      <c r="V1232" s="149">
        <f t="shared" si="3592"/>
        <v>0.97539143808545747</v>
      </c>
      <c r="W1232" s="149">
        <f t="shared" si="3592"/>
        <v>0.97539143808545747</v>
      </c>
      <c r="X1232" s="149">
        <f t="shared" si="3592"/>
        <v>0.97539143808545747</v>
      </c>
      <c r="Y1232" s="149">
        <f t="shared" si="3592"/>
        <v>0.97539143808545747</v>
      </c>
      <c r="Z1232" s="149">
        <f t="shared" si="3592"/>
        <v>0.97539143808545747</v>
      </c>
      <c r="AA1232" s="149">
        <f t="shared" si="3592"/>
        <v>0.97539143808545747</v>
      </c>
      <c r="AB1232" s="149">
        <f t="shared" si="3592"/>
        <v>0.97539143808545747</v>
      </c>
      <c r="AC1232" s="149">
        <f t="shared" si="3592"/>
        <v>0.97539143808545747</v>
      </c>
      <c r="AD1232" s="150">
        <f t="shared" si="3592"/>
        <v>0.97539143808545747</v>
      </c>
      <c r="AE1232" s="15"/>
      <c r="AF1232" s="232">
        <f>_xlfn.XLOOKUP($C1232,'Site Level Financials - ''23 ''24'!$C$2:$C$1577,'Site Level Financials - ''23 ''24'!$AF$2:$AF$1577)</f>
        <v>0.97796543222923182</v>
      </c>
      <c r="AG1232" s="97">
        <f t="shared" ref="AG1232:AH1232" si="3593">AG1231/AG1201</f>
        <v>0.97539143808545747</v>
      </c>
      <c r="AH1232" s="97">
        <f t="shared" si="3593"/>
        <v>0.9753914380854577</v>
      </c>
    </row>
    <row r="1233" spans="2:35" ht="6" customHeight="1" x14ac:dyDescent="0.2">
      <c r="B1233" s="9">
        <f>G1191</f>
        <v>25</v>
      </c>
      <c r="C1233" s="9" t="str">
        <f t="shared" si="3480"/>
        <v xml:space="preserve">25 - </v>
      </c>
      <c r="D1233" s="9" t="s">
        <v>56</v>
      </c>
      <c r="F1233" s="27"/>
      <c r="G1233" s="63"/>
      <c r="H1233" s="63"/>
      <c r="I1233" s="63"/>
      <c r="J1233" s="63"/>
      <c r="K1233" s="63"/>
      <c r="L1233" s="63"/>
      <c r="M1233" s="63"/>
      <c r="N1233" s="63"/>
      <c r="O1233" s="63"/>
      <c r="P1233" s="63"/>
      <c r="Q1233" s="63"/>
      <c r="R1233" s="81"/>
      <c r="S1233" s="63"/>
      <c r="T1233" s="63"/>
      <c r="U1233" s="63"/>
      <c r="V1233" s="63"/>
      <c r="W1233" s="63"/>
      <c r="X1233" s="63"/>
      <c r="Y1233" s="63"/>
      <c r="Z1233" s="63"/>
      <c r="AA1233" s="63"/>
      <c r="AB1233" s="63"/>
      <c r="AC1233" s="63"/>
      <c r="AD1233" s="81"/>
      <c r="AE1233" s="15"/>
      <c r="AF1233" s="11"/>
      <c r="AH1233" s="224"/>
    </row>
    <row r="1234" spans="2:35" s="24" customFormat="1" x14ac:dyDescent="0.2">
      <c r="B1234" s="9">
        <f>G1191</f>
        <v>25</v>
      </c>
      <c r="C1234" s="9" t="str">
        <f t="shared" si="3480"/>
        <v>25 - Production per Vet Workday - YoY Change</v>
      </c>
      <c r="D1234" s="9" t="s">
        <v>56</v>
      </c>
      <c r="E1234" s="49"/>
      <c r="F1234" s="24" t="s">
        <v>55</v>
      </c>
      <c r="G1234" s="249">
        <f>_xlfn.XLOOKUP($C1234,'Site Level Financials - ''23 ''24'!$C$2:$C$1577,'Site Level Financials - ''23 ''24'!S$2:S$1577)</f>
        <v>-3.6253796884011535E-4</v>
      </c>
      <c r="H1234" s="250">
        <f>_xlfn.XLOOKUP($C1234,'Site Level Financials - ''23 ''24'!$C$2:$C$1577,'Site Level Financials - ''23 ''24'!T$2:T$1577)</f>
        <v>-5.0553371728391583E-2</v>
      </c>
      <c r="I1234" s="250">
        <f>_xlfn.XLOOKUP($C1234,'Site Level Financials - ''23 ''24'!$C$2:$C$1577,'Site Level Financials - ''23 ''24'!U$2:U$1577)</f>
        <v>-0.12577806398380464</v>
      </c>
      <c r="J1234" s="250">
        <f>_xlfn.XLOOKUP($C1234,'Site Level Financials - ''23 ''24'!$C$2:$C$1577,'Site Level Financials - ''23 ''24'!V$2:V$1577)</f>
        <v>-2.9292073655514561E-2</v>
      </c>
      <c r="K1234" s="250">
        <f>_xlfn.XLOOKUP($C1234,'Site Level Financials - ''23 ''24'!$C$2:$C$1577,'Site Level Financials - ''23 ''24'!W$2:W$1577)</f>
        <v>-7.818594205426399E-2</v>
      </c>
      <c r="L1234" s="250">
        <f>_xlfn.XLOOKUP($C1234,'Site Level Financials - ''23 ''24'!$C$2:$C$1577,'Site Level Financials - ''23 ''24'!X$2:X$1577)</f>
        <v>1.5622356088535128E-2</v>
      </c>
      <c r="M1234" s="250">
        <f>_xlfn.XLOOKUP($C1234,'Site Level Financials - ''23 ''24'!$C$2:$C$1577,'Site Level Financials - ''23 ''24'!Y$2:Y$1577)</f>
        <v>2.0929930793404994E-2</v>
      </c>
      <c r="N1234" s="250">
        <f>_xlfn.XLOOKUP($C1234,'Site Level Financials - ''23 ''24'!$C$2:$C$1577,'Site Level Financials - ''23 ''24'!Z$2:Z$1577)</f>
        <v>7.72214012311081E-2</v>
      </c>
      <c r="O1234" s="250">
        <f>_xlfn.XLOOKUP($C1234,'Site Level Financials - ''23 ''24'!$C$2:$C$1577,'Site Level Financials - ''23 ''24'!AA$2:AA$1577)</f>
        <v>7.2075059609872705E-2</v>
      </c>
      <c r="P1234" s="250">
        <f>_xlfn.XLOOKUP($C1234,'Site Level Financials - ''23 ''24'!$C$2:$C$1577,'Site Level Financials - ''23 ''24'!AB$2:AB$1577)</f>
        <v>-1.4057824797347518E-2</v>
      </c>
      <c r="Q1234" s="250">
        <f>_xlfn.XLOOKUP($C1234,'Site Level Financials - ''23 ''24'!$C$2:$C$1577,'Site Level Financials - ''23 ''24'!AC$2:AC$1577)</f>
        <v>9.2579082075282981E-2</v>
      </c>
      <c r="R1234" s="251">
        <f>_xlfn.XLOOKUP($C1234,'Site Level Financials - ''23 ''24'!$C$2:$C$1577,'Site Level Financials - ''23 ''24'!AD$2:AD$1577)</f>
        <v>3.2716585486950889E-2</v>
      </c>
      <c r="S1234" s="151">
        <f>S1200/G1200-1</f>
        <v>2.6778114997809688E-3</v>
      </c>
      <c r="T1234" s="152">
        <f t="shared" ref="T1234" si="3594">T1200/H1200-1</f>
        <v>6.5277743129326549E-2</v>
      </c>
      <c r="U1234" s="152">
        <f t="shared" ref="U1234" si="3595">U1200/I1200-1</f>
        <v>0.12226297069482883</v>
      </c>
      <c r="V1234" s="152">
        <f t="shared" ref="V1234" si="3596">V1200/J1200-1</f>
        <v>2.1513605943723535E-2</v>
      </c>
      <c r="W1234" s="152">
        <f t="shared" ref="W1234" si="3597">W1200/K1200-1</f>
        <v>4.6842092207046715E-2</v>
      </c>
      <c r="X1234" s="152">
        <f t="shared" ref="X1234" si="3598">X1200/L1200-1</f>
        <v>-7.4229716396372547E-2</v>
      </c>
      <c r="Y1234" s="152">
        <f t="shared" ref="Y1234" si="3599">Y1200/M1200-1</f>
        <v>-1.8821134969354114E-2</v>
      </c>
      <c r="Z1234" s="152">
        <f t="shared" ref="Z1234" si="3600">Z1200/N1200-1</f>
        <v>-8.1027228010753682E-2</v>
      </c>
      <c r="AA1234" s="152">
        <f t="shared" ref="AA1234" si="3601">AA1200/O1200-1</f>
        <v>-6.4666399654841444E-2</v>
      </c>
      <c r="AB1234" s="152">
        <f t="shared" ref="AB1234" si="3602">AB1200/P1200-1</f>
        <v>3.7888166422492597E-2</v>
      </c>
      <c r="AC1234" s="152">
        <f t="shared" ref="AC1234" si="3603">AC1200/Q1200-1</f>
        <v>-6.5949875222617971E-2</v>
      </c>
      <c r="AD1234" s="153">
        <f t="shared" ref="AD1234" si="3604">AD1200/R1200-1</f>
        <v>3.1874519628317666E-2</v>
      </c>
      <c r="AF1234" s="43"/>
      <c r="AG1234" s="177">
        <f>AG1200/AF1200-1</f>
        <v>-1.8827504683878504E-2</v>
      </c>
      <c r="AH1234" s="225">
        <f>AH1200/AG1200-1</f>
        <v>1.3533385846680623E-2</v>
      </c>
    </row>
    <row r="1235" spans="2:35" s="24" customFormat="1" ht="6" customHeight="1" x14ac:dyDescent="0.2">
      <c r="D1235" s="9" t="s">
        <v>56</v>
      </c>
      <c r="E1235" s="49"/>
      <c r="G1235" s="28"/>
      <c r="H1235" s="30"/>
      <c r="I1235" s="30"/>
      <c r="J1235" s="30"/>
      <c r="K1235" s="30"/>
      <c r="L1235" s="30"/>
      <c r="M1235" s="30"/>
      <c r="N1235" s="30"/>
      <c r="O1235" s="30"/>
      <c r="P1235" s="30"/>
      <c r="Q1235" s="30"/>
      <c r="R1235" s="29"/>
      <c r="S1235" s="30"/>
      <c r="T1235" s="30"/>
      <c r="U1235" s="30"/>
      <c r="V1235" s="30"/>
      <c r="W1235" s="30"/>
      <c r="X1235" s="30"/>
      <c r="Y1235" s="30"/>
      <c r="Z1235" s="30"/>
      <c r="AA1235" s="30"/>
      <c r="AB1235" s="30"/>
      <c r="AC1235" s="30"/>
      <c r="AD1235" s="29"/>
      <c r="AE1235" s="25"/>
      <c r="AF1235" s="28"/>
      <c r="AG1235" s="30"/>
      <c r="AH1235" s="226"/>
    </row>
    <row r="1236" spans="2:35" s="24" customFormat="1" ht="6" customHeight="1" x14ac:dyDescent="0.2">
      <c r="D1236" s="9" t="s">
        <v>56</v>
      </c>
      <c r="E1236" s="49"/>
    </row>
    <row r="1237" spans="2:35" x14ac:dyDescent="0.2">
      <c r="D1237" s="9" t="s">
        <v>56</v>
      </c>
      <c r="F1237" s="16"/>
    </row>
    <row r="1238" spans="2:35" ht="15.75" thickBot="1" x14ac:dyDescent="0.4">
      <c r="B1238" s="35" t="s">
        <v>52</v>
      </c>
      <c r="C1238" s="35"/>
      <c r="D1238" s="9" t="s">
        <v>56</v>
      </c>
      <c r="E1238" s="48" t="s">
        <v>0</v>
      </c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74"/>
      <c r="AH1238" s="3">
        <f ca="1">TODAY()</f>
        <v>45999</v>
      </c>
      <c r="AI1238" s="1"/>
    </row>
    <row r="1239" spans="2:35" x14ac:dyDescent="0.2">
      <c r="B1239" s="9">
        <f>G1240</f>
        <v>26</v>
      </c>
      <c r="C1239" s="9"/>
      <c r="D1239" s="9" t="s">
        <v>56</v>
      </c>
      <c r="F1239" t="s">
        <v>159</v>
      </c>
      <c r="AG1239" s="6"/>
      <c r="AH1239" s="6" t="s">
        <v>16</v>
      </c>
    </row>
    <row r="1240" spans="2:35" x14ac:dyDescent="0.2">
      <c r="B1240" s="9">
        <f>G1240</f>
        <v>26</v>
      </c>
      <c r="C1240" s="9"/>
      <c r="D1240" s="9" t="s">
        <v>56</v>
      </c>
      <c r="F1240" s="40" t="s">
        <v>53</v>
      </c>
      <c r="G1240" s="42">
        <v>26</v>
      </c>
    </row>
    <row r="1241" spans="2:35" x14ac:dyDescent="0.2">
      <c r="B1241" s="9">
        <f>G1240</f>
        <v>26</v>
      </c>
      <c r="C1241" s="9"/>
      <c r="D1241" s="9" t="s">
        <v>56</v>
      </c>
      <c r="F1241" s="39" t="s">
        <v>43</v>
      </c>
      <c r="G1241" s="41"/>
      <c r="H1241" s="11"/>
    </row>
    <row r="1242" spans="2:35" x14ac:dyDescent="0.2">
      <c r="B1242" s="9">
        <f>G1240</f>
        <v>26</v>
      </c>
      <c r="C1242" s="9"/>
      <c r="D1242" s="9" t="s">
        <v>56</v>
      </c>
      <c r="G1242" s="23"/>
    </row>
    <row r="1243" spans="2:35" x14ac:dyDescent="0.2">
      <c r="B1243" s="9">
        <f>G1240</f>
        <v>26</v>
      </c>
      <c r="C1243" s="9"/>
      <c r="D1243" s="9" t="s">
        <v>56</v>
      </c>
      <c r="G1243" s="208" t="s">
        <v>229</v>
      </c>
      <c r="H1243" s="209"/>
      <c r="I1243" s="209"/>
      <c r="J1243" s="209"/>
      <c r="K1243" s="209"/>
      <c r="L1243" s="209"/>
      <c r="M1243" s="209"/>
      <c r="N1243" s="209"/>
      <c r="O1243" s="209"/>
      <c r="P1243" s="209"/>
      <c r="Q1243" s="209"/>
      <c r="R1243" s="210"/>
      <c r="S1243" s="266" t="s">
        <v>230</v>
      </c>
      <c r="T1243" s="267"/>
      <c r="U1243" s="267"/>
      <c r="V1243" s="267"/>
      <c r="W1243" s="267"/>
      <c r="X1243" s="267"/>
      <c r="Y1243" s="267"/>
      <c r="Z1243" s="267"/>
      <c r="AA1243" s="267"/>
      <c r="AB1243" s="267"/>
      <c r="AC1243" s="267"/>
      <c r="AD1243" s="268"/>
      <c r="AF1243" s="17" t="s">
        <v>231</v>
      </c>
      <c r="AG1243" s="50"/>
      <c r="AH1243" s="269" t="s">
        <v>232</v>
      </c>
    </row>
    <row r="1244" spans="2:35" ht="15" customHeight="1" x14ac:dyDescent="0.35">
      <c r="B1244" s="9">
        <f>G1240</f>
        <v>26</v>
      </c>
      <c r="C1244" s="9"/>
      <c r="D1244" s="9" t="s">
        <v>56</v>
      </c>
      <c r="G1244" s="211">
        <v>44957</v>
      </c>
      <c r="H1244" s="212">
        <f>EOMONTH(G1244,1)</f>
        <v>44985</v>
      </c>
      <c r="I1244" s="212">
        <f t="shared" ref="I1244" si="3605">EOMONTH(H1244,1)</f>
        <v>45016</v>
      </c>
      <c r="J1244" s="212">
        <f t="shared" ref="J1244" si="3606">EOMONTH(I1244,1)</f>
        <v>45046</v>
      </c>
      <c r="K1244" s="212">
        <f t="shared" ref="K1244" si="3607">EOMONTH(J1244,1)</f>
        <v>45077</v>
      </c>
      <c r="L1244" s="212">
        <f t="shared" ref="L1244" si="3608">EOMONTH(K1244,1)</f>
        <v>45107</v>
      </c>
      <c r="M1244" s="212">
        <f t="shared" ref="M1244" si="3609">EOMONTH(L1244,1)</f>
        <v>45138</v>
      </c>
      <c r="N1244" s="212">
        <f t="shared" ref="N1244" si="3610">EOMONTH(M1244,1)</f>
        <v>45169</v>
      </c>
      <c r="O1244" s="212">
        <f t="shared" ref="O1244" si="3611">EOMONTH(N1244,1)</f>
        <v>45199</v>
      </c>
      <c r="P1244" s="212">
        <f t="shared" ref="P1244" si="3612">EOMONTH(O1244,1)</f>
        <v>45230</v>
      </c>
      <c r="Q1244" s="212">
        <f t="shared" ref="Q1244" si="3613">EOMONTH(P1244,1)</f>
        <v>45260</v>
      </c>
      <c r="R1244" s="213">
        <f t="shared" ref="R1244" si="3614">EOMONTH(Q1244,1)</f>
        <v>45291</v>
      </c>
      <c r="S1244" s="4">
        <f t="shared" ref="S1244" si="3615">EOMONTH(R1244,1)</f>
        <v>45322</v>
      </c>
      <c r="T1244" s="19">
        <f t="shared" ref="T1244" si="3616">EOMONTH(S1244,1)</f>
        <v>45351</v>
      </c>
      <c r="U1244" s="19">
        <f t="shared" ref="U1244" si="3617">EOMONTH(T1244,1)</f>
        <v>45382</v>
      </c>
      <c r="V1244" s="19">
        <f t="shared" ref="V1244" si="3618">EOMONTH(U1244,1)</f>
        <v>45412</v>
      </c>
      <c r="W1244" s="19">
        <f t="shared" ref="W1244" si="3619">EOMONTH(V1244,1)</f>
        <v>45443</v>
      </c>
      <c r="X1244" s="19">
        <f t="shared" ref="X1244" si="3620">EOMONTH(W1244,1)</f>
        <v>45473</v>
      </c>
      <c r="Y1244" s="19">
        <f t="shared" ref="Y1244" si="3621">EOMONTH(X1244,1)</f>
        <v>45504</v>
      </c>
      <c r="Z1244" s="19">
        <f t="shared" ref="Z1244" si="3622">EOMONTH(Y1244,1)</f>
        <v>45535</v>
      </c>
      <c r="AA1244" s="19">
        <f t="shared" ref="AA1244" si="3623">EOMONTH(Z1244,1)</f>
        <v>45565</v>
      </c>
      <c r="AB1244" s="19">
        <f t="shared" ref="AB1244" si="3624">EOMONTH(AA1244,1)</f>
        <v>45596</v>
      </c>
      <c r="AC1244" s="19">
        <f t="shared" ref="AC1244" si="3625">EOMONTH(AB1244,1)</f>
        <v>45626</v>
      </c>
      <c r="AD1244" s="5">
        <f t="shared" ref="AD1244" si="3626">EOMONTH(AC1244,1)</f>
        <v>45657</v>
      </c>
      <c r="AE1244" s="168"/>
      <c r="AF1244" s="13">
        <v>45291</v>
      </c>
      <c r="AG1244" s="14">
        <v>45657</v>
      </c>
      <c r="AH1244" s="14">
        <v>46022</v>
      </c>
    </row>
    <row r="1245" spans="2:35" ht="0.95" customHeight="1" x14ac:dyDescent="0.2">
      <c r="B1245" s="9">
        <f>G1240</f>
        <v>26</v>
      </c>
      <c r="C1245" s="9"/>
      <c r="D1245" s="9" t="s">
        <v>56</v>
      </c>
      <c r="G1245" s="11"/>
      <c r="S1245" s="11"/>
      <c r="AD1245" s="15"/>
      <c r="AE1245" s="15"/>
      <c r="AF1245" s="11"/>
      <c r="AG1245" s="15"/>
      <c r="AH1245" s="15"/>
    </row>
    <row r="1246" spans="2:35" x14ac:dyDescent="0.2">
      <c r="B1246" s="9">
        <f>G1240</f>
        <v>26</v>
      </c>
      <c r="C1246" s="9" t="str">
        <f>B1246&amp;" - "&amp;F1246</f>
        <v>26 - Employed Vets</v>
      </c>
      <c r="D1246" s="9" t="s">
        <v>56</v>
      </c>
      <c r="F1246" s="7" t="s">
        <v>160</v>
      </c>
      <c r="G1246" s="178">
        <f>_xlfn.XLOOKUP($C1246,'Site Level Financials - ''23 ''24'!$C$2:$C$1577,'Site Level Financials - ''23 ''24'!S$2:S$1577)</f>
        <v>3</v>
      </c>
      <c r="H1246" s="179">
        <f>_xlfn.XLOOKUP($C1246,'Site Level Financials - ''23 ''24'!$C$2:$C$1577,'Site Level Financials - ''23 ''24'!T$2:T$1577)</f>
        <v>3</v>
      </c>
      <c r="I1246" s="179">
        <f>_xlfn.XLOOKUP($C1246,'Site Level Financials - ''23 ''24'!$C$2:$C$1577,'Site Level Financials - ''23 ''24'!U$2:U$1577)</f>
        <v>2</v>
      </c>
      <c r="J1246" s="179">
        <f>_xlfn.XLOOKUP($C1246,'Site Level Financials - ''23 ''24'!$C$2:$C$1577,'Site Level Financials - ''23 ''24'!V$2:V$1577)</f>
        <v>2</v>
      </c>
      <c r="K1246" s="179">
        <f>_xlfn.XLOOKUP($C1246,'Site Level Financials - ''23 ''24'!$C$2:$C$1577,'Site Level Financials - ''23 ''24'!W$2:W$1577)</f>
        <v>2</v>
      </c>
      <c r="L1246" s="179">
        <f>_xlfn.XLOOKUP($C1246,'Site Level Financials - ''23 ''24'!$C$2:$C$1577,'Site Level Financials - ''23 ''24'!X$2:X$1577)</f>
        <v>2</v>
      </c>
      <c r="M1246" s="179">
        <f>_xlfn.XLOOKUP($C1246,'Site Level Financials - ''23 ''24'!$C$2:$C$1577,'Site Level Financials - ''23 ''24'!Y$2:Y$1577)</f>
        <v>2</v>
      </c>
      <c r="N1246" s="179">
        <f>_xlfn.XLOOKUP($C1246,'Site Level Financials - ''23 ''24'!$C$2:$C$1577,'Site Level Financials - ''23 ''24'!Z$2:Z$1577)</f>
        <v>2</v>
      </c>
      <c r="O1246" s="179">
        <f>_xlfn.XLOOKUP($C1246,'Site Level Financials - ''23 ''24'!$C$2:$C$1577,'Site Level Financials - ''23 ''24'!AA$2:AA$1577)</f>
        <v>2</v>
      </c>
      <c r="P1246" s="179">
        <f>_xlfn.XLOOKUP($C1246,'Site Level Financials - ''23 ''24'!$C$2:$C$1577,'Site Level Financials - ''23 ''24'!AB$2:AB$1577)</f>
        <v>2</v>
      </c>
      <c r="Q1246" s="179">
        <f>_xlfn.XLOOKUP($C1246,'Site Level Financials - ''23 ''24'!$C$2:$C$1577,'Site Level Financials - ''23 ''24'!AC$2:AC$1577)</f>
        <v>3</v>
      </c>
      <c r="R1246" s="179">
        <f>_xlfn.XLOOKUP($C1246,'Site Level Financials - ''23 ''24'!$C$2:$C$1577,'Site Level Financials - ''23 ''24'!AD$2:AD$1577)</f>
        <v>3</v>
      </c>
      <c r="S1246" s="178">
        <f>R1246+_xlfn.XLOOKUP($R1246,'Budget Assumption Driver'!$A$7:$A$11,'Budget Assumption Driver'!E$7:E$11)</f>
        <v>3</v>
      </c>
      <c r="T1246" s="179">
        <f>S1246+_xlfn.XLOOKUP($R1246,'Budget Assumption Driver'!$A$7:$A$11,'Budget Assumption Driver'!F$7:F$11)</f>
        <v>3</v>
      </c>
      <c r="U1246" s="179">
        <f>T1246+_xlfn.XLOOKUP($R1246,'Budget Assumption Driver'!$A$7:$A$11,'Budget Assumption Driver'!G$7:G$11)</f>
        <v>3</v>
      </c>
      <c r="V1246" s="179">
        <f>U1246+_xlfn.XLOOKUP($R1246,'Budget Assumption Driver'!$A$7:$A$11,'Budget Assumption Driver'!H$7:H$11)</f>
        <v>3</v>
      </c>
      <c r="W1246" s="179">
        <f>V1246+_xlfn.XLOOKUP($R1246,'Budget Assumption Driver'!$A$7:$A$11,'Budget Assumption Driver'!I$7:I$11)</f>
        <v>3</v>
      </c>
      <c r="X1246" s="179">
        <f>W1246+_xlfn.XLOOKUP($R1246,'Budget Assumption Driver'!$A$7:$A$11,'Budget Assumption Driver'!J$7:J$11)</f>
        <v>3</v>
      </c>
      <c r="Y1246" s="179">
        <f>X1246+_xlfn.XLOOKUP($R1246,'Budget Assumption Driver'!$A$7:$A$11,'Budget Assumption Driver'!K$7:K$11)</f>
        <v>4</v>
      </c>
      <c r="Z1246" s="179">
        <f>Y1246+_xlfn.XLOOKUP($R1246,'Budget Assumption Driver'!$A$7:$A$11,'Budget Assumption Driver'!L$7:L$11)</f>
        <v>4</v>
      </c>
      <c r="AA1246" s="179">
        <f>Z1246+_xlfn.XLOOKUP($R1246,'Budget Assumption Driver'!$A$7:$A$11,'Budget Assumption Driver'!M$7:M$11)</f>
        <v>4</v>
      </c>
      <c r="AB1246" s="179">
        <f>AA1246+_xlfn.XLOOKUP($R1246,'Budget Assumption Driver'!$A$7:$A$11,'Budget Assumption Driver'!N$7:N$11)</f>
        <v>4</v>
      </c>
      <c r="AC1246" s="179">
        <f>AB1246+_xlfn.XLOOKUP($R1246,'Budget Assumption Driver'!$A$7:$A$11,'Budget Assumption Driver'!O$7:O$11)</f>
        <v>4</v>
      </c>
      <c r="AD1246" s="290">
        <f>AC1246+_xlfn.XLOOKUP($R1246,'Budget Assumption Driver'!$A$7:$A$11,'Budget Assumption Driver'!P$7:P$11)</f>
        <v>4</v>
      </c>
      <c r="AE1246" s="15"/>
      <c r="AF1246" s="229">
        <f>_xlfn.XLOOKUP($C1246,'Site Level Financials - ''23 ''24'!$C$2:$C$1577,'Site Level Financials - ''23 ''24'!$AF$2:$AF$1577)</f>
        <v>1.6666666666666667</v>
      </c>
      <c r="AG1246" s="91">
        <f t="shared" ref="AG1246:AH1246" si="3627">AG1248/AG1247</f>
        <v>2.3308550185873607</v>
      </c>
      <c r="AH1246" s="91">
        <f t="shared" si="3627"/>
        <v>3.5018587360594795</v>
      </c>
    </row>
    <row r="1247" spans="2:35" x14ac:dyDescent="0.2">
      <c r="B1247" s="9">
        <f>G1240</f>
        <v>26</v>
      </c>
      <c r="C1247" s="9" t="str">
        <f t="shared" ref="C1247:C1283" si="3628">B1247&amp;" - "&amp;F1247</f>
        <v>26 - Workdays in Month / Year</v>
      </c>
      <c r="D1247" s="9" t="s">
        <v>56</v>
      </c>
      <c r="F1247" s="7" t="s">
        <v>54</v>
      </c>
      <c r="G1247" s="178">
        <f>_xlfn.XLOOKUP($C1247,'Site Level Financials - ''23 ''24'!$C$2:$C$1577,'Site Level Financials - ''23 ''24'!S$2:S$1577)</f>
        <v>23</v>
      </c>
      <c r="H1247" s="235">
        <f>_xlfn.XLOOKUP($C1247,'Site Level Financials - ''23 ''24'!$C$2:$C$1577,'Site Level Financials - ''23 ''24'!T$2:T$1577)</f>
        <v>22</v>
      </c>
      <c r="I1247" s="235">
        <f>_xlfn.XLOOKUP($C1247,'Site Level Financials - ''23 ''24'!$C$2:$C$1577,'Site Level Financials - ''23 ''24'!U$2:U$1577)</f>
        <v>22</v>
      </c>
      <c r="J1247" s="179">
        <f>_xlfn.XLOOKUP($C1247,'Site Level Financials - ''23 ''24'!$C$2:$C$1577,'Site Level Financials - ''23 ''24'!V$2:V$1577)</f>
        <v>22</v>
      </c>
      <c r="K1247" s="179">
        <f>_xlfn.XLOOKUP($C1247,'Site Level Financials - ''23 ''24'!$C$2:$C$1577,'Site Level Financials - ''23 ''24'!W$2:W$1577)</f>
        <v>24</v>
      </c>
      <c r="L1247" s="179">
        <f>_xlfn.XLOOKUP($C1247,'Site Level Financials - ''23 ''24'!$C$2:$C$1577,'Site Level Financials - ''23 ''24'!X$2:X$1577)</f>
        <v>21</v>
      </c>
      <c r="M1247" s="179">
        <f>_xlfn.XLOOKUP($C1247,'Site Level Financials - ''23 ''24'!$C$2:$C$1577,'Site Level Financials - ''23 ''24'!Y$2:Y$1577)</f>
        <v>23</v>
      </c>
      <c r="N1247" s="179">
        <f>_xlfn.XLOOKUP($C1247,'Site Level Financials - ''23 ''24'!$C$2:$C$1577,'Site Level Financials - ''23 ''24'!Z$2:Z$1577)</f>
        <v>23</v>
      </c>
      <c r="O1247" s="179">
        <f>_xlfn.XLOOKUP($C1247,'Site Level Financials - ''23 ''24'!$C$2:$C$1577,'Site Level Financials - ''23 ''24'!AA$2:AA$1577)</f>
        <v>21</v>
      </c>
      <c r="P1247" s="179">
        <f>_xlfn.XLOOKUP($C1247,'Site Level Financials - ''23 ''24'!$C$2:$C$1577,'Site Level Financials - ''23 ''24'!AB$2:AB$1577)</f>
        <v>24</v>
      </c>
      <c r="Q1247" s="179">
        <f>_xlfn.XLOOKUP($C1247,'Site Level Financials - ''23 ''24'!$C$2:$C$1577,'Site Level Financials - ''23 ''24'!AC$2:AC$1577)</f>
        <v>22</v>
      </c>
      <c r="R1247" s="179">
        <f>_xlfn.XLOOKUP($C1247,'Site Level Financials - ''23 ''24'!$C$2:$C$1577,'Site Level Financials - ''23 ''24'!AD$2:AD$1577)</f>
        <v>22</v>
      </c>
      <c r="S1247" s="155">
        <f>NETWORKDAYS(R1244,S1244)</f>
        <v>23</v>
      </c>
      <c r="T1247" s="154">
        <f t="shared" ref="T1247:AD1247" si="3629">NETWORKDAYS(S1244,T1244)</f>
        <v>22</v>
      </c>
      <c r="U1247" s="154">
        <f t="shared" si="3629"/>
        <v>22</v>
      </c>
      <c r="V1247" s="154">
        <f t="shared" si="3629"/>
        <v>22</v>
      </c>
      <c r="W1247" s="154">
        <f t="shared" si="3629"/>
        <v>24</v>
      </c>
      <c r="X1247" s="154">
        <f t="shared" si="3629"/>
        <v>21</v>
      </c>
      <c r="Y1247" s="154">
        <f t="shared" si="3629"/>
        <v>23</v>
      </c>
      <c r="Z1247" s="154">
        <f t="shared" si="3629"/>
        <v>23</v>
      </c>
      <c r="AA1247" s="154">
        <f t="shared" si="3629"/>
        <v>21</v>
      </c>
      <c r="AB1247" s="154">
        <f t="shared" si="3629"/>
        <v>24</v>
      </c>
      <c r="AC1247" s="154">
        <f t="shared" si="3629"/>
        <v>22</v>
      </c>
      <c r="AD1247" s="156">
        <f t="shared" si="3629"/>
        <v>22</v>
      </c>
      <c r="AE1247" s="15"/>
      <c r="AF1247" s="115">
        <f>_xlfn.XLOOKUP($C1247,'Site Level Financials - ''23 ''24'!$C$2:$C$1577,'Site Level Financials - ''23 ''24'!$AF$2:$AF$1577)</f>
        <v>269</v>
      </c>
      <c r="AG1247" s="93">
        <f>SUM(G1247:R1247)</f>
        <v>269</v>
      </c>
      <c r="AH1247" s="93">
        <f>SUM(S1247:AD1247)</f>
        <v>269</v>
      </c>
    </row>
    <row r="1248" spans="2:35" x14ac:dyDescent="0.2">
      <c r="B1248" s="9">
        <f>G1240</f>
        <v>26</v>
      </c>
      <c r="C1248" s="9" t="str">
        <f t="shared" si="3628"/>
        <v>26 - Total Vet Days</v>
      </c>
      <c r="D1248" s="9" t="s">
        <v>56</v>
      </c>
      <c r="F1248" s="8" t="s">
        <v>51</v>
      </c>
      <c r="G1248" s="236">
        <f>_xlfn.XLOOKUP($C1248,'Site Level Financials - ''23 ''24'!$C$2:$C$1577,'Site Level Financials - ''23 ''24'!S$2:S$1577)</f>
        <v>69</v>
      </c>
      <c r="H1248" s="237">
        <f>_xlfn.XLOOKUP($C1248,'Site Level Financials - ''23 ''24'!$C$2:$C$1577,'Site Level Financials - ''23 ''24'!T$2:T$1577)</f>
        <v>66</v>
      </c>
      <c r="I1248" s="237">
        <f>_xlfn.XLOOKUP($C1248,'Site Level Financials - ''23 ''24'!$C$2:$C$1577,'Site Level Financials - ''23 ''24'!U$2:U$1577)</f>
        <v>44</v>
      </c>
      <c r="J1248" s="238">
        <f>_xlfn.XLOOKUP($C1248,'Site Level Financials - ''23 ''24'!$C$2:$C$1577,'Site Level Financials - ''23 ''24'!V$2:V$1577)</f>
        <v>44</v>
      </c>
      <c r="K1248" s="238">
        <f>_xlfn.XLOOKUP($C1248,'Site Level Financials - ''23 ''24'!$C$2:$C$1577,'Site Level Financials - ''23 ''24'!W$2:W$1577)</f>
        <v>48</v>
      </c>
      <c r="L1248" s="238">
        <f>_xlfn.XLOOKUP($C1248,'Site Level Financials - ''23 ''24'!$C$2:$C$1577,'Site Level Financials - ''23 ''24'!X$2:X$1577)</f>
        <v>42</v>
      </c>
      <c r="M1248" s="238">
        <f>_xlfn.XLOOKUP($C1248,'Site Level Financials - ''23 ''24'!$C$2:$C$1577,'Site Level Financials - ''23 ''24'!Y$2:Y$1577)</f>
        <v>46</v>
      </c>
      <c r="N1248" s="238">
        <f>_xlfn.XLOOKUP($C1248,'Site Level Financials - ''23 ''24'!$C$2:$C$1577,'Site Level Financials - ''23 ''24'!Z$2:Z$1577)</f>
        <v>46</v>
      </c>
      <c r="O1248" s="238">
        <f>_xlfn.XLOOKUP($C1248,'Site Level Financials - ''23 ''24'!$C$2:$C$1577,'Site Level Financials - ''23 ''24'!AA$2:AA$1577)</f>
        <v>42</v>
      </c>
      <c r="P1248" s="238">
        <f>_xlfn.XLOOKUP($C1248,'Site Level Financials - ''23 ''24'!$C$2:$C$1577,'Site Level Financials - ''23 ''24'!AB$2:AB$1577)</f>
        <v>48</v>
      </c>
      <c r="Q1248" s="238">
        <f>_xlfn.XLOOKUP($C1248,'Site Level Financials - ''23 ''24'!$C$2:$C$1577,'Site Level Financials - ''23 ''24'!AC$2:AC$1577)</f>
        <v>66</v>
      </c>
      <c r="R1248" s="238">
        <f>_xlfn.XLOOKUP($C1248,'Site Level Financials - ''23 ''24'!$C$2:$C$1577,'Site Level Financials - ''23 ''24'!AD$2:AD$1577)</f>
        <v>66</v>
      </c>
      <c r="S1248" s="125">
        <f t="shared" ref="S1248:AD1248" si="3630">S1246*S1247</f>
        <v>69</v>
      </c>
      <c r="T1248" s="127">
        <f t="shared" si="3630"/>
        <v>66</v>
      </c>
      <c r="U1248" s="127">
        <f t="shared" si="3630"/>
        <v>66</v>
      </c>
      <c r="V1248" s="127">
        <f t="shared" si="3630"/>
        <v>66</v>
      </c>
      <c r="W1248" s="127">
        <f t="shared" si="3630"/>
        <v>72</v>
      </c>
      <c r="X1248" s="127">
        <f t="shared" si="3630"/>
        <v>63</v>
      </c>
      <c r="Y1248" s="127">
        <f t="shared" si="3630"/>
        <v>92</v>
      </c>
      <c r="Z1248" s="127">
        <f t="shared" si="3630"/>
        <v>92</v>
      </c>
      <c r="AA1248" s="127">
        <f t="shared" si="3630"/>
        <v>84</v>
      </c>
      <c r="AB1248" s="127">
        <f t="shared" si="3630"/>
        <v>96</v>
      </c>
      <c r="AC1248" s="127">
        <f t="shared" si="3630"/>
        <v>88</v>
      </c>
      <c r="AD1248" s="128">
        <f t="shared" si="3630"/>
        <v>88</v>
      </c>
      <c r="AF1248" s="112">
        <f>_xlfn.XLOOKUP($C1248,'Site Level Financials - ''23 ''24'!$C$2:$C$1577,'Site Level Financials - ''23 ''24'!$AF$2:$AF$1577)</f>
        <v>449</v>
      </c>
      <c r="AG1248" s="120">
        <f>SUM(G1248:R1248)</f>
        <v>627</v>
      </c>
      <c r="AH1248" s="120">
        <f t="shared" ref="AH1248" si="3631">SUM(S1248:AD1248)</f>
        <v>942</v>
      </c>
    </row>
    <row r="1249" spans="2:34" x14ac:dyDescent="0.2">
      <c r="B1249" s="9">
        <f>G1240</f>
        <v>26</v>
      </c>
      <c r="C1249" s="9" t="str">
        <f t="shared" si="3628"/>
        <v>26 - Production per Vet Workday</v>
      </c>
      <c r="D1249" s="9" t="s">
        <v>56</v>
      </c>
      <c r="F1249" s="7" t="s">
        <v>50</v>
      </c>
      <c r="G1249" s="239">
        <f>_xlfn.XLOOKUP($C1249,'Site Level Financials - ''23 ''24'!$C$2:$C$1577,'Site Level Financials - ''23 ''24'!S$2:S$1577)</f>
        <v>7.0489230682026793</v>
      </c>
      <c r="H1249" s="240">
        <f>_xlfn.XLOOKUP($C1249,'Site Level Financials - ''23 ''24'!$C$2:$C$1577,'Site Level Financials - ''23 ''24'!T$2:T$1577)</f>
        <v>7.7133463727443239</v>
      </c>
      <c r="I1249" s="240">
        <f>_xlfn.XLOOKUP($C1249,'Site Level Financials - ''23 ''24'!$C$2:$C$1577,'Site Level Financials - ''23 ''24'!U$2:U$1577)</f>
        <v>8.5473557030049658</v>
      </c>
      <c r="J1249" s="240">
        <f>_xlfn.XLOOKUP($C1249,'Site Level Financials - ''23 ''24'!$C$2:$C$1577,'Site Level Financials - ''23 ''24'!V$2:V$1577)</f>
        <v>8.7578640097205653</v>
      </c>
      <c r="K1249" s="240">
        <f>_xlfn.XLOOKUP($C1249,'Site Level Financials - ''23 ''24'!$C$2:$C$1577,'Site Level Financials - ''23 ''24'!W$2:W$1577)</f>
        <v>9.5467399877617645</v>
      </c>
      <c r="L1249" s="240">
        <f>_xlfn.XLOOKUP($C1249,'Site Level Financials - ''23 ''24'!$C$2:$C$1577,'Site Level Financials - ''23 ''24'!X$2:X$1577)</f>
        <v>8.9003145332627476</v>
      </c>
      <c r="M1249" s="240">
        <f>_xlfn.XLOOKUP($C1249,'Site Level Financials - ''23 ''24'!$C$2:$C$1577,'Site Level Financials - ''23 ''24'!Y$2:Y$1577)</f>
        <v>8.1488577870453209</v>
      </c>
      <c r="N1249" s="240">
        <f>_xlfn.XLOOKUP($C1249,'Site Level Financials - ''23 ''24'!$C$2:$C$1577,'Site Level Financials - ''23 ''24'!Z$2:Z$1577)</f>
        <v>7.4441070568128316</v>
      </c>
      <c r="O1249" s="240">
        <f>_xlfn.XLOOKUP($C1249,'Site Level Financials - ''23 ''24'!$C$2:$C$1577,'Site Level Financials - ''23 ''24'!AA$2:AA$1577)</f>
        <v>6.8199138598446085</v>
      </c>
      <c r="P1249" s="240">
        <f>_xlfn.XLOOKUP($C1249,'Site Level Financials - ''23 ''24'!$C$2:$C$1577,'Site Level Financials - ''23 ''24'!AB$2:AB$1577)</f>
        <v>7.1564075078347731</v>
      </c>
      <c r="Q1249" s="240">
        <f>_xlfn.XLOOKUP($C1249,'Site Level Financials - ''23 ''24'!$C$2:$C$1577,'Site Level Financials - ''23 ''24'!AC$2:AC$1577)</f>
        <v>5.5704425421039598</v>
      </c>
      <c r="R1249" s="240">
        <f>_xlfn.XLOOKUP($C1249,'Site Level Financials - ''23 ''24'!$C$2:$C$1577,'Site Level Financials - ''23 ''24'!AD$2:AD$1577)</f>
        <v>4.1265395000281995</v>
      </c>
      <c r="S1249" s="239">
        <f>R1249*(1+_xlfn.XLOOKUP($R1246,'Budget Assumption Driver'!$A$15:$A$19,'Budget Assumption Driver'!E$15:E$19))</f>
        <v>5.838264187394417</v>
      </c>
      <c r="T1249" s="240">
        <f>S1249*(1+_xlfn.XLOOKUP($R1246,'Budget Assumption Driver'!$A$15:$A$19,'Budget Assumption Driver'!F$15:F$19))</f>
        <v>6.3201897226581991</v>
      </c>
      <c r="U1249" s="240">
        <f>T1249*(1+_xlfn.XLOOKUP($R1246,'Budget Assumption Driver'!$A$15:$A$19,'Budget Assumption Driver'!G$15:G$19))</f>
        <v>6.7865516822508285</v>
      </c>
      <c r="V1249" s="240">
        <f>U1249*(1+_xlfn.XLOOKUP($R1246,'Budget Assumption Driver'!$A$15:$A$19,'Budget Assumption Driver'!H$15:H$19))</f>
        <v>7.2694931664471341</v>
      </c>
      <c r="W1249" s="240">
        <f>V1249*(1+_xlfn.XLOOKUP($R1246,'Budget Assumption Driver'!$A$15:$A$19,'Budget Assumption Driver'!I$15:I$19))</f>
        <v>7.9198877837473516</v>
      </c>
      <c r="X1249" s="240">
        <f>W1249*(1+_xlfn.XLOOKUP($R1246,'Budget Assumption Driver'!$A$15:$A$19,'Budget Assumption Driver'!J$15:J$19))</f>
        <v>7.600818097599503</v>
      </c>
      <c r="Y1249" s="240">
        <f>X1249*(1+_xlfn.XLOOKUP($R1246,'Budget Assumption Driver'!$A$15:$A$19,'Budget Assumption Driver'!K$15:K$19))</f>
        <v>6.2314085095683289</v>
      </c>
      <c r="Z1249" s="240">
        <f>Y1249*(1+_xlfn.XLOOKUP($R1246,'Budget Assumption Driver'!$A$15:$A$19,'Budget Assumption Driver'!L$15:L$19))</f>
        <v>5.3433756614447709</v>
      </c>
      <c r="AA1249" s="240">
        <f>Z1249*(1+_xlfn.XLOOKUP($R1246,'Budget Assumption Driver'!$A$15:$A$19,'Budget Assumption Driver'!M$15:M$19))</f>
        <v>5.3655765862906382</v>
      </c>
      <c r="AB1249" s="240">
        <f>AA1249*(1+_xlfn.XLOOKUP($R1246,'Budget Assumption Driver'!$A$15:$A$19,'Budget Assumption Driver'!N$15:N$19))</f>
        <v>5.3920350411675697</v>
      </c>
      <c r="AC1249" s="240">
        <f>AB1249*(1+_xlfn.XLOOKUP($R1246,'Budget Assumption Driver'!$A$15:$A$19,'Budget Assumption Driver'!O$15:O$19))</f>
        <v>4.6497123642849507</v>
      </c>
      <c r="AD1249" s="291">
        <f>AC1249*(1+_xlfn.XLOOKUP($R1246,'Budget Assumption Driver'!$A$15:$A$19,'Budget Assumption Driver'!P$15:P$19))</f>
        <v>3.7951535980889046</v>
      </c>
      <c r="AE1249" s="15"/>
      <c r="AF1249" s="230">
        <f>_xlfn.XLOOKUP($C1249,'Site Level Financials - ''23 ''24'!$C$2:$C$1577,'Site Level Financials - ''23 ''24'!$AF$2:$AF$1577)</f>
        <v>7.8862004603575402</v>
      </c>
      <c r="AG1249" s="101">
        <f>AG1250/AG1248</f>
        <v>7.2985073198793842</v>
      </c>
      <c r="AH1249" s="101">
        <f>AH1250/AH1248</f>
        <v>5.9162710369860969</v>
      </c>
    </row>
    <row r="1250" spans="2:34" x14ac:dyDescent="0.2">
      <c r="B1250" s="9">
        <f>G1240</f>
        <v>26</v>
      </c>
      <c r="C1250" s="9" t="str">
        <f t="shared" si="3628"/>
        <v>26 - Total Production</v>
      </c>
      <c r="D1250" s="9" t="s">
        <v>56</v>
      </c>
      <c r="F1250" s="8" t="s">
        <v>1</v>
      </c>
      <c r="G1250" s="241">
        <f>_xlfn.XLOOKUP($C1250,'Site Level Financials - ''23 ''24'!$C$2:$C$1577,'Site Level Financials - ''23 ''24'!S$2:S$1577)</f>
        <v>486.37569170598488</v>
      </c>
      <c r="H1250" s="242">
        <f>_xlfn.XLOOKUP($C1250,'Site Level Financials - ''23 ''24'!$C$2:$C$1577,'Site Level Financials - ''23 ''24'!T$2:T$1577)</f>
        <v>509.08086060112538</v>
      </c>
      <c r="I1250" s="242">
        <f>_xlfn.XLOOKUP($C1250,'Site Level Financials - ''23 ''24'!$C$2:$C$1577,'Site Level Financials - ''23 ''24'!U$2:U$1577)</f>
        <v>376.08365093221852</v>
      </c>
      <c r="J1250" s="242">
        <f>_xlfn.XLOOKUP($C1250,'Site Level Financials - ''23 ''24'!$C$2:$C$1577,'Site Level Financials - ''23 ''24'!V$2:V$1577)</f>
        <v>385.34601642770485</v>
      </c>
      <c r="K1250" s="242">
        <f>_xlfn.XLOOKUP($C1250,'Site Level Financials - ''23 ''24'!$C$2:$C$1577,'Site Level Financials - ''23 ''24'!W$2:W$1577)</f>
        <v>458.24351941256469</v>
      </c>
      <c r="L1250" s="242">
        <f>_xlfn.XLOOKUP($C1250,'Site Level Financials - ''23 ''24'!$C$2:$C$1577,'Site Level Financials - ''23 ''24'!X$2:X$1577)</f>
        <v>373.81321039703539</v>
      </c>
      <c r="M1250" s="242">
        <f>_xlfn.XLOOKUP($C1250,'Site Level Financials - ''23 ''24'!$C$2:$C$1577,'Site Level Financials - ''23 ''24'!Y$2:Y$1577)</f>
        <v>374.84745820408477</v>
      </c>
      <c r="N1250" s="242">
        <f>_xlfn.XLOOKUP($C1250,'Site Level Financials - ''23 ''24'!$C$2:$C$1577,'Site Level Financials - ''23 ''24'!Z$2:Z$1577)</f>
        <v>342.42892461339028</v>
      </c>
      <c r="O1250" s="242">
        <f>_xlfn.XLOOKUP($C1250,'Site Level Financials - ''23 ''24'!$C$2:$C$1577,'Site Level Financials - ''23 ''24'!AA$2:AA$1577)</f>
        <v>286.43638211347354</v>
      </c>
      <c r="P1250" s="242">
        <f>_xlfn.XLOOKUP($C1250,'Site Level Financials - ''23 ''24'!$C$2:$C$1577,'Site Level Financials - ''23 ''24'!AB$2:AB$1577)</f>
        <v>343.50756037606914</v>
      </c>
      <c r="Q1250" s="242">
        <f>_xlfn.XLOOKUP($C1250,'Site Level Financials - ''23 ''24'!$C$2:$C$1577,'Site Level Financials - ''23 ''24'!AC$2:AC$1577)</f>
        <v>367.64920777886135</v>
      </c>
      <c r="R1250" s="242">
        <f>_xlfn.XLOOKUP($C1250,'Site Level Financials - ''23 ''24'!$C$2:$C$1577,'Site Level Financials - ''23 ''24'!AD$2:AD$1577)</f>
        <v>272.35160700186117</v>
      </c>
      <c r="S1250" s="134">
        <f t="shared" ref="S1250:AD1250" si="3632">S1249*S1248</f>
        <v>402.84022893021478</v>
      </c>
      <c r="T1250" s="135">
        <f t="shared" si="3632"/>
        <v>417.13252169544114</v>
      </c>
      <c r="U1250" s="135">
        <f t="shared" si="3632"/>
        <v>447.91241102855469</v>
      </c>
      <c r="V1250" s="135">
        <f t="shared" si="3632"/>
        <v>479.78654898551088</v>
      </c>
      <c r="W1250" s="135">
        <f t="shared" si="3632"/>
        <v>570.23192042980929</v>
      </c>
      <c r="X1250" s="135">
        <f t="shared" si="3632"/>
        <v>478.85154014876866</v>
      </c>
      <c r="Y1250" s="135">
        <f t="shared" si="3632"/>
        <v>573.28958288028628</v>
      </c>
      <c r="Z1250" s="135">
        <f t="shared" si="3632"/>
        <v>491.59056085291894</v>
      </c>
      <c r="AA1250" s="135">
        <f t="shared" si="3632"/>
        <v>450.7084332484136</v>
      </c>
      <c r="AB1250" s="135">
        <f t="shared" si="3632"/>
        <v>517.63536395208666</v>
      </c>
      <c r="AC1250" s="135">
        <f t="shared" si="3632"/>
        <v>409.17468805707568</v>
      </c>
      <c r="AD1250" s="136">
        <f t="shared" si="3632"/>
        <v>333.9735166318236</v>
      </c>
      <c r="AE1250" s="15"/>
      <c r="AF1250" s="113">
        <f>_xlfn.XLOOKUP($C1250,'Site Level Financials - ''23 ''24'!$C$2:$C$1577,'Site Level Financials - ''23 ''24'!$AF$2:$AF$1577)</f>
        <v>3200.2400673474626</v>
      </c>
      <c r="AG1250" s="95">
        <f>SUM(G1250:R1250)</f>
        <v>4576.1640895643741</v>
      </c>
      <c r="AH1250" s="95">
        <f t="shared" ref="AH1250" si="3633">SUM(S1250:AD1250)</f>
        <v>5573.1273168409034</v>
      </c>
    </row>
    <row r="1251" spans="2:34" x14ac:dyDescent="0.2">
      <c r="B1251" s="9">
        <f>G1240</f>
        <v>26</v>
      </c>
      <c r="C1251" s="9" t="str">
        <f t="shared" si="3628"/>
        <v>26 - Revenue as a % of Production</v>
      </c>
      <c r="D1251" s="9" t="s">
        <v>56</v>
      </c>
      <c r="F1251" s="7" t="s">
        <v>2</v>
      </c>
      <c r="G1251" s="243">
        <f>_xlfn.XLOOKUP($C1251,'Site Level Financials - ''23 ''24'!$C$2:$C$1577,'Site Level Financials - ''23 ''24'!S$2:S$1577)</f>
        <v>0.98422733712055221</v>
      </c>
      <c r="H1251" s="244">
        <f>_xlfn.XLOOKUP($C1251,'Site Level Financials - ''23 ''24'!$C$2:$C$1577,'Site Level Financials - ''23 ''24'!T$2:T$1577)</f>
        <v>0.98422733712055221</v>
      </c>
      <c r="I1251" s="244">
        <f>_xlfn.XLOOKUP($C1251,'Site Level Financials - ''23 ''24'!$C$2:$C$1577,'Site Level Financials - ''23 ''24'!U$2:U$1577)</f>
        <v>0.98422733712055221</v>
      </c>
      <c r="J1251" s="244">
        <f>_xlfn.XLOOKUP($C1251,'Site Level Financials - ''23 ''24'!$C$2:$C$1577,'Site Level Financials - ''23 ''24'!V$2:V$1577)</f>
        <v>0.98422733712055221</v>
      </c>
      <c r="K1251" s="244">
        <f>_xlfn.XLOOKUP($C1251,'Site Level Financials - ''23 ''24'!$C$2:$C$1577,'Site Level Financials - ''23 ''24'!W$2:W$1577)</f>
        <v>0.98422733712055221</v>
      </c>
      <c r="L1251" s="244">
        <f>_xlfn.XLOOKUP($C1251,'Site Level Financials - ''23 ''24'!$C$2:$C$1577,'Site Level Financials - ''23 ''24'!X$2:X$1577)</f>
        <v>0.98422733712055221</v>
      </c>
      <c r="M1251" s="244">
        <f>_xlfn.XLOOKUP($C1251,'Site Level Financials - ''23 ''24'!$C$2:$C$1577,'Site Level Financials - ''23 ''24'!Y$2:Y$1577)</f>
        <v>0.98422733712055221</v>
      </c>
      <c r="N1251" s="244">
        <f>_xlfn.XLOOKUP($C1251,'Site Level Financials - ''23 ''24'!$C$2:$C$1577,'Site Level Financials - ''23 ''24'!Z$2:Z$1577)</f>
        <v>0.98422733712055221</v>
      </c>
      <c r="O1251" s="244">
        <f>_xlfn.XLOOKUP($C1251,'Site Level Financials - ''23 ''24'!$C$2:$C$1577,'Site Level Financials - ''23 ''24'!AA$2:AA$1577)</f>
        <v>0.98422733712055221</v>
      </c>
      <c r="P1251" s="244">
        <f>_xlfn.XLOOKUP($C1251,'Site Level Financials - ''23 ''24'!$C$2:$C$1577,'Site Level Financials - ''23 ''24'!AB$2:AB$1577)</f>
        <v>0.98422733712055221</v>
      </c>
      <c r="Q1251" s="244">
        <f>_xlfn.XLOOKUP($C1251,'Site Level Financials - ''23 ''24'!$C$2:$C$1577,'Site Level Financials - ''23 ''24'!AC$2:AC$1577)</f>
        <v>0.98422733712055221</v>
      </c>
      <c r="R1251" s="244">
        <f>_xlfn.XLOOKUP($C1251,'Site Level Financials - ''23 ''24'!$C$2:$C$1577,'Site Level Financials - ''23 ''24'!AD$2:AD$1577)</f>
        <v>0.98422733712055221</v>
      </c>
      <c r="S1251" s="292">
        <f>SUM(G1280:R1280)/SUM(G1250:R1250)</f>
        <v>0.97868792225367673</v>
      </c>
      <c r="T1251" s="203">
        <f>S1251</f>
        <v>0.97868792225367673</v>
      </c>
      <c r="U1251" s="203">
        <f t="shared" ref="U1251:AD1251" si="3634">T1251</f>
        <v>0.97868792225367673</v>
      </c>
      <c r="V1251" s="203">
        <f t="shared" si="3634"/>
        <v>0.97868792225367673</v>
      </c>
      <c r="W1251" s="203">
        <f t="shared" si="3634"/>
        <v>0.97868792225367673</v>
      </c>
      <c r="X1251" s="203">
        <f t="shared" si="3634"/>
        <v>0.97868792225367673</v>
      </c>
      <c r="Y1251" s="203">
        <f t="shared" si="3634"/>
        <v>0.97868792225367673</v>
      </c>
      <c r="Z1251" s="203">
        <f t="shared" si="3634"/>
        <v>0.97868792225367673</v>
      </c>
      <c r="AA1251" s="203">
        <f t="shared" si="3634"/>
        <v>0.97868792225367673</v>
      </c>
      <c r="AB1251" s="203">
        <f t="shared" si="3634"/>
        <v>0.97868792225367673</v>
      </c>
      <c r="AC1251" s="203">
        <f t="shared" si="3634"/>
        <v>0.97868792225367673</v>
      </c>
      <c r="AD1251" s="204">
        <f t="shared" si="3634"/>
        <v>0.97868792225367673</v>
      </c>
      <c r="AE1251" s="15"/>
      <c r="AF1251" s="231">
        <f>_xlfn.XLOOKUP($C1251,'Site Level Financials - ''23 ''24'!$C$2:$C$1577,'Site Level Financials - ''23 ''24'!$AF$2:$AF$1577)</f>
        <v>0.97386918433674841</v>
      </c>
      <c r="AG1251" s="103">
        <f>AG1252/AG1250</f>
        <v>0.98422733712055221</v>
      </c>
      <c r="AH1251" s="103">
        <f>AH1252/AH1250</f>
        <v>0.97868792225367673</v>
      </c>
    </row>
    <row r="1252" spans="2:34" x14ac:dyDescent="0.2">
      <c r="B1252" s="9">
        <f>G1240</f>
        <v>26</v>
      </c>
      <c r="C1252" s="9" t="str">
        <f t="shared" si="3628"/>
        <v>26 - Total Revenue</v>
      </c>
      <c r="D1252" s="9" t="s">
        <v>56</v>
      </c>
      <c r="F1252" s="8" t="s">
        <v>3</v>
      </c>
      <c r="G1252" s="241">
        <f>_xlfn.XLOOKUP($C1252,'Site Level Financials - ''23 ''24'!$C$2:$C$1577,'Site Level Financials - ''23 ''24'!S$2:S$1577)</f>
        <v>478.70425188794815</v>
      </c>
      <c r="H1252" s="242">
        <f>_xlfn.XLOOKUP($C1252,'Site Level Financials - ''23 ''24'!$C$2:$C$1577,'Site Level Financials - ''23 ''24'!T$2:T$1577)</f>
        <v>501.05129980848466</v>
      </c>
      <c r="I1252" s="242">
        <f>_xlfn.XLOOKUP($C1252,'Site Level Financials - ''23 ''24'!$C$2:$C$1577,'Site Level Financials - ''23 ''24'!U$2:U$1577)</f>
        <v>370.15181029159271</v>
      </c>
      <c r="J1252" s="242">
        <f>_xlfn.XLOOKUP($C1252,'Site Level Financials - ''23 ''24'!$C$2:$C$1577,'Site Level Financials - ''23 ''24'!V$2:V$1577)</f>
        <v>379.2680836186525</v>
      </c>
      <c r="K1252" s="242">
        <f>_xlfn.XLOOKUP($C1252,'Site Level Financials - ''23 ''24'!$C$2:$C$1577,'Site Level Financials - ''23 ''24'!W$2:W$1577)</f>
        <v>451.01579886417863</v>
      </c>
      <c r="L1252" s="242">
        <f>_xlfn.XLOOKUP($C1252,'Site Level Financials - ''23 ''24'!$C$2:$C$1577,'Site Level Financials - ''23 ''24'!X$2:X$1577)</f>
        <v>367.91718064955887</v>
      </c>
      <c r="M1252" s="242">
        <f>_xlfn.XLOOKUP($C1252,'Site Level Financials - ''23 ''24'!$C$2:$C$1577,'Site Level Financials - ''23 ''24'!Y$2:Y$1577)</f>
        <v>368.93511561461384</v>
      </c>
      <c r="N1252" s="242">
        <f>_xlfn.XLOOKUP($C1252,'Site Level Financials - ''23 ''24'!$C$2:$C$1577,'Site Level Financials - ''23 ''24'!Z$2:Z$1577)</f>
        <v>337.02790862529145</v>
      </c>
      <c r="O1252" s="242">
        <f>_xlfn.XLOOKUP($C1252,'Site Level Financials - ''23 ''24'!$C$2:$C$1577,'Site Level Financials - ''23 ''24'!AA$2:AA$1577)</f>
        <v>281.91851762198905</v>
      </c>
      <c r="P1252" s="242">
        <f>_xlfn.XLOOKUP($C1252,'Site Level Financials - ''23 ''24'!$C$2:$C$1577,'Site Level Financials - ''23 ''24'!AB$2:AB$1577)</f>
        <v>338.08953142971586</v>
      </c>
      <c r="Q1252" s="242">
        <f>_xlfn.XLOOKUP($C1252,'Site Level Financials - ''23 ''24'!$C$2:$C$1577,'Site Level Financials - ''23 ''24'!AC$2:AC$1577)</f>
        <v>361.85040076666934</v>
      </c>
      <c r="R1252" s="242">
        <f>_xlfn.XLOOKUP($C1252,'Site Level Financials - ''23 ''24'!$C$2:$C$1577,'Site Level Financials - ''23 ''24'!AD$2:AD$1577)</f>
        <v>268.05589691994498</v>
      </c>
      <c r="S1252" s="134">
        <f t="shared" ref="S1252:AD1252" si="3635">S1251*S1250</f>
        <v>394.25486665190738</v>
      </c>
      <c r="T1252" s="135">
        <f t="shared" si="3635"/>
        <v>408.242560962548</v>
      </c>
      <c r="U1252" s="135">
        <f t="shared" si="3635"/>
        <v>438.36646690117101</v>
      </c>
      <c r="V1252" s="135">
        <f t="shared" si="3635"/>
        <v>469.56130075189151</v>
      </c>
      <c r="W1252" s="135">
        <f t="shared" si="3635"/>
        <v>558.079093408174</v>
      </c>
      <c r="X1252" s="135">
        <f t="shared" si="3635"/>
        <v>468.64621889617149</v>
      </c>
      <c r="Y1252" s="135">
        <f t="shared" si="3635"/>
        <v>561.07159071878436</v>
      </c>
      <c r="Z1252" s="135">
        <f t="shared" si="3635"/>
        <v>481.11374460066287</v>
      </c>
      <c r="AA1252" s="135">
        <f t="shared" si="3635"/>
        <v>441.10290007809988</v>
      </c>
      <c r="AB1252" s="135">
        <f t="shared" si="3635"/>
        <v>506.60347883129344</v>
      </c>
      <c r="AC1252" s="135">
        <f t="shared" si="3635"/>
        <v>400.45432529337575</v>
      </c>
      <c r="AD1252" s="136">
        <f t="shared" si="3635"/>
        <v>326.85584708015318</v>
      </c>
      <c r="AE1252" s="15"/>
      <c r="AF1252" s="113">
        <f>_xlfn.XLOOKUP($C1252,'Site Level Financials - ''23 ''24'!$C$2:$C$1577,'Site Level Financials - ''23 ''24'!$AF$2:$AF$1577)</f>
        <v>3116.6151840694542</v>
      </c>
      <c r="AG1252" s="95">
        <f>SUM(G1252:R1252)</f>
        <v>4503.9857960986401</v>
      </c>
      <c r="AH1252" s="95">
        <f t="shared" ref="AH1252" si="3636">SUM(S1252:AD1252)</f>
        <v>5454.3523941742324</v>
      </c>
    </row>
    <row r="1253" spans="2:34" x14ac:dyDescent="0.2">
      <c r="B1253" s="9">
        <f>G1240</f>
        <v>26</v>
      </c>
      <c r="C1253" s="9" t="str">
        <f t="shared" si="3628"/>
        <v>26 - % YoY Revenue Growth</v>
      </c>
      <c r="D1253" s="9" t="s">
        <v>56</v>
      </c>
      <c r="F1253" s="16" t="s">
        <v>174</v>
      </c>
      <c r="G1253" s="245">
        <f>_xlfn.XLOOKUP($C1253,'Site Level Financials - ''23 ''24'!$C$2:$C$1577,'Site Level Financials - ''23 ''24'!S$2:S$1577)</f>
        <v>2.0080599093633684</v>
      </c>
      <c r="H1253" s="246">
        <f>_xlfn.XLOOKUP($C1253,'Site Level Financials - ''23 ''24'!$C$2:$C$1577,'Site Level Financials - ''23 ''24'!T$2:T$1577)</f>
        <v>1.9894289948301895</v>
      </c>
      <c r="I1253" s="246">
        <f>_xlfn.XLOOKUP($C1253,'Site Level Financials - ''23 ''24'!$C$2:$C$1577,'Site Level Financials - ''23 ''24'!U$2:U$1577)</f>
        <v>0.79282611620727161</v>
      </c>
      <c r="J1253" s="246">
        <f>_xlfn.XLOOKUP($C1253,'Site Level Financials - ''23 ''24'!$C$2:$C$1577,'Site Level Financials - ''23 ''24'!V$2:V$1577)</f>
        <v>1.0725825981906163</v>
      </c>
      <c r="K1253" s="246">
        <f>_xlfn.XLOOKUP($C1253,'Site Level Financials - ''23 ''24'!$C$2:$C$1577,'Site Level Financials - ''23 ''24'!W$2:W$1577)</f>
        <v>0.94078261131753282</v>
      </c>
      <c r="L1253" s="246">
        <f>_xlfn.XLOOKUP($C1253,'Site Level Financials - ''23 ''24'!$C$2:$C$1577,'Site Level Financials - ''23 ''24'!X$2:X$1577)</f>
        <v>0.71324884686868484</v>
      </c>
      <c r="M1253" s="246">
        <f>_xlfn.XLOOKUP($C1253,'Site Level Financials - ''23 ''24'!$C$2:$C$1577,'Site Level Financials - ''23 ''24'!Y$2:Y$1577)</f>
        <v>0.99172677938186138</v>
      </c>
      <c r="N1253" s="246">
        <f>_xlfn.XLOOKUP($C1253,'Site Level Financials - ''23 ''24'!$C$2:$C$1577,'Site Level Financials - ''23 ''24'!Z$2:Z$1577)</f>
        <v>-2.8362372132895719E-2</v>
      </c>
      <c r="O1253" s="246">
        <f>_xlfn.XLOOKUP($C1253,'Site Level Financials - ''23 ''24'!$C$2:$C$1577,'Site Level Financials - ''23 ''24'!AA$2:AA$1577)</f>
        <v>-0.10029705684514745</v>
      </c>
      <c r="P1253" s="246">
        <f>_xlfn.XLOOKUP($C1253,'Site Level Financials - ''23 ''24'!$C$2:$C$1577,'Site Level Financials - ''23 ''24'!AB$2:AB$1577)</f>
        <v>9.760321462889876E-2</v>
      </c>
      <c r="Q1253" s="246">
        <f>_xlfn.XLOOKUP($C1253,'Site Level Financials - ''23 ''24'!$C$2:$C$1577,'Site Level Financials - ''23 ''24'!AC$2:AC$1577)</f>
        <v>-9.4746409440087387E-2</v>
      </c>
      <c r="R1253" s="246">
        <f>_xlfn.XLOOKUP($C1253,'Site Level Financials - ''23 ''24'!$C$2:$C$1577,'Site Level Financials - ''23 ''24'!AD$2:AD$1577)</f>
        <v>-0.32999513420363691</v>
      </c>
      <c r="S1253" s="148">
        <f>S1252/G1252-1</f>
        <v>-0.17641244025509117</v>
      </c>
      <c r="T1253" s="149">
        <f t="shared" ref="T1253" si="3637">T1252/H1252-1</f>
        <v>-0.18522801733357575</v>
      </c>
      <c r="U1253" s="149">
        <f t="shared" ref="U1253" si="3638">U1252/I1252-1</f>
        <v>0.1842883236362971</v>
      </c>
      <c r="V1253" s="149">
        <f t="shared" ref="V1253" si="3639">V1252/J1252-1</f>
        <v>0.23807227930106367</v>
      </c>
      <c r="W1253" s="149">
        <f t="shared" ref="W1253" si="3640">W1252/K1252-1</f>
        <v>0.23738258130562073</v>
      </c>
      <c r="X1253" s="149">
        <f t="shared" ref="X1253" si="3641">X1252/L1252-1</f>
        <v>0.2737818279341433</v>
      </c>
      <c r="Y1253" s="149">
        <f t="shared" ref="Y1253" si="3642">Y1252/M1252-1</f>
        <v>0.52078662879267501</v>
      </c>
      <c r="Z1253" s="149">
        <f t="shared" ref="Z1253" si="3643">Z1252/N1252-1</f>
        <v>0.42751900447379998</v>
      </c>
      <c r="AA1253" s="149">
        <f t="shared" ref="AA1253" si="3644">AA1252/O1252-1</f>
        <v>0.56464677736974167</v>
      </c>
      <c r="AB1253" s="149">
        <f t="shared" ref="AB1253" si="3645">AB1252/P1252-1</f>
        <v>0.49842994750226177</v>
      </c>
      <c r="AC1253" s="149">
        <f t="shared" ref="AC1253" si="3646">AC1252/Q1252-1</f>
        <v>0.10668476377230607</v>
      </c>
      <c r="AD1253" s="150">
        <f t="shared" ref="AD1253" si="3647">AD1252/R1252-1</f>
        <v>0.21935704767490649</v>
      </c>
      <c r="AE1253" s="15"/>
      <c r="AF1253" s="11"/>
      <c r="AG1253" s="97">
        <f>AG1252/AF1252-1</f>
        <v>0.44515300416962478</v>
      </c>
      <c r="AH1253" s="97">
        <f>AH1252/AG1252-1</f>
        <v>0.21100568276631804</v>
      </c>
    </row>
    <row r="1254" spans="2:34" ht="6" customHeight="1" x14ac:dyDescent="0.2">
      <c r="B1254" s="9">
        <f>G1240</f>
        <v>26</v>
      </c>
      <c r="C1254" s="9" t="str">
        <f t="shared" si="3628"/>
        <v xml:space="preserve">26 - </v>
      </c>
      <c r="D1254" s="9" t="s">
        <v>56</v>
      </c>
      <c r="G1254" s="80"/>
      <c r="H1254" s="63"/>
      <c r="I1254" s="63"/>
      <c r="J1254" s="63"/>
      <c r="K1254" s="63"/>
      <c r="L1254" s="63"/>
      <c r="M1254" s="63"/>
      <c r="N1254" s="63"/>
      <c r="O1254" s="63"/>
      <c r="P1254" s="63"/>
      <c r="Q1254" s="63"/>
      <c r="R1254" s="63"/>
      <c r="S1254" s="80"/>
      <c r="T1254" s="63"/>
      <c r="U1254" s="63"/>
      <c r="V1254" s="63"/>
      <c r="W1254" s="63"/>
      <c r="X1254" s="63"/>
      <c r="Y1254" s="63"/>
      <c r="Z1254" s="63"/>
      <c r="AA1254" s="63"/>
      <c r="AB1254" s="63"/>
      <c r="AC1254" s="63"/>
      <c r="AD1254" s="81"/>
      <c r="AE1254" s="15"/>
      <c r="AF1254" s="11"/>
      <c r="AG1254" s="15"/>
      <c r="AH1254" s="15"/>
    </row>
    <row r="1255" spans="2:34" x14ac:dyDescent="0.2">
      <c r="B1255" s="9">
        <f>G1240</f>
        <v>26</v>
      </c>
      <c r="C1255" s="9" t="str">
        <f t="shared" si="3628"/>
        <v>26 - Doctor Compensation</v>
      </c>
      <c r="D1255" s="9" t="s">
        <v>56</v>
      </c>
      <c r="F1255" t="s">
        <v>4</v>
      </c>
      <c r="G1255" s="178">
        <f>_xlfn.XLOOKUP($C1255,'Site Level Financials - ''23 ''24'!$C$2:$C$1577,'Site Level Financials - ''23 ''24'!S$2:S$1577)</f>
        <v>-111.13322025075388</v>
      </c>
      <c r="H1255" s="179">
        <f>_xlfn.XLOOKUP($C1255,'Site Level Financials - ''23 ''24'!$C$2:$C$1577,'Site Level Financials - ''23 ''24'!T$2:T$1577)</f>
        <v>-113.24653879491204</v>
      </c>
      <c r="I1255" s="179">
        <f>_xlfn.XLOOKUP($C1255,'Site Level Financials - ''23 ''24'!$C$2:$C$1577,'Site Level Financials - ''23 ''24'!U$2:U$1577)</f>
        <v>-123.06305794305943</v>
      </c>
      <c r="J1255" s="179">
        <f>_xlfn.XLOOKUP($C1255,'Site Level Financials - ''23 ''24'!$C$2:$C$1577,'Site Level Financials - ''23 ''24'!V$2:V$1577)</f>
        <v>-134.60128605640213</v>
      </c>
      <c r="K1255" s="179">
        <f>_xlfn.XLOOKUP($C1255,'Site Level Financials - ''23 ''24'!$C$2:$C$1577,'Site Level Financials - ''23 ''24'!W$2:W$1577)</f>
        <v>-157.3278651122329</v>
      </c>
      <c r="L1255" s="179">
        <f>_xlfn.XLOOKUP($C1255,'Site Level Financials - ''23 ''24'!$C$2:$C$1577,'Site Level Financials - ''23 ''24'!X$2:X$1577)</f>
        <v>-125.71544327909683</v>
      </c>
      <c r="M1255" s="179">
        <f>_xlfn.XLOOKUP($C1255,'Site Level Financials - ''23 ''24'!$C$2:$C$1577,'Site Level Financials - ''23 ''24'!Y$2:Y$1577)</f>
        <v>-123.90118718593423</v>
      </c>
      <c r="N1255" s="179">
        <f>_xlfn.XLOOKUP($C1255,'Site Level Financials - ''23 ''24'!$C$2:$C$1577,'Site Level Financials - ''23 ''24'!Z$2:Z$1577)</f>
        <v>-103.55920479424593</v>
      </c>
      <c r="O1255" s="179">
        <f>_xlfn.XLOOKUP($C1255,'Site Level Financials - ''23 ''24'!$C$2:$C$1577,'Site Level Financials - ''23 ''24'!AA$2:AA$1577)</f>
        <v>-84.1479915384609</v>
      </c>
      <c r="P1255" s="179">
        <f>_xlfn.XLOOKUP($C1255,'Site Level Financials - ''23 ''24'!$C$2:$C$1577,'Site Level Financials - ''23 ''24'!AB$2:AB$1577)</f>
        <v>-99.271970324805551</v>
      </c>
      <c r="Q1255" s="179">
        <f>_xlfn.XLOOKUP($C1255,'Site Level Financials - ''23 ''24'!$C$2:$C$1577,'Site Level Financials - ''23 ''24'!AC$2:AC$1577)</f>
        <v>-72.333802850594608</v>
      </c>
      <c r="R1255" s="179">
        <f>_xlfn.XLOOKUP($C1255,'Site Level Financials - ''23 ''24'!$C$2:$C$1577,'Site Level Financials - ''23 ''24'!AD$2:AD$1577)</f>
        <v>-54.81396499178723</v>
      </c>
      <c r="S1255" s="155">
        <f>S1256*S1252</f>
        <v>-91.527937672911875</v>
      </c>
      <c r="T1255" s="154">
        <f t="shared" ref="T1255" si="3648">T1256*T1252</f>
        <v>-92.270106944040606</v>
      </c>
      <c r="U1255" s="154">
        <f t="shared" ref="U1255" si="3649">U1256*U1252</f>
        <v>-145.74214259294237</v>
      </c>
      <c r="V1255" s="154">
        <f t="shared" ref="V1255" si="3650">V1256*V1252</f>
        <v>-166.64612102470426</v>
      </c>
      <c r="W1255" s="154">
        <f t="shared" ref="W1255" si="3651">W1256*W1252</f>
        <v>-194.67475984387727</v>
      </c>
      <c r="X1255" s="154">
        <f t="shared" ref="X1255" si="3652">X1256*X1252</f>
        <v>-160.13404713959906</v>
      </c>
      <c r="Y1255" s="154">
        <f t="shared" ref="Y1255" si="3653">Y1256*Y1252</f>
        <v>-188.42726876390711</v>
      </c>
      <c r="Z1255" s="154">
        <f t="shared" ref="Z1255" si="3654">Z1256*Z1252</f>
        <v>-147.83273293198033</v>
      </c>
      <c r="AA1255" s="154">
        <f t="shared" ref="AA1255" si="3655">AA1256*AA1252</f>
        <v>-131.66188378278912</v>
      </c>
      <c r="AB1255" s="154">
        <f t="shared" ref="AB1255" si="3656">AB1256*AB1252</f>
        <v>-148.75209328224449</v>
      </c>
      <c r="AC1255" s="154">
        <f t="shared" ref="AC1255" si="3657">AC1256*AC1252</f>
        <v>-80.050717520462854</v>
      </c>
      <c r="AD1255" s="156">
        <f t="shared" ref="AD1255" si="3658">AD1256*AD1252</f>
        <v>-66.837794523741366</v>
      </c>
      <c r="AE1255" s="15"/>
      <c r="AF1255" s="115">
        <f>_xlfn.XLOOKUP($C1255,'Site Level Financials - ''23 ''24'!$C$2:$C$1577,'Site Level Financials - ''23 ''24'!$AF$2:$AF$1577)</f>
        <v>-703.364489563441</v>
      </c>
      <c r="AG1255" s="93">
        <f>SUM(G1255:R1255)</f>
        <v>-1303.1155331222856</v>
      </c>
      <c r="AH1255" s="93">
        <f t="shared" ref="AH1255" si="3659">SUM(S1255:AD1255)</f>
        <v>-1614.5576060232008</v>
      </c>
    </row>
    <row r="1256" spans="2:34" x14ac:dyDescent="0.2">
      <c r="B1256" s="9">
        <f>G1240</f>
        <v>26</v>
      </c>
      <c r="C1256" s="9" t="str">
        <f t="shared" si="3628"/>
        <v>26 - % of Revenue - Doctor Compensation</v>
      </c>
      <c r="D1256" s="9" t="s">
        <v>56</v>
      </c>
      <c r="F1256" s="16" t="str">
        <f>"% of Revenue - "&amp;F1255</f>
        <v>% of Revenue - Doctor Compensation</v>
      </c>
      <c r="G1256" s="148">
        <f>G1255/G1252</f>
        <v>-0.23215423680165514</v>
      </c>
      <c r="H1256" s="149">
        <f t="shared" ref="H1256:R1256" si="3660">H1255/H1252</f>
        <v>-0.22601785253964599</v>
      </c>
      <c r="I1256" s="149">
        <f t="shared" si="3660"/>
        <v>-0.33246644895810357</v>
      </c>
      <c r="J1256" s="149">
        <f t="shared" si="3660"/>
        <v>-0.35489747719384002</v>
      </c>
      <c r="K1256" s="149">
        <f t="shared" si="3660"/>
        <v>-0.34883005320088906</v>
      </c>
      <c r="L1256" s="149">
        <f t="shared" si="3660"/>
        <v>-0.34169495172023728</v>
      </c>
      <c r="M1256" s="149">
        <f t="shared" si="3660"/>
        <v>-0.33583462766759303</v>
      </c>
      <c r="N1256" s="149">
        <f t="shared" si="3660"/>
        <v>-0.30727189690804907</v>
      </c>
      <c r="O1256" s="149">
        <f t="shared" si="3660"/>
        <v>-0.29848337827631061</v>
      </c>
      <c r="P1256" s="149">
        <f t="shared" si="3660"/>
        <v>-0.29362627675871361</v>
      </c>
      <c r="Q1256" s="149">
        <f t="shared" si="3660"/>
        <v>-0.19989974502539615</v>
      </c>
      <c r="R1256" s="149">
        <f t="shared" si="3660"/>
        <v>-0.20448707012835254</v>
      </c>
      <c r="S1256" s="245">
        <f>_xlfn.XLOOKUP($F1256,'Budget Assumption Driver'!$A$33:$A$39,'Budget Assumption Driver'!E$33:E$39)+G1256</f>
        <v>-0.23215423680165514</v>
      </c>
      <c r="T1256" s="246">
        <f>_xlfn.XLOOKUP($F1256,'Budget Assumption Driver'!$A$33:$A$39,'Budget Assumption Driver'!F$33:F$39)+H1256</f>
        <v>-0.22601785253964599</v>
      </c>
      <c r="U1256" s="246">
        <f>_xlfn.XLOOKUP($F1256,'Budget Assumption Driver'!$A$33:$A$39,'Budget Assumption Driver'!G$33:G$39)+I1256</f>
        <v>-0.33246644895810357</v>
      </c>
      <c r="V1256" s="246">
        <f>_xlfn.XLOOKUP($F1256,'Budget Assumption Driver'!$A$33:$A$39,'Budget Assumption Driver'!H$33:H$39)+J1256</f>
        <v>-0.35489747719384002</v>
      </c>
      <c r="W1256" s="246">
        <f>_xlfn.XLOOKUP($F1256,'Budget Assumption Driver'!$A$33:$A$39,'Budget Assumption Driver'!I$33:I$39)+K1256</f>
        <v>-0.34883005320088906</v>
      </c>
      <c r="X1256" s="246">
        <f>_xlfn.XLOOKUP($F1256,'Budget Assumption Driver'!$A$33:$A$39,'Budget Assumption Driver'!J$33:J$39)+L1256</f>
        <v>-0.34169495172023728</v>
      </c>
      <c r="Y1256" s="246">
        <f>_xlfn.XLOOKUP($F1256,'Budget Assumption Driver'!$A$33:$A$39,'Budget Assumption Driver'!K$33:K$39)+M1256</f>
        <v>-0.33583462766759303</v>
      </c>
      <c r="Z1256" s="246">
        <f>_xlfn.XLOOKUP($F1256,'Budget Assumption Driver'!$A$33:$A$39,'Budget Assumption Driver'!L$33:L$39)+N1256</f>
        <v>-0.30727189690804907</v>
      </c>
      <c r="AA1256" s="246">
        <f>_xlfn.XLOOKUP($F1256,'Budget Assumption Driver'!$A$33:$A$39,'Budget Assumption Driver'!M$33:M$39)+O1256</f>
        <v>-0.29848337827631061</v>
      </c>
      <c r="AB1256" s="246">
        <f>_xlfn.XLOOKUP($F1256,'Budget Assumption Driver'!$A$33:$A$39,'Budget Assumption Driver'!N$33:N$39)+P1256</f>
        <v>-0.29362627675871361</v>
      </c>
      <c r="AC1256" s="246">
        <f>_xlfn.XLOOKUP($F1256,'Budget Assumption Driver'!$A$33:$A$39,'Budget Assumption Driver'!O$33:O$39)+Q1256</f>
        <v>-0.19989974502539615</v>
      </c>
      <c r="AD1256" s="296">
        <f>_xlfn.XLOOKUP($F1256,'Budget Assumption Driver'!$A$33:$A$39,'Budget Assumption Driver'!P$33:P$39)+R1256</f>
        <v>-0.20448707012835254</v>
      </c>
      <c r="AE1256" s="15"/>
      <c r="AF1256" s="232">
        <f>_xlfn.XLOOKUP($C1256,'Site Level Financials - ''23 ''24'!$C$2:$C$1577,'Site Level Financials - ''23 ''24'!$AF$2:$AF$1577)</f>
        <v>-0.22568217377579408</v>
      </c>
      <c r="AG1256" s="97">
        <f t="shared" ref="AG1256:AH1256" si="3661">AG1255/AG1252</f>
        <v>-0.28932496506783978</v>
      </c>
      <c r="AH1256" s="97">
        <f t="shared" si="3661"/>
        <v>-0.29601270496341636</v>
      </c>
    </row>
    <row r="1257" spans="2:34" ht="3" customHeight="1" x14ac:dyDescent="0.2">
      <c r="B1257" s="9">
        <f>G1240</f>
        <v>26</v>
      </c>
      <c r="C1257" s="9" t="str">
        <f t="shared" si="3628"/>
        <v xml:space="preserve">26 - </v>
      </c>
      <c r="D1257" s="9" t="s">
        <v>56</v>
      </c>
      <c r="F1257" s="16"/>
      <c r="G1257" s="84"/>
      <c r="H1257" s="85"/>
      <c r="I1257" s="85"/>
      <c r="J1257" s="85"/>
      <c r="K1257" s="85"/>
      <c r="L1257" s="85"/>
      <c r="M1257" s="85"/>
      <c r="N1257" s="85"/>
      <c r="O1257" s="85"/>
      <c r="P1257" s="85"/>
      <c r="Q1257" s="85"/>
      <c r="R1257" s="85"/>
      <c r="S1257" s="84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6"/>
      <c r="AE1257" s="15"/>
      <c r="AF1257" s="36"/>
      <c r="AG1257" s="38"/>
      <c r="AH1257" s="38"/>
    </row>
    <row r="1258" spans="2:34" x14ac:dyDescent="0.2">
      <c r="B1258" s="9">
        <f>G1240</f>
        <v>26</v>
      </c>
      <c r="C1258" s="9" t="str">
        <f t="shared" si="3628"/>
        <v>26 - Administrative Staff Compensation</v>
      </c>
      <c r="D1258" s="9" t="s">
        <v>56</v>
      </c>
      <c r="F1258" t="s">
        <v>5</v>
      </c>
      <c r="G1258" s="178">
        <f>_xlfn.XLOOKUP($C1258,'Site Level Financials - ''23 ''24'!$C$2:$C$1577,'Site Level Financials - ''23 ''24'!S$2:S$1577)</f>
        <v>-37.721198103119271</v>
      </c>
      <c r="H1258" s="179">
        <f>_xlfn.XLOOKUP($C1258,'Site Level Financials - ''23 ''24'!$C$2:$C$1577,'Site Level Financials - ''23 ''24'!T$2:T$1577)</f>
        <v>-38.015049847807248</v>
      </c>
      <c r="I1258" s="179">
        <f>_xlfn.XLOOKUP($C1258,'Site Level Financials - ''23 ''24'!$C$2:$C$1577,'Site Level Financials - ''23 ''24'!U$2:U$1577)</f>
        <v>-43.646588793316383</v>
      </c>
      <c r="J1258" s="179">
        <f>_xlfn.XLOOKUP($C1258,'Site Level Financials - ''23 ''24'!$C$2:$C$1577,'Site Level Financials - ''23 ''24'!V$2:V$1577)</f>
        <v>-49.624553473941148</v>
      </c>
      <c r="K1258" s="179">
        <f>_xlfn.XLOOKUP($C1258,'Site Level Financials - ''23 ''24'!$C$2:$C$1577,'Site Level Financials - ''23 ''24'!W$2:W$1577)</f>
        <v>-57.618933574763616</v>
      </c>
      <c r="L1258" s="179">
        <f>_xlfn.XLOOKUP($C1258,'Site Level Financials - ''23 ''24'!$C$2:$C$1577,'Site Level Financials - ''23 ''24'!X$2:X$1577)</f>
        <v>-46.754428316620391</v>
      </c>
      <c r="M1258" s="179">
        <f>_xlfn.XLOOKUP($C1258,'Site Level Financials - ''23 ''24'!$C$2:$C$1577,'Site Level Financials - ''23 ''24'!Y$2:Y$1577)</f>
        <v>-47.761172714271176</v>
      </c>
      <c r="N1258" s="179">
        <f>_xlfn.XLOOKUP($C1258,'Site Level Financials - ''23 ''24'!$C$2:$C$1577,'Site Level Financials - ''23 ''24'!Z$2:Z$1577)</f>
        <v>-40.692807206284428</v>
      </c>
      <c r="O1258" s="179">
        <f>_xlfn.XLOOKUP($C1258,'Site Level Financials - ''23 ''24'!$C$2:$C$1577,'Site Level Financials - ''23 ''24'!AA$2:AA$1577)</f>
        <v>-32.358702752316155</v>
      </c>
      <c r="P1258" s="179">
        <f>_xlfn.XLOOKUP($C1258,'Site Level Financials - ''23 ''24'!$C$2:$C$1577,'Site Level Financials - ''23 ''24'!AB$2:AB$1577)</f>
        <v>-37.872608286009921</v>
      </c>
      <c r="Q1258" s="179">
        <f>_xlfn.XLOOKUP($C1258,'Site Level Financials - ''23 ''24'!$C$2:$C$1577,'Site Level Financials - ''23 ''24'!AC$2:AC$1577)</f>
        <v>-28.03331164536888</v>
      </c>
      <c r="R1258" s="179">
        <f>_xlfn.XLOOKUP($C1258,'Site Level Financials - ''23 ''24'!$C$2:$C$1577,'Site Level Financials - ''23 ''24'!AD$2:AD$1577)</f>
        <v>-21.626133840825947</v>
      </c>
      <c r="S1258" s="155">
        <f>S1259*S1252</f>
        <v>-31.066709496402286</v>
      </c>
      <c r="T1258" s="154">
        <f t="shared" ref="T1258" si="3662">T1259*T1252</f>
        <v>-30.973597535660858</v>
      </c>
      <c r="U1258" s="154">
        <f t="shared" ref="U1258" si="3663">U1259*U1252</f>
        <v>-51.690145474479451</v>
      </c>
      <c r="V1258" s="154">
        <f t="shared" ref="V1258" si="3664">V1259*V1252</f>
        <v>-61.438784028779835</v>
      </c>
      <c r="W1258" s="154">
        <f t="shared" ref="W1258" si="3665">W1259*W1252</f>
        <v>-71.296664758818096</v>
      </c>
      <c r="X1258" s="154">
        <f t="shared" ref="X1258" si="3666">X1259*X1252</f>
        <v>-59.554941165160585</v>
      </c>
      <c r="Y1258" s="154">
        <f t="shared" ref="Y1258" si="3667">Y1259*Y1252</f>
        <v>-72.634552839321145</v>
      </c>
      <c r="Z1258" s="154">
        <f t="shared" ref="Z1258" si="3668">Z1259*Z1252</f>
        <v>-58.08975563235942</v>
      </c>
      <c r="AA1258" s="154">
        <f t="shared" ref="AA1258" si="3669">AA1259*AA1252</f>
        <v>-50.629939981276863</v>
      </c>
      <c r="AB1258" s="154">
        <f t="shared" ref="AB1258" si="3670">AB1259*AB1252</f>
        <v>-56.749450445779573</v>
      </c>
      <c r="AC1258" s="154">
        <f t="shared" ref="AC1258" si="3671">AC1259*AC1252</f>
        <v>-31.024038876010497</v>
      </c>
      <c r="AD1258" s="156">
        <f t="shared" ref="AD1258" si="3672">AD1259*AD1252</f>
        <v>-26.369978712771914</v>
      </c>
      <c r="AE1258" s="15"/>
      <c r="AF1258" s="115">
        <f>_xlfn.XLOOKUP($C1258,'Site Level Financials - ''23 ''24'!$C$2:$C$1577,'Site Level Financials - ''23 ''24'!$AF$2:$AF$1577)</f>
        <v>-377.02661797887436</v>
      </c>
      <c r="AG1258" s="93">
        <f>SUM(G1258:R1258)</f>
        <v>-481.7254885546447</v>
      </c>
      <c r="AH1258" s="93">
        <f t="shared" ref="AH1258" si="3673">SUM(S1258:AD1258)</f>
        <v>-601.51855894682058</v>
      </c>
    </row>
    <row r="1259" spans="2:34" x14ac:dyDescent="0.2">
      <c r="B1259" s="9">
        <f>G1240</f>
        <v>26</v>
      </c>
      <c r="C1259" s="9" t="str">
        <f t="shared" si="3628"/>
        <v>26 - % of Revenue - Administrative Staff Compensation</v>
      </c>
      <c r="D1259" s="9" t="s">
        <v>56</v>
      </c>
      <c r="F1259" s="16" t="str">
        <f>"% of Revenue - "&amp;F1258</f>
        <v>% of Revenue - Administrative Staff Compensation</v>
      </c>
      <c r="G1259" s="148">
        <f>G1258/G1252</f>
        <v>-7.8798544099726933E-2</v>
      </c>
      <c r="H1259" s="149">
        <f t="shared" ref="H1259:R1259" si="3674">H1258/H1252</f>
        <v>-7.5870574255246168E-2</v>
      </c>
      <c r="I1259" s="149">
        <f t="shared" si="3674"/>
        <v>-0.11791537304365234</v>
      </c>
      <c r="J1259" s="149">
        <f t="shared" si="3674"/>
        <v>-0.13084294623598694</v>
      </c>
      <c r="K1259" s="149">
        <f t="shared" si="3674"/>
        <v>-0.12775369226503591</v>
      </c>
      <c r="L1259" s="149">
        <f t="shared" si="3674"/>
        <v>-0.12707867633165515</v>
      </c>
      <c r="M1259" s="149">
        <f t="shared" si="3674"/>
        <v>-0.12945683588482818</v>
      </c>
      <c r="N1259" s="149">
        <f t="shared" si="3674"/>
        <v>-0.12074017066499618</v>
      </c>
      <c r="O1259" s="149">
        <f t="shared" si="3674"/>
        <v>-0.11478033803974658</v>
      </c>
      <c r="P1259" s="149">
        <f t="shared" si="3674"/>
        <v>-0.11201946456565488</v>
      </c>
      <c r="Q1259" s="149">
        <f t="shared" si="3674"/>
        <v>-7.7472103349819132E-2</v>
      </c>
      <c r="R1259" s="149">
        <f t="shared" si="3674"/>
        <v>-8.0677702260303574E-2</v>
      </c>
      <c r="S1259" s="245">
        <f>_xlfn.XLOOKUP($F1259,'Budget Assumption Driver'!$A$33:$A$39,'Budget Assumption Driver'!E$33:E$39)+G1259</f>
        <v>-7.8798544099726933E-2</v>
      </c>
      <c r="T1259" s="246">
        <f>_xlfn.XLOOKUP($F1259,'Budget Assumption Driver'!$A$33:$A$39,'Budget Assumption Driver'!F$33:F$39)+H1259</f>
        <v>-7.5870574255246168E-2</v>
      </c>
      <c r="U1259" s="246">
        <f>_xlfn.XLOOKUP($F1259,'Budget Assumption Driver'!$A$33:$A$39,'Budget Assumption Driver'!G$33:G$39)+I1259</f>
        <v>-0.11791537304365234</v>
      </c>
      <c r="V1259" s="246">
        <f>_xlfn.XLOOKUP($F1259,'Budget Assumption Driver'!$A$33:$A$39,'Budget Assumption Driver'!H$33:H$39)+J1259</f>
        <v>-0.13084294623598694</v>
      </c>
      <c r="W1259" s="246">
        <f>_xlfn.XLOOKUP($F1259,'Budget Assumption Driver'!$A$33:$A$39,'Budget Assumption Driver'!I$33:I$39)+K1259</f>
        <v>-0.12775369226503591</v>
      </c>
      <c r="X1259" s="246">
        <f>_xlfn.XLOOKUP($F1259,'Budget Assumption Driver'!$A$33:$A$39,'Budget Assumption Driver'!J$33:J$39)+L1259</f>
        <v>-0.12707867633165515</v>
      </c>
      <c r="Y1259" s="246">
        <f>_xlfn.XLOOKUP($F1259,'Budget Assumption Driver'!$A$33:$A$39,'Budget Assumption Driver'!K$33:K$39)+M1259</f>
        <v>-0.12945683588482818</v>
      </c>
      <c r="Z1259" s="246">
        <f>_xlfn.XLOOKUP($F1259,'Budget Assumption Driver'!$A$33:$A$39,'Budget Assumption Driver'!L$33:L$39)+N1259</f>
        <v>-0.12074017066499618</v>
      </c>
      <c r="AA1259" s="246">
        <f>_xlfn.XLOOKUP($F1259,'Budget Assumption Driver'!$A$33:$A$39,'Budget Assumption Driver'!M$33:M$39)+O1259</f>
        <v>-0.11478033803974658</v>
      </c>
      <c r="AB1259" s="246">
        <f>_xlfn.XLOOKUP($F1259,'Budget Assumption Driver'!$A$33:$A$39,'Budget Assumption Driver'!N$33:N$39)+P1259</f>
        <v>-0.11201946456565488</v>
      </c>
      <c r="AC1259" s="246">
        <f>_xlfn.XLOOKUP($F1259,'Budget Assumption Driver'!$A$33:$A$39,'Budget Assumption Driver'!O$33:O$39)+Q1259</f>
        <v>-7.7472103349819132E-2</v>
      </c>
      <c r="AD1259" s="296">
        <f>_xlfn.XLOOKUP($F1259,'Budget Assumption Driver'!$A$33:$A$39,'Budget Assumption Driver'!P$33:P$39)+R1259</f>
        <v>-8.0677702260303574E-2</v>
      </c>
      <c r="AE1259" s="15"/>
      <c r="AF1259" s="232">
        <f>_xlfn.XLOOKUP($C1259,'Site Level Financials - ''23 ''24'!$C$2:$C$1577,'Site Level Financials - ''23 ''24'!$AF$2:$AF$1577)</f>
        <v>-0.12097310566477439</v>
      </c>
      <c r="AG1259" s="97">
        <f t="shared" ref="AG1259:AH1259" si="3675">AG1258/AG1252</f>
        <v>-0.10695537471985726</v>
      </c>
      <c r="AH1259" s="97">
        <f t="shared" si="3675"/>
        <v>-0.11028230584978331</v>
      </c>
    </row>
    <row r="1260" spans="2:34" ht="3" customHeight="1" x14ac:dyDescent="0.2">
      <c r="B1260" s="9">
        <f>G1240</f>
        <v>26</v>
      </c>
      <c r="C1260" s="9" t="str">
        <f t="shared" si="3628"/>
        <v xml:space="preserve">26 - </v>
      </c>
      <c r="D1260" s="9" t="s">
        <v>56</v>
      </c>
      <c r="F1260" s="16"/>
      <c r="G1260" s="84"/>
      <c r="H1260" s="85"/>
      <c r="I1260" s="85"/>
      <c r="J1260" s="85"/>
      <c r="K1260" s="85"/>
      <c r="L1260" s="85"/>
      <c r="M1260" s="85"/>
      <c r="N1260" s="85"/>
      <c r="O1260" s="85"/>
      <c r="P1260" s="85"/>
      <c r="Q1260" s="85"/>
      <c r="R1260" s="85"/>
      <c r="S1260" s="84"/>
      <c r="T1260" s="85"/>
      <c r="U1260" s="85"/>
      <c r="V1260" s="85"/>
      <c r="W1260" s="85"/>
      <c r="X1260" s="85"/>
      <c r="Y1260" s="85"/>
      <c r="Z1260" s="85"/>
      <c r="AA1260" s="85"/>
      <c r="AB1260" s="85"/>
      <c r="AC1260" s="85"/>
      <c r="AD1260" s="86"/>
      <c r="AE1260" s="15"/>
      <c r="AF1260" s="36"/>
      <c r="AG1260" s="38"/>
      <c r="AH1260" s="38"/>
    </row>
    <row r="1261" spans="2:34" x14ac:dyDescent="0.2">
      <c r="B1261" s="9">
        <f>G1240</f>
        <v>26</v>
      </c>
      <c r="C1261" s="9" t="str">
        <f t="shared" si="3628"/>
        <v>26 - Office Supplies</v>
      </c>
      <c r="D1261" s="9" t="s">
        <v>56</v>
      </c>
      <c r="F1261" t="s">
        <v>6</v>
      </c>
      <c r="G1261" s="178">
        <f>_xlfn.XLOOKUP($C1261,'Site Level Financials - ''23 ''24'!$C$2:$C$1577,'Site Level Financials - ''23 ''24'!S$2:S$1577)</f>
        <v>-13.481709817936553</v>
      </c>
      <c r="H1261" s="179">
        <f>_xlfn.XLOOKUP($C1261,'Site Level Financials - ''23 ''24'!$C$2:$C$1577,'Site Level Financials - ''23 ''24'!T$2:T$1577)</f>
        <v>-14.878215468560597</v>
      </c>
      <c r="I1261" s="179">
        <f>_xlfn.XLOOKUP($C1261,'Site Level Financials - ''23 ''24'!$C$2:$C$1577,'Site Level Financials - ''23 ''24'!U$2:U$1577)</f>
        <v>-16.365727064195337</v>
      </c>
      <c r="J1261" s="179">
        <f>_xlfn.XLOOKUP($C1261,'Site Level Financials - ''23 ''24'!$C$2:$C$1577,'Site Level Financials - ''23 ''24'!V$2:V$1577)</f>
        <v>-19.253052261324193</v>
      </c>
      <c r="K1261" s="179">
        <f>_xlfn.XLOOKUP($C1261,'Site Level Financials - ''23 ''24'!$C$2:$C$1577,'Site Level Financials - ''23 ''24'!W$2:W$1577)</f>
        <v>-23.805480176840057</v>
      </c>
      <c r="L1261" s="179">
        <f>_xlfn.XLOOKUP($C1261,'Site Level Financials - ''23 ''24'!$C$2:$C$1577,'Site Level Financials - ''23 ''24'!X$2:X$1577)</f>
        <v>-20.314114703690329</v>
      </c>
      <c r="M1261" s="179">
        <f>_xlfn.XLOOKUP($C1261,'Site Level Financials - ''23 ''24'!$C$2:$C$1577,'Site Level Financials - ''23 ''24'!Y$2:Y$1577)</f>
        <v>-19.799881263220925</v>
      </c>
      <c r="N1261" s="179">
        <f>_xlfn.XLOOKUP($C1261,'Site Level Financials - ''23 ''24'!$C$2:$C$1577,'Site Level Financials - ''23 ''24'!Z$2:Z$1577)</f>
        <v>-16.054238187330725</v>
      </c>
      <c r="O1261" s="179">
        <f>_xlfn.XLOOKUP($C1261,'Site Level Financials - ''23 ''24'!$C$2:$C$1577,'Site Level Financials - ''23 ''24'!AA$2:AA$1577)</f>
        <v>-13.426717177093629</v>
      </c>
      <c r="P1261" s="179">
        <f>_xlfn.XLOOKUP($C1261,'Site Level Financials - ''23 ''24'!$C$2:$C$1577,'Site Level Financials - ''23 ''24'!AB$2:AB$1577)</f>
        <v>-16.553100056967143</v>
      </c>
      <c r="Q1261" s="179">
        <f>_xlfn.XLOOKUP($C1261,'Site Level Financials - ''23 ''24'!$C$2:$C$1577,'Site Level Financials - ''23 ''24'!AC$2:AC$1577)</f>
        <v>-11.469010142813488</v>
      </c>
      <c r="R1261" s="179">
        <f>_xlfn.XLOOKUP($C1261,'Site Level Financials - ''23 ''24'!$C$2:$C$1577,'Site Level Financials - ''23 ''24'!AD$2:AD$1577)</f>
        <v>-8.3107599199665749</v>
      </c>
      <c r="S1261" s="155">
        <f>S1262*S1252</f>
        <v>-11.103368490143344</v>
      </c>
      <c r="T1261" s="154">
        <f t="shared" ref="T1261" si="3676">T1262*T1252</f>
        <v>-12.122353115857379</v>
      </c>
      <c r="U1261" s="154">
        <f t="shared" ref="U1261" si="3677">U1262*U1252</f>
        <v>-19.381739469945071</v>
      </c>
      <c r="V1261" s="154">
        <f t="shared" ref="V1261" si="3678">V1262*V1252</f>
        <v>-23.83667029668014</v>
      </c>
      <c r="W1261" s="154">
        <f t="shared" ref="W1261" si="3679">W1262*W1252</f>
        <v>-29.456486510438136</v>
      </c>
      <c r="X1261" s="154">
        <f t="shared" ref="X1261" si="3680">X1262*X1252</f>
        <v>-25.875750160130522</v>
      </c>
      <c r="Y1261" s="154">
        <f t="shared" ref="Y1261" si="3681">Y1262*Y1252</f>
        <v>-30.111394676789004</v>
      </c>
      <c r="Z1261" s="154">
        <f t="shared" ref="Z1261" si="3682">Z1262*Z1252</f>
        <v>-22.917730114763621</v>
      </c>
      <c r="AA1261" s="154">
        <f t="shared" ref="AA1261" si="3683">AA1262*AA1252</f>
        <v>-21.008069761794502</v>
      </c>
      <c r="AB1261" s="154">
        <f t="shared" ref="AB1261" si="3684">AB1262*AB1252</f>
        <v>-24.803660849360963</v>
      </c>
      <c r="AC1261" s="154">
        <f t="shared" ref="AC1261" si="3685">AC1262*AC1252</f>
        <v>-12.692578780601727</v>
      </c>
      <c r="AD1261" s="156">
        <f t="shared" ref="AD1261" si="3686">AD1262*AD1252</f>
        <v>-10.133783679945385</v>
      </c>
      <c r="AE1261" s="15"/>
      <c r="AF1261" s="115">
        <f>_xlfn.XLOOKUP($C1261,'Site Level Financials - ''23 ''24'!$C$2:$C$1577,'Site Level Financials - ''23 ''24'!$AF$2:$AF$1577)</f>
        <v>-178.73765976672954</v>
      </c>
      <c r="AG1261" s="93">
        <f>SUM(G1261:R1261)</f>
        <v>-193.71200623993954</v>
      </c>
      <c r="AH1261" s="93">
        <f t="shared" ref="AH1261" si="3687">SUM(S1261:AD1261)</f>
        <v>-243.44358590644981</v>
      </c>
    </row>
    <row r="1262" spans="2:34" x14ac:dyDescent="0.2">
      <c r="B1262" s="9">
        <f>G1240</f>
        <v>26</v>
      </c>
      <c r="C1262" s="9" t="str">
        <f t="shared" si="3628"/>
        <v>26 - % of Revenue - Office Supplies</v>
      </c>
      <c r="D1262" s="9" t="s">
        <v>56</v>
      </c>
      <c r="F1262" s="16" t="str">
        <f>"% of Revenue - "&amp;F1261</f>
        <v>% of Revenue - Office Supplies</v>
      </c>
      <c r="G1262" s="148">
        <f>G1261/G1252</f>
        <v>-2.8162920560589173E-2</v>
      </c>
      <c r="H1262" s="149">
        <f t="shared" ref="H1262:R1262" si="3688">H1261/H1252</f>
        <v>-2.9693996351765683E-2</v>
      </c>
      <c r="I1262" s="149">
        <f t="shared" si="3688"/>
        <v>-4.4213554031528268E-2</v>
      </c>
      <c r="J1262" s="149">
        <f t="shared" si="3688"/>
        <v>-5.0763702755127697E-2</v>
      </c>
      <c r="K1262" s="149">
        <f t="shared" si="3688"/>
        <v>-5.2781920803641226E-2</v>
      </c>
      <c r="L1262" s="149">
        <f t="shared" si="3688"/>
        <v>-5.5213824665175187E-2</v>
      </c>
      <c r="M1262" s="149">
        <f t="shared" si="3688"/>
        <v>-5.3667651641769162E-2</v>
      </c>
      <c r="N1262" s="149">
        <f t="shared" si="3688"/>
        <v>-4.7634744116042543E-2</v>
      </c>
      <c r="O1262" s="149">
        <f t="shared" si="3688"/>
        <v>-4.7626233602351964E-2</v>
      </c>
      <c r="P1262" s="149">
        <f t="shared" si="3688"/>
        <v>-4.8960699809211049E-2</v>
      </c>
      <c r="Q1262" s="149">
        <f t="shared" si="3688"/>
        <v>-3.169544684353965E-2</v>
      </c>
      <c r="R1262" s="149">
        <f t="shared" si="3688"/>
        <v>-3.1003831721145039E-2</v>
      </c>
      <c r="S1262" s="245">
        <f>_xlfn.XLOOKUP($F1262,'Budget Assumption Driver'!$A$33:$A$39,'Budget Assumption Driver'!E$33:E$39)+G1262</f>
        <v>-2.8162920560589173E-2</v>
      </c>
      <c r="T1262" s="246">
        <f>_xlfn.XLOOKUP($F1262,'Budget Assumption Driver'!$A$33:$A$39,'Budget Assumption Driver'!F$33:F$39)+H1262</f>
        <v>-2.9693996351765683E-2</v>
      </c>
      <c r="U1262" s="246">
        <f>_xlfn.XLOOKUP($F1262,'Budget Assumption Driver'!$A$33:$A$39,'Budget Assumption Driver'!G$33:G$39)+I1262</f>
        <v>-4.4213554031528268E-2</v>
      </c>
      <c r="V1262" s="246">
        <f>_xlfn.XLOOKUP($F1262,'Budget Assumption Driver'!$A$33:$A$39,'Budget Assumption Driver'!H$33:H$39)+J1262</f>
        <v>-5.0763702755127697E-2</v>
      </c>
      <c r="W1262" s="246">
        <f>_xlfn.XLOOKUP($F1262,'Budget Assumption Driver'!$A$33:$A$39,'Budget Assumption Driver'!I$33:I$39)+K1262</f>
        <v>-5.2781920803641226E-2</v>
      </c>
      <c r="X1262" s="246">
        <f>_xlfn.XLOOKUP($F1262,'Budget Assumption Driver'!$A$33:$A$39,'Budget Assumption Driver'!J$33:J$39)+L1262</f>
        <v>-5.5213824665175187E-2</v>
      </c>
      <c r="Y1262" s="246">
        <f>_xlfn.XLOOKUP($F1262,'Budget Assumption Driver'!$A$33:$A$39,'Budget Assumption Driver'!K$33:K$39)+M1262</f>
        <v>-5.3667651641769162E-2</v>
      </c>
      <c r="Z1262" s="246">
        <f>_xlfn.XLOOKUP($F1262,'Budget Assumption Driver'!$A$33:$A$39,'Budget Assumption Driver'!L$33:L$39)+N1262</f>
        <v>-4.7634744116042543E-2</v>
      </c>
      <c r="AA1262" s="246">
        <f>_xlfn.XLOOKUP($F1262,'Budget Assumption Driver'!$A$33:$A$39,'Budget Assumption Driver'!M$33:M$39)+O1262</f>
        <v>-4.7626233602351964E-2</v>
      </c>
      <c r="AB1262" s="246">
        <f>_xlfn.XLOOKUP($F1262,'Budget Assumption Driver'!$A$33:$A$39,'Budget Assumption Driver'!N$33:N$39)+P1262</f>
        <v>-4.8960699809211049E-2</v>
      </c>
      <c r="AC1262" s="246">
        <f>_xlfn.XLOOKUP($F1262,'Budget Assumption Driver'!$A$33:$A$39,'Budget Assumption Driver'!O$33:O$39)+Q1262</f>
        <v>-3.169544684353965E-2</v>
      </c>
      <c r="AD1262" s="296">
        <f>_xlfn.XLOOKUP($F1262,'Budget Assumption Driver'!$A$33:$A$39,'Budget Assumption Driver'!P$33:P$39)+R1262</f>
        <v>-3.1003831721145039E-2</v>
      </c>
      <c r="AE1262" s="15"/>
      <c r="AF1262" s="232">
        <f>_xlfn.XLOOKUP($C1262,'Site Level Financials - ''23 ''24'!$C$2:$C$1577,'Site Level Financials - ''23 ''24'!$AF$2:$AF$1577)</f>
        <v>-5.7349929077014451E-2</v>
      </c>
      <c r="AG1262" s="97">
        <f t="shared" ref="AG1262:AH1262" si="3689">AG1261/AG1252</f>
        <v>-4.3009018014162743E-2</v>
      </c>
      <c r="AH1262" s="97">
        <f t="shared" si="3689"/>
        <v>-4.4632903837762798E-2</v>
      </c>
    </row>
    <row r="1263" spans="2:34" ht="6" customHeight="1" x14ac:dyDescent="0.2">
      <c r="B1263" s="9">
        <f>G1240</f>
        <v>26</v>
      </c>
      <c r="C1263" s="9" t="str">
        <f t="shared" si="3628"/>
        <v xml:space="preserve">26 - </v>
      </c>
      <c r="D1263" s="9" t="s">
        <v>56</v>
      </c>
      <c r="F1263" s="16"/>
      <c r="G1263" s="80"/>
      <c r="H1263" s="63"/>
      <c r="I1263" s="63"/>
      <c r="J1263" s="63"/>
      <c r="K1263" s="63"/>
      <c r="L1263" s="63"/>
      <c r="M1263" s="63"/>
      <c r="N1263" s="63"/>
      <c r="O1263" s="63"/>
      <c r="P1263" s="63"/>
      <c r="Q1263" s="63"/>
      <c r="R1263" s="63"/>
      <c r="S1263" s="80"/>
      <c r="T1263" s="63"/>
      <c r="U1263" s="63"/>
      <c r="V1263" s="63"/>
      <c r="W1263" s="63"/>
      <c r="X1263" s="63"/>
      <c r="Y1263" s="63"/>
      <c r="Z1263" s="63"/>
      <c r="AA1263" s="63"/>
      <c r="AB1263" s="63"/>
      <c r="AC1263" s="63"/>
      <c r="AD1263" s="81"/>
      <c r="AE1263" s="15"/>
      <c r="AF1263" s="11"/>
      <c r="AG1263" s="15"/>
      <c r="AH1263" s="15"/>
    </row>
    <row r="1264" spans="2:34" x14ac:dyDescent="0.2">
      <c r="B1264" s="9">
        <f>G1240</f>
        <v>26</v>
      </c>
      <c r="C1264" s="9" t="str">
        <f t="shared" si="3628"/>
        <v>26 - Office Gross Profit</v>
      </c>
      <c r="D1264" s="9" t="s">
        <v>56</v>
      </c>
      <c r="F1264" s="8" t="s">
        <v>11</v>
      </c>
      <c r="G1264" s="241">
        <f>_xlfn.XLOOKUP($C1264,'Site Level Financials - ''23 ''24'!$C$2:$C$1577,'Site Level Financials - ''23 ''24'!S$2:S$1577)</f>
        <v>316.36812371613843</v>
      </c>
      <c r="H1264" s="242">
        <f>_xlfn.XLOOKUP($C1264,'Site Level Financials - ''23 ''24'!$C$2:$C$1577,'Site Level Financials - ''23 ''24'!T$2:T$1577)</f>
        <v>334.91149569720477</v>
      </c>
      <c r="I1264" s="242">
        <f>_xlfn.XLOOKUP($C1264,'Site Level Financials - ''23 ''24'!$C$2:$C$1577,'Site Level Financials - ''23 ''24'!U$2:U$1577)</f>
        <v>187.07643649102155</v>
      </c>
      <c r="J1264" s="242">
        <f>_xlfn.XLOOKUP($C1264,'Site Level Financials - ''23 ''24'!$C$2:$C$1577,'Site Level Financials - ''23 ''24'!V$2:V$1577)</f>
        <v>175.78919182698502</v>
      </c>
      <c r="K1264" s="242">
        <f>_xlfn.XLOOKUP($C1264,'Site Level Financials - ''23 ''24'!$C$2:$C$1577,'Site Level Financials - ''23 ''24'!W$2:W$1577)</f>
        <v>212.26352000034203</v>
      </c>
      <c r="L1264" s="242">
        <f>_xlfn.XLOOKUP($C1264,'Site Level Financials - ''23 ''24'!$C$2:$C$1577,'Site Level Financials - ''23 ''24'!X$2:X$1577)</f>
        <v>175.13319435015131</v>
      </c>
      <c r="M1264" s="242">
        <f>_xlfn.XLOOKUP($C1264,'Site Level Financials - ''23 ''24'!$C$2:$C$1577,'Site Level Financials - ''23 ''24'!Y$2:Y$1577)</f>
        <v>177.47287445118749</v>
      </c>
      <c r="N1264" s="242">
        <f>_xlfn.XLOOKUP($C1264,'Site Level Financials - ''23 ''24'!$C$2:$C$1577,'Site Level Financials - ''23 ''24'!Z$2:Z$1577)</f>
        <v>176.72165843743034</v>
      </c>
      <c r="O1264" s="242">
        <f>_xlfn.XLOOKUP($C1264,'Site Level Financials - ''23 ''24'!$C$2:$C$1577,'Site Level Financials - ''23 ''24'!AA$2:AA$1577)</f>
        <v>151.98510615411837</v>
      </c>
      <c r="P1264" s="242">
        <f>_xlfn.XLOOKUP($C1264,'Site Level Financials - ''23 ''24'!$C$2:$C$1577,'Site Level Financials - ''23 ''24'!AB$2:AB$1577)</f>
        <v>184.39185276193325</v>
      </c>
      <c r="Q1264" s="242">
        <f>_xlfn.XLOOKUP($C1264,'Site Level Financials - ''23 ''24'!$C$2:$C$1577,'Site Level Financials - ''23 ''24'!AC$2:AC$1577)</f>
        <v>250.01427612789234</v>
      </c>
      <c r="R1264" s="242">
        <f>_xlfn.XLOOKUP($C1264,'Site Level Financials - ''23 ''24'!$C$2:$C$1577,'Site Level Financials - ''23 ''24'!AD$2:AD$1577)</f>
        <v>183.30503816736521</v>
      </c>
      <c r="S1264" s="134">
        <f t="shared" ref="S1264:AD1264" si="3690">S1252+S1255+S1258+S1261</f>
        <v>260.55685099244988</v>
      </c>
      <c r="T1264" s="135">
        <f t="shared" si="3690"/>
        <v>272.87650336698914</v>
      </c>
      <c r="U1264" s="135">
        <f t="shared" si="3690"/>
        <v>221.55243936380415</v>
      </c>
      <c r="V1264" s="135">
        <f t="shared" si="3690"/>
        <v>217.63972540172728</v>
      </c>
      <c r="W1264" s="135">
        <f t="shared" si="3690"/>
        <v>262.65118229504048</v>
      </c>
      <c r="X1264" s="135">
        <f t="shared" si="3690"/>
        <v>223.08148043128136</v>
      </c>
      <c r="Y1264" s="135">
        <f t="shared" si="3690"/>
        <v>269.89837443876706</v>
      </c>
      <c r="Z1264" s="135">
        <f t="shared" si="3690"/>
        <v>252.2735259215595</v>
      </c>
      <c r="AA1264" s="135">
        <f t="shared" si="3690"/>
        <v>237.80300655223942</v>
      </c>
      <c r="AB1264" s="135">
        <f t="shared" si="3690"/>
        <v>276.2982742539084</v>
      </c>
      <c r="AC1264" s="135">
        <f t="shared" si="3690"/>
        <v>276.68699011630071</v>
      </c>
      <c r="AD1264" s="136">
        <f t="shared" si="3690"/>
        <v>223.51429016369451</v>
      </c>
      <c r="AE1264" s="15"/>
      <c r="AF1264" s="114">
        <f>_xlfn.XLOOKUP($C1264,'Site Level Financials - ''23 ''24'!$C$2:$C$1577,'Site Level Financials - ''23 ''24'!$AF$2:$AF$1577)</f>
        <v>1857.4864167604092</v>
      </c>
      <c r="AG1264" s="95">
        <f>SUM(G1264:R1264)</f>
        <v>2525.4327681817699</v>
      </c>
      <c r="AH1264" s="95">
        <f t="shared" ref="AH1264" si="3691">SUM(S1264:AD1264)</f>
        <v>2994.8326432977619</v>
      </c>
    </row>
    <row r="1265" spans="2:34" x14ac:dyDescent="0.2">
      <c r="B1265" s="9">
        <f>G1240</f>
        <v>26</v>
      </c>
      <c r="C1265" s="9" t="str">
        <f t="shared" si="3628"/>
        <v>26 - % of Revenue - Office Gross Profit</v>
      </c>
      <c r="D1265" s="9" t="s">
        <v>56</v>
      </c>
      <c r="F1265" s="16" t="str">
        <f>"% of Revenue - "&amp;F1264</f>
        <v>% of Revenue - Office Gross Profit</v>
      </c>
      <c r="G1265" s="148">
        <f>G1264/G1252</f>
        <v>0.66088429853802877</v>
      </c>
      <c r="H1265" s="149">
        <f t="shared" ref="H1265:AD1265" si="3692">H1264/H1252</f>
        <v>0.66841757685334213</v>
      </c>
      <c r="I1265" s="149">
        <f t="shared" si="3692"/>
        <v>0.50540462396671582</v>
      </c>
      <c r="J1265" s="149">
        <f t="shared" si="3692"/>
        <v>0.46349587381504531</v>
      </c>
      <c r="K1265" s="149">
        <f t="shared" si="3692"/>
        <v>0.47063433373043373</v>
      </c>
      <c r="L1265" s="149">
        <f t="shared" si="3692"/>
        <v>0.47601254728293235</v>
      </c>
      <c r="M1265" s="149">
        <f t="shared" si="3692"/>
        <v>0.48104088480580959</v>
      </c>
      <c r="N1265" s="149">
        <f t="shared" si="3692"/>
        <v>0.52435318831091215</v>
      </c>
      <c r="O1265" s="149">
        <f t="shared" si="3692"/>
        <v>0.53911005008159085</v>
      </c>
      <c r="P1265" s="149">
        <f t="shared" si="3692"/>
        <v>0.54539355886642049</v>
      </c>
      <c r="Q1265" s="149">
        <f t="shared" si="3692"/>
        <v>0.69093270478124502</v>
      </c>
      <c r="R1265" s="149">
        <f t="shared" si="3692"/>
        <v>0.68383139589019881</v>
      </c>
      <c r="S1265" s="148">
        <f t="shared" si="3692"/>
        <v>0.66088429853802877</v>
      </c>
      <c r="T1265" s="149">
        <f t="shared" si="3692"/>
        <v>0.66841757685334213</v>
      </c>
      <c r="U1265" s="149">
        <f t="shared" si="3692"/>
        <v>0.50540462396671593</v>
      </c>
      <c r="V1265" s="149">
        <f t="shared" si="3692"/>
        <v>0.46349587381504537</v>
      </c>
      <c r="W1265" s="149">
        <f t="shared" si="3692"/>
        <v>0.47063433373043378</v>
      </c>
      <c r="X1265" s="149">
        <f t="shared" si="3692"/>
        <v>0.47601254728293252</v>
      </c>
      <c r="Y1265" s="149">
        <f t="shared" si="3692"/>
        <v>0.48104088480580953</v>
      </c>
      <c r="Z1265" s="149">
        <f t="shared" si="3692"/>
        <v>0.52435318831091215</v>
      </c>
      <c r="AA1265" s="149">
        <f t="shared" si="3692"/>
        <v>0.53911005008159096</v>
      </c>
      <c r="AB1265" s="149">
        <f t="shared" si="3692"/>
        <v>0.54539355886642038</v>
      </c>
      <c r="AC1265" s="149">
        <f t="shared" si="3692"/>
        <v>0.69093270478124513</v>
      </c>
      <c r="AD1265" s="150">
        <f t="shared" si="3692"/>
        <v>0.68383139589019881</v>
      </c>
      <c r="AE1265" s="15"/>
      <c r="AF1265" s="233">
        <f>_xlfn.XLOOKUP($C1265,'Site Level Financials - ''23 ''24'!$C$2:$C$1577,'Site Level Financials - ''23 ''24'!$AF$2:$AF$1577)</f>
        <v>0.59599479148241707</v>
      </c>
      <c r="AG1265" s="97">
        <f t="shared" ref="AG1265:AH1265" si="3693">AG1264/AG1252</f>
        <v>0.56071064219814015</v>
      </c>
      <c r="AH1265" s="97">
        <f t="shared" si="3693"/>
        <v>0.54907208534903762</v>
      </c>
    </row>
    <row r="1266" spans="2:34" ht="6" customHeight="1" x14ac:dyDescent="0.2">
      <c r="B1266" s="9">
        <f>G1240</f>
        <v>26</v>
      </c>
      <c r="C1266" s="9" t="str">
        <f t="shared" si="3628"/>
        <v xml:space="preserve">26 - </v>
      </c>
      <c r="D1266" s="9" t="s">
        <v>56</v>
      </c>
      <c r="F1266" s="16"/>
      <c r="G1266" s="80"/>
      <c r="H1266" s="63"/>
      <c r="I1266" s="63"/>
      <c r="J1266" s="63"/>
      <c r="K1266" s="63"/>
      <c r="L1266" s="63"/>
      <c r="M1266" s="63"/>
      <c r="N1266" s="63"/>
      <c r="O1266" s="63"/>
      <c r="P1266" s="63"/>
      <c r="Q1266" s="63"/>
      <c r="R1266" s="63"/>
      <c r="S1266" s="80"/>
      <c r="T1266" s="63"/>
      <c r="U1266" s="63"/>
      <c r="V1266" s="63"/>
      <c r="W1266" s="63"/>
      <c r="X1266" s="63"/>
      <c r="Y1266" s="63"/>
      <c r="Z1266" s="63"/>
      <c r="AA1266" s="63"/>
      <c r="AB1266" s="63"/>
      <c r="AC1266" s="63"/>
      <c r="AD1266" s="81"/>
      <c r="AE1266" s="15"/>
      <c r="AF1266" s="11"/>
      <c r="AG1266" s="15"/>
      <c r="AH1266" s="15"/>
    </row>
    <row r="1267" spans="2:34" x14ac:dyDescent="0.2">
      <c r="B1267" s="9">
        <f>G1240</f>
        <v>26</v>
      </c>
      <c r="C1267" s="9" t="str">
        <f t="shared" si="3628"/>
        <v>26 - General and Administrative Expense</v>
      </c>
      <c r="D1267" s="9" t="s">
        <v>56</v>
      </c>
      <c r="F1267" t="s">
        <v>10</v>
      </c>
      <c r="G1267" s="178">
        <f>_xlfn.XLOOKUP($C1267,'Site Level Financials - ''23 ''24'!$C$2:$C$1577,'Site Level Financials - ''23 ''24'!S$2:S$1577)</f>
        <v>-7.5011179828710626</v>
      </c>
      <c r="H1267" s="179">
        <f>_xlfn.XLOOKUP($C1267,'Site Level Financials - ''23 ''24'!$C$2:$C$1577,'Site Level Financials - ''23 ''24'!T$2:T$1577)</f>
        <v>-7.8138897538532746</v>
      </c>
      <c r="I1267" s="179">
        <f>_xlfn.XLOOKUP($C1267,'Site Level Financials - ''23 ''24'!$C$2:$C$1577,'Site Level Financials - ''23 ''24'!U$2:U$1577)</f>
        <v>-9.0661346473416629</v>
      </c>
      <c r="J1267" s="179">
        <f>_xlfn.XLOOKUP($C1267,'Site Level Financials - ''23 ''24'!$C$2:$C$1577,'Site Level Financials - ''23 ''24'!V$2:V$1577)</f>
        <v>-10.239420444891282</v>
      </c>
      <c r="K1267" s="179">
        <f>_xlfn.XLOOKUP($C1267,'Site Level Financials - ''23 ''24'!$C$2:$C$1577,'Site Level Financials - ''23 ''24'!W$2:W$1577)</f>
        <v>-11.567058365355859</v>
      </c>
      <c r="L1267" s="179">
        <f>_xlfn.XLOOKUP($C1267,'Site Level Financials - ''23 ''24'!$C$2:$C$1577,'Site Level Financials - ''23 ''24'!X$2:X$1577)</f>
        <v>-8.5142195641728087</v>
      </c>
      <c r="M1267" s="179">
        <f>_xlfn.XLOOKUP($C1267,'Site Level Financials - ''23 ''24'!$C$2:$C$1577,'Site Level Financials - ''23 ''24'!Y$2:Y$1577)</f>
        <v>-8.7113934904236139</v>
      </c>
      <c r="N1267" s="179">
        <f>_xlfn.XLOOKUP($C1267,'Site Level Financials - ''23 ''24'!$C$2:$C$1577,'Site Level Financials - ''23 ''24'!Z$2:Z$1577)</f>
        <v>-7.7047114291633996</v>
      </c>
      <c r="O1267" s="179">
        <f>_xlfn.XLOOKUP($C1267,'Site Level Financials - ''23 ''24'!$C$2:$C$1577,'Site Level Financials - ''23 ''24'!AA$2:AA$1577)</f>
        <v>-6.6073806216392219</v>
      </c>
      <c r="P1267" s="179">
        <f>_xlfn.XLOOKUP($C1267,'Site Level Financials - ''23 ''24'!$C$2:$C$1577,'Site Level Financials - ''23 ''24'!AB$2:AB$1577)</f>
        <v>-7.7086405996293488</v>
      </c>
      <c r="Q1267" s="179">
        <f>_xlfn.XLOOKUP($C1267,'Site Level Financials - ''23 ''24'!$C$2:$C$1577,'Site Level Financials - ''23 ''24'!AC$2:AC$1577)</f>
        <v>-5.7928552442388339</v>
      </c>
      <c r="R1267" s="179">
        <f>_xlfn.XLOOKUP($C1267,'Site Level Financials - ''23 ''24'!$C$2:$C$1577,'Site Level Financials - ''23 ''24'!AD$2:AD$1577)</f>
        <v>-4.1927931284662581</v>
      </c>
      <c r="S1267" s="155">
        <f>S1268*S1252</f>
        <v>-6.1778274548714309</v>
      </c>
      <c r="T1267" s="154">
        <f t="shared" ref="T1267" si="3694">T1268*T1252</f>
        <v>-6.3665384470838902</v>
      </c>
      <c r="U1267" s="154">
        <f t="shared" ref="U1267" si="3695">U1268*U1252</f>
        <v>-10.736917403361211</v>
      </c>
      <c r="V1267" s="154">
        <f t="shared" ref="V1267" si="3696">V1268*V1252</f>
        <v>-12.677142608928461</v>
      </c>
      <c r="W1267" s="154">
        <f t="shared" ref="W1267" si="3697">W1268*W1252</f>
        <v>-14.312876538236806</v>
      </c>
      <c r="X1267" s="154">
        <f t="shared" ref="X1267" si="3698">X1268*X1252</f>
        <v>-10.845258159884684</v>
      </c>
      <c r="Y1267" s="154">
        <f t="shared" ref="Y1267" si="3699">Y1268*Y1252</f>
        <v>-13.248170738387783</v>
      </c>
      <c r="Z1267" s="154">
        <f t="shared" ref="Z1267" si="3700">Z1268*Z1252</f>
        <v>-10.998621989117245</v>
      </c>
      <c r="AA1267" s="154">
        <f t="shared" ref="AA1267" si="3701">AA1268*AA1252</f>
        <v>-10.338216796503088</v>
      </c>
      <c r="AB1267" s="154">
        <f t="shared" ref="AB1267" si="3702">AB1268*AB1252</f>
        <v>-11.550857929016409</v>
      </c>
      <c r="AC1267" s="154">
        <f t="shared" ref="AC1267" si="3703">AC1268*AC1252</f>
        <v>-6.4108646375376184</v>
      </c>
      <c r="AD1267" s="156">
        <f t="shared" ref="AD1267" si="3704">AD1268*AD1252</f>
        <v>-5.112511850638251</v>
      </c>
      <c r="AE1267" s="15"/>
      <c r="AF1267" s="115">
        <f>_xlfn.XLOOKUP($C1267,'Site Level Financials - ''23 ''24'!$C$2:$C$1577,'Site Level Financials - ''23 ''24'!$AF$2:$AF$1577)</f>
        <v>-102.3290909926088</v>
      </c>
      <c r="AG1267" s="93">
        <f>SUM(G1267:R1267)</f>
        <v>-95.419615272046627</v>
      </c>
      <c r="AH1267" s="93">
        <f t="shared" ref="AH1267" si="3705">SUM(S1267:AD1267)</f>
        <v>-118.77580455356687</v>
      </c>
    </row>
    <row r="1268" spans="2:34" x14ac:dyDescent="0.2">
      <c r="B1268" s="9">
        <f>G1240</f>
        <v>26</v>
      </c>
      <c r="C1268" s="9" t="str">
        <f t="shared" si="3628"/>
        <v>26 - % of Revenue - General and Administrative Expense</v>
      </c>
      <c r="D1268" s="9" t="s">
        <v>56</v>
      </c>
      <c r="F1268" s="16" t="str">
        <f>"% of Revenue - "&amp;F1267</f>
        <v>% of Revenue - General and Administrative Expense</v>
      </c>
      <c r="G1268" s="148">
        <f>G1267/G1252</f>
        <v>-1.5669628906130696E-2</v>
      </c>
      <c r="H1268" s="149">
        <f t="shared" ref="H1268:R1268" si="3706">H1267/H1252</f>
        <v>-1.5594989488780799E-2</v>
      </c>
      <c r="I1268" s="149">
        <f t="shared" si="3706"/>
        <v>-2.4493017176384139E-2</v>
      </c>
      <c r="J1268" s="149">
        <f t="shared" si="3706"/>
        <v>-2.6997843707794938E-2</v>
      </c>
      <c r="K1268" s="149">
        <f t="shared" si="3706"/>
        <v>-2.5646681101828155E-2</v>
      </c>
      <c r="L1268" s="149">
        <f t="shared" si="3706"/>
        <v>-2.3141674300561146E-2</v>
      </c>
      <c r="M1268" s="149">
        <f t="shared" si="3706"/>
        <v>-2.3612264383972206E-2</v>
      </c>
      <c r="N1268" s="149">
        <f t="shared" si="3706"/>
        <v>-2.2860751979235996E-2</v>
      </c>
      <c r="O1268" s="149">
        <f t="shared" si="3706"/>
        <v>-2.3437199788694761E-2</v>
      </c>
      <c r="P1268" s="149">
        <f t="shared" si="3706"/>
        <v>-2.2800589438634743E-2</v>
      </c>
      <c r="Q1268" s="149">
        <f t="shared" si="3706"/>
        <v>-1.6008978384341267E-2</v>
      </c>
      <c r="R1268" s="149">
        <f t="shared" si="3706"/>
        <v>-1.564148812483852E-2</v>
      </c>
      <c r="S1268" s="245">
        <f>_xlfn.XLOOKUP($F1268,'Budget Assumption Driver'!$A$33:$A$39,'Budget Assumption Driver'!E$33:E$39)+G1268</f>
        <v>-1.5669628906130696E-2</v>
      </c>
      <c r="T1268" s="246">
        <f>_xlfn.XLOOKUP($F1268,'Budget Assumption Driver'!$A$33:$A$39,'Budget Assumption Driver'!F$33:F$39)+H1268</f>
        <v>-1.5594989488780799E-2</v>
      </c>
      <c r="U1268" s="246">
        <f>_xlfn.XLOOKUP($F1268,'Budget Assumption Driver'!$A$33:$A$39,'Budget Assumption Driver'!G$33:G$39)+I1268</f>
        <v>-2.4493017176384139E-2</v>
      </c>
      <c r="V1268" s="246">
        <f>_xlfn.XLOOKUP($F1268,'Budget Assumption Driver'!$A$33:$A$39,'Budget Assumption Driver'!H$33:H$39)+J1268</f>
        <v>-2.6997843707794938E-2</v>
      </c>
      <c r="W1268" s="246">
        <f>_xlfn.XLOOKUP($F1268,'Budget Assumption Driver'!$A$33:$A$39,'Budget Assumption Driver'!I$33:I$39)+K1268</f>
        <v>-2.5646681101828155E-2</v>
      </c>
      <c r="X1268" s="246">
        <f>_xlfn.XLOOKUP($F1268,'Budget Assumption Driver'!$A$33:$A$39,'Budget Assumption Driver'!J$33:J$39)+L1268</f>
        <v>-2.3141674300561146E-2</v>
      </c>
      <c r="Y1268" s="246">
        <f>_xlfn.XLOOKUP($F1268,'Budget Assumption Driver'!$A$33:$A$39,'Budget Assumption Driver'!K$33:K$39)+M1268</f>
        <v>-2.3612264383972206E-2</v>
      </c>
      <c r="Z1268" s="246">
        <f>_xlfn.XLOOKUP($F1268,'Budget Assumption Driver'!$A$33:$A$39,'Budget Assumption Driver'!L$33:L$39)+N1268</f>
        <v>-2.2860751979235996E-2</v>
      </c>
      <c r="AA1268" s="246">
        <f>_xlfn.XLOOKUP($F1268,'Budget Assumption Driver'!$A$33:$A$39,'Budget Assumption Driver'!M$33:M$39)+O1268</f>
        <v>-2.3437199788694761E-2</v>
      </c>
      <c r="AB1268" s="246">
        <f>_xlfn.XLOOKUP($F1268,'Budget Assumption Driver'!$A$33:$A$39,'Budget Assumption Driver'!N$33:N$39)+P1268</f>
        <v>-2.2800589438634743E-2</v>
      </c>
      <c r="AC1268" s="246">
        <f>_xlfn.XLOOKUP($F1268,'Budget Assumption Driver'!$A$33:$A$39,'Budget Assumption Driver'!O$33:O$39)+Q1268</f>
        <v>-1.6008978384341267E-2</v>
      </c>
      <c r="AD1268" s="296">
        <f>_xlfn.XLOOKUP($F1268,'Budget Assumption Driver'!$A$33:$A$39,'Budget Assumption Driver'!P$33:P$39)+R1268</f>
        <v>-1.564148812483852E-2</v>
      </c>
      <c r="AE1268" s="15"/>
      <c r="AF1268" s="232">
        <f>_xlfn.XLOOKUP($C1268,'Site Level Financials - ''23 ''24'!$C$2:$C$1577,'Site Level Financials - ''23 ''24'!$AF$2:$AF$1577)</f>
        <v>-3.2833405778057836E-2</v>
      </c>
      <c r="AG1268" s="97">
        <f t="shared" ref="AG1268:AH1268" si="3707">AG1267/AG1252</f>
        <v>-2.1185594180758573E-2</v>
      </c>
      <c r="AH1268" s="97">
        <f t="shared" si="3707"/>
        <v>-2.1776334928493204E-2</v>
      </c>
    </row>
    <row r="1269" spans="2:34" ht="3" customHeight="1" x14ac:dyDescent="0.2">
      <c r="B1269" s="9">
        <f>G1240</f>
        <v>26</v>
      </c>
      <c r="C1269" s="9" t="str">
        <f t="shared" si="3628"/>
        <v xml:space="preserve">26 - </v>
      </c>
      <c r="D1269" s="9" t="s">
        <v>56</v>
      </c>
      <c r="F1269" s="16"/>
      <c r="G1269" s="84"/>
      <c r="H1269" s="85"/>
      <c r="I1269" s="85"/>
      <c r="J1269" s="85"/>
      <c r="K1269" s="85"/>
      <c r="L1269" s="85"/>
      <c r="M1269" s="85"/>
      <c r="N1269" s="85"/>
      <c r="O1269" s="85"/>
      <c r="P1269" s="85"/>
      <c r="Q1269" s="85"/>
      <c r="R1269" s="85"/>
      <c r="S1269" s="84"/>
      <c r="T1269" s="85"/>
      <c r="U1269" s="85"/>
      <c r="V1269" s="85"/>
      <c r="W1269" s="85"/>
      <c r="X1269" s="85"/>
      <c r="Y1269" s="85"/>
      <c r="Z1269" s="85"/>
      <c r="AA1269" s="85"/>
      <c r="AB1269" s="85"/>
      <c r="AC1269" s="85"/>
      <c r="AD1269" s="86"/>
      <c r="AE1269" s="15"/>
      <c r="AF1269" s="36"/>
      <c r="AG1269" s="38"/>
      <c r="AH1269" s="38"/>
    </row>
    <row r="1270" spans="2:34" x14ac:dyDescent="0.2">
      <c r="B1270" s="9">
        <f>G1240</f>
        <v>26</v>
      </c>
      <c r="C1270" s="9" t="str">
        <f t="shared" si="3628"/>
        <v>26 - Marketing</v>
      </c>
      <c r="D1270" s="9" t="s">
        <v>56</v>
      </c>
      <c r="F1270" t="s">
        <v>7</v>
      </c>
      <c r="G1270" s="178">
        <f>_xlfn.XLOOKUP($C1270,'Site Level Financials - ''23 ''24'!$C$2:$C$1577,'Site Level Financials - ''23 ''24'!S$2:S$1577)</f>
        <v>-1.7338959612558638</v>
      </c>
      <c r="H1270" s="179">
        <f>_xlfn.XLOOKUP($C1270,'Site Level Financials - ''23 ''24'!$C$2:$C$1577,'Site Level Financials - ''23 ''24'!T$2:T$1577)</f>
        <v>-1.8258232894050195</v>
      </c>
      <c r="I1270" s="179">
        <f>_xlfn.XLOOKUP($C1270,'Site Level Financials - ''23 ''24'!$C$2:$C$1577,'Site Level Financials - ''23 ''24'!U$2:U$1577)</f>
        <v>-2.6749570342144704</v>
      </c>
      <c r="J1270" s="179">
        <f>_xlfn.XLOOKUP($C1270,'Site Level Financials - ''23 ''24'!$C$2:$C$1577,'Site Level Financials - ''23 ''24'!V$2:V$1577)</f>
        <v>-3.1169197071101267</v>
      </c>
      <c r="K1270" s="179">
        <f>_xlfn.XLOOKUP($C1270,'Site Level Financials - ''23 ''24'!$C$2:$C$1577,'Site Level Financials - ''23 ''24'!W$2:W$1577)</f>
        <v>-4.8562649247064353</v>
      </c>
      <c r="L1270" s="179">
        <f>_xlfn.XLOOKUP($C1270,'Site Level Financials - ''23 ''24'!$C$2:$C$1577,'Site Level Financials - ''23 ''24'!X$2:X$1577)</f>
        <v>-4.6943312509942441</v>
      </c>
      <c r="M1270" s="179">
        <f>_xlfn.XLOOKUP($C1270,'Site Level Financials - ''23 ''24'!$C$2:$C$1577,'Site Level Financials - ''23 ''24'!Y$2:Y$1577)</f>
        <v>-5.350780915869918</v>
      </c>
      <c r="N1270" s="179">
        <f>_xlfn.XLOOKUP($C1270,'Site Level Financials - ''23 ''24'!$C$2:$C$1577,'Site Level Financials - ''23 ''24'!Z$2:Z$1577)</f>
        <v>-4.3873531919912336</v>
      </c>
      <c r="O1270" s="179">
        <f>_xlfn.XLOOKUP($C1270,'Site Level Financials - ''23 ''24'!$C$2:$C$1577,'Site Level Financials - ''23 ''24'!AA$2:AA$1577)</f>
        <v>-3.7229167378201593</v>
      </c>
      <c r="P1270" s="179">
        <f>_xlfn.XLOOKUP($C1270,'Site Level Financials - ''23 ''24'!$C$2:$C$1577,'Site Level Financials - ''23 ''24'!AB$2:AB$1577)</f>
        <v>-4.3146530214139434</v>
      </c>
      <c r="Q1270" s="179">
        <f>_xlfn.XLOOKUP($C1270,'Site Level Financials - ''23 ''24'!$C$2:$C$1577,'Site Level Financials - ''23 ''24'!AC$2:AC$1577)</f>
        <v>-2.8337909524995735</v>
      </c>
      <c r="R1270" s="179">
        <f>_xlfn.XLOOKUP($C1270,'Site Level Financials - ''23 ''24'!$C$2:$C$1577,'Site Level Financials - ''23 ''24'!AD$2:AD$1577)</f>
        <v>-2.0598549192456321</v>
      </c>
      <c r="S1270" s="155">
        <f>S1271*S1252</f>
        <v>-1.4280151435822699</v>
      </c>
      <c r="T1270" s="154">
        <f t="shared" ref="T1270" si="3708">T1271*T1252</f>
        <v>-1.4876296615070603</v>
      </c>
      <c r="U1270" s="154">
        <f t="shared" ref="U1270" si="3709">U1271*U1252</f>
        <v>-3.1679203818489761</v>
      </c>
      <c r="V1270" s="154">
        <f t="shared" ref="V1270" si="3710">V1271*V1252</f>
        <v>-3.858971886180238</v>
      </c>
      <c r="W1270" s="154">
        <f t="shared" ref="W1270" si="3711">W1271*W1252</f>
        <v>-6.009057628037195</v>
      </c>
      <c r="X1270" s="154">
        <f t="shared" ref="X1270" si="3712">X1271*X1252</f>
        <v>-5.9795538418198211</v>
      </c>
      <c r="Y1270" s="154">
        <f t="shared" ref="Y1270" si="3713">Y1271*Y1252</f>
        <v>-8.1373960704539936</v>
      </c>
      <c r="Z1270" s="154">
        <f t="shared" ref="Z1270" si="3714">Z1271*Z1252</f>
        <v>-6.2630300609062743</v>
      </c>
      <c r="AA1270" s="154">
        <f t="shared" ref="AA1270" si="3715">AA1271*AA1252</f>
        <v>-5.8250496762461834</v>
      </c>
      <c r="AB1270" s="154">
        <f t="shared" ref="AB1270" si="3716">AB1271*AB1252</f>
        <v>-6.4652053003677707</v>
      </c>
      <c r="AC1270" s="154">
        <f t="shared" ref="AC1270" si="3717">AC1271*AC1252</f>
        <v>-3.1361132708470887</v>
      </c>
      <c r="AD1270" s="156">
        <f t="shared" ref="AD1270" si="3718">AD1271*AD1252</f>
        <v>-2.5116986129699868</v>
      </c>
      <c r="AE1270" s="15"/>
      <c r="AF1270" s="115">
        <f>_xlfn.XLOOKUP($C1270,'Site Level Financials - ''23 ''24'!$C$2:$C$1577,'Site Level Financials - ''23 ''24'!$AF$2:$AF$1577)</f>
        <v>-22.791157079154555</v>
      </c>
      <c r="AG1270" s="93">
        <f>SUM(G1270:R1270)</f>
        <v>-41.571541906526626</v>
      </c>
      <c r="AH1270" s="93">
        <f t="shared" ref="AH1270" si="3719">SUM(S1270:AD1270)</f>
        <v>-54.269641534766855</v>
      </c>
    </row>
    <row r="1271" spans="2:34" x14ac:dyDescent="0.2">
      <c r="B1271" s="9">
        <f>G1240</f>
        <v>26</v>
      </c>
      <c r="C1271" s="9" t="str">
        <f t="shared" si="3628"/>
        <v>26 - % of Revenue - Marketing</v>
      </c>
      <c r="D1271" s="9" t="s">
        <v>56</v>
      </c>
      <c r="F1271" s="16" t="str">
        <f>"% of Revenue - "&amp;F1270</f>
        <v>% of Revenue - Marketing</v>
      </c>
      <c r="G1271" s="148">
        <f>G1270/G1252</f>
        <v>-3.6220609163540966E-3</v>
      </c>
      <c r="H1271" s="149">
        <f t="shared" ref="H1271:R1271" si="3720">H1270/H1252</f>
        <v>-3.643984737895897E-3</v>
      </c>
      <c r="I1271" s="149">
        <f t="shared" si="3720"/>
        <v>-7.2266485259311099E-3</v>
      </c>
      <c r="J1271" s="149">
        <f t="shared" si="3720"/>
        <v>-8.2182494170644094E-3</v>
      </c>
      <c r="K1271" s="149">
        <f t="shared" si="3720"/>
        <v>-1.0767394261877903E-2</v>
      </c>
      <c r="L1271" s="149">
        <f t="shared" si="3720"/>
        <v>-1.2759206413536841E-2</v>
      </c>
      <c r="M1271" s="149">
        <f t="shared" si="3720"/>
        <v>-1.4503311529334859E-2</v>
      </c>
      <c r="N1271" s="149">
        <f t="shared" si="3720"/>
        <v>-1.3017774135936929E-2</v>
      </c>
      <c r="O1271" s="149">
        <f t="shared" si="3720"/>
        <v>-1.3205648104364818E-2</v>
      </c>
      <c r="P1271" s="149">
        <f t="shared" si="3720"/>
        <v>-1.2761865187508475E-2</v>
      </c>
      <c r="Q1271" s="149">
        <f t="shared" si="3720"/>
        <v>-7.8313881827835156E-3</v>
      </c>
      <c r="R1271" s="149">
        <f t="shared" si="3720"/>
        <v>-7.6844230733741654E-3</v>
      </c>
      <c r="S1271" s="245">
        <f>_xlfn.XLOOKUP($F1271,'Budget Assumption Driver'!$A$33:$A$39,'Budget Assumption Driver'!E$33:E$39)+G1271</f>
        <v>-3.6220609163540966E-3</v>
      </c>
      <c r="T1271" s="246">
        <f>_xlfn.XLOOKUP($F1271,'Budget Assumption Driver'!$A$33:$A$39,'Budget Assumption Driver'!F$33:F$39)+H1271</f>
        <v>-3.643984737895897E-3</v>
      </c>
      <c r="U1271" s="246">
        <f>_xlfn.XLOOKUP($F1271,'Budget Assumption Driver'!$A$33:$A$39,'Budget Assumption Driver'!G$33:G$39)+I1271</f>
        <v>-7.2266485259311099E-3</v>
      </c>
      <c r="V1271" s="246">
        <f>_xlfn.XLOOKUP($F1271,'Budget Assumption Driver'!$A$33:$A$39,'Budget Assumption Driver'!H$33:H$39)+J1271</f>
        <v>-8.2182494170644094E-3</v>
      </c>
      <c r="W1271" s="246">
        <f>_xlfn.XLOOKUP($F1271,'Budget Assumption Driver'!$A$33:$A$39,'Budget Assumption Driver'!I$33:I$39)+K1271</f>
        <v>-1.0767394261877903E-2</v>
      </c>
      <c r="X1271" s="246">
        <f>_xlfn.XLOOKUP($F1271,'Budget Assumption Driver'!$A$33:$A$39,'Budget Assumption Driver'!J$33:J$39)+L1271</f>
        <v>-1.2759206413536841E-2</v>
      </c>
      <c r="Y1271" s="246">
        <f>_xlfn.XLOOKUP($F1271,'Budget Assumption Driver'!$A$33:$A$39,'Budget Assumption Driver'!K$33:K$39)+M1271</f>
        <v>-1.4503311529334859E-2</v>
      </c>
      <c r="Z1271" s="246">
        <f>_xlfn.XLOOKUP($F1271,'Budget Assumption Driver'!$A$33:$A$39,'Budget Assumption Driver'!L$33:L$39)+N1271</f>
        <v>-1.3017774135936929E-2</v>
      </c>
      <c r="AA1271" s="246">
        <f>_xlfn.XLOOKUP($F1271,'Budget Assumption Driver'!$A$33:$A$39,'Budget Assumption Driver'!M$33:M$39)+O1271</f>
        <v>-1.3205648104364818E-2</v>
      </c>
      <c r="AB1271" s="246">
        <f>_xlfn.XLOOKUP($F1271,'Budget Assumption Driver'!$A$33:$A$39,'Budget Assumption Driver'!N$33:N$39)+P1271</f>
        <v>-1.2761865187508475E-2</v>
      </c>
      <c r="AC1271" s="246">
        <f>_xlfn.XLOOKUP($F1271,'Budget Assumption Driver'!$A$33:$A$39,'Budget Assumption Driver'!O$33:O$39)+Q1271</f>
        <v>-7.8313881827835156E-3</v>
      </c>
      <c r="AD1271" s="296">
        <f>_xlfn.XLOOKUP($F1271,'Budget Assumption Driver'!$A$33:$A$39,'Budget Assumption Driver'!P$33:P$39)+R1271</f>
        <v>-7.6844230733741654E-3</v>
      </c>
      <c r="AE1271" s="15"/>
      <c r="AF1271" s="232">
        <f>_xlfn.XLOOKUP($C1271,'Site Level Financials - ''23 ''24'!$C$2:$C$1577,'Site Level Financials - ''23 ''24'!$AF$2:$AF$1577)</f>
        <v>-7.3127915167876083E-3</v>
      </c>
      <c r="AG1271" s="97">
        <f t="shared" ref="AG1271:AH1271" si="3721">AG1270/AG1252</f>
        <v>-9.2299451615802091E-3</v>
      </c>
      <c r="AH1271" s="97">
        <f t="shared" si="3721"/>
        <v>-9.9497864481092203E-3</v>
      </c>
    </row>
    <row r="1272" spans="2:34" ht="3" customHeight="1" x14ac:dyDescent="0.2">
      <c r="B1272" s="9">
        <f>G1240</f>
        <v>26</v>
      </c>
      <c r="C1272" s="9" t="str">
        <f t="shared" si="3628"/>
        <v xml:space="preserve">26 - </v>
      </c>
      <c r="D1272" s="9" t="s">
        <v>56</v>
      </c>
      <c r="F1272" s="16"/>
      <c r="G1272" s="84"/>
      <c r="H1272" s="85"/>
      <c r="I1272" s="85"/>
      <c r="J1272" s="85"/>
      <c r="K1272" s="85"/>
      <c r="L1272" s="85"/>
      <c r="M1272" s="85"/>
      <c r="N1272" s="85"/>
      <c r="O1272" s="85"/>
      <c r="P1272" s="85"/>
      <c r="Q1272" s="85"/>
      <c r="R1272" s="85"/>
      <c r="S1272" s="84"/>
      <c r="T1272" s="85"/>
      <c r="U1272" s="85"/>
      <c r="V1272" s="85"/>
      <c r="W1272" s="85"/>
      <c r="X1272" s="85"/>
      <c r="Y1272" s="85"/>
      <c r="Z1272" s="85"/>
      <c r="AA1272" s="85"/>
      <c r="AB1272" s="85"/>
      <c r="AC1272" s="85"/>
      <c r="AD1272" s="86"/>
      <c r="AE1272" s="15"/>
      <c r="AF1272" s="36"/>
      <c r="AG1272" s="38"/>
      <c r="AH1272" s="38"/>
    </row>
    <row r="1273" spans="2:34" x14ac:dyDescent="0.2">
      <c r="B1273" s="9">
        <f>G1240</f>
        <v>26</v>
      </c>
      <c r="C1273" s="9" t="str">
        <f t="shared" si="3628"/>
        <v>26 - Office Rent</v>
      </c>
      <c r="D1273" s="9" t="s">
        <v>56</v>
      </c>
      <c r="F1273" t="s">
        <v>162</v>
      </c>
      <c r="G1273" s="178">
        <f>_xlfn.XLOOKUP($C1273,'Site Level Financials - ''23 ''24'!$C$2:$C$1577,'Site Level Financials - ''23 ''24'!S$2:S$1577)</f>
        <v>-16.126674833981447</v>
      </c>
      <c r="H1273" s="179">
        <f>_xlfn.XLOOKUP($C1273,'Site Level Financials - ''23 ''24'!$C$2:$C$1577,'Site Level Financials - ''23 ''24'!T$2:T$1577)</f>
        <v>-16.126674833981447</v>
      </c>
      <c r="I1273" s="179">
        <f>_xlfn.XLOOKUP($C1273,'Site Level Financials - ''23 ''24'!$C$2:$C$1577,'Site Level Financials - ''23 ''24'!U$2:U$1577)</f>
        <v>-16.126674833981447</v>
      </c>
      <c r="J1273" s="179">
        <f>_xlfn.XLOOKUP($C1273,'Site Level Financials - ''23 ''24'!$C$2:$C$1577,'Site Level Financials - ''23 ''24'!V$2:V$1577)</f>
        <v>-16.126674833981447</v>
      </c>
      <c r="K1273" s="179">
        <f>_xlfn.XLOOKUP($C1273,'Site Level Financials - ''23 ''24'!$C$2:$C$1577,'Site Level Financials - ''23 ''24'!W$2:W$1577)</f>
        <v>-16.126674833981447</v>
      </c>
      <c r="L1273" s="179">
        <f>_xlfn.XLOOKUP($C1273,'Site Level Financials - ''23 ''24'!$C$2:$C$1577,'Site Level Financials - ''23 ''24'!X$2:X$1577)</f>
        <v>-16.610475079000889</v>
      </c>
      <c r="M1273" s="179">
        <f>_xlfn.XLOOKUP($C1273,'Site Level Financials - ''23 ''24'!$C$2:$C$1577,'Site Level Financials - ''23 ''24'!Y$2:Y$1577)</f>
        <v>-16.610475079000889</v>
      </c>
      <c r="N1273" s="179">
        <f>_xlfn.XLOOKUP($C1273,'Site Level Financials - ''23 ''24'!$C$2:$C$1577,'Site Level Financials - ''23 ''24'!Z$2:Z$1577)</f>
        <v>-16.610475079000889</v>
      </c>
      <c r="O1273" s="179">
        <f>_xlfn.XLOOKUP($C1273,'Site Level Financials - ''23 ''24'!$C$2:$C$1577,'Site Level Financials - ''23 ''24'!AA$2:AA$1577)</f>
        <v>-16.610475079000889</v>
      </c>
      <c r="P1273" s="179">
        <f>_xlfn.XLOOKUP($C1273,'Site Level Financials - ''23 ''24'!$C$2:$C$1577,'Site Level Financials - ''23 ''24'!AB$2:AB$1577)</f>
        <v>-16.610475079000889</v>
      </c>
      <c r="Q1273" s="179">
        <f>_xlfn.XLOOKUP($C1273,'Site Level Financials - ''23 ''24'!$C$2:$C$1577,'Site Level Financials - ''23 ''24'!AC$2:AC$1577)</f>
        <v>-16.610475079000889</v>
      </c>
      <c r="R1273" s="179">
        <f>_xlfn.XLOOKUP($C1273,'Site Level Financials - ''23 ''24'!$C$2:$C$1577,'Site Level Financials - ''23 ''24'!AD$2:AD$1577)</f>
        <v>-16.610475079000889</v>
      </c>
      <c r="S1273" s="155">
        <f>G1273*(1+S1274)</f>
        <v>-16.610475079000892</v>
      </c>
      <c r="T1273" s="154">
        <f t="shared" ref="T1273" si="3722">H1273*(1+T1274)</f>
        <v>-16.610475079000892</v>
      </c>
      <c r="U1273" s="154">
        <f t="shared" ref="U1273" si="3723">I1273*(1+U1274)</f>
        <v>-16.610475079000892</v>
      </c>
      <c r="V1273" s="154">
        <f t="shared" ref="V1273" si="3724">J1273*(1+V1274)</f>
        <v>-16.610475079000892</v>
      </c>
      <c r="W1273" s="154">
        <f t="shared" ref="W1273" si="3725">K1273*(1+W1274)</f>
        <v>-16.610475079000892</v>
      </c>
      <c r="X1273" s="154">
        <f t="shared" ref="X1273" si="3726">L1273*(1+X1274)</f>
        <v>-17.108789331370915</v>
      </c>
      <c r="Y1273" s="154">
        <f t="shared" ref="Y1273" si="3727">M1273*(1+Y1274)</f>
        <v>-17.108789331370915</v>
      </c>
      <c r="Z1273" s="154">
        <f t="shared" ref="Z1273" si="3728">N1273*(1+Z1274)</f>
        <v>-17.108789331370915</v>
      </c>
      <c r="AA1273" s="154">
        <f t="shared" ref="AA1273" si="3729">O1273*(1+AA1274)</f>
        <v>-17.108789331370915</v>
      </c>
      <c r="AB1273" s="154">
        <f t="shared" ref="AB1273" si="3730">P1273*(1+AB1274)</f>
        <v>-17.108789331370915</v>
      </c>
      <c r="AC1273" s="154">
        <f t="shared" ref="AC1273" si="3731">Q1273*(1+AC1274)</f>
        <v>-17.108789331370915</v>
      </c>
      <c r="AD1273" s="156">
        <f t="shared" ref="AD1273" si="3732">R1273*(1+AD1274)</f>
        <v>-17.108789331370915</v>
      </c>
      <c r="AE1273" s="15"/>
      <c r="AF1273" s="115">
        <f>_xlfn.XLOOKUP($C1273,'Site Level Financials - ''23 ''24'!$C$2:$C$1577,'Site Level Financials - ''23 ''24'!$AF$2:$AF$1577)</f>
        <v>-191.1676090539286</v>
      </c>
      <c r="AG1273" s="93">
        <f>SUM(G1273:R1273)</f>
        <v>-196.9066997229134</v>
      </c>
      <c r="AH1273" s="93">
        <f t="shared" ref="AH1273" si="3733">SUM(S1273:AD1273)</f>
        <v>-202.81390071460089</v>
      </c>
    </row>
    <row r="1274" spans="2:34" x14ac:dyDescent="0.2">
      <c r="B1274" s="9">
        <f>G1240</f>
        <v>26</v>
      </c>
      <c r="C1274" s="9" t="str">
        <f t="shared" si="3628"/>
        <v>26 - % YoY Growth</v>
      </c>
      <c r="D1274" s="9" t="s">
        <v>56</v>
      </c>
      <c r="F1274" s="16" t="s">
        <v>8</v>
      </c>
      <c r="G1274" s="245">
        <f>_xlfn.XLOOKUP($C1274,'Site Level Financials - ''23 ''24'!$C$2:$C$1577,'Site Level Financials - ''23 ''24'!S$2:S$1577)</f>
        <v>3.0021250448164727E-2</v>
      </c>
      <c r="H1274" s="246">
        <f>_xlfn.XLOOKUP($C1274,'Site Level Financials - ''23 ''24'!$C$2:$C$1577,'Site Level Financials - ''23 ''24'!T$2:T$1577)</f>
        <v>3.0021250448164727E-2</v>
      </c>
      <c r="I1274" s="246">
        <f>_xlfn.XLOOKUP($C1274,'Site Level Financials - ''23 ''24'!$C$2:$C$1577,'Site Level Financials - ''23 ''24'!U$2:U$1577)</f>
        <v>3.0021250448164727E-2</v>
      </c>
      <c r="J1274" s="246">
        <f>_xlfn.XLOOKUP($C1274,'Site Level Financials - ''23 ''24'!$C$2:$C$1577,'Site Level Financials - ''23 ''24'!V$2:V$1577)</f>
        <v>3.0021250448164727E-2</v>
      </c>
      <c r="K1274" s="246">
        <f>_xlfn.XLOOKUP($C1274,'Site Level Financials - ''23 ''24'!$C$2:$C$1577,'Site Level Financials - ''23 ''24'!W$2:W$1577)</f>
        <v>3.0021250448164727E-2</v>
      </c>
      <c r="L1274" s="246">
        <f>_xlfn.XLOOKUP($C1274,'Site Level Financials - ''23 ''24'!$C$2:$C$1577,'Site Level Financials - ''23 ''24'!X$2:X$1577)</f>
        <v>3.0021250448164727E-2</v>
      </c>
      <c r="M1274" s="246">
        <f>_xlfn.XLOOKUP($C1274,'Site Level Financials - ''23 ''24'!$C$2:$C$1577,'Site Level Financials - ''23 ''24'!Y$2:Y$1577)</f>
        <v>3.0021250448164727E-2</v>
      </c>
      <c r="N1274" s="246">
        <f>_xlfn.XLOOKUP($C1274,'Site Level Financials - ''23 ''24'!$C$2:$C$1577,'Site Level Financials - ''23 ''24'!Z$2:Z$1577)</f>
        <v>3.0021250448164727E-2</v>
      </c>
      <c r="O1274" s="246">
        <f>_xlfn.XLOOKUP($C1274,'Site Level Financials - ''23 ''24'!$C$2:$C$1577,'Site Level Financials - ''23 ''24'!AA$2:AA$1577)</f>
        <v>3.0021250448164727E-2</v>
      </c>
      <c r="P1274" s="246">
        <f>_xlfn.XLOOKUP($C1274,'Site Level Financials - ''23 ''24'!$C$2:$C$1577,'Site Level Financials - ''23 ''24'!AB$2:AB$1577)</f>
        <v>3.0021250448164727E-2</v>
      </c>
      <c r="Q1274" s="246">
        <f>_xlfn.XLOOKUP($C1274,'Site Level Financials - ''23 ''24'!$C$2:$C$1577,'Site Level Financials - ''23 ''24'!AC$2:AC$1577)</f>
        <v>3.0021250448164727E-2</v>
      </c>
      <c r="R1274" s="246">
        <f>_xlfn.XLOOKUP($C1274,'Site Level Financials - ''23 ''24'!$C$2:$C$1577,'Site Level Financials - ''23 ''24'!AD$2:AD$1577)</f>
        <v>3.0021250448164727E-2</v>
      </c>
      <c r="S1274" s="245">
        <f>_xlfn.XLOOKUP($F1274,'Budget Assumption Driver'!$A$33:$A$39,'Budget Assumption Driver'!E$33:E$39)</f>
        <v>0.03</v>
      </c>
      <c r="T1274" s="246">
        <f>_xlfn.XLOOKUP($F1274,'Budget Assumption Driver'!$A$33:$A$39,'Budget Assumption Driver'!F$33:F$39)</f>
        <v>0.03</v>
      </c>
      <c r="U1274" s="246">
        <f>_xlfn.XLOOKUP($F1274,'Budget Assumption Driver'!$A$33:$A$39,'Budget Assumption Driver'!G$33:G$39)</f>
        <v>0.03</v>
      </c>
      <c r="V1274" s="246">
        <f>_xlfn.XLOOKUP($F1274,'Budget Assumption Driver'!$A$33:$A$39,'Budget Assumption Driver'!H$33:H$39)</f>
        <v>0.03</v>
      </c>
      <c r="W1274" s="246">
        <f>_xlfn.XLOOKUP($F1274,'Budget Assumption Driver'!$A$33:$A$39,'Budget Assumption Driver'!I$33:I$39)</f>
        <v>0.03</v>
      </c>
      <c r="X1274" s="246">
        <f>_xlfn.XLOOKUP($F1274,'Budget Assumption Driver'!$A$33:$A$39,'Budget Assumption Driver'!J$33:J$39)</f>
        <v>0.03</v>
      </c>
      <c r="Y1274" s="246">
        <f>_xlfn.XLOOKUP($F1274,'Budget Assumption Driver'!$A$33:$A$39,'Budget Assumption Driver'!K$33:K$39)</f>
        <v>0.03</v>
      </c>
      <c r="Z1274" s="246">
        <f>_xlfn.XLOOKUP($F1274,'Budget Assumption Driver'!$A$33:$A$39,'Budget Assumption Driver'!L$33:L$39)</f>
        <v>0.03</v>
      </c>
      <c r="AA1274" s="246">
        <f>_xlfn.XLOOKUP($F1274,'Budget Assumption Driver'!$A$33:$A$39,'Budget Assumption Driver'!M$33:M$39)</f>
        <v>0.03</v>
      </c>
      <c r="AB1274" s="246">
        <f>_xlfn.XLOOKUP($F1274,'Budget Assumption Driver'!$A$33:$A$39,'Budget Assumption Driver'!N$33:N$39)</f>
        <v>0.03</v>
      </c>
      <c r="AC1274" s="246">
        <f>_xlfn.XLOOKUP($F1274,'Budget Assumption Driver'!$A$33:$A$39,'Budget Assumption Driver'!O$33:O$39)</f>
        <v>0.03</v>
      </c>
      <c r="AD1274" s="296">
        <f>_xlfn.XLOOKUP($F1274,'Budget Assumption Driver'!$A$33:$A$39,'Budget Assumption Driver'!P$33:P$39)</f>
        <v>0.03</v>
      </c>
      <c r="AE1274" s="15"/>
      <c r="AF1274" s="11"/>
      <c r="AG1274" s="97">
        <f>AG1273/AF1273-1</f>
        <v>3.0021250448164505E-2</v>
      </c>
      <c r="AH1274" s="97">
        <f>AH1273/AG1273-1</f>
        <v>3.0000000000000471E-2</v>
      </c>
    </row>
    <row r="1275" spans="2:34" ht="6" customHeight="1" x14ac:dyDescent="0.2">
      <c r="B1275" s="9">
        <f>G1240</f>
        <v>26</v>
      </c>
      <c r="C1275" s="9" t="str">
        <f t="shared" si="3628"/>
        <v xml:space="preserve">26 - </v>
      </c>
      <c r="D1275" s="9" t="s">
        <v>56</v>
      </c>
      <c r="F1275" s="16"/>
      <c r="G1275" s="80"/>
      <c r="H1275" s="63"/>
      <c r="I1275" s="63"/>
      <c r="J1275" s="63"/>
      <c r="K1275" s="63"/>
      <c r="L1275" s="63"/>
      <c r="M1275" s="63"/>
      <c r="N1275" s="63"/>
      <c r="O1275" s="63"/>
      <c r="P1275" s="63"/>
      <c r="Q1275" s="63"/>
      <c r="R1275" s="63"/>
      <c r="S1275" s="80"/>
      <c r="T1275" s="63"/>
      <c r="U1275" s="63"/>
      <c r="V1275" s="63"/>
      <c r="W1275" s="63"/>
      <c r="X1275" s="63"/>
      <c r="Y1275" s="63"/>
      <c r="Z1275" s="63"/>
      <c r="AA1275" s="63"/>
      <c r="AB1275" s="63"/>
      <c r="AC1275" s="63"/>
      <c r="AD1275" s="81"/>
      <c r="AE1275" s="15"/>
      <c r="AF1275" s="11"/>
      <c r="AG1275" s="15"/>
      <c r="AH1275" s="15"/>
    </row>
    <row r="1276" spans="2:34" x14ac:dyDescent="0.2">
      <c r="B1276" s="9">
        <f>G1240</f>
        <v>26</v>
      </c>
      <c r="C1276" s="9" t="str">
        <f t="shared" si="3628"/>
        <v>26 - Office EBITDA</v>
      </c>
      <c r="D1276" s="9" t="s">
        <v>56</v>
      </c>
      <c r="F1276" s="8" t="s">
        <v>12</v>
      </c>
      <c r="G1276" s="241">
        <f>_xlfn.XLOOKUP($C1276,'Site Level Financials - ''23 ''24'!$C$2:$C$1577,'Site Level Financials - ''23 ''24'!S$2:S$1577)</f>
        <v>291.00643493803005</v>
      </c>
      <c r="H1276" s="242">
        <f>_xlfn.XLOOKUP($C1276,'Site Level Financials - ''23 ''24'!$C$2:$C$1577,'Site Level Financials - ''23 ''24'!T$2:T$1577)</f>
        <v>309.14510781996501</v>
      </c>
      <c r="I1276" s="242">
        <f>_xlfn.XLOOKUP($C1276,'Site Level Financials - ''23 ''24'!$C$2:$C$1577,'Site Level Financials - ''23 ''24'!U$2:U$1577)</f>
        <v>159.20866997548399</v>
      </c>
      <c r="J1276" s="242">
        <f>_xlfn.XLOOKUP($C1276,'Site Level Financials - ''23 ''24'!$C$2:$C$1577,'Site Level Financials - ''23 ''24'!V$2:V$1577)</f>
        <v>146.30617684100216</v>
      </c>
      <c r="K1276" s="242">
        <f>_xlfn.XLOOKUP($C1276,'Site Level Financials - ''23 ''24'!$C$2:$C$1577,'Site Level Financials - ''23 ''24'!W$2:W$1577)</f>
        <v>179.7135218762983</v>
      </c>
      <c r="L1276" s="242">
        <f>_xlfn.XLOOKUP($C1276,'Site Level Financials - ''23 ''24'!$C$2:$C$1577,'Site Level Financials - ''23 ''24'!X$2:X$1577)</f>
        <v>145.31416845598338</v>
      </c>
      <c r="M1276" s="242">
        <f>_xlfn.XLOOKUP($C1276,'Site Level Financials - ''23 ''24'!$C$2:$C$1577,'Site Level Financials - ''23 ''24'!Y$2:Y$1577)</f>
        <v>146.80022496589311</v>
      </c>
      <c r="N1276" s="242">
        <f>_xlfn.XLOOKUP($C1276,'Site Level Financials - ''23 ''24'!$C$2:$C$1577,'Site Level Financials - ''23 ''24'!Z$2:Z$1577)</f>
        <v>148.01911873727482</v>
      </c>
      <c r="O1276" s="242">
        <f>_xlfn.XLOOKUP($C1276,'Site Level Financials - ''23 ''24'!$C$2:$C$1577,'Site Level Financials - ''23 ''24'!AA$2:AA$1577)</f>
        <v>125.04433371565811</v>
      </c>
      <c r="P1276" s="242">
        <f>_xlfn.XLOOKUP($C1276,'Site Level Financials - ''23 ''24'!$C$2:$C$1577,'Site Level Financials - ''23 ''24'!AB$2:AB$1577)</f>
        <v>155.75808406188909</v>
      </c>
      <c r="Q1276" s="242">
        <f>_xlfn.XLOOKUP($C1276,'Site Level Financials - ''23 ''24'!$C$2:$C$1577,'Site Level Financials - ''23 ''24'!AC$2:AC$1577)</f>
        <v>224.77715485215305</v>
      </c>
      <c r="R1276" s="242">
        <f>_xlfn.XLOOKUP($C1276,'Site Level Financials - ''23 ''24'!$C$2:$C$1577,'Site Level Financials - ''23 ''24'!AD$2:AD$1577)</f>
        <v>160.44191504065245</v>
      </c>
      <c r="S1276" s="134">
        <f t="shared" ref="S1276:AD1276" si="3734">S1264+S1267+S1270+S1273</f>
        <v>236.3405333149953</v>
      </c>
      <c r="T1276" s="135">
        <f t="shared" si="3734"/>
        <v>248.41186017939731</v>
      </c>
      <c r="U1276" s="135">
        <f t="shared" si="3734"/>
        <v>191.03712649959306</v>
      </c>
      <c r="V1276" s="135">
        <f t="shared" si="3734"/>
        <v>184.49313582761772</v>
      </c>
      <c r="W1276" s="135">
        <f t="shared" si="3734"/>
        <v>225.71877304976562</v>
      </c>
      <c r="X1276" s="135">
        <f t="shared" si="3734"/>
        <v>189.14787909820598</v>
      </c>
      <c r="Y1276" s="135">
        <f t="shared" si="3734"/>
        <v>231.40401829855438</v>
      </c>
      <c r="Z1276" s="135">
        <f t="shared" si="3734"/>
        <v>217.90308454016503</v>
      </c>
      <c r="AA1276" s="135">
        <f t="shared" si="3734"/>
        <v>204.53095074811927</v>
      </c>
      <c r="AB1276" s="135">
        <f t="shared" si="3734"/>
        <v>241.17342169315333</v>
      </c>
      <c r="AC1276" s="135">
        <f t="shared" si="3734"/>
        <v>250.03122287654509</v>
      </c>
      <c r="AD1276" s="136">
        <f t="shared" si="3734"/>
        <v>198.78129036871536</v>
      </c>
      <c r="AE1276" s="15"/>
      <c r="AF1276" s="113">
        <f>_xlfn.XLOOKUP($C1276,'Site Level Financials - ''23 ''24'!$C$2:$C$1577,'Site Level Financials - ''23 ''24'!$AF$2:$AF$1577)</f>
        <v>1541.1985596347174</v>
      </c>
      <c r="AG1276" s="95">
        <f>SUM(G1276:R1276)</f>
        <v>2191.5349112802833</v>
      </c>
      <c r="AH1276" s="95">
        <f t="shared" ref="AH1276" si="3735">SUM(S1276:AD1276)</f>
        <v>2618.9732964948275</v>
      </c>
    </row>
    <row r="1277" spans="2:34" x14ac:dyDescent="0.2">
      <c r="B1277" s="9">
        <f>G1240</f>
        <v>26</v>
      </c>
      <c r="C1277" s="9" t="str">
        <f t="shared" si="3628"/>
        <v>26 - % of Revenue - Office EBITDA</v>
      </c>
      <c r="D1277" s="9" t="s">
        <v>56</v>
      </c>
      <c r="F1277" s="16" t="str">
        <f>"% of Revenue - "&amp;F1276</f>
        <v>% of Revenue - Office EBITDA</v>
      </c>
      <c r="G1277" s="148">
        <f>G1276/G1252</f>
        <v>0.60790442907147368</v>
      </c>
      <c r="H1277" s="149">
        <f t="shared" ref="H1277:AD1277" si="3736">H1276/H1252</f>
        <v>0.61699292654889548</v>
      </c>
      <c r="I1277" s="149">
        <f t="shared" si="3736"/>
        <v>0.43011722636197547</v>
      </c>
      <c r="J1277" s="149">
        <f t="shared" si="3736"/>
        <v>0.38575926412017969</v>
      </c>
      <c r="K1277" s="149">
        <f t="shared" si="3736"/>
        <v>0.39846391707093659</v>
      </c>
      <c r="L1277" s="149">
        <f t="shared" si="3736"/>
        <v>0.39496434550686321</v>
      </c>
      <c r="M1277" s="149">
        <f t="shared" si="3736"/>
        <v>0.39790255454902063</v>
      </c>
      <c r="N1277" s="149">
        <f t="shared" si="3736"/>
        <v>0.43918950018422032</v>
      </c>
      <c r="O1277" s="149">
        <f t="shared" si="3736"/>
        <v>0.44354778384342963</v>
      </c>
      <c r="P1277" s="149">
        <f t="shared" si="3736"/>
        <v>0.46070070079726511</v>
      </c>
      <c r="Q1277" s="149">
        <f t="shared" si="3736"/>
        <v>0.62118807765835604</v>
      </c>
      <c r="R1277" s="149">
        <f t="shared" si="3736"/>
        <v>0.59853902445044327</v>
      </c>
      <c r="S1277" s="148">
        <f t="shared" si="3736"/>
        <v>0.59946129599374953</v>
      </c>
      <c r="T1277" s="149">
        <f t="shared" si="3736"/>
        <v>0.60849084327145031</v>
      </c>
      <c r="U1277" s="149">
        <f t="shared" si="3736"/>
        <v>0.43579320254590109</v>
      </c>
      <c r="V1277" s="149">
        <f t="shared" si="3736"/>
        <v>0.39290532574169879</v>
      </c>
      <c r="W1277" s="149">
        <f t="shared" si="3736"/>
        <v>0.40445660071461759</v>
      </c>
      <c r="X1277" s="149">
        <f t="shared" si="3736"/>
        <v>0.40360483339376235</v>
      </c>
      <c r="Y1277" s="149">
        <f t="shared" si="3736"/>
        <v>0.41243224951401392</v>
      </c>
      <c r="Z1277" s="149">
        <f t="shared" si="3736"/>
        <v>0.45291386285592472</v>
      </c>
      <c r="AA1277" s="149">
        <f t="shared" si="3736"/>
        <v>0.46368081169247777</v>
      </c>
      <c r="AB1277" s="149">
        <f t="shared" si="3736"/>
        <v>0.47605954512891868</v>
      </c>
      <c r="AC1277" s="149">
        <f t="shared" si="3736"/>
        <v>0.62436889074270929</v>
      </c>
      <c r="AD1277" s="150">
        <f t="shared" si="3736"/>
        <v>0.60816195318044663</v>
      </c>
      <c r="AE1277" s="15"/>
      <c r="AF1277" s="232">
        <f>_xlfn.XLOOKUP($C1277,'Site Level Financials - ''23 ''24'!$C$2:$C$1577,'Site Level Financials - ''23 ''24'!$AF$2:$AF$1577)</f>
        <v>0.49451038020752053</v>
      </c>
      <c r="AG1277" s="97">
        <f t="shared" ref="AG1277:AH1277" si="3737">AG1276/AG1252</f>
        <v>0.48657678120978853</v>
      </c>
      <c r="AH1277" s="97">
        <f t="shared" si="3737"/>
        <v>0.48016209940746407</v>
      </c>
    </row>
    <row r="1278" spans="2:34" ht="6" customHeight="1" x14ac:dyDescent="0.2">
      <c r="B1278" s="9">
        <f>G1240</f>
        <v>26</v>
      </c>
      <c r="C1278" s="9" t="str">
        <f t="shared" si="3628"/>
        <v xml:space="preserve">26 - </v>
      </c>
      <c r="D1278" s="9" t="s">
        <v>56</v>
      </c>
      <c r="G1278" s="80"/>
      <c r="H1278" s="63"/>
      <c r="I1278" s="63"/>
      <c r="J1278" s="63"/>
      <c r="K1278" s="63"/>
      <c r="L1278" s="63"/>
      <c r="M1278" s="63"/>
      <c r="N1278" s="63"/>
      <c r="O1278" s="63"/>
      <c r="P1278" s="63"/>
      <c r="Q1278" s="63"/>
      <c r="R1278" s="63"/>
      <c r="S1278" s="80"/>
      <c r="T1278" s="63"/>
      <c r="U1278" s="63"/>
      <c r="V1278" s="63"/>
      <c r="W1278" s="63"/>
      <c r="X1278" s="63"/>
      <c r="Y1278" s="63"/>
      <c r="Z1278" s="63"/>
      <c r="AA1278" s="63"/>
      <c r="AB1278" s="63"/>
      <c r="AC1278" s="63"/>
      <c r="AD1278" s="81"/>
      <c r="AE1278" s="15"/>
      <c r="AF1278" s="11"/>
      <c r="AG1278" s="15"/>
      <c r="AH1278" s="15"/>
    </row>
    <row r="1279" spans="2:34" x14ac:dyDescent="0.2">
      <c r="B1279" s="9">
        <f>G1240</f>
        <v>26</v>
      </c>
      <c r="C1279" s="9" t="str">
        <f t="shared" si="3628"/>
        <v>26 - Memo:</v>
      </c>
      <c r="D1279" s="9" t="s">
        <v>56</v>
      </c>
      <c r="F1279" s="6" t="s">
        <v>13</v>
      </c>
      <c r="G1279" s="80"/>
      <c r="H1279" s="63"/>
      <c r="I1279" s="63"/>
      <c r="J1279" s="63"/>
      <c r="K1279" s="63"/>
      <c r="L1279" s="63"/>
      <c r="M1279" s="63"/>
      <c r="N1279" s="63"/>
      <c r="O1279" s="63"/>
      <c r="P1279" s="63"/>
      <c r="Q1279" s="63"/>
      <c r="R1279" s="63"/>
      <c r="S1279" s="80"/>
      <c r="T1279" s="63"/>
      <c r="U1279" s="63"/>
      <c r="V1279" s="63"/>
      <c r="W1279" s="63"/>
      <c r="X1279" s="63"/>
      <c r="Y1279" s="63"/>
      <c r="Z1279" s="63"/>
      <c r="AA1279" s="63"/>
      <c r="AB1279" s="63"/>
      <c r="AC1279" s="63"/>
      <c r="AD1279" s="81"/>
      <c r="AE1279" s="15"/>
      <c r="AF1279" s="11"/>
      <c r="AG1279" s="15"/>
      <c r="AH1279" s="15"/>
    </row>
    <row r="1280" spans="2:34" s="24" customFormat="1" x14ac:dyDescent="0.2">
      <c r="B1280" s="9">
        <f>G1240</f>
        <v>26</v>
      </c>
      <c r="C1280" s="9" t="str">
        <f t="shared" si="3628"/>
        <v>26 - Collections</v>
      </c>
      <c r="D1280" s="9" t="s">
        <v>56</v>
      </c>
      <c r="E1280" s="49"/>
      <c r="F1280" s="24" t="s">
        <v>15</v>
      </c>
      <c r="G1280" s="247">
        <f>_xlfn.XLOOKUP($C1280,'Site Level Financials - ''23 ''24'!$C$2:$C$1577,'Site Level Financials - ''23 ''24'!S$2:S$1577)</f>
        <v>470.77221370586432</v>
      </c>
      <c r="H1280" s="248">
        <f>_xlfn.XLOOKUP($C1280,'Site Level Financials - ''23 ''24'!$C$2:$C$1577,'Site Level Financials - ''23 ''24'!T$2:T$1577)</f>
        <v>500.01412827413242</v>
      </c>
      <c r="I1280" s="248">
        <f>_xlfn.XLOOKUP($C1280,'Site Level Financials - ''23 ''24'!$C$2:$C$1577,'Site Level Financials - ''23 ''24'!U$2:U$1577)</f>
        <v>372.78070919010611</v>
      </c>
      <c r="J1280" s="248">
        <f>_xlfn.XLOOKUP($C1280,'Site Level Financials - ''23 ''24'!$C$2:$C$1577,'Site Level Financials - ''23 ''24'!V$2:V$1577)</f>
        <v>379.50970719847197</v>
      </c>
      <c r="K1280" s="248">
        <f>_xlfn.XLOOKUP($C1280,'Site Level Financials - ''23 ''24'!$C$2:$C$1577,'Site Level Financials - ''23 ''24'!W$2:W$1577)</f>
        <v>441.73918882490659</v>
      </c>
      <c r="L1280" s="248">
        <f>_xlfn.XLOOKUP($C1280,'Site Level Financials - ''23 ''24'!$C$2:$C$1577,'Site Level Financials - ''23 ''24'!X$2:X$1577)</f>
        <v>366.92298960238179</v>
      </c>
      <c r="M1280" s="248">
        <f>_xlfn.XLOOKUP($C1280,'Site Level Financials - ''23 ''24'!$C$2:$C$1577,'Site Level Financials - ''23 ''24'!Y$2:Y$1577)</f>
        <v>362.57492409920576</v>
      </c>
      <c r="N1280" s="248">
        <f>_xlfn.XLOOKUP($C1280,'Site Level Financials - ''23 ''24'!$C$2:$C$1577,'Site Level Financials - ''23 ''24'!Z$2:Z$1577)</f>
        <v>340.30851287915317</v>
      </c>
      <c r="O1280" s="248">
        <f>_xlfn.XLOOKUP($C1280,'Site Level Financials - ''23 ''24'!$C$2:$C$1577,'Site Level Financials - ''23 ''24'!AA$2:AA$1577)</f>
        <v>278.33895055876667</v>
      </c>
      <c r="P1280" s="248">
        <f>_xlfn.XLOOKUP($C1280,'Site Level Financials - ''23 ''24'!$C$2:$C$1577,'Site Level Financials - ''23 ''24'!AB$2:AB$1577)</f>
        <v>330.49225700662208</v>
      </c>
      <c r="Q1280" s="248">
        <f>_xlfn.XLOOKUP($C1280,'Site Level Financials - ''23 ''24'!$C$2:$C$1577,'Site Level Financials - ''23 ''24'!AC$2:AC$1577)</f>
        <v>365.17522094205822</v>
      </c>
      <c r="R1280" s="248">
        <f>_xlfn.XLOOKUP($C1280,'Site Level Financials - ''23 ''24'!$C$2:$C$1577,'Site Level Financials - ''23 ''24'!AD$2:AD$1577)</f>
        <v>270.00772242597662</v>
      </c>
      <c r="S1280" s="169">
        <f t="shared" ref="S1280:AD1280" si="3738">S1281*S1250</f>
        <v>394.25486665190738</v>
      </c>
      <c r="T1280" s="170">
        <f t="shared" si="3738"/>
        <v>408.242560962548</v>
      </c>
      <c r="U1280" s="170">
        <f t="shared" si="3738"/>
        <v>438.36646690117101</v>
      </c>
      <c r="V1280" s="170">
        <f t="shared" si="3738"/>
        <v>469.56130075189151</v>
      </c>
      <c r="W1280" s="170">
        <f t="shared" si="3738"/>
        <v>558.079093408174</v>
      </c>
      <c r="X1280" s="170">
        <f t="shared" si="3738"/>
        <v>468.64621889617149</v>
      </c>
      <c r="Y1280" s="170">
        <f t="shared" si="3738"/>
        <v>561.07159071878436</v>
      </c>
      <c r="Z1280" s="170">
        <f t="shared" si="3738"/>
        <v>481.11374460066287</v>
      </c>
      <c r="AA1280" s="170">
        <f t="shared" si="3738"/>
        <v>441.10290007809988</v>
      </c>
      <c r="AB1280" s="170">
        <f t="shared" si="3738"/>
        <v>506.60347883129344</v>
      </c>
      <c r="AC1280" s="170">
        <f t="shared" si="3738"/>
        <v>400.45432529337575</v>
      </c>
      <c r="AD1280" s="171">
        <f t="shared" si="3738"/>
        <v>326.85584708015318</v>
      </c>
      <c r="AE1280" s="26"/>
      <c r="AF1280" s="234">
        <f>_xlfn.XLOOKUP($C1280,'Site Level Financials - ''23 ''24'!$C$2:$C$1577,'Site Level Financials - ''23 ''24'!$AF$2:$AF$1577)</f>
        <v>3125.2464826777368</v>
      </c>
      <c r="AG1280" s="99">
        <f>SUM(G1280:R1280)</f>
        <v>4478.6365247076455</v>
      </c>
      <c r="AH1280" s="99">
        <f t="shared" ref="AH1280" si="3739">SUM(S1280:AD1280)</f>
        <v>5454.3523941742324</v>
      </c>
    </row>
    <row r="1281" spans="2:35" x14ac:dyDescent="0.2">
      <c r="B1281" s="9">
        <f>G1240</f>
        <v>26</v>
      </c>
      <c r="C1281" s="9" t="str">
        <f t="shared" si="3628"/>
        <v>26 - Collections as a % of Production</v>
      </c>
      <c r="D1281" s="9" t="s">
        <v>56</v>
      </c>
      <c r="F1281" s="16" t="s">
        <v>17</v>
      </c>
      <c r="G1281" s="245">
        <f>_xlfn.XLOOKUP($C1281,'Site Level Financials - ''23 ''24'!$C$2:$C$1577,'Site Level Financials - ''23 ''24'!S$2:S$1577)</f>
        <v>0.96791887780125141</v>
      </c>
      <c r="H1281" s="246">
        <f>_xlfn.XLOOKUP($C1281,'Site Level Financials - ''23 ''24'!$C$2:$C$1577,'Site Level Financials - ''23 ''24'!T$2:T$1577)</f>
        <v>0.98218999567910115</v>
      </c>
      <c r="I1281" s="246">
        <f>_xlfn.XLOOKUP($C1281,'Site Level Financials - ''23 ''24'!$C$2:$C$1577,'Site Level Financials - ''23 ''24'!U$2:U$1577)</f>
        <v>0.99121753435990834</v>
      </c>
      <c r="J1281" s="246">
        <f>_xlfn.XLOOKUP($C1281,'Site Level Financials - ''23 ''24'!$C$2:$C$1577,'Site Level Financials - ''23 ''24'!V$2:V$1577)</f>
        <v>0.98485436729478204</v>
      </c>
      <c r="K1281" s="246">
        <f>_xlfn.XLOOKUP($C1281,'Site Level Financials - ''23 ''24'!$C$2:$C$1577,'Site Level Financials - ''23 ''24'!W$2:W$1577)</f>
        <v>0.96398349373534953</v>
      </c>
      <c r="L1281" s="246">
        <f>_xlfn.XLOOKUP($C1281,'Site Level Financials - ''23 ''24'!$C$2:$C$1577,'Site Level Financials - ''23 ''24'!X$2:X$1577)</f>
        <v>0.98156774398813951</v>
      </c>
      <c r="M1281" s="246">
        <f>_xlfn.XLOOKUP($C1281,'Site Level Financials - ''23 ''24'!$C$2:$C$1577,'Site Level Financials - ''23 ''24'!Y$2:Y$1577)</f>
        <v>0.96725992444052467</v>
      </c>
      <c r="N1281" s="246">
        <f>_xlfn.XLOOKUP($C1281,'Site Level Financials - ''23 ''24'!$C$2:$C$1577,'Site Level Financials - ''23 ''24'!Z$2:Z$1577)</f>
        <v>0.99380773181870918</v>
      </c>
      <c r="O1281" s="246">
        <f>_xlfn.XLOOKUP($C1281,'Site Level Financials - ''23 ''24'!$C$2:$C$1577,'Site Level Financials - ''23 ''24'!AA$2:AA$1577)</f>
        <v>0.97173043628410638</v>
      </c>
      <c r="P1281" s="246">
        <f>_xlfn.XLOOKUP($C1281,'Site Level Financials - ''23 ''24'!$C$2:$C$1577,'Site Level Financials - ''23 ''24'!AB$2:AB$1577)</f>
        <v>0.96211057667785238</v>
      </c>
      <c r="Q1281" s="246">
        <f>_xlfn.XLOOKUP($C1281,'Site Level Financials - ''23 ''24'!$C$2:$C$1577,'Site Level Financials - ''23 ''24'!AC$2:AC$1577)</f>
        <v>0.99327079513716443</v>
      </c>
      <c r="R1281" s="246">
        <f>_xlfn.XLOOKUP($C1281,'Site Level Financials - ''23 ''24'!$C$2:$C$1577,'Site Level Financials - ''23 ''24'!AD$2:AD$1577)</f>
        <v>0.99139390216313827</v>
      </c>
      <c r="S1281" s="148">
        <f>S1251</f>
        <v>0.97868792225367673</v>
      </c>
      <c r="T1281" s="149">
        <f t="shared" ref="T1281:AD1281" si="3740">T1251</f>
        <v>0.97868792225367673</v>
      </c>
      <c r="U1281" s="149">
        <f t="shared" si="3740"/>
        <v>0.97868792225367673</v>
      </c>
      <c r="V1281" s="149">
        <f t="shared" si="3740"/>
        <v>0.97868792225367673</v>
      </c>
      <c r="W1281" s="149">
        <f t="shared" si="3740"/>
        <v>0.97868792225367673</v>
      </c>
      <c r="X1281" s="149">
        <f t="shared" si="3740"/>
        <v>0.97868792225367673</v>
      </c>
      <c r="Y1281" s="149">
        <f t="shared" si="3740"/>
        <v>0.97868792225367673</v>
      </c>
      <c r="Z1281" s="149">
        <f t="shared" si="3740"/>
        <v>0.97868792225367673</v>
      </c>
      <c r="AA1281" s="149">
        <f t="shared" si="3740"/>
        <v>0.97868792225367673</v>
      </c>
      <c r="AB1281" s="149">
        <f t="shared" si="3740"/>
        <v>0.97868792225367673</v>
      </c>
      <c r="AC1281" s="149">
        <f t="shared" si="3740"/>
        <v>0.97868792225367673</v>
      </c>
      <c r="AD1281" s="150">
        <f t="shared" si="3740"/>
        <v>0.97868792225367673</v>
      </c>
      <c r="AE1281" s="15"/>
      <c r="AF1281" s="232">
        <f>_xlfn.XLOOKUP($C1281,'Site Level Financials - ''23 ''24'!$C$2:$C$1577,'Site Level Financials - ''23 ''24'!$AF$2:$AF$1577)</f>
        <v>0.97656626281418801</v>
      </c>
      <c r="AG1281" s="97">
        <f t="shared" ref="AG1281:AH1281" si="3741">AG1280/AG1250</f>
        <v>0.97868792225367673</v>
      </c>
      <c r="AH1281" s="97">
        <f t="shared" si="3741"/>
        <v>0.97868792225367673</v>
      </c>
    </row>
    <row r="1282" spans="2:35" ht="6" customHeight="1" x14ac:dyDescent="0.2">
      <c r="B1282" s="9">
        <f>G1240</f>
        <v>26</v>
      </c>
      <c r="C1282" s="9" t="str">
        <f t="shared" si="3628"/>
        <v xml:space="preserve">26 - </v>
      </c>
      <c r="D1282" s="9" t="s">
        <v>56</v>
      </c>
      <c r="F1282" s="27"/>
      <c r="G1282" s="63"/>
      <c r="H1282" s="63"/>
      <c r="I1282" s="63"/>
      <c r="J1282" s="63"/>
      <c r="K1282" s="63"/>
      <c r="L1282" s="63"/>
      <c r="M1282" s="63"/>
      <c r="N1282" s="63"/>
      <c r="O1282" s="63"/>
      <c r="P1282" s="63"/>
      <c r="Q1282" s="63"/>
      <c r="R1282" s="81"/>
      <c r="S1282" s="63"/>
      <c r="T1282" s="63"/>
      <c r="U1282" s="63"/>
      <c r="V1282" s="63"/>
      <c r="W1282" s="63"/>
      <c r="X1282" s="63"/>
      <c r="Y1282" s="63"/>
      <c r="Z1282" s="63"/>
      <c r="AA1282" s="63"/>
      <c r="AB1282" s="63"/>
      <c r="AC1282" s="63"/>
      <c r="AD1282" s="81"/>
      <c r="AE1282" s="15"/>
      <c r="AF1282" s="11"/>
      <c r="AH1282" s="224"/>
    </row>
    <row r="1283" spans="2:35" s="24" customFormat="1" x14ac:dyDescent="0.2">
      <c r="B1283" s="9">
        <f>G1240</f>
        <v>26</v>
      </c>
      <c r="C1283" s="9" t="str">
        <f t="shared" si="3628"/>
        <v>26 - Production per Vet Workday - YoY Change</v>
      </c>
      <c r="D1283" s="9" t="s">
        <v>56</v>
      </c>
      <c r="E1283" s="49"/>
      <c r="F1283" s="24" t="s">
        <v>55</v>
      </c>
      <c r="G1283" s="249">
        <f>_xlfn.XLOOKUP($C1283,'Site Level Financials - ''23 ''24'!$C$2:$C$1577,'Site Level Financials - ''23 ''24'!S$2:S$1577)</f>
        <v>-5.1002054932036911E-2</v>
      </c>
      <c r="H1283" s="250">
        <f>_xlfn.XLOOKUP($C1283,'Site Level Financials - ''23 ''24'!$C$2:$C$1577,'Site Level Financials - ''23 ''24'!T$2:T$1577)</f>
        <v>-5.8828425415296426E-2</v>
      </c>
      <c r="I1283" s="250">
        <f>_xlfn.XLOOKUP($C1283,'Site Level Financials - ''23 ''24'!$C$2:$C$1577,'Site Level Financials - ''23 ''24'!U$2:U$1577)</f>
        <v>-3.2386462910037439E-2</v>
      </c>
      <c r="J1283" s="250">
        <f>_xlfn.XLOOKUP($C1283,'Site Level Financials - ''23 ''24'!$C$2:$C$1577,'Site Level Financials - ''23 ''24'!V$2:V$1577)</f>
        <v>-2.1223201436137873E-2</v>
      </c>
      <c r="K1283" s="250">
        <f>_xlfn.XLOOKUP($C1283,'Site Level Financials - ''23 ''24'!$C$2:$C$1577,'Site Level Financials - ''23 ''24'!W$2:W$1577)</f>
        <v>-7.9828683255669497E-2</v>
      </c>
      <c r="L1283" s="250">
        <f>_xlfn.XLOOKUP($C1283,'Site Level Financials - ''23 ''24'!$C$2:$C$1577,'Site Level Financials - ''23 ''24'!X$2:X$1577)</f>
        <v>-7.1666133539136867E-2</v>
      </c>
      <c r="M1283" s="250">
        <f>_xlfn.XLOOKUP($C1283,'Site Level Financials - ''23 ''24'!$C$2:$C$1577,'Site Level Financials - ''23 ''24'!Y$2:Y$1577)</f>
        <v>-5.7459952067451026E-2</v>
      </c>
      <c r="N1283" s="250">
        <f>_xlfn.XLOOKUP($C1283,'Site Level Financials - ''23 ''24'!$C$2:$C$1577,'Site Level Financials - ''23 ''24'!Z$2:Z$1577)</f>
        <v>3.2124915086657602E-3</v>
      </c>
      <c r="O1283" s="250">
        <f>_xlfn.XLOOKUP($C1283,'Site Level Financials - ''23 ''24'!$C$2:$C$1577,'Site Level Financials - ''23 ''24'!AA$2:AA$1577)</f>
        <v>-6.7373551206778348E-2</v>
      </c>
      <c r="P1283" s="250">
        <f>_xlfn.XLOOKUP($C1283,'Site Level Financials - ''23 ''24'!$C$2:$C$1577,'Site Level Financials - ''23 ''24'!AB$2:AB$1577)</f>
        <v>-4.4524456348375985E-3</v>
      </c>
      <c r="Q1283" s="250">
        <f>_xlfn.XLOOKUP($C1283,'Site Level Financials - ''23 ''24'!$C$2:$C$1577,'Site Level Financials - ''23 ''24'!AC$2:AC$1577)</f>
        <v>-6.3558586889223445E-2</v>
      </c>
      <c r="R1283" s="251">
        <f>_xlfn.XLOOKUP($C1283,'Site Level Financials - ''23 ''24'!$C$2:$C$1577,'Site Level Financials - ''23 ''24'!AD$2:AD$1577)</f>
        <v>-0.11606181817885419</v>
      </c>
      <c r="S1283" s="151">
        <f>S1249/G1249-1</f>
        <v>-0.17175089997356907</v>
      </c>
      <c r="T1283" s="152">
        <f t="shared" ref="T1283" si="3742">T1249/H1249-1</f>
        <v>-0.18061637358967131</v>
      </c>
      <c r="U1283" s="152">
        <f t="shared" ref="U1283" si="3743">U1249/I1249-1</f>
        <v>-0.20600570304276644</v>
      </c>
      <c r="V1283" s="152">
        <f t="shared" ref="V1283" si="3744">V1249/J1249-1</f>
        <v>-0.1699467862964591</v>
      </c>
      <c r="W1283" s="152">
        <f t="shared" ref="W1283" si="3745">W1249/K1249-1</f>
        <v>-0.17040918743989264</v>
      </c>
      <c r="X1283" s="152">
        <f t="shared" ref="X1283" si="3746">X1249/L1249-1</f>
        <v>-0.14600567550806154</v>
      </c>
      <c r="Y1283" s="152">
        <f t="shared" ref="Y1283" si="3747">Y1249/M1249-1</f>
        <v>-0.23530282741285102</v>
      </c>
      <c r="Z1283" s="152">
        <f t="shared" ref="Z1283" si="3748">Z1249/N1249-1</f>
        <v>-0.28220058891354549</v>
      </c>
      <c r="AA1283" s="152">
        <f t="shared" ref="AA1283" si="3749">AA1249/O1249-1</f>
        <v>-0.21324862798004718</v>
      </c>
      <c r="AB1283" s="152">
        <f t="shared" ref="AB1283" si="3750">AB1249/P1249-1</f>
        <v>-0.24654443793699332</v>
      </c>
      <c r="AC1283" s="152">
        <f t="shared" ref="AC1283" si="3751">AC1249/Q1249-1</f>
        <v>-0.1652885153844974</v>
      </c>
      <c r="AD1283" s="153">
        <f t="shared" ref="AD1283" si="3752">AD1249/R1249-1</f>
        <v>-8.0306005052667051E-2</v>
      </c>
      <c r="AF1283" s="43"/>
      <c r="AG1283" s="177">
        <f>AG1249/AF1249-1</f>
        <v>-7.4521709590363527E-2</v>
      </c>
      <c r="AH1283" s="225">
        <f>AH1249/AG1249-1</f>
        <v>-0.18938616107548556</v>
      </c>
    </row>
    <row r="1284" spans="2:35" s="24" customFormat="1" ht="6" customHeight="1" x14ac:dyDescent="0.2">
      <c r="D1284" s="9" t="s">
        <v>56</v>
      </c>
      <c r="E1284" s="49"/>
      <c r="G1284" s="28"/>
      <c r="H1284" s="30"/>
      <c r="I1284" s="30"/>
      <c r="J1284" s="30"/>
      <c r="K1284" s="30"/>
      <c r="L1284" s="30"/>
      <c r="M1284" s="30"/>
      <c r="N1284" s="30"/>
      <c r="O1284" s="30"/>
      <c r="P1284" s="30"/>
      <c r="Q1284" s="30"/>
      <c r="R1284" s="29"/>
      <c r="S1284" s="30"/>
      <c r="T1284" s="30"/>
      <c r="U1284" s="30"/>
      <c r="V1284" s="30"/>
      <c r="W1284" s="30"/>
      <c r="X1284" s="30"/>
      <c r="Y1284" s="30"/>
      <c r="Z1284" s="30"/>
      <c r="AA1284" s="30"/>
      <c r="AB1284" s="30"/>
      <c r="AC1284" s="30"/>
      <c r="AD1284" s="29"/>
      <c r="AE1284" s="25"/>
      <c r="AF1284" s="28"/>
      <c r="AG1284" s="30"/>
      <c r="AH1284" s="226"/>
    </row>
    <row r="1285" spans="2:35" s="24" customFormat="1" ht="6" customHeight="1" x14ac:dyDescent="0.2">
      <c r="D1285" s="9" t="s">
        <v>56</v>
      </c>
      <c r="E1285" s="49"/>
    </row>
    <row r="1286" spans="2:35" x14ac:dyDescent="0.2">
      <c r="D1286" s="9" t="s">
        <v>56</v>
      </c>
      <c r="F1286" s="16"/>
    </row>
    <row r="1287" spans="2:35" ht="15.75" thickBot="1" x14ac:dyDescent="0.4">
      <c r="B1287" s="35" t="s">
        <v>52</v>
      </c>
      <c r="C1287" s="35"/>
      <c r="D1287" s="9" t="s">
        <v>56</v>
      </c>
      <c r="E1287" s="48" t="s">
        <v>0</v>
      </c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74"/>
      <c r="AH1287" s="3">
        <f ca="1">TODAY()</f>
        <v>45999</v>
      </c>
      <c r="AI1287" s="1"/>
    </row>
    <row r="1288" spans="2:35" x14ac:dyDescent="0.2">
      <c r="B1288" s="9">
        <f>G1289</f>
        <v>27</v>
      </c>
      <c r="C1288" s="9"/>
      <c r="D1288" s="9" t="s">
        <v>56</v>
      </c>
      <c r="F1288" t="s">
        <v>159</v>
      </c>
      <c r="AG1288" s="6"/>
      <c r="AH1288" s="6" t="s">
        <v>16</v>
      </c>
    </row>
    <row r="1289" spans="2:35" x14ac:dyDescent="0.2">
      <c r="B1289" s="9">
        <f>G1289</f>
        <v>27</v>
      </c>
      <c r="C1289" s="9"/>
      <c r="D1289" s="9" t="s">
        <v>56</v>
      </c>
      <c r="F1289" s="40" t="s">
        <v>53</v>
      </c>
      <c r="G1289" s="42">
        <v>27</v>
      </c>
    </row>
    <row r="1290" spans="2:35" x14ac:dyDescent="0.2">
      <c r="B1290" s="9">
        <f>G1289</f>
        <v>27</v>
      </c>
      <c r="C1290" s="9"/>
      <c r="D1290" s="9" t="s">
        <v>56</v>
      </c>
      <c r="F1290" s="39" t="s">
        <v>44</v>
      </c>
      <c r="G1290" s="41"/>
      <c r="H1290" s="11"/>
    </row>
    <row r="1291" spans="2:35" x14ac:dyDescent="0.2">
      <c r="B1291" s="9">
        <f>G1289</f>
        <v>27</v>
      </c>
      <c r="C1291" s="9"/>
      <c r="D1291" s="9" t="s">
        <v>56</v>
      </c>
      <c r="G1291" s="23"/>
    </row>
    <row r="1292" spans="2:35" x14ac:dyDescent="0.2">
      <c r="B1292" s="9">
        <f>G1289</f>
        <v>27</v>
      </c>
      <c r="C1292" s="9"/>
      <c r="D1292" s="9" t="s">
        <v>56</v>
      </c>
      <c r="G1292" s="208" t="s">
        <v>229</v>
      </c>
      <c r="H1292" s="209"/>
      <c r="I1292" s="209"/>
      <c r="J1292" s="209"/>
      <c r="K1292" s="209"/>
      <c r="L1292" s="209"/>
      <c r="M1292" s="209"/>
      <c r="N1292" s="209"/>
      <c r="O1292" s="209"/>
      <c r="P1292" s="209"/>
      <c r="Q1292" s="209"/>
      <c r="R1292" s="210"/>
      <c r="S1292" s="266" t="s">
        <v>230</v>
      </c>
      <c r="T1292" s="267"/>
      <c r="U1292" s="267"/>
      <c r="V1292" s="267"/>
      <c r="W1292" s="267"/>
      <c r="X1292" s="267"/>
      <c r="Y1292" s="267"/>
      <c r="Z1292" s="267"/>
      <c r="AA1292" s="267"/>
      <c r="AB1292" s="267"/>
      <c r="AC1292" s="267"/>
      <c r="AD1292" s="268"/>
      <c r="AF1292" s="17" t="s">
        <v>231</v>
      </c>
      <c r="AG1292" s="50"/>
      <c r="AH1292" s="269" t="s">
        <v>232</v>
      </c>
    </row>
    <row r="1293" spans="2:35" ht="15" customHeight="1" x14ac:dyDescent="0.35">
      <c r="B1293" s="9">
        <f>G1289</f>
        <v>27</v>
      </c>
      <c r="C1293" s="9"/>
      <c r="D1293" s="9" t="s">
        <v>56</v>
      </c>
      <c r="G1293" s="211">
        <v>44957</v>
      </c>
      <c r="H1293" s="212">
        <f>EOMONTH(G1293,1)</f>
        <v>44985</v>
      </c>
      <c r="I1293" s="212">
        <f t="shared" ref="I1293" si="3753">EOMONTH(H1293,1)</f>
        <v>45016</v>
      </c>
      <c r="J1293" s="212">
        <f t="shared" ref="J1293" si="3754">EOMONTH(I1293,1)</f>
        <v>45046</v>
      </c>
      <c r="K1293" s="212">
        <f t="shared" ref="K1293" si="3755">EOMONTH(J1293,1)</f>
        <v>45077</v>
      </c>
      <c r="L1293" s="212">
        <f t="shared" ref="L1293" si="3756">EOMONTH(K1293,1)</f>
        <v>45107</v>
      </c>
      <c r="M1293" s="212">
        <f t="shared" ref="M1293" si="3757">EOMONTH(L1293,1)</f>
        <v>45138</v>
      </c>
      <c r="N1293" s="212">
        <f t="shared" ref="N1293" si="3758">EOMONTH(M1293,1)</f>
        <v>45169</v>
      </c>
      <c r="O1293" s="212">
        <f t="shared" ref="O1293" si="3759">EOMONTH(N1293,1)</f>
        <v>45199</v>
      </c>
      <c r="P1293" s="212">
        <f t="shared" ref="P1293" si="3760">EOMONTH(O1293,1)</f>
        <v>45230</v>
      </c>
      <c r="Q1293" s="212">
        <f t="shared" ref="Q1293" si="3761">EOMONTH(P1293,1)</f>
        <v>45260</v>
      </c>
      <c r="R1293" s="213">
        <f t="shared" ref="R1293" si="3762">EOMONTH(Q1293,1)</f>
        <v>45291</v>
      </c>
      <c r="S1293" s="4">
        <f t="shared" ref="S1293" si="3763">EOMONTH(R1293,1)</f>
        <v>45322</v>
      </c>
      <c r="T1293" s="19">
        <f t="shared" ref="T1293" si="3764">EOMONTH(S1293,1)</f>
        <v>45351</v>
      </c>
      <c r="U1293" s="19">
        <f t="shared" ref="U1293" si="3765">EOMONTH(T1293,1)</f>
        <v>45382</v>
      </c>
      <c r="V1293" s="19">
        <f t="shared" ref="V1293" si="3766">EOMONTH(U1293,1)</f>
        <v>45412</v>
      </c>
      <c r="W1293" s="19">
        <f t="shared" ref="W1293" si="3767">EOMONTH(V1293,1)</f>
        <v>45443</v>
      </c>
      <c r="X1293" s="19">
        <f t="shared" ref="X1293" si="3768">EOMONTH(W1293,1)</f>
        <v>45473</v>
      </c>
      <c r="Y1293" s="19">
        <f t="shared" ref="Y1293" si="3769">EOMONTH(X1293,1)</f>
        <v>45504</v>
      </c>
      <c r="Z1293" s="19">
        <f t="shared" ref="Z1293" si="3770">EOMONTH(Y1293,1)</f>
        <v>45535</v>
      </c>
      <c r="AA1293" s="19">
        <f t="shared" ref="AA1293" si="3771">EOMONTH(Z1293,1)</f>
        <v>45565</v>
      </c>
      <c r="AB1293" s="19">
        <f t="shared" ref="AB1293" si="3772">EOMONTH(AA1293,1)</f>
        <v>45596</v>
      </c>
      <c r="AC1293" s="19">
        <f t="shared" ref="AC1293" si="3773">EOMONTH(AB1293,1)</f>
        <v>45626</v>
      </c>
      <c r="AD1293" s="5">
        <f t="shared" ref="AD1293" si="3774">EOMONTH(AC1293,1)</f>
        <v>45657</v>
      </c>
      <c r="AE1293" s="168"/>
      <c r="AF1293" s="13">
        <v>45291</v>
      </c>
      <c r="AG1293" s="14">
        <v>45657</v>
      </c>
      <c r="AH1293" s="14">
        <v>46022</v>
      </c>
    </row>
    <row r="1294" spans="2:35" ht="0.95" customHeight="1" x14ac:dyDescent="0.2">
      <c r="B1294" s="9">
        <f>G1289</f>
        <v>27</v>
      </c>
      <c r="C1294" s="9"/>
      <c r="D1294" s="9" t="s">
        <v>56</v>
      </c>
      <c r="G1294" s="11"/>
      <c r="S1294" s="11"/>
      <c r="AD1294" s="15"/>
      <c r="AE1294" s="15"/>
      <c r="AF1294" s="11"/>
      <c r="AG1294" s="15"/>
      <c r="AH1294" s="15"/>
    </row>
    <row r="1295" spans="2:35" x14ac:dyDescent="0.2">
      <c r="B1295" s="9">
        <f>G1289</f>
        <v>27</v>
      </c>
      <c r="C1295" s="9" t="str">
        <f>B1295&amp;" - "&amp;F1295</f>
        <v>27 - Employed Vets</v>
      </c>
      <c r="D1295" s="9" t="s">
        <v>56</v>
      </c>
      <c r="F1295" s="7" t="s">
        <v>160</v>
      </c>
      <c r="G1295" s="178">
        <f>_xlfn.XLOOKUP($C1295,'Site Level Financials - ''23 ''24'!$C$2:$C$1577,'Site Level Financials - ''23 ''24'!S$2:S$1577)</f>
        <v>4</v>
      </c>
      <c r="H1295" s="179">
        <f>_xlfn.XLOOKUP($C1295,'Site Level Financials - ''23 ''24'!$C$2:$C$1577,'Site Level Financials - ''23 ''24'!T$2:T$1577)</f>
        <v>4</v>
      </c>
      <c r="I1295" s="179">
        <f>_xlfn.XLOOKUP($C1295,'Site Level Financials - ''23 ''24'!$C$2:$C$1577,'Site Level Financials - ''23 ''24'!U$2:U$1577)</f>
        <v>3</v>
      </c>
      <c r="J1295" s="179">
        <f>_xlfn.XLOOKUP($C1295,'Site Level Financials - ''23 ''24'!$C$2:$C$1577,'Site Level Financials - ''23 ''24'!V$2:V$1577)</f>
        <v>2</v>
      </c>
      <c r="K1295" s="179">
        <f>_xlfn.XLOOKUP($C1295,'Site Level Financials - ''23 ''24'!$C$2:$C$1577,'Site Level Financials - ''23 ''24'!W$2:W$1577)</f>
        <v>1</v>
      </c>
      <c r="L1295" s="179">
        <f>_xlfn.XLOOKUP($C1295,'Site Level Financials - ''23 ''24'!$C$2:$C$1577,'Site Level Financials - ''23 ''24'!X$2:X$1577)</f>
        <v>1</v>
      </c>
      <c r="M1295" s="179">
        <f>_xlfn.XLOOKUP($C1295,'Site Level Financials - ''23 ''24'!$C$2:$C$1577,'Site Level Financials - ''23 ''24'!Y$2:Y$1577)</f>
        <v>2</v>
      </c>
      <c r="N1295" s="179">
        <f>_xlfn.XLOOKUP($C1295,'Site Level Financials - ''23 ''24'!$C$2:$C$1577,'Site Level Financials - ''23 ''24'!Z$2:Z$1577)</f>
        <v>2</v>
      </c>
      <c r="O1295" s="179">
        <f>_xlfn.XLOOKUP($C1295,'Site Level Financials - ''23 ''24'!$C$2:$C$1577,'Site Level Financials - ''23 ''24'!AA$2:AA$1577)</f>
        <v>3</v>
      </c>
      <c r="P1295" s="179">
        <f>_xlfn.XLOOKUP($C1295,'Site Level Financials - ''23 ''24'!$C$2:$C$1577,'Site Level Financials - ''23 ''24'!AB$2:AB$1577)</f>
        <v>3</v>
      </c>
      <c r="Q1295" s="179">
        <f>_xlfn.XLOOKUP($C1295,'Site Level Financials - ''23 ''24'!$C$2:$C$1577,'Site Level Financials - ''23 ''24'!AC$2:AC$1577)</f>
        <v>3</v>
      </c>
      <c r="R1295" s="179">
        <f>_xlfn.XLOOKUP($C1295,'Site Level Financials - ''23 ''24'!$C$2:$C$1577,'Site Level Financials - ''23 ''24'!AD$2:AD$1577)</f>
        <v>3</v>
      </c>
      <c r="S1295" s="178">
        <f>R1295+_xlfn.XLOOKUP($R1295,'Budget Assumption Driver'!$A$7:$A$11,'Budget Assumption Driver'!E$7:E$11)</f>
        <v>3</v>
      </c>
      <c r="T1295" s="179">
        <f>S1295+_xlfn.XLOOKUP($R1295,'Budget Assumption Driver'!$A$7:$A$11,'Budget Assumption Driver'!F$7:F$11)</f>
        <v>3</v>
      </c>
      <c r="U1295" s="179">
        <f>T1295+_xlfn.XLOOKUP($R1295,'Budget Assumption Driver'!$A$7:$A$11,'Budget Assumption Driver'!G$7:G$11)</f>
        <v>3</v>
      </c>
      <c r="V1295" s="179">
        <f>U1295+_xlfn.XLOOKUP($R1295,'Budget Assumption Driver'!$A$7:$A$11,'Budget Assumption Driver'!H$7:H$11)</f>
        <v>3</v>
      </c>
      <c r="W1295" s="179">
        <f>V1295+_xlfn.XLOOKUP($R1295,'Budget Assumption Driver'!$A$7:$A$11,'Budget Assumption Driver'!I$7:I$11)</f>
        <v>3</v>
      </c>
      <c r="X1295" s="179">
        <f>W1295+_xlfn.XLOOKUP($R1295,'Budget Assumption Driver'!$A$7:$A$11,'Budget Assumption Driver'!J$7:J$11)</f>
        <v>3</v>
      </c>
      <c r="Y1295" s="179">
        <f>X1295+_xlfn.XLOOKUP($R1295,'Budget Assumption Driver'!$A$7:$A$11,'Budget Assumption Driver'!K$7:K$11)</f>
        <v>4</v>
      </c>
      <c r="Z1295" s="179">
        <f>Y1295+_xlfn.XLOOKUP($R1295,'Budget Assumption Driver'!$A$7:$A$11,'Budget Assumption Driver'!L$7:L$11)</f>
        <v>4</v>
      </c>
      <c r="AA1295" s="179">
        <f>Z1295+_xlfn.XLOOKUP($R1295,'Budget Assumption Driver'!$A$7:$A$11,'Budget Assumption Driver'!M$7:M$11)</f>
        <v>4</v>
      </c>
      <c r="AB1295" s="179">
        <f>AA1295+_xlfn.XLOOKUP($R1295,'Budget Assumption Driver'!$A$7:$A$11,'Budget Assumption Driver'!N$7:N$11)</f>
        <v>4</v>
      </c>
      <c r="AC1295" s="179">
        <f>AB1295+_xlfn.XLOOKUP($R1295,'Budget Assumption Driver'!$A$7:$A$11,'Budget Assumption Driver'!O$7:O$11)</f>
        <v>4</v>
      </c>
      <c r="AD1295" s="290">
        <f>AC1295+_xlfn.XLOOKUP($R1295,'Budget Assumption Driver'!$A$7:$A$11,'Budget Assumption Driver'!P$7:P$11)</f>
        <v>4</v>
      </c>
      <c r="AE1295" s="15"/>
      <c r="AF1295" s="229">
        <f>_xlfn.XLOOKUP($C1295,'Site Level Financials - ''23 ''24'!$C$2:$C$1577,'Site Level Financials - ''23 ''24'!$AF$2:$AF$1577)</f>
        <v>4.083333333333333</v>
      </c>
      <c r="AG1295" s="91">
        <f t="shared" ref="AG1295:AH1295" si="3775">AG1297/AG1296</f>
        <v>2.5799256505576209</v>
      </c>
      <c r="AH1295" s="91">
        <f t="shared" si="3775"/>
        <v>3.5018587360594795</v>
      </c>
    </row>
    <row r="1296" spans="2:35" x14ac:dyDescent="0.2">
      <c r="B1296" s="9">
        <f>G1289</f>
        <v>27</v>
      </c>
      <c r="C1296" s="9" t="str">
        <f t="shared" ref="C1296:C1332" si="3776">B1296&amp;" - "&amp;F1296</f>
        <v>27 - Workdays in Month / Year</v>
      </c>
      <c r="D1296" s="9" t="s">
        <v>56</v>
      </c>
      <c r="F1296" s="7" t="s">
        <v>54</v>
      </c>
      <c r="G1296" s="178">
        <f>_xlfn.XLOOKUP($C1296,'Site Level Financials - ''23 ''24'!$C$2:$C$1577,'Site Level Financials - ''23 ''24'!S$2:S$1577)</f>
        <v>23</v>
      </c>
      <c r="H1296" s="235">
        <f>_xlfn.XLOOKUP($C1296,'Site Level Financials - ''23 ''24'!$C$2:$C$1577,'Site Level Financials - ''23 ''24'!T$2:T$1577)</f>
        <v>22</v>
      </c>
      <c r="I1296" s="235">
        <f>_xlfn.XLOOKUP($C1296,'Site Level Financials - ''23 ''24'!$C$2:$C$1577,'Site Level Financials - ''23 ''24'!U$2:U$1577)</f>
        <v>22</v>
      </c>
      <c r="J1296" s="179">
        <f>_xlfn.XLOOKUP($C1296,'Site Level Financials - ''23 ''24'!$C$2:$C$1577,'Site Level Financials - ''23 ''24'!V$2:V$1577)</f>
        <v>22</v>
      </c>
      <c r="K1296" s="179">
        <f>_xlfn.XLOOKUP($C1296,'Site Level Financials - ''23 ''24'!$C$2:$C$1577,'Site Level Financials - ''23 ''24'!W$2:W$1577)</f>
        <v>24</v>
      </c>
      <c r="L1296" s="179">
        <f>_xlfn.XLOOKUP($C1296,'Site Level Financials - ''23 ''24'!$C$2:$C$1577,'Site Level Financials - ''23 ''24'!X$2:X$1577)</f>
        <v>21</v>
      </c>
      <c r="M1296" s="179">
        <f>_xlfn.XLOOKUP($C1296,'Site Level Financials - ''23 ''24'!$C$2:$C$1577,'Site Level Financials - ''23 ''24'!Y$2:Y$1577)</f>
        <v>23</v>
      </c>
      <c r="N1296" s="179">
        <f>_xlfn.XLOOKUP($C1296,'Site Level Financials - ''23 ''24'!$C$2:$C$1577,'Site Level Financials - ''23 ''24'!Z$2:Z$1577)</f>
        <v>23</v>
      </c>
      <c r="O1296" s="179">
        <f>_xlfn.XLOOKUP($C1296,'Site Level Financials - ''23 ''24'!$C$2:$C$1577,'Site Level Financials - ''23 ''24'!AA$2:AA$1577)</f>
        <v>21</v>
      </c>
      <c r="P1296" s="179">
        <f>_xlfn.XLOOKUP($C1296,'Site Level Financials - ''23 ''24'!$C$2:$C$1577,'Site Level Financials - ''23 ''24'!AB$2:AB$1577)</f>
        <v>24</v>
      </c>
      <c r="Q1296" s="179">
        <f>_xlfn.XLOOKUP($C1296,'Site Level Financials - ''23 ''24'!$C$2:$C$1577,'Site Level Financials - ''23 ''24'!AC$2:AC$1577)</f>
        <v>22</v>
      </c>
      <c r="R1296" s="179">
        <f>_xlfn.XLOOKUP($C1296,'Site Level Financials - ''23 ''24'!$C$2:$C$1577,'Site Level Financials - ''23 ''24'!AD$2:AD$1577)</f>
        <v>22</v>
      </c>
      <c r="S1296" s="155">
        <f>NETWORKDAYS(R1293,S1293)</f>
        <v>23</v>
      </c>
      <c r="T1296" s="154">
        <f t="shared" ref="T1296:AD1296" si="3777">NETWORKDAYS(S1293,T1293)</f>
        <v>22</v>
      </c>
      <c r="U1296" s="154">
        <f t="shared" si="3777"/>
        <v>22</v>
      </c>
      <c r="V1296" s="154">
        <f t="shared" si="3777"/>
        <v>22</v>
      </c>
      <c r="W1296" s="154">
        <f t="shared" si="3777"/>
        <v>24</v>
      </c>
      <c r="X1296" s="154">
        <f t="shared" si="3777"/>
        <v>21</v>
      </c>
      <c r="Y1296" s="154">
        <f t="shared" si="3777"/>
        <v>23</v>
      </c>
      <c r="Z1296" s="154">
        <f t="shared" si="3777"/>
        <v>23</v>
      </c>
      <c r="AA1296" s="154">
        <f t="shared" si="3777"/>
        <v>21</v>
      </c>
      <c r="AB1296" s="154">
        <f t="shared" si="3777"/>
        <v>24</v>
      </c>
      <c r="AC1296" s="154">
        <f t="shared" si="3777"/>
        <v>22</v>
      </c>
      <c r="AD1296" s="156">
        <f t="shared" si="3777"/>
        <v>22</v>
      </c>
      <c r="AE1296" s="15"/>
      <c r="AF1296" s="115">
        <f>_xlfn.XLOOKUP($C1296,'Site Level Financials - ''23 ''24'!$C$2:$C$1577,'Site Level Financials - ''23 ''24'!$AF$2:$AF$1577)</f>
        <v>269</v>
      </c>
      <c r="AG1296" s="93">
        <f>SUM(G1296:R1296)</f>
        <v>269</v>
      </c>
      <c r="AH1296" s="93">
        <f>SUM(S1296:AD1296)</f>
        <v>269</v>
      </c>
    </row>
    <row r="1297" spans="2:34" x14ac:dyDescent="0.2">
      <c r="B1297" s="9">
        <f>G1289</f>
        <v>27</v>
      </c>
      <c r="C1297" s="9" t="str">
        <f t="shared" si="3776"/>
        <v>27 - Total Vet Days</v>
      </c>
      <c r="D1297" s="9" t="s">
        <v>56</v>
      </c>
      <c r="F1297" s="8" t="s">
        <v>51</v>
      </c>
      <c r="G1297" s="236">
        <f>_xlfn.XLOOKUP($C1297,'Site Level Financials - ''23 ''24'!$C$2:$C$1577,'Site Level Financials - ''23 ''24'!S$2:S$1577)</f>
        <v>92</v>
      </c>
      <c r="H1297" s="237">
        <f>_xlfn.XLOOKUP($C1297,'Site Level Financials - ''23 ''24'!$C$2:$C$1577,'Site Level Financials - ''23 ''24'!T$2:T$1577)</f>
        <v>88</v>
      </c>
      <c r="I1297" s="237">
        <f>_xlfn.XLOOKUP($C1297,'Site Level Financials - ''23 ''24'!$C$2:$C$1577,'Site Level Financials - ''23 ''24'!U$2:U$1577)</f>
        <v>66</v>
      </c>
      <c r="J1297" s="238">
        <f>_xlfn.XLOOKUP($C1297,'Site Level Financials - ''23 ''24'!$C$2:$C$1577,'Site Level Financials - ''23 ''24'!V$2:V$1577)</f>
        <v>44</v>
      </c>
      <c r="K1297" s="238">
        <f>_xlfn.XLOOKUP($C1297,'Site Level Financials - ''23 ''24'!$C$2:$C$1577,'Site Level Financials - ''23 ''24'!W$2:W$1577)</f>
        <v>24</v>
      </c>
      <c r="L1297" s="238">
        <f>_xlfn.XLOOKUP($C1297,'Site Level Financials - ''23 ''24'!$C$2:$C$1577,'Site Level Financials - ''23 ''24'!X$2:X$1577)</f>
        <v>21</v>
      </c>
      <c r="M1297" s="238">
        <f>_xlfn.XLOOKUP($C1297,'Site Level Financials - ''23 ''24'!$C$2:$C$1577,'Site Level Financials - ''23 ''24'!Y$2:Y$1577)</f>
        <v>46</v>
      </c>
      <c r="N1297" s="238">
        <f>_xlfn.XLOOKUP($C1297,'Site Level Financials - ''23 ''24'!$C$2:$C$1577,'Site Level Financials - ''23 ''24'!Z$2:Z$1577)</f>
        <v>46</v>
      </c>
      <c r="O1297" s="238">
        <f>_xlfn.XLOOKUP($C1297,'Site Level Financials - ''23 ''24'!$C$2:$C$1577,'Site Level Financials - ''23 ''24'!AA$2:AA$1577)</f>
        <v>63</v>
      </c>
      <c r="P1297" s="238">
        <f>_xlfn.XLOOKUP($C1297,'Site Level Financials - ''23 ''24'!$C$2:$C$1577,'Site Level Financials - ''23 ''24'!AB$2:AB$1577)</f>
        <v>72</v>
      </c>
      <c r="Q1297" s="238">
        <f>_xlfn.XLOOKUP($C1297,'Site Level Financials - ''23 ''24'!$C$2:$C$1577,'Site Level Financials - ''23 ''24'!AC$2:AC$1577)</f>
        <v>66</v>
      </c>
      <c r="R1297" s="238">
        <f>_xlfn.XLOOKUP($C1297,'Site Level Financials - ''23 ''24'!$C$2:$C$1577,'Site Level Financials - ''23 ''24'!AD$2:AD$1577)</f>
        <v>66</v>
      </c>
      <c r="S1297" s="125">
        <f t="shared" ref="S1297:AD1297" si="3778">S1295*S1296</f>
        <v>69</v>
      </c>
      <c r="T1297" s="127">
        <f t="shared" si="3778"/>
        <v>66</v>
      </c>
      <c r="U1297" s="127">
        <f t="shared" si="3778"/>
        <v>66</v>
      </c>
      <c r="V1297" s="127">
        <f t="shared" si="3778"/>
        <v>66</v>
      </c>
      <c r="W1297" s="127">
        <f t="shared" si="3778"/>
        <v>72</v>
      </c>
      <c r="X1297" s="127">
        <f t="shared" si="3778"/>
        <v>63</v>
      </c>
      <c r="Y1297" s="127">
        <f t="shared" si="3778"/>
        <v>92</v>
      </c>
      <c r="Z1297" s="127">
        <f t="shared" si="3778"/>
        <v>92</v>
      </c>
      <c r="AA1297" s="127">
        <f t="shared" si="3778"/>
        <v>84</v>
      </c>
      <c r="AB1297" s="127">
        <f t="shared" si="3778"/>
        <v>96</v>
      </c>
      <c r="AC1297" s="127">
        <f t="shared" si="3778"/>
        <v>88</v>
      </c>
      <c r="AD1297" s="128">
        <f t="shared" si="3778"/>
        <v>88</v>
      </c>
      <c r="AF1297" s="112">
        <f>_xlfn.XLOOKUP($C1297,'Site Level Financials - ''23 ''24'!$C$2:$C$1577,'Site Level Financials - ''23 ''24'!$AF$2:$AF$1577)</f>
        <v>1098</v>
      </c>
      <c r="AG1297" s="120">
        <f>SUM(G1297:R1297)</f>
        <v>694</v>
      </c>
      <c r="AH1297" s="120">
        <f t="shared" ref="AH1297" si="3779">SUM(S1297:AD1297)</f>
        <v>942</v>
      </c>
    </row>
    <row r="1298" spans="2:34" x14ac:dyDescent="0.2">
      <c r="B1298" s="9">
        <f>G1289</f>
        <v>27</v>
      </c>
      <c r="C1298" s="9" t="str">
        <f t="shared" si="3776"/>
        <v>27 - Production per Vet Workday</v>
      </c>
      <c r="D1298" s="9" t="s">
        <v>56</v>
      </c>
      <c r="F1298" s="7" t="s">
        <v>50</v>
      </c>
      <c r="G1298" s="239">
        <f>_xlfn.XLOOKUP($C1298,'Site Level Financials - ''23 ''24'!$C$2:$C$1577,'Site Level Financials - ''23 ''24'!S$2:S$1577)</f>
        <v>4.8897591022841382</v>
      </c>
      <c r="H1298" s="240">
        <f>_xlfn.XLOOKUP($C1298,'Site Level Financials - ''23 ''24'!$C$2:$C$1577,'Site Level Financials - ''23 ''24'!T$2:T$1577)</f>
        <v>5.0457906148138143</v>
      </c>
      <c r="I1298" s="240">
        <f>_xlfn.XLOOKUP($C1298,'Site Level Financials - ''23 ''24'!$C$2:$C$1577,'Site Level Financials - ''23 ''24'!U$2:U$1577)</f>
        <v>5.5638439414485612</v>
      </c>
      <c r="J1298" s="240">
        <f>_xlfn.XLOOKUP($C1298,'Site Level Financials - ''23 ''24'!$C$2:$C$1577,'Site Level Financials - ''23 ''24'!V$2:V$1577)</f>
        <v>6.2923266302240703</v>
      </c>
      <c r="K1298" s="240">
        <f>_xlfn.XLOOKUP($C1298,'Site Level Financials - ''23 ''24'!$C$2:$C$1577,'Site Level Financials - ''23 ''24'!W$2:W$1577)</f>
        <v>6.9276125664425461</v>
      </c>
      <c r="L1298" s="240">
        <f>_xlfn.XLOOKUP($C1298,'Site Level Financials - ''23 ''24'!$C$2:$C$1577,'Site Level Financials - ''23 ''24'!X$2:X$1577)</f>
        <v>6.48308959912295</v>
      </c>
      <c r="M1298" s="240">
        <f>_xlfn.XLOOKUP($C1298,'Site Level Financials - ''23 ''24'!$C$2:$C$1577,'Site Level Financials - ''23 ''24'!Y$2:Y$1577)</f>
        <v>5.6977636834701197</v>
      </c>
      <c r="N1298" s="240">
        <f>_xlfn.XLOOKUP($C1298,'Site Level Financials - ''23 ''24'!$C$2:$C$1577,'Site Level Financials - ''23 ''24'!Z$2:Z$1577)</f>
        <v>5.215740165078719</v>
      </c>
      <c r="O1298" s="240">
        <f>_xlfn.XLOOKUP($C1298,'Site Level Financials - ''23 ''24'!$C$2:$C$1577,'Site Level Financials - ''23 ''24'!AA$2:AA$1577)</f>
        <v>4.3528687580113754</v>
      </c>
      <c r="P1298" s="240">
        <f>_xlfn.XLOOKUP($C1298,'Site Level Financials - ''23 ''24'!$C$2:$C$1577,'Site Level Financials - ''23 ''24'!AB$2:AB$1577)</f>
        <v>4.343120448589266</v>
      </c>
      <c r="Q1298" s="240">
        <f>_xlfn.XLOOKUP($C1298,'Site Level Financials - ''23 ''24'!$C$2:$C$1577,'Site Level Financials - ''23 ''24'!AC$2:AC$1577)</f>
        <v>4.3340664256996471</v>
      </c>
      <c r="R1298" s="240">
        <f>_xlfn.XLOOKUP($C1298,'Site Level Financials - ''23 ''24'!$C$2:$C$1577,'Site Level Financials - ''23 ''24'!AD$2:AD$1577)</f>
        <v>3.3561657154738329</v>
      </c>
      <c r="S1298" s="239">
        <f>R1298*(1+_xlfn.XLOOKUP($R1295,'Budget Assumption Driver'!$A$15:$A$19,'Budget Assumption Driver'!E$15:E$19))</f>
        <v>4.7483326170700506</v>
      </c>
      <c r="T1298" s="240">
        <f>S1298*(1+_xlfn.XLOOKUP($R1295,'Budget Assumption Driver'!$A$15:$A$19,'Budget Assumption Driver'!F$15:F$19))</f>
        <v>5.1402886273911994</v>
      </c>
      <c r="U1298" s="240">
        <f>T1298*(1+_xlfn.XLOOKUP($R1295,'Budget Assumption Driver'!$A$15:$A$19,'Budget Assumption Driver'!G$15:G$19))</f>
        <v>5.5195865887399957</v>
      </c>
      <c r="V1298" s="240">
        <f>U1298*(1+_xlfn.XLOOKUP($R1295,'Budget Assumption Driver'!$A$15:$A$19,'Budget Assumption Driver'!H$15:H$19))</f>
        <v>5.912368882918595</v>
      </c>
      <c r="W1298" s="240">
        <f>V1298*(1+_xlfn.XLOOKUP($R1295,'Budget Assumption Driver'!$A$15:$A$19,'Budget Assumption Driver'!I$15:I$19))</f>
        <v>6.4413428854930999</v>
      </c>
      <c r="X1298" s="240">
        <f>W1298*(1+_xlfn.XLOOKUP($R1295,'Budget Assumption Driver'!$A$15:$A$19,'Budget Assumption Driver'!J$15:J$19))</f>
        <v>6.1818395555264081</v>
      </c>
      <c r="Y1298" s="240">
        <f>X1298*(1+_xlfn.XLOOKUP($R1295,'Budget Assumption Driver'!$A$15:$A$19,'Budget Assumption Driver'!K$15:K$19))</f>
        <v>5.0680817665218525</v>
      </c>
      <c r="Z1298" s="240">
        <f>Y1298*(1+_xlfn.XLOOKUP($R1295,'Budget Assumption Driver'!$A$15:$A$19,'Budget Assumption Driver'!L$15:L$19))</f>
        <v>4.3458336457740687</v>
      </c>
      <c r="AA1298" s="240">
        <f>Z1298*(1+_xlfn.XLOOKUP($R1295,'Budget Assumption Driver'!$A$15:$A$19,'Budget Assumption Driver'!M$15:M$19))</f>
        <v>4.3638899330867194</v>
      </c>
      <c r="AB1298" s="240">
        <f>AA1298*(1+_xlfn.XLOOKUP($R1295,'Budget Assumption Driver'!$A$15:$A$19,'Budget Assumption Driver'!N$15:N$19))</f>
        <v>4.3854089223370973</v>
      </c>
      <c r="AC1298" s="240">
        <f>AB1298*(1+_xlfn.XLOOKUP($R1295,'Budget Assumption Driver'!$A$15:$A$19,'Budget Assumption Driver'!O$15:O$19))</f>
        <v>3.7816686896420797</v>
      </c>
      <c r="AD1298" s="291">
        <f>AC1298*(1+_xlfn.XLOOKUP($R1295,'Budget Assumption Driver'!$A$15:$A$19,'Budget Assumption Driver'!P$15:P$19))</f>
        <v>3.0866454545694024</v>
      </c>
      <c r="AE1298" s="15"/>
      <c r="AF1298" s="230">
        <f>_xlfn.XLOOKUP($C1298,'Site Level Financials - ''23 ''24'!$C$2:$C$1577,'Site Level Financials - ''23 ''24'!$AF$2:$AF$1577)</f>
        <v>5.332926776390396</v>
      </c>
      <c r="AG1298" s="101">
        <f>AG1299/AG1297</f>
        <v>4.9522809350998038</v>
      </c>
      <c r="AH1298" s="101">
        <f>AH1299/AH1297</f>
        <v>4.8117765545799021</v>
      </c>
    </row>
    <row r="1299" spans="2:34" x14ac:dyDescent="0.2">
      <c r="B1299" s="9">
        <f>G1289</f>
        <v>27</v>
      </c>
      <c r="C1299" s="9" t="str">
        <f t="shared" si="3776"/>
        <v>27 - Total Production</v>
      </c>
      <c r="D1299" s="9" t="s">
        <v>56</v>
      </c>
      <c r="F1299" s="8" t="s">
        <v>1</v>
      </c>
      <c r="G1299" s="241">
        <f>_xlfn.XLOOKUP($C1299,'Site Level Financials - ''23 ''24'!$C$2:$C$1577,'Site Level Financials - ''23 ''24'!S$2:S$1577)</f>
        <v>449.85783741014075</v>
      </c>
      <c r="H1299" s="242">
        <f>_xlfn.XLOOKUP($C1299,'Site Level Financials - ''23 ''24'!$C$2:$C$1577,'Site Level Financials - ''23 ''24'!T$2:T$1577)</f>
        <v>444.02957410361569</v>
      </c>
      <c r="I1299" s="242">
        <f>_xlfn.XLOOKUP($C1299,'Site Level Financials - ''23 ''24'!$C$2:$C$1577,'Site Level Financials - ''23 ''24'!U$2:U$1577)</f>
        <v>367.21370013560505</v>
      </c>
      <c r="J1299" s="242">
        <f>_xlfn.XLOOKUP($C1299,'Site Level Financials - ''23 ''24'!$C$2:$C$1577,'Site Level Financials - ''23 ''24'!V$2:V$1577)</f>
        <v>276.86237172985909</v>
      </c>
      <c r="K1299" s="242">
        <f>_xlfn.XLOOKUP($C1299,'Site Level Financials - ''23 ''24'!$C$2:$C$1577,'Site Level Financials - ''23 ''24'!W$2:W$1577)</f>
        <v>166.26270159462109</v>
      </c>
      <c r="L1299" s="242">
        <f>_xlfn.XLOOKUP($C1299,'Site Level Financials - ''23 ''24'!$C$2:$C$1577,'Site Level Financials - ''23 ''24'!X$2:X$1577)</f>
        <v>136.14488158158196</v>
      </c>
      <c r="M1299" s="242">
        <f>_xlfn.XLOOKUP($C1299,'Site Level Financials - ''23 ''24'!$C$2:$C$1577,'Site Level Financials - ''23 ''24'!Y$2:Y$1577)</f>
        <v>262.09712943962552</v>
      </c>
      <c r="N1299" s="242">
        <f>_xlfn.XLOOKUP($C1299,'Site Level Financials - ''23 ''24'!$C$2:$C$1577,'Site Level Financials - ''23 ''24'!Z$2:Z$1577)</f>
        <v>239.92404759362108</v>
      </c>
      <c r="O1299" s="242">
        <f>_xlfn.XLOOKUP($C1299,'Site Level Financials - ''23 ''24'!$C$2:$C$1577,'Site Level Financials - ''23 ''24'!AA$2:AA$1577)</f>
        <v>274.23073175471666</v>
      </c>
      <c r="P1299" s="242">
        <f>_xlfn.XLOOKUP($C1299,'Site Level Financials - ''23 ''24'!$C$2:$C$1577,'Site Level Financials - ''23 ''24'!AB$2:AB$1577)</f>
        <v>312.70467229842717</v>
      </c>
      <c r="Q1299" s="242">
        <f>_xlfn.XLOOKUP($C1299,'Site Level Financials - ''23 ''24'!$C$2:$C$1577,'Site Level Financials - ''23 ''24'!AC$2:AC$1577)</f>
        <v>286.04838409617673</v>
      </c>
      <c r="R1299" s="242">
        <f>_xlfn.XLOOKUP($C1299,'Site Level Financials - ''23 ''24'!$C$2:$C$1577,'Site Level Financials - ''23 ''24'!AD$2:AD$1577)</f>
        <v>221.50693722127298</v>
      </c>
      <c r="S1299" s="134">
        <f t="shared" ref="S1299:AD1299" si="3780">S1298*S1297</f>
        <v>327.63495057783348</v>
      </c>
      <c r="T1299" s="135">
        <f t="shared" si="3780"/>
        <v>339.25904940781913</v>
      </c>
      <c r="U1299" s="135">
        <f t="shared" si="3780"/>
        <v>364.29271485683972</v>
      </c>
      <c r="V1299" s="135">
        <f t="shared" si="3780"/>
        <v>390.21634627262728</v>
      </c>
      <c r="W1299" s="135">
        <f t="shared" si="3780"/>
        <v>463.77668775550319</v>
      </c>
      <c r="X1299" s="135">
        <f t="shared" si="3780"/>
        <v>389.45589199816374</v>
      </c>
      <c r="Y1299" s="135">
        <f t="shared" si="3780"/>
        <v>466.26352252001044</v>
      </c>
      <c r="Z1299" s="135">
        <f t="shared" si="3780"/>
        <v>399.81669541121431</v>
      </c>
      <c r="AA1299" s="135">
        <f t="shared" si="3780"/>
        <v>366.56675437928442</v>
      </c>
      <c r="AB1299" s="135">
        <f t="shared" si="3780"/>
        <v>420.99925654436134</v>
      </c>
      <c r="AC1299" s="135">
        <f t="shared" si="3780"/>
        <v>332.78684468850304</v>
      </c>
      <c r="AD1299" s="136">
        <f t="shared" si="3780"/>
        <v>271.62480000210741</v>
      </c>
      <c r="AE1299" s="15"/>
      <c r="AF1299" s="113">
        <f>_xlfn.XLOOKUP($C1299,'Site Level Financials - ''23 ''24'!$C$2:$C$1577,'Site Level Financials - ''23 ''24'!$AF$2:$AF$1577)</f>
        <v>5695.6824837437252</v>
      </c>
      <c r="AG1299" s="95">
        <f>SUM(G1299:R1299)</f>
        <v>3436.882968959264</v>
      </c>
      <c r="AH1299" s="95">
        <f t="shared" ref="AH1299" si="3781">SUM(S1299:AD1299)</f>
        <v>4532.6935144142681</v>
      </c>
    </row>
    <row r="1300" spans="2:34" x14ac:dyDescent="0.2">
      <c r="B1300" s="9">
        <f>G1289</f>
        <v>27</v>
      </c>
      <c r="C1300" s="9" t="str">
        <f t="shared" si="3776"/>
        <v>27 - Revenue as a % of Production</v>
      </c>
      <c r="D1300" s="9" t="s">
        <v>56</v>
      </c>
      <c r="F1300" s="7" t="s">
        <v>2</v>
      </c>
      <c r="G1300" s="243">
        <f>_xlfn.XLOOKUP($C1300,'Site Level Financials - ''23 ''24'!$C$2:$C$1577,'Site Level Financials - ''23 ''24'!S$2:S$1577)</f>
        <v>0.98366424525708984</v>
      </c>
      <c r="H1300" s="244">
        <f>_xlfn.XLOOKUP($C1300,'Site Level Financials - ''23 ''24'!$C$2:$C$1577,'Site Level Financials - ''23 ''24'!T$2:T$1577)</f>
        <v>0.98366424525708984</v>
      </c>
      <c r="I1300" s="244">
        <f>_xlfn.XLOOKUP($C1300,'Site Level Financials - ''23 ''24'!$C$2:$C$1577,'Site Level Financials - ''23 ''24'!U$2:U$1577)</f>
        <v>0.98366424525708984</v>
      </c>
      <c r="J1300" s="244">
        <f>_xlfn.XLOOKUP($C1300,'Site Level Financials - ''23 ''24'!$C$2:$C$1577,'Site Level Financials - ''23 ''24'!V$2:V$1577)</f>
        <v>0.98366424525708984</v>
      </c>
      <c r="K1300" s="244">
        <f>_xlfn.XLOOKUP($C1300,'Site Level Financials - ''23 ''24'!$C$2:$C$1577,'Site Level Financials - ''23 ''24'!W$2:W$1577)</f>
        <v>0.98366424525708984</v>
      </c>
      <c r="L1300" s="244">
        <f>_xlfn.XLOOKUP($C1300,'Site Level Financials - ''23 ''24'!$C$2:$C$1577,'Site Level Financials - ''23 ''24'!X$2:X$1577)</f>
        <v>0.98366424525708984</v>
      </c>
      <c r="M1300" s="244">
        <f>_xlfn.XLOOKUP($C1300,'Site Level Financials - ''23 ''24'!$C$2:$C$1577,'Site Level Financials - ''23 ''24'!Y$2:Y$1577)</f>
        <v>0.98366424525708984</v>
      </c>
      <c r="N1300" s="244">
        <f>_xlfn.XLOOKUP($C1300,'Site Level Financials - ''23 ''24'!$C$2:$C$1577,'Site Level Financials - ''23 ''24'!Z$2:Z$1577)</f>
        <v>0.98366424525708984</v>
      </c>
      <c r="O1300" s="244">
        <f>_xlfn.XLOOKUP($C1300,'Site Level Financials - ''23 ''24'!$C$2:$C$1577,'Site Level Financials - ''23 ''24'!AA$2:AA$1577)</f>
        <v>0.98366424525708984</v>
      </c>
      <c r="P1300" s="244">
        <f>_xlfn.XLOOKUP($C1300,'Site Level Financials - ''23 ''24'!$C$2:$C$1577,'Site Level Financials - ''23 ''24'!AB$2:AB$1577)</f>
        <v>0.98366424525708984</v>
      </c>
      <c r="Q1300" s="244">
        <f>_xlfn.XLOOKUP($C1300,'Site Level Financials - ''23 ''24'!$C$2:$C$1577,'Site Level Financials - ''23 ''24'!AC$2:AC$1577)</f>
        <v>0.98366424525708984</v>
      </c>
      <c r="R1300" s="244">
        <f>_xlfn.XLOOKUP($C1300,'Site Level Financials - ''23 ''24'!$C$2:$C$1577,'Site Level Financials - ''23 ''24'!AD$2:AD$1577)</f>
        <v>0.98366424525708984</v>
      </c>
      <c r="S1300" s="292">
        <f>SUM(G1329:R1329)/SUM(G1299:R1299)</f>
        <v>0.97653817915819086</v>
      </c>
      <c r="T1300" s="203">
        <f>S1300</f>
        <v>0.97653817915819086</v>
      </c>
      <c r="U1300" s="203">
        <f t="shared" ref="U1300:AD1300" si="3782">T1300</f>
        <v>0.97653817915819086</v>
      </c>
      <c r="V1300" s="203">
        <f t="shared" si="3782"/>
        <v>0.97653817915819086</v>
      </c>
      <c r="W1300" s="203">
        <f t="shared" si="3782"/>
        <v>0.97653817915819086</v>
      </c>
      <c r="X1300" s="203">
        <f t="shared" si="3782"/>
        <v>0.97653817915819086</v>
      </c>
      <c r="Y1300" s="203">
        <f t="shared" si="3782"/>
        <v>0.97653817915819086</v>
      </c>
      <c r="Z1300" s="203">
        <f t="shared" si="3782"/>
        <v>0.97653817915819086</v>
      </c>
      <c r="AA1300" s="203">
        <f t="shared" si="3782"/>
        <v>0.97653817915819086</v>
      </c>
      <c r="AB1300" s="203">
        <f t="shared" si="3782"/>
        <v>0.97653817915819086</v>
      </c>
      <c r="AC1300" s="203">
        <f t="shared" si="3782"/>
        <v>0.97653817915819086</v>
      </c>
      <c r="AD1300" s="204">
        <f t="shared" si="3782"/>
        <v>0.97653817915819086</v>
      </c>
      <c r="AE1300" s="15"/>
      <c r="AF1300" s="231">
        <f>_xlfn.XLOOKUP($C1300,'Site Level Financials - ''23 ''24'!$C$2:$C$1577,'Site Level Financials - ''23 ''24'!$AF$2:$AF$1577)</f>
        <v>0.97605502329527005</v>
      </c>
      <c r="AG1300" s="103">
        <f>AG1301/AG1299</f>
        <v>0.98366424525708984</v>
      </c>
      <c r="AH1300" s="103">
        <f>AH1301/AH1299</f>
        <v>0.97653817915819086</v>
      </c>
    </row>
    <row r="1301" spans="2:34" x14ac:dyDescent="0.2">
      <c r="B1301" s="9">
        <f>G1289</f>
        <v>27</v>
      </c>
      <c r="C1301" s="9" t="str">
        <f t="shared" si="3776"/>
        <v>27 - Total Revenue</v>
      </c>
      <c r="D1301" s="9" t="s">
        <v>56</v>
      </c>
      <c r="F1301" s="8" t="s">
        <v>3</v>
      </c>
      <c r="G1301" s="241">
        <f>_xlfn.XLOOKUP($C1301,'Site Level Financials - ''23 ''24'!$C$2:$C$1577,'Site Level Financials - ''23 ''24'!S$2:S$1577)</f>
        <v>442.50907010903273</v>
      </c>
      <c r="H1301" s="242">
        <f>_xlfn.XLOOKUP($C1301,'Site Level Financials - ''23 ''24'!$C$2:$C$1577,'Site Level Financials - ''23 ''24'!T$2:T$1577)</f>
        <v>436.77601588246017</v>
      </c>
      <c r="I1301" s="242">
        <f>_xlfn.XLOOKUP($C1301,'Site Level Financials - ''23 ''24'!$C$2:$C$1577,'Site Level Financials - ''23 ''24'!U$2:U$1577)</f>
        <v>361.21498719195324</v>
      </c>
      <c r="J1301" s="242">
        <f>_xlfn.XLOOKUP($C1301,'Site Level Financials - ''23 ''24'!$C$2:$C$1577,'Site Level Financials - ''23 ''24'!V$2:V$1577)</f>
        <v>272.33961592773971</v>
      </c>
      <c r="K1301" s="242">
        <f>_xlfn.XLOOKUP($C1301,'Site Level Financials - ''23 ''24'!$C$2:$C$1577,'Site Level Financials - ''23 ''24'!W$2:W$1577)</f>
        <v>163.54667487847772</v>
      </c>
      <c r="L1301" s="242">
        <f>_xlfn.XLOOKUP($C1301,'Site Level Financials - ''23 ''24'!$C$2:$C$1577,'Site Level Financials - ''23 ''24'!X$2:X$1577)</f>
        <v>133.92085218656268</v>
      </c>
      <c r="M1301" s="242">
        <f>_xlfn.XLOOKUP($C1301,'Site Level Financials - ''23 ''24'!$C$2:$C$1577,'Site Level Financials - ''23 ''24'!Y$2:Y$1577)</f>
        <v>257.81557501427903</v>
      </c>
      <c r="N1301" s="242">
        <f>_xlfn.XLOOKUP($C1301,'Site Level Financials - ''23 ''24'!$C$2:$C$1577,'Site Level Financials - ''23 ''24'!Z$2:Z$1577)</f>
        <v>236.00470719520538</v>
      </c>
      <c r="O1301" s="242">
        <f>_xlfn.XLOOKUP($C1301,'Site Level Financials - ''23 ''24'!$C$2:$C$1577,'Site Level Financials - ''23 ''24'!AA$2:AA$1577)</f>
        <v>269.75096577780283</v>
      </c>
      <c r="P1301" s="242">
        <f>_xlfn.XLOOKUP($C1301,'Site Level Financials - ''23 ''24'!$C$2:$C$1577,'Site Level Financials - ''23 ''24'!AB$2:AB$1577)</f>
        <v>307.59640546479795</v>
      </c>
      <c r="Q1301" s="242">
        <f>_xlfn.XLOOKUP($C1301,'Site Level Financials - ''23 ''24'!$C$2:$C$1577,'Site Level Financials - ''23 ''24'!AC$2:AC$1577)</f>
        <v>281.37556784897583</v>
      </c>
      <c r="R1301" s="242">
        <f>_xlfn.XLOOKUP($C1301,'Site Level Financials - ''23 ''24'!$C$2:$C$1577,'Site Level Financials - ''23 ''24'!AD$2:AD$1577)</f>
        <v>217.88845422097307</v>
      </c>
      <c r="S1301" s="134">
        <f t="shared" ref="S1301:AD1301" si="3783">S1300*S1299</f>
        <v>319.94803806586134</v>
      </c>
      <c r="T1301" s="135">
        <f t="shared" si="3783"/>
        <v>331.29941437165041</v>
      </c>
      <c r="U1301" s="135">
        <f t="shared" si="3783"/>
        <v>355.74574444689227</v>
      </c>
      <c r="V1301" s="135">
        <f t="shared" si="3783"/>
        <v>381.06116026683355</v>
      </c>
      <c r="W1301" s="135">
        <f t="shared" si="3783"/>
        <v>452.8956421967759</v>
      </c>
      <c r="X1301" s="135">
        <f t="shared" si="3783"/>
        <v>380.31854763431585</v>
      </c>
      <c r="Y1301" s="135">
        <f t="shared" si="3783"/>
        <v>455.32413128957512</v>
      </c>
      <c r="Z1301" s="135">
        <f t="shared" si="3783"/>
        <v>390.43626773391225</v>
      </c>
      <c r="AA1301" s="135">
        <f t="shared" si="3783"/>
        <v>357.96643086147418</v>
      </c>
      <c r="AB1301" s="135">
        <f t="shared" si="3783"/>
        <v>411.1218474127827</v>
      </c>
      <c r="AC1301" s="135">
        <f t="shared" si="3783"/>
        <v>324.97905935991042</v>
      </c>
      <c r="AD1301" s="136">
        <f t="shared" si="3783"/>
        <v>265.25198760826572</v>
      </c>
      <c r="AE1301" s="15"/>
      <c r="AF1301" s="113">
        <f>_xlfn.XLOOKUP($C1301,'Site Level Financials - ''23 ''24'!$C$2:$C$1577,'Site Level Financials - ''23 ''24'!$AF$2:$AF$1577)</f>
        <v>5559.2994993529437</v>
      </c>
      <c r="AG1301" s="95">
        <f>SUM(G1301:R1301)</f>
        <v>3380.7388916982604</v>
      </c>
      <c r="AH1301" s="95">
        <f t="shared" ref="AH1301" si="3784">SUM(S1301:AD1301)</f>
        <v>4426.3482712482501</v>
      </c>
    </row>
    <row r="1302" spans="2:34" x14ac:dyDescent="0.2">
      <c r="B1302" s="9">
        <f>G1289</f>
        <v>27</v>
      </c>
      <c r="C1302" s="9" t="str">
        <f t="shared" si="3776"/>
        <v>27 - % YoY Revenue Growth</v>
      </c>
      <c r="D1302" s="9" t="s">
        <v>56</v>
      </c>
      <c r="F1302" s="16" t="s">
        <v>174</v>
      </c>
      <c r="G1302" s="245">
        <f>_xlfn.XLOOKUP($C1302,'Site Level Financials - ''23 ''24'!$C$2:$C$1577,'Site Level Financials - ''23 ''24'!S$2:S$1577)</f>
        <v>8.5447406198919218E-2</v>
      </c>
      <c r="H1302" s="246">
        <f>_xlfn.XLOOKUP($C1302,'Site Level Financials - ''23 ''24'!$C$2:$C$1577,'Site Level Financials - ''23 ''24'!T$2:T$1577)</f>
        <v>6.2466810168896547E-2</v>
      </c>
      <c r="I1302" s="246">
        <f>_xlfn.XLOOKUP($C1302,'Site Level Financials - ''23 ''24'!$C$2:$C$1577,'Site Level Financials - ''23 ''24'!U$2:U$1577)</f>
        <v>-0.10013455043375508</v>
      </c>
      <c r="J1302" s="246">
        <f>_xlfn.XLOOKUP($C1302,'Site Level Financials - ''23 ''24'!$C$2:$C$1577,'Site Level Financials - ''23 ''24'!V$2:V$1577)</f>
        <v>-0.29156225499325639</v>
      </c>
      <c r="K1302" s="246">
        <f>_xlfn.XLOOKUP($C1302,'Site Level Financials - ''23 ''24'!$C$2:$C$1577,'Site Level Financials - ''23 ''24'!W$2:W$1577)</f>
        <v>-0.63578533943089011</v>
      </c>
      <c r="L1302" s="246">
        <f>_xlfn.XLOOKUP($C1302,'Site Level Financials - ''23 ''24'!$C$2:$C$1577,'Site Level Financials - ''23 ''24'!X$2:X$1577)</f>
        <v>-0.69301676815382174</v>
      </c>
      <c r="M1302" s="246">
        <f>_xlfn.XLOOKUP($C1302,'Site Level Financials - ''23 ''24'!$C$2:$C$1577,'Site Level Financials - ''23 ''24'!Y$2:Y$1577)</f>
        <v>-0.4758230664895351</v>
      </c>
      <c r="N1302" s="246">
        <f>_xlfn.XLOOKUP($C1302,'Site Level Financials - ''23 ''24'!$C$2:$C$1577,'Site Level Financials - ''23 ''24'!Z$2:Z$1577)</f>
        <v>-0.60064747649013395</v>
      </c>
      <c r="O1302" s="246">
        <f>_xlfn.XLOOKUP($C1302,'Site Level Financials - ''23 ''24'!$C$2:$C$1577,'Site Level Financials - ''23 ''24'!AA$2:AA$1577)</f>
        <v>-0.51754412795122851</v>
      </c>
      <c r="P1302" s="246">
        <f>_xlfn.XLOOKUP($C1302,'Site Level Financials - ''23 ''24'!$C$2:$C$1577,'Site Level Financials - ''23 ''24'!AB$2:AB$1577)</f>
        <v>-0.44516726919483662</v>
      </c>
      <c r="Q1302" s="246">
        <f>_xlfn.XLOOKUP($C1302,'Site Level Financials - ''23 ''24'!$C$2:$C$1577,'Site Level Financials - ''23 ''24'!AC$2:AC$1577)</f>
        <v>-0.43777700794532226</v>
      </c>
      <c r="R1302" s="246">
        <f>_xlfn.XLOOKUP($C1302,'Site Level Financials - ''23 ''24'!$C$2:$C$1577,'Site Level Financials - ''23 ''24'!AD$2:AD$1577)</f>
        <v>-0.41523266588886665</v>
      </c>
      <c r="S1302" s="148">
        <f>S1301/G1301-1</f>
        <v>-0.27696840657519806</v>
      </c>
      <c r="T1302" s="149">
        <f t="shared" ref="T1302" si="3785">T1301/H1301-1</f>
        <v>-0.24148899590492701</v>
      </c>
      <c r="U1302" s="149">
        <f t="shared" ref="U1302" si="3786">U1301/I1301-1</f>
        <v>-1.5141239812828E-2</v>
      </c>
      <c r="V1302" s="149">
        <f t="shared" ref="V1302" si="3787">V1301/J1301-1</f>
        <v>0.39921310738699534</v>
      </c>
      <c r="W1302" s="149">
        <f t="shared" ref="W1302" si="3788">W1301/K1301-1</f>
        <v>1.7692133914266188</v>
      </c>
      <c r="X1302" s="149">
        <f t="shared" ref="X1302" si="3789">X1301/L1301-1</f>
        <v>1.8398755042605393</v>
      </c>
      <c r="Y1302" s="149">
        <f t="shared" ref="Y1302" si="3790">Y1301/M1301-1</f>
        <v>0.76608465669444969</v>
      </c>
      <c r="Z1302" s="149">
        <f t="shared" ref="Z1302" si="3791">Z1301/N1301-1</f>
        <v>0.65435796757635289</v>
      </c>
      <c r="AA1302" s="149">
        <f t="shared" ref="AA1302" si="3792">AA1301/O1301-1</f>
        <v>0.32702557645830832</v>
      </c>
      <c r="AB1302" s="149">
        <f t="shared" ref="AB1302" si="3793">AB1301/P1301-1</f>
        <v>0.33656258691173946</v>
      </c>
      <c r="AC1302" s="149">
        <f t="shared" ref="AC1302" si="3794">AC1301/Q1301-1</f>
        <v>0.15496545007183471</v>
      </c>
      <c r="AD1302" s="150">
        <f t="shared" ref="AD1302" si="3795">AD1301/R1301-1</f>
        <v>0.21737514067293628</v>
      </c>
      <c r="AE1302" s="15"/>
      <c r="AF1302" s="11"/>
      <c r="AG1302" s="97">
        <f>AG1301/AF1301-1</f>
        <v>-0.39187681971591015</v>
      </c>
      <c r="AH1302" s="97">
        <f>AH1301/AG1301-1</f>
        <v>0.30928427572965989</v>
      </c>
    </row>
    <row r="1303" spans="2:34" ht="6" customHeight="1" x14ac:dyDescent="0.2">
      <c r="B1303" s="9">
        <f>G1289</f>
        <v>27</v>
      </c>
      <c r="C1303" s="9" t="str">
        <f t="shared" si="3776"/>
        <v xml:space="preserve">27 - </v>
      </c>
      <c r="D1303" s="9" t="s">
        <v>56</v>
      </c>
      <c r="G1303" s="80"/>
      <c r="H1303" s="63"/>
      <c r="I1303" s="63"/>
      <c r="J1303" s="63"/>
      <c r="K1303" s="63"/>
      <c r="L1303" s="63"/>
      <c r="M1303" s="63"/>
      <c r="N1303" s="63"/>
      <c r="O1303" s="63"/>
      <c r="P1303" s="63"/>
      <c r="Q1303" s="63"/>
      <c r="R1303" s="63"/>
      <c r="S1303" s="80"/>
      <c r="T1303" s="63"/>
      <c r="U1303" s="63"/>
      <c r="V1303" s="63"/>
      <c r="W1303" s="63"/>
      <c r="X1303" s="63"/>
      <c r="Y1303" s="63"/>
      <c r="Z1303" s="63"/>
      <c r="AA1303" s="63"/>
      <c r="AB1303" s="63"/>
      <c r="AC1303" s="63"/>
      <c r="AD1303" s="81"/>
      <c r="AE1303" s="15"/>
      <c r="AF1303" s="11"/>
      <c r="AG1303" s="15"/>
      <c r="AH1303" s="15"/>
    </row>
    <row r="1304" spans="2:34" x14ac:dyDescent="0.2">
      <c r="B1304" s="9">
        <f>G1289</f>
        <v>27</v>
      </c>
      <c r="C1304" s="9" t="str">
        <f t="shared" si="3776"/>
        <v>27 - Doctor Compensation</v>
      </c>
      <c r="D1304" s="9" t="s">
        <v>56</v>
      </c>
      <c r="F1304" t="s">
        <v>4</v>
      </c>
      <c r="G1304" s="178">
        <f>_xlfn.XLOOKUP($C1304,'Site Level Financials - ''23 ''24'!$C$2:$C$1577,'Site Level Financials - ''23 ''24'!S$2:S$1577)</f>
        <v>-162.59555516429339</v>
      </c>
      <c r="H1304" s="179">
        <f>_xlfn.XLOOKUP($C1304,'Site Level Financials - ''23 ''24'!$C$2:$C$1577,'Site Level Financials - ''23 ''24'!T$2:T$1577)</f>
        <v>-163.86045479675687</v>
      </c>
      <c r="I1304" s="179">
        <f>_xlfn.XLOOKUP($C1304,'Site Level Financials - ''23 ''24'!$C$2:$C$1577,'Site Level Financials - ''23 ''24'!U$2:U$1577)</f>
        <v>-122.06988977400971</v>
      </c>
      <c r="J1304" s="179">
        <f>_xlfn.XLOOKUP($C1304,'Site Level Financials - ''23 ''24'!$C$2:$C$1577,'Site Level Financials - ''23 ''24'!V$2:V$1577)</f>
        <v>-89.783458382239573</v>
      </c>
      <c r="K1304" s="179">
        <f>_xlfn.XLOOKUP($C1304,'Site Level Financials - ''23 ''24'!$C$2:$C$1577,'Site Level Financials - ''23 ''24'!W$2:W$1577)</f>
        <v>-47.495440372927675</v>
      </c>
      <c r="L1304" s="179">
        <f>_xlfn.XLOOKUP($C1304,'Site Level Financials - ''23 ''24'!$C$2:$C$1577,'Site Level Financials - ''23 ''24'!X$2:X$1577)</f>
        <v>-58.049983248194991</v>
      </c>
      <c r="M1304" s="179">
        <f>_xlfn.XLOOKUP($C1304,'Site Level Financials - ''23 ''24'!$C$2:$C$1577,'Site Level Financials - ''23 ''24'!Y$2:Y$1577)</f>
        <v>-82.086838048268262</v>
      </c>
      <c r="N1304" s="179">
        <f>_xlfn.XLOOKUP($C1304,'Site Level Financials - ''23 ''24'!$C$2:$C$1577,'Site Level Financials - ''23 ''24'!Z$2:Z$1577)</f>
        <v>-74.514544935612861</v>
      </c>
      <c r="O1304" s="179">
        <f>_xlfn.XLOOKUP($C1304,'Site Level Financials - ''23 ''24'!$C$2:$C$1577,'Site Level Financials - ''23 ''24'!AA$2:AA$1577)</f>
        <v>-85.157798352427292</v>
      </c>
      <c r="P1304" s="179">
        <f>_xlfn.XLOOKUP($C1304,'Site Level Financials - ''23 ''24'!$C$2:$C$1577,'Site Level Financials - ''23 ''24'!AB$2:AB$1577)</f>
        <v>-95.209422453630978</v>
      </c>
      <c r="Q1304" s="179">
        <f>_xlfn.XLOOKUP($C1304,'Site Level Financials - ''23 ''24'!$C$2:$C$1577,'Site Level Financials - ''23 ''24'!AC$2:AC$1577)</f>
        <v>-87.054633293650326</v>
      </c>
      <c r="R1304" s="179">
        <f>_xlfn.XLOOKUP($C1304,'Site Level Financials - ''23 ''24'!$C$2:$C$1577,'Site Level Financials - ''23 ''24'!AD$2:AD$1577)</f>
        <v>-104.02359992676429</v>
      </c>
      <c r="S1304" s="155">
        <f>S1305*S1301</f>
        <v>-117.56172333422933</v>
      </c>
      <c r="T1304" s="154">
        <f t="shared" ref="T1304" si="3796">T1305*T1301</f>
        <v>-124.28995809936337</v>
      </c>
      <c r="U1304" s="154">
        <f t="shared" ref="U1304" si="3797">U1305*U1301</f>
        <v>-120.22160029901596</v>
      </c>
      <c r="V1304" s="154">
        <f t="shared" ref="V1304" si="3798">V1305*V1301</f>
        <v>-125.62619179496441</v>
      </c>
      <c r="W1304" s="154">
        <f t="shared" ref="W1304" si="3799">W1305*W1301</f>
        <v>-131.52500951241581</v>
      </c>
      <c r="X1304" s="154">
        <f t="shared" ref="X1304" si="3800">X1305*X1301</f>
        <v>-164.85472544928362</v>
      </c>
      <c r="Y1304" s="154">
        <f t="shared" ref="Y1304" si="3801">Y1305*Y1301</f>
        <v>-144.97230519360875</v>
      </c>
      <c r="Z1304" s="154">
        <f t="shared" ref="Z1304" si="3802">Z1305*Z1301</f>
        <v>-123.27373111455731</v>
      </c>
      <c r="AA1304" s="154">
        <f t="shared" ref="AA1304" si="3803">AA1305*AA1301</f>
        <v>-113.00657644855021</v>
      </c>
      <c r="AB1304" s="154">
        <f t="shared" ref="AB1304" si="3804">AB1305*AB1301</f>
        <v>-127.25335197299769</v>
      </c>
      <c r="AC1304" s="154">
        <f t="shared" ref="AC1304" si="3805">AC1305*AC1301</f>
        <v>-100.54509372283937</v>
      </c>
      <c r="AD1304" s="156">
        <f t="shared" ref="AD1304" si="3806">AD1305*AD1301</f>
        <v>-126.63574459414993</v>
      </c>
      <c r="AE1304" s="15"/>
      <c r="AF1304" s="115">
        <f>_xlfn.XLOOKUP($C1304,'Site Level Financials - ''23 ''24'!$C$2:$C$1577,'Site Level Financials - ''23 ''24'!$AF$2:$AF$1577)</f>
        <v>-1836.0011356781031</v>
      </c>
      <c r="AG1304" s="93">
        <f>SUM(G1304:R1304)</f>
        <v>-1171.9016187487762</v>
      </c>
      <c r="AH1304" s="93">
        <f t="shared" ref="AH1304" si="3807">SUM(S1304:AD1304)</f>
        <v>-1519.7660115359756</v>
      </c>
    </row>
    <row r="1305" spans="2:34" x14ac:dyDescent="0.2">
      <c r="B1305" s="9">
        <f>G1289</f>
        <v>27</v>
      </c>
      <c r="C1305" s="9" t="str">
        <f t="shared" si="3776"/>
        <v>27 - % of Revenue - Doctor Compensation</v>
      </c>
      <c r="D1305" s="9" t="s">
        <v>56</v>
      </c>
      <c r="F1305" s="16" t="str">
        <f>"% of Revenue - "&amp;F1304</f>
        <v>% of Revenue - Doctor Compensation</v>
      </c>
      <c r="G1305" s="148">
        <f>G1304/G1301</f>
        <v>-0.3674400507185771</v>
      </c>
      <c r="H1305" s="149">
        <f t="shared" ref="H1305:R1305" si="3808">H1304/H1301</f>
        <v>-0.3751590033296448</v>
      </c>
      <c r="I1305" s="149">
        <f t="shared" si="3808"/>
        <v>-0.33794248329220228</v>
      </c>
      <c r="J1305" s="149">
        <f t="shared" si="3808"/>
        <v>-0.32967461629255568</v>
      </c>
      <c r="K1305" s="149">
        <f t="shared" si="3808"/>
        <v>-0.29040908601913706</v>
      </c>
      <c r="L1305" s="149">
        <f t="shared" si="3808"/>
        <v>-0.43346485853694111</v>
      </c>
      <c r="M1305" s="149">
        <f t="shared" si="3808"/>
        <v>-0.31839363484429484</v>
      </c>
      <c r="N1305" s="149">
        <f t="shared" si="3808"/>
        <v>-0.31573329964973967</v>
      </c>
      <c r="O1305" s="149">
        <f t="shared" si="3808"/>
        <v>-0.31569042990034302</v>
      </c>
      <c r="P1305" s="149">
        <f t="shared" si="3808"/>
        <v>-0.30952709707307346</v>
      </c>
      <c r="Q1305" s="149">
        <f t="shared" si="3808"/>
        <v>-0.30938945395705292</v>
      </c>
      <c r="R1305" s="149">
        <f t="shared" si="3808"/>
        <v>-0.47741676032667635</v>
      </c>
      <c r="S1305" s="245">
        <f>_xlfn.XLOOKUP($F1305,'Budget Assumption Driver'!$A$33:$A$39,'Budget Assumption Driver'!E$33:E$39)+G1305</f>
        <v>-0.3674400507185771</v>
      </c>
      <c r="T1305" s="246">
        <f>_xlfn.XLOOKUP($F1305,'Budget Assumption Driver'!$A$33:$A$39,'Budget Assumption Driver'!F$33:F$39)+H1305</f>
        <v>-0.3751590033296448</v>
      </c>
      <c r="U1305" s="246">
        <f>_xlfn.XLOOKUP($F1305,'Budget Assumption Driver'!$A$33:$A$39,'Budget Assumption Driver'!G$33:G$39)+I1305</f>
        <v>-0.33794248329220228</v>
      </c>
      <c r="V1305" s="246">
        <f>_xlfn.XLOOKUP($F1305,'Budget Assumption Driver'!$A$33:$A$39,'Budget Assumption Driver'!H$33:H$39)+J1305</f>
        <v>-0.32967461629255568</v>
      </c>
      <c r="W1305" s="246">
        <f>_xlfn.XLOOKUP($F1305,'Budget Assumption Driver'!$A$33:$A$39,'Budget Assumption Driver'!I$33:I$39)+K1305</f>
        <v>-0.29040908601913706</v>
      </c>
      <c r="X1305" s="246">
        <f>_xlfn.XLOOKUP($F1305,'Budget Assumption Driver'!$A$33:$A$39,'Budget Assumption Driver'!J$33:J$39)+L1305</f>
        <v>-0.43346485853694111</v>
      </c>
      <c r="Y1305" s="246">
        <f>_xlfn.XLOOKUP($F1305,'Budget Assumption Driver'!$A$33:$A$39,'Budget Assumption Driver'!K$33:K$39)+M1305</f>
        <v>-0.31839363484429484</v>
      </c>
      <c r="Z1305" s="246">
        <f>_xlfn.XLOOKUP($F1305,'Budget Assumption Driver'!$A$33:$A$39,'Budget Assumption Driver'!L$33:L$39)+N1305</f>
        <v>-0.31573329964973967</v>
      </c>
      <c r="AA1305" s="246">
        <f>_xlfn.XLOOKUP($F1305,'Budget Assumption Driver'!$A$33:$A$39,'Budget Assumption Driver'!M$33:M$39)+O1305</f>
        <v>-0.31569042990034302</v>
      </c>
      <c r="AB1305" s="246">
        <f>_xlfn.XLOOKUP($F1305,'Budget Assumption Driver'!$A$33:$A$39,'Budget Assumption Driver'!N$33:N$39)+P1305</f>
        <v>-0.30952709707307346</v>
      </c>
      <c r="AC1305" s="246">
        <f>_xlfn.XLOOKUP($F1305,'Budget Assumption Driver'!$A$33:$A$39,'Budget Assumption Driver'!O$33:O$39)+Q1305</f>
        <v>-0.30938945395705292</v>
      </c>
      <c r="AD1305" s="296">
        <f>_xlfn.XLOOKUP($F1305,'Budget Assumption Driver'!$A$33:$A$39,'Budget Assumption Driver'!P$33:P$39)+R1305</f>
        <v>-0.47741676032667635</v>
      </c>
      <c r="AE1305" s="15"/>
      <c r="AF1305" s="232">
        <f>_xlfn.XLOOKUP($C1305,'Site Level Financials - ''23 ''24'!$C$2:$C$1577,'Site Level Financials - ''23 ''24'!$AF$2:$AF$1577)</f>
        <v>-0.33025764053399143</v>
      </c>
      <c r="AG1305" s="97">
        <f t="shared" ref="AG1305:AH1305" si="3809">AG1304/AG1301</f>
        <v>-0.34664067716867952</v>
      </c>
      <c r="AH1305" s="97">
        <f t="shared" si="3809"/>
        <v>-0.3433453308244529</v>
      </c>
    </row>
    <row r="1306" spans="2:34" ht="3" customHeight="1" x14ac:dyDescent="0.2">
      <c r="B1306" s="9">
        <f>G1289</f>
        <v>27</v>
      </c>
      <c r="C1306" s="9" t="str">
        <f t="shared" si="3776"/>
        <v xml:space="preserve">27 - </v>
      </c>
      <c r="D1306" s="9" t="s">
        <v>56</v>
      </c>
      <c r="F1306" s="16"/>
      <c r="G1306" s="84"/>
      <c r="H1306" s="85"/>
      <c r="I1306" s="85"/>
      <c r="J1306" s="85"/>
      <c r="K1306" s="85"/>
      <c r="L1306" s="85"/>
      <c r="M1306" s="85"/>
      <c r="N1306" s="85"/>
      <c r="O1306" s="85"/>
      <c r="P1306" s="85"/>
      <c r="Q1306" s="85"/>
      <c r="R1306" s="85"/>
      <c r="S1306" s="84"/>
      <c r="T1306" s="85"/>
      <c r="U1306" s="85"/>
      <c r="V1306" s="85"/>
      <c r="W1306" s="85"/>
      <c r="X1306" s="85"/>
      <c r="Y1306" s="85"/>
      <c r="Z1306" s="85"/>
      <c r="AA1306" s="85"/>
      <c r="AB1306" s="85"/>
      <c r="AC1306" s="85"/>
      <c r="AD1306" s="86"/>
      <c r="AE1306" s="15"/>
      <c r="AF1306" s="36"/>
      <c r="AG1306" s="38"/>
      <c r="AH1306" s="38"/>
    </row>
    <row r="1307" spans="2:34" x14ac:dyDescent="0.2">
      <c r="B1307" s="9">
        <f>G1289</f>
        <v>27</v>
      </c>
      <c r="C1307" s="9" t="str">
        <f t="shared" si="3776"/>
        <v>27 - Administrative Staff Compensation</v>
      </c>
      <c r="D1307" s="9" t="s">
        <v>56</v>
      </c>
      <c r="F1307" t="s">
        <v>5</v>
      </c>
      <c r="G1307" s="178">
        <f>_xlfn.XLOOKUP($C1307,'Site Level Financials - ''23 ''24'!$C$2:$C$1577,'Site Level Financials - ''23 ''24'!S$2:S$1577)</f>
        <v>-64.186640034186482</v>
      </c>
      <c r="H1307" s="179">
        <f>_xlfn.XLOOKUP($C1307,'Site Level Financials - ''23 ''24'!$C$2:$C$1577,'Site Level Financials - ''23 ''24'!T$2:T$1577)</f>
        <v>-61.639783207726403</v>
      </c>
      <c r="I1307" s="179">
        <f>_xlfn.XLOOKUP($C1307,'Site Level Financials - ''23 ''24'!$C$2:$C$1577,'Site Level Financials - ''23 ''24'!U$2:U$1577)</f>
        <v>-58.939366069678627</v>
      </c>
      <c r="J1307" s="179">
        <f>_xlfn.XLOOKUP($C1307,'Site Level Financials - ''23 ''24'!$C$2:$C$1577,'Site Level Financials - ''23 ''24'!V$2:V$1577)</f>
        <v>-65.274167001154453</v>
      </c>
      <c r="K1307" s="179">
        <f>_xlfn.XLOOKUP($C1307,'Site Level Financials - ''23 ''24'!$C$2:$C$1577,'Site Level Financials - ''23 ''24'!W$2:W$1577)</f>
        <v>-67.039368828347591</v>
      </c>
      <c r="L1307" s="179">
        <f>_xlfn.XLOOKUP($C1307,'Site Level Financials - ''23 ''24'!$C$2:$C$1577,'Site Level Financials - ''23 ''24'!X$2:X$1577)</f>
        <v>-64.528442761965763</v>
      </c>
      <c r="M1307" s="179">
        <f>_xlfn.XLOOKUP($C1307,'Site Level Financials - ''23 ''24'!$C$2:$C$1577,'Site Level Financials - ''23 ''24'!Y$2:Y$1577)</f>
        <v>-63.407877680875792</v>
      </c>
      <c r="N1307" s="179">
        <f>_xlfn.XLOOKUP($C1307,'Site Level Financials - ''23 ''24'!$C$2:$C$1577,'Site Level Financials - ''23 ''24'!Z$2:Z$1577)</f>
        <v>-56.966212320261775</v>
      </c>
      <c r="O1307" s="179">
        <f>_xlfn.XLOOKUP($C1307,'Site Level Financials - ''23 ''24'!$C$2:$C$1577,'Site Level Financials - ''23 ''24'!AA$2:AA$1577)</f>
        <v>-51.631606108537667</v>
      </c>
      <c r="P1307" s="179">
        <f>_xlfn.XLOOKUP($C1307,'Site Level Financials - ''23 ''24'!$C$2:$C$1577,'Site Level Financials - ''23 ''24'!AB$2:AB$1577)</f>
        <v>-59.75044491274712</v>
      </c>
      <c r="Q1307" s="179">
        <f>_xlfn.XLOOKUP($C1307,'Site Level Financials - ''23 ''24'!$C$2:$C$1577,'Site Level Financials - ''23 ''24'!AC$2:AC$1577)</f>
        <v>-53.938286519110541</v>
      </c>
      <c r="R1307" s="179">
        <f>_xlfn.XLOOKUP($C1307,'Site Level Financials - ''23 ''24'!$C$2:$C$1577,'Site Level Financials - ''23 ''24'!AD$2:AD$1577)</f>
        <v>-43.00213206680219</v>
      </c>
      <c r="S1307" s="155">
        <f>S1308*S1301</f>
        <v>-46.408968620502037</v>
      </c>
      <c r="T1307" s="154">
        <f t="shared" ref="T1307" si="3810">T1308*T1301</f>
        <v>-46.754453853095171</v>
      </c>
      <c r="U1307" s="154">
        <f t="shared" ref="U1307" si="3811">U1308*U1301</f>
        <v>-58.046950993601563</v>
      </c>
      <c r="V1307" s="154">
        <f t="shared" ref="V1307" si="3812">V1308*V1301</f>
        <v>-91.332470041782997</v>
      </c>
      <c r="W1307" s="154">
        <f t="shared" ref="W1307" si="3813">W1308*W1301</f>
        <v>-185.64631791224841</v>
      </c>
      <c r="X1307" s="154">
        <f t="shared" ref="X1307" si="3814">X1308*X1301</f>
        <v>-183.25274392778488</v>
      </c>
      <c r="Y1307" s="154">
        <f t="shared" ref="Y1307" si="3815">Y1308*Y1301</f>
        <v>-111.98367988575318</v>
      </c>
      <c r="Z1307" s="154">
        <f t="shared" ref="Z1307" si="3816">Z1308*Z1301</f>
        <v>-94.242507234671265</v>
      </c>
      <c r="AA1307" s="154">
        <f t="shared" ref="AA1307" si="3817">AA1308*AA1301</f>
        <v>-68.516461859650505</v>
      </c>
      <c r="AB1307" s="154">
        <f t="shared" ref="AB1307" si="3818">AB1308*AB1301</f>
        <v>-79.860209221708672</v>
      </c>
      <c r="AC1307" s="154">
        <f t="shared" ref="AC1307" si="3819">AC1308*AC1301</f>
        <v>-62.29685736564808</v>
      </c>
      <c r="AD1307" s="156">
        <f t="shared" ref="AD1307" si="3820">AD1308*AD1301</f>
        <v>-52.349726574059495</v>
      </c>
      <c r="AE1307" s="15"/>
      <c r="AF1307" s="115">
        <f>_xlfn.XLOOKUP($C1307,'Site Level Financials - ''23 ''24'!$C$2:$C$1577,'Site Level Financials - ''23 ''24'!$AF$2:$AF$1577)</f>
        <v>-1094.1374997232253</v>
      </c>
      <c r="AG1307" s="93">
        <f>SUM(G1307:R1307)</f>
        <v>-710.30432751139449</v>
      </c>
      <c r="AH1307" s="93">
        <f t="shared" ref="AH1307" si="3821">SUM(S1307:AD1307)</f>
        <v>-1080.6913474905064</v>
      </c>
    </row>
    <row r="1308" spans="2:34" x14ac:dyDescent="0.2">
      <c r="B1308" s="9">
        <f>G1289</f>
        <v>27</v>
      </c>
      <c r="C1308" s="9" t="str">
        <f t="shared" si="3776"/>
        <v>27 - % of Revenue - Administrative Staff Compensation</v>
      </c>
      <c r="D1308" s="9" t="s">
        <v>56</v>
      </c>
      <c r="F1308" s="16" t="str">
        <f>"% of Revenue - "&amp;F1307</f>
        <v>% of Revenue - Administrative Staff Compensation</v>
      </c>
      <c r="G1308" s="148">
        <f>G1307/G1301</f>
        <v>-0.14505158056618164</v>
      </c>
      <c r="H1308" s="149">
        <f t="shared" ref="H1308:R1308" si="3822">H1307/H1301</f>
        <v>-0.14112446875817958</v>
      </c>
      <c r="I1308" s="149">
        <f t="shared" si="3822"/>
        <v>-0.16316976913905751</v>
      </c>
      <c r="J1308" s="149">
        <f t="shared" si="3822"/>
        <v>-0.23967929446766109</v>
      </c>
      <c r="K1308" s="149">
        <f t="shared" si="3822"/>
        <v>-0.40990970240245334</v>
      </c>
      <c r="L1308" s="149">
        <f t="shared" si="3822"/>
        <v>-0.4818401444464554</v>
      </c>
      <c r="M1308" s="149">
        <f t="shared" si="3822"/>
        <v>-0.24594277392808392</v>
      </c>
      <c r="N1308" s="149">
        <f t="shared" si="3822"/>
        <v>-0.24137744114206841</v>
      </c>
      <c r="O1308" s="149">
        <f t="shared" si="3822"/>
        <v>-0.19140471271219564</v>
      </c>
      <c r="P1308" s="149">
        <f t="shared" si="3822"/>
        <v>-0.19424949008250064</v>
      </c>
      <c r="Q1308" s="149">
        <f t="shared" si="3822"/>
        <v>-0.19169498948132241</v>
      </c>
      <c r="R1308" s="149">
        <f t="shared" si="3822"/>
        <v>-0.19735847050982921</v>
      </c>
      <c r="S1308" s="245">
        <f>_xlfn.XLOOKUP($F1308,'Budget Assumption Driver'!$A$33:$A$39,'Budget Assumption Driver'!E$33:E$39)+G1308</f>
        <v>-0.14505158056618164</v>
      </c>
      <c r="T1308" s="246">
        <f>_xlfn.XLOOKUP($F1308,'Budget Assumption Driver'!$A$33:$A$39,'Budget Assumption Driver'!F$33:F$39)+H1308</f>
        <v>-0.14112446875817958</v>
      </c>
      <c r="U1308" s="246">
        <f>_xlfn.XLOOKUP($F1308,'Budget Assumption Driver'!$A$33:$A$39,'Budget Assumption Driver'!G$33:G$39)+I1308</f>
        <v>-0.16316976913905751</v>
      </c>
      <c r="V1308" s="246">
        <f>_xlfn.XLOOKUP($F1308,'Budget Assumption Driver'!$A$33:$A$39,'Budget Assumption Driver'!H$33:H$39)+J1308</f>
        <v>-0.23967929446766109</v>
      </c>
      <c r="W1308" s="246">
        <f>_xlfn.XLOOKUP($F1308,'Budget Assumption Driver'!$A$33:$A$39,'Budget Assumption Driver'!I$33:I$39)+K1308</f>
        <v>-0.40990970240245334</v>
      </c>
      <c r="X1308" s="246">
        <f>_xlfn.XLOOKUP($F1308,'Budget Assumption Driver'!$A$33:$A$39,'Budget Assumption Driver'!J$33:J$39)+L1308</f>
        <v>-0.4818401444464554</v>
      </c>
      <c r="Y1308" s="246">
        <f>_xlfn.XLOOKUP($F1308,'Budget Assumption Driver'!$A$33:$A$39,'Budget Assumption Driver'!K$33:K$39)+M1308</f>
        <v>-0.24594277392808392</v>
      </c>
      <c r="Z1308" s="246">
        <f>_xlfn.XLOOKUP($F1308,'Budget Assumption Driver'!$A$33:$A$39,'Budget Assumption Driver'!L$33:L$39)+N1308</f>
        <v>-0.24137744114206841</v>
      </c>
      <c r="AA1308" s="246">
        <f>_xlfn.XLOOKUP($F1308,'Budget Assumption Driver'!$A$33:$A$39,'Budget Assumption Driver'!M$33:M$39)+O1308</f>
        <v>-0.19140471271219564</v>
      </c>
      <c r="AB1308" s="246">
        <f>_xlfn.XLOOKUP($F1308,'Budget Assumption Driver'!$A$33:$A$39,'Budget Assumption Driver'!N$33:N$39)+P1308</f>
        <v>-0.19424949008250064</v>
      </c>
      <c r="AC1308" s="246">
        <f>_xlfn.XLOOKUP($F1308,'Budget Assumption Driver'!$A$33:$A$39,'Budget Assumption Driver'!O$33:O$39)+Q1308</f>
        <v>-0.19169498948132241</v>
      </c>
      <c r="AD1308" s="296">
        <f>_xlfn.XLOOKUP($F1308,'Budget Assumption Driver'!$A$33:$A$39,'Budget Assumption Driver'!P$33:P$39)+R1308</f>
        <v>-0.19735847050982921</v>
      </c>
      <c r="AE1308" s="15"/>
      <c r="AF1308" s="232">
        <f>_xlfn.XLOOKUP($C1308,'Site Level Financials - ''23 ''24'!$C$2:$C$1577,'Site Level Financials - ''23 ''24'!$AF$2:$AF$1577)</f>
        <v>-0.19681211631979423</v>
      </c>
      <c r="AG1308" s="97">
        <f t="shared" ref="AG1308:AH1308" si="3823">AG1307/AG1301</f>
        <v>-0.21010327927294747</v>
      </c>
      <c r="AH1308" s="97">
        <f t="shared" si="3823"/>
        <v>-0.24414964238359549</v>
      </c>
    </row>
    <row r="1309" spans="2:34" ht="3" customHeight="1" x14ac:dyDescent="0.2">
      <c r="B1309" s="9">
        <f>G1289</f>
        <v>27</v>
      </c>
      <c r="C1309" s="9" t="str">
        <f t="shared" si="3776"/>
        <v xml:space="preserve">27 - </v>
      </c>
      <c r="D1309" s="9" t="s">
        <v>56</v>
      </c>
      <c r="F1309" s="16"/>
      <c r="G1309" s="84"/>
      <c r="H1309" s="85"/>
      <c r="I1309" s="85"/>
      <c r="J1309" s="85"/>
      <c r="K1309" s="85"/>
      <c r="L1309" s="85"/>
      <c r="M1309" s="85"/>
      <c r="N1309" s="85"/>
      <c r="O1309" s="85"/>
      <c r="P1309" s="85"/>
      <c r="Q1309" s="85"/>
      <c r="R1309" s="85"/>
      <c r="S1309" s="84"/>
      <c r="T1309" s="85"/>
      <c r="U1309" s="85"/>
      <c r="V1309" s="85"/>
      <c r="W1309" s="85"/>
      <c r="X1309" s="85"/>
      <c r="Y1309" s="85"/>
      <c r="Z1309" s="85"/>
      <c r="AA1309" s="85"/>
      <c r="AB1309" s="85"/>
      <c r="AC1309" s="85"/>
      <c r="AD1309" s="86"/>
      <c r="AE1309" s="15"/>
      <c r="AF1309" s="36"/>
      <c r="AG1309" s="38"/>
      <c r="AH1309" s="38"/>
    </row>
    <row r="1310" spans="2:34" x14ac:dyDescent="0.2">
      <c r="B1310" s="9">
        <f>G1289</f>
        <v>27</v>
      </c>
      <c r="C1310" s="9" t="str">
        <f t="shared" si="3776"/>
        <v>27 - Office Supplies</v>
      </c>
      <c r="D1310" s="9" t="s">
        <v>56</v>
      </c>
      <c r="F1310" t="s">
        <v>6</v>
      </c>
      <c r="G1310" s="178">
        <f>_xlfn.XLOOKUP($C1310,'Site Level Financials - ''23 ''24'!$C$2:$C$1577,'Site Level Financials - ''23 ''24'!S$2:S$1577)</f>
        <v>-19.66503707091827</v>
      </c>
      <c r="H1310" s="179">
        <f>_xlfn.XLOOKUP($C1310,'Site Level Financials - ''23 ''24'!$C$2:$C$1577,'Site Level Financials - ''23 ''24'!T$2:T$1577)</f>
        <v>-19.990624182073809</v>
      </c>
      <c r="I1310" s="179">
        <f>_xlfn.XLOOKUP($C1310,'Site Level Financials - ''23 ''24'!$C$2:$C$1577,'Site Level Financials - ''23 ''24'!U$2:U$1577)</f>
        <v>-22.09904496922988</v>
      </c>
      <c r="J1310" s="179">
        <f>_xlfn.XLOOKUP($C1310,'Site Level Financials - ''23 ''24'!$C$2:$C$1577,'Site Level Financials - ''23 ''24'!V$2:V$1577)</f>
        <v>-25.663450034333806</v>
      </c>
      <c r="K1310" s="179">
        <f>_xlfn.XLOOKUP($C1310,'Site Level Financials - ''23 ''24'!$C$2:$C$1577,'Site Level Financials - ''23 ''24'!W$2:W$1577)</f>
        <v>-29.17259637702065</v>
      </c>
      <c r="L1310" s="179">
        <f>_xlfn.XLOOKUP($C1310,'Site Level Financials - ''23 ''24'!$C$2:$C$1577,'Site Level Financials - ''23 ''24'!X$2:X$1577)</f>
        <v>-26.501564562565459</v>
      </c>
      <c r="M1310" s="179">
        <f>_xlfn.XLOOKUP($C1310,'Site Level Financials - ''23 ''24'!$C$2:$C$1577,'Site Level Financials - ''23 ''24'!Y$2:Y$1577)</f>
        <v>-26.085457330542333</v>
      </c>
      <c r="N1310" s="179">
        <f>_xlfn.XLOOKUP($C1310,'Site Level Financials - ''23 ''24'!$C$2:$C$1577,'Site Level Financials - ''23 ''24'!Z$2:Z$1577)</f>
        <v>-25.379148115527531</v>
      </c>
      <c r="O1310" s="179">
        <f>_xlfn.XLOOKUP($C1310,'Site Level Financials - ''23 ''24'!$C$2:$C$1577,'Site Level Financials - ''23 ''24'!AA$2:AA$1577)</f>
        <v>-20.443082633535443</v>
      </c>
      <c r="P1310" s="179">
        <f>_xlfn.XLOOKUP($C1310,'Site Level Financials - ''23 ''24'!$C$2:$C$1577,'Site Level Financials - ''23 ''24'!AB$2:AB$1577)</f>
        <v>-21.601754466023042</v>
      </c>
      <c r="Q1310" s="179">
        <f>_xlfn.XLOOKUP($C1310,'Site Level Financials - ''23 ''24'!$C$2:$C$1577,'Site Level Financials - ''23 ''24'!AC$2:AC$1577)</f>
        <v>-19.332463084828905</v>
      </c>
      <c r="R1310" s="179">
        <f>_xlfn.XLOOKUP($C1310,'Site Level Financials - ''23 ''24'!$C$2:$C$1577,'Site Level Financials - ''23 ''24'!AD$2:AD$1577)</f>
        <v>-15.931739675258001</v>
      </c>
      <c r="S1310" s="155">
        <f>S1311*S1301</f>
        <v>-14.218443088143838</v>
      </c>
      <c r="T1310" s="154">
        <f t="shared" ref="T1310" si="3824">T1311*T1301</f>
        <v>-15.163108420832051</v>
      </c>
      <c r="U1310" s="154">
        <f t="shared" ref="U1310" si="3825">U1311*U1301</f>
        <v>-21.764438029716299</v>
      </c>
      <c r="V1310" s="154">
        <f t="shared" ref="V1310" si="3826">V1311*V1301</f>
        <v>-35.908635668811101</v>
      </c>
      <c r="W1310" s="154">
        <f t="shared" ref="W1310" si="3827">W1311*W1301</f>
        <v>-80.785144549929257</v>
      </c>
      <c r="X1310" s="154">
        <f t="shared" ref="X1310" si="3828">X1311*X1301</f>
        <v>-75.261144025808818</v>
      </c>
      <c r="Y1310" s="154">
        <f t="shared" ref="Y1310" si="3829">Y1311*Y1301</f>
        <v>-46.06912595432857</v>
      </c>
      <c r="Z1310" s="154">
        <f t="shared" ref="Z1310" si="3830">Z1311*Z1301</f>
        <v>-41.986195895223354</v>
      </c>
      <c r="AA1310" s="154">
        <f t="shared" ref="AA1310" si="3831">AA1311*AA1301</f>
        <v>-27.128493516352201</v>
      </c>
      <c r="AB1310" s="154">
        <f t="shared" ref="AB1310" si="3832">AB1311*AB1301</f>
        <v>-28.872096830939977</v>
      </c>
      <c r="AC1310" s="154">
        <f t="shared" ref="AC1310" si="3833">AC1311*AC1301</f>
        <v>-22.328326927766543</v>
      </c>
      <c r="AD1310" s="156">
        <f t="shared" ref="AD1310" si="3834">AD1311*AD1301</f>
        <v>-19.39490382833181</v>
      </c>
      <c r="AE1310" s="15"/>
      <c r="AF1310" s="115">
        <f>_xlfn.XLOOKUP($C1310,'Site Level Financials - ''23 ''24'!$C$2:$C$1577,'Site Level Financials - ''23 ''24'!$AF$2:$AF$1577)</f>
        <v>-269.9236971362925</v>
      </c>
      <c r="AG1310" s="93">
        <f>SUM(G1310:R1310)</f>
        <v>-271.8659625018571</v>
      </c>
      <c r="AH1310" s="93">
        <f t="shared" ref="AH1310" si="3835">SUM(S1310:AD1310)</f>
        <v>-428.88005673618386</v>
      </c>
    </row>
    <row r="1311" spans="2:34" x14ac:dyDescent="0.2">
      <c r="B1311" s="9">
        <f>G1289</f>
        <v>27</v>
      </c>
      <c r="C1311" s="9" t="str">
        <f t="shared" si="3776"/>
        <v>27 - % of Revenue - Office Supplies</v>
      </c>
      <c r="D1311" s="9" t="s">
        <v>56</v>
      </c>
      <c r="F1311" s="16" t="str">
        <f>"% of Revenue - "&amp;F1310</f>
        <v>% of Revenue - Office Supplies</v>
      </c>
      <c r="G1311" s="148">
        <f>G1310/G1301</f>
        <v>-4.4439850839832214E-2</v>
      </c>
      <c r="H1311" s="149">
        <f t="shared" ref="H1311:R1311" si="3836">H1310/H1301</f>
        <v>-4.5768594096644355E-2</v>
      </c>
      <c r="I1311" s="149">
        <f t="shared" si="3836"/>
        <v>-6.117975652401772E-2</v>
      </c>
      <c r="J1311" s="149">
        <f t="shared" si="3836"/>
        <v>-9.4233260728189938E-2</v>
      </c>
      <c r="K1311" s="149">
        <f t="shared" si="3836"/>
        <v>-0.17837474469411962</v>
      </c>
      <c r="L1311" s="149">
        <f t="shared" si="3836"/>
        <v>-0.19788975450698756</v>
      </c>
      <c r="M1311" s="149">
        <f t="shared" si="3836"/>
        <v>-0.10117874891420969</v>
      </c>
      <c r="N1311" s="149">
        <f t="shared" si="3836"/>
        <v>-0.10753661830370105</v>
      </c>
      <c r="O1311" s="149">
        <f t="shared" si="3836"/>
        <v>-7.5785021101183597E-2</v>
      </c>
      <c r="P1311" s="149">
        <f t="shared" si="3836"/>
        <v>-7.0227590707314672E-2</v>
      </c>
      <c r="Q1311" s="149">
        <f t="shared" si="3836"/>
        <v>-6.8706971371463629E-2</v>
      </c>
      <c r="R1311" s="149">
        <f t="shared" si="3836"/>
        <v>-7.3118787923937986E-2</v>
      </c>
      <c r="S1311" s="245">
        <f>_xlfn.XLOOKUP($F1311,'Budget Assumption Driver'!$A$33:$A$39,'Budget Assumption Driver'!E$33:E$39)+G1311</f>
        <v>-4.4439850839832214E-2</v>
      </c>
      <c r="T1311" s="246">
        <f>_xlfn.XLOOKUP($F1311,'Budget Assumption Driver'!$A$33:$A$39,'Budget Assumption Driver'!F$33:F$39)+H1311</f>
        <v>-4.5768594096644355E-2</v>
      </c>
      <c r="U1311" s="246">
        <f>_xlfn.XLOOKUP($F1311,'Budget Assumption Driver'!$A$33:$A$39,'Budget Assumption Driver'!G$33:G$39)+I1311</f>
        <v>-6.117975652401772E-2</v>
      </c>
      <c r="V1311" s="246">
        <f>_xlfn.XLOOKUP($F1311,'Budget Assumption Driver'!$A$33:$A$39,'Budget Assumption Driver'!H$33:H$39)+J1311</f>
        <v>-9.4233260728189938E-2</v>
      </c>
      <c r="W1311" s="246">
        <f>_xlfn.XLOOKUP($F1311,'Budget Assumption Driver'!$A$33:$A$39,'Budget Assumption Driver'!I$33:I$39)+K1311</f>
        <v>-0.17837474469411962</v>
      </c>
      <c r="X1311" s="246">
        <f>_xlfn.XLOOKUP($F1311,'Budget Assumption Driver'!$A$33:$A$39,'Budget Assumption Driver'!J$33:J$39)+L1311</f>
        <v>-0.19788975450698756</v>
      </c>
      <c r="Y1311" s="246">
        <f>_xlfn.XLOOKUP($F1311,'Budget Assumption Driver'!$A$33:$A$39,'Budget Assumption Driver'!K$33:K$39)+M1311</f>
        <v>-0.10117874891420969</v>
      </c>
      <c r="Z1311" s="246">
        <f>_xlfn.XLOOKUP($F1311,'Budget Assumption Driver'!$A$33:$A$39,'Budget Assumption Driver'!L$33:L$39)+N1311</f>
        <v>-0.10753661830370105</v>
      </c>
      <c r="AA1311" s="246">
        <f>_xlfn.XLOOKUP($F1311,'Budget Assumption Driver'!$A$33:$A$39,'Budget Assumption Driver'!M$33:M$39)+O1311</f>
        <v>-7.5785021101183597E-2</v>
      </c>
      <c r="AB1311" s="246">
        <f>_xlfn.XLOOKUP($F1311,'Budget Assumption Driver'!$A$33:$A$39,'Budget Assumption Driver'!N$33:N$39)+P1311</f>
        <v>-7.0227590707314672E-2</v>
      </c>
      <c r="AC1311" s="246">
        <f>_xlfn.XLOOKUP($F1311,'Budget Assumption Driver'!$A$33:$A$39,'Budget Assumption Driver'!O$33:O$39)+Q1311</f>
        <v>-6.8706971371463629E-2</v>
      </c>
      <c r="AD1311" s="296">
        <f>_xlfn.XLOOKUP($F1311,'Budget Assumption Driver'!$A$33:$A$39,'Budget Assumption Driver'!P$33:P$39)+R1311</f>
        <v>-7.3118787923937986E-2</v>
      </c>
      <c r="AE1311" s="15"/>
      <c r="AF1311" s="232">
        <f>_xlfn.XLOOKUP($C1311,'Site Level Financials - ''23 ''24'!$C$2:$C$1577,'Site Level Financials - ''23 ''24'!$AF$2:$AF$1577)</f>
        <v>-4.8553544770831181E-2</v>
      </c>
      <c r="AG1311" s="97">
        <f t="shared" ref="AG1311:AH1311" si="3837">AG1310/AG1301</f>
        <v>-8.0416137185113853E-2</v>
      </c>
      <c r="AH1311" s="97">
        <f t="shared" si="3837"/>
        <v>-9.6892524142759728E-2</v>
      </c>
    </row>
    <row r="1312" spans="2:34" ht="6" customHeight="1" x14ac:dyDescent="0.2">
      <c r="B1312" s="9">
        <f>G1289</f>
        <v>27</v>
      </c>
      <c r="C1312" s="9" t="str">
        <f t="shared" si="3776"/>
        <v xml:space="preserve">27 - </v>
      </c>
      <c r="D1312" s="9" t="s">
        <v>56</v>
      </c>
      <c r="F1312" s="16"/>
      <c r="G1312" s="80"/>
      <c r="H1312" s="63"/>
      <c r="I1312" s="63"/>
      <c r="J1312" s="63"/>
      <c r="K1312" s="63"/>
      <c r="L1312" s="63"/>
      <c r="M1312" s="63"/>
      <c r="N1312" s="63"/>
      <c r="O1312" s="63"/>
      <c r="P1312" s="63"/>
      <c r="Q1312" s="63"/>
      <c r="R1312" s="63"/>
      <c r="S1312" s="80"/>
      <c r="T1312" s="63"/>
      <c r="U1312" s="63"/>
      <c r="V1312" s="63"/>
      <c r="W1312" s="63"/>
      <c r="X1312" s="63"/>
      <c r="Y1312" s="63"/>
      <c r="Z1312" s="63"/>
      <c r="AA1312" s="63"/>
      <c r="AB1312" s="63"/>
      <c r="AC1312" s="63"/>
      <c r="AD1312" s="81"/>
      <c r="AE1312" s="15"/>
      <c r="AF1312" s="11"/>
      <c r="AG1312" s="15"/>
      <c r="AH1312" s="15"/>
    </row>
    <row r="1313" spans="2:34" x14ac:dyDescent="0.2">
      <c r="B1313" s="9">
        <f>G1289</f>
        <v>27</v>
      </c>
      <c r="C1313" s="9" t="str">
        <f t="shared" si="3776"/>
        <v>27 - Office Gross Profit</v>
      </c>
      <c r="D1313" s="9" t="s">
        <v>56</v>
      </c>
      <c r="F1313" s="8" t="s">
        <v>11</v>
      </c>
      <c r="G1313" s="241">
        <f>_xlfn.XLOOKUP($C1313,'Site Level Financials - ''23 ''24'!$C$2:$C$1577,'Site Level Financials - ''23 ''24'!S$2:S$1577)</f>
        <v>196.06183783963459</v>
      </c>
      <c r="H1313" s="242">
        <f>_xlfn.XLOOKUP($C1313,'Site Level Financials - ''23 ''24'!$C$2:$C$1577,'Site Level Financials - ''23 ''24'!T$2:T$1577)</f>
        <v>191.28515369590309</v>
      </c>
      <c r="I1313" s="242">
        <f>_xlfn.XLOOKUP($C1313,'Site Level Financials - ''23 ''24'!$C$2:$C$1577,'Site Level Financials - ''23 ''24'!U$2:U$1577)</f>
        <v>158.10668637903504</v>
      </c>
      <c r="J1313" s="242">
        <f>_xlfn.XLOOKUP($C1313,'Site Level Financials - ''23 ''24'!$C$2:$C$1577,'Site Level Financials - ''23 ''24'!V$2:V$1577)</f>
        <v>91.618540510011869</v>
      </c>
      <c r="K1313" s="242">
        <f>_xlfn.XLOOKUP($C1313,'Site Level Financials - ''23 ''24'!$C$2:$C$1577,'Site Level Financials - ''23 ''24'!W$2:W$1577)</f>
        <v>19.839269300181801</v>
      </c>
      <c r="L1313" s="242">
        <f>_xlfn.XLOOKUP($C1313,'Site Level Financials - ''23 ''24'!$C$2:$C$1577,'Site Level Financials - ''23 ''24'!X$2:X$1577)</f>
        <v>-15.15913838616353</v>
      </c>
      <c r="M1313" s="242">
        <f>_xlfn.XLOOKUP($C1313,'Site Level Financials - ''23 ''24'!$C$2:$C$1577,'Site Level Financials - ''23 ''24'!Y$2:Y$1577)</f>
        <v>86.235401954592646</v>
      </c>
      <c r="N1313" s="242">
        <f>_xlfn.XLOOKUP($C1313,'Site Level Financials - ''23 ''24'!$C$2:$C$1577,'Site Level Financials - ''23 ''24'!Z$2:Z$1577)</f>
        <v>79.14480182380322</v>
      </c>
      <c r="O1313" s="242">
        <f>_xlfn.XLOOKUP($C1313,'Site Level Financials - ''23 ''24'!$C$2:$C$1577,'Site Level Financials - ''23 ''24'!AA$2:AA$1577)</f>
        <v>112.51847868330246</v>
      </c>
      <c r="P1313" s="242">
        <f>_xlfn.XLOOKUP($C1313,'Site Level Financials - ''23 ''24'!$C$2:$C$1577,'Site Level Financials - ''23 ''24'!AB$2:AB$1577)</f>
        <v>131.03478363239682</v>
      </c>
      <c r="Q1313" s="242">
        <f>_xlfn.XLOOKUP($C1313,'Site Level Financials - ''23 ''24'!$C$2:$C$1577,'Site Level Financials - ''23 ''24'!AC$2:AC$1577)</f>
        <v>121.05018495138606</v>
      </c>
      <c r="R1313" s="242">
        <f>_xlfn.XLOOKUP($C1313,'Site Level Financials - ''23 ''24'!$C$2:$C$1577,'Site Level Financials - ''23 ''24'!AD$2:AD$1577)</f>
        <v>54.930982552148592</v>
      </c>
      <c r="S1313" s="134">
        <f t="shared" ref="S1313:AD1313" si="3838">S1301+S1304+S1307+S1310</f>
        <v>141.75890302298615</v>
      </c>
      <c r="T1313" s="135">
        <f t="shared" si="3838"/>
        <v>145.09189399835978</v>
      </c>
      <c r="U1313" s="135">
        <f t="shared" si="3838"/>
        <v>155.71275512455844</v>
      </c>
      <c r="V1313" s="135">
        <f t="shared" si="3838"/>
        <v>128.19386276127506</v>
      </c>
      <c r="W1313" s="135">
        <f t="shared" si="3838"/>
        <v>54.939170222182426</v>
      </c>
      <c r="X1313" s="135">
        <f t="shared" si="3838"/>
        <v>-43.050065768561467</v>
      </c>
      <c r="Y1313" s="135">
        <f t="shared" si="3838"/>
        <v>152.29902025588461</v>
      </c>
      <c r="Z1313" s="135">
        <f t="shared" si="3838"/>
        <v>130.93383348946028</v>
      </c>
      <c r="AA1313" s="135">
        <f t="shared" si="3838"/>
        <v>149.31489903692125</v>
      </c>
      <c r="AB1313" s="135">
        <f t="shared" si="3838"/>
        <v>175.1361893871364</v>
      </c>
      <c r="AC1313" s="135">
        <f t="shared" si="3838"/>
        <v>139.80878134365642</v>
      </c>
      <c r="AD1313" s="136">
        <f t="shared" si="3838"/>
        <v>66.871612611724501</v>
      </c>
      <c r="AE1313" s="15"/>
      <c r="AF1313" s="114">
        <f>_xlfn.XLOOKUP($C1313,'Site Level Financials - ''23 ''24'!$C$2:$C$1577,'Site Level Financials - ''23 ''24'!$AF$2:$AF$1577)</f>
        <v>2359.2371668153223</v>
      </c>
      <c r="AG1313" s="95">
        <f>SUM(G1313:R1313)</f>
        <v>1226.6669829362324</v>
      </c>
      <c r="AH1313" s="95">
        <f t="shared" ref="AH1313" si="3839">SUM(S1313:AD1313)</f>
        <v>1397.0108554855838</v>
      </c>
    </row>
    <row r="1314" spans="2:34" x14ac:dyDescent="0.2">
      <c r="B1314" s="9">
        <f>G1289</f>
        <v>27</v>
      </c>
      <c r="C1314" s="9" t="str">
        <f t="shared" si="3776"/>
        <v>27 - % of Revenue - Office Gross Profit</v>
      </c>
      <c r="D1314" s="9" t="s">
        <v>56</v>
      </c>
      <c r="F1314" s="16" t="str">
        <f>"% of Revenue - "&amp;F1313</f>
        <v>% of Revenue - Office Gross Profit</v>
      </c>
      <c r="G1314" s="148">
        <f>G1313/G1301</f>
        <v>0.44306851787540902</v>
      </c>
      <c r="H1314" s="149">
        <f t="shared" ref="H1314:AD1314" si="3840">H1313/H1301</f>
        <v>0.43794793381553127</v>
      </c>
      <c r="I1314" s="149">
        <f t="shared" si="3840"/>
        <v>0.43770799104472252</v>
      </c>
      <c r="J1314" s="149">
        <f t="shared" si="3840"/>
        <v>0.33641282851159326</v>
      </c>
      <c r="K1314" s="149">
        <f t="shared" si="3840"/>
        <v>0.12130646688429</v>
      </c>
      <c r="L1314" s="149">
        <f t="shared" si="3840"/>
        <v>-0.11319475749038405</v>
      </c>
      <c r="M1314" s="149">
        <f t="shared" si="3840"/>
        <v>0.33448484231341152</v>
      </c>
      <c r="N1314" s="149">
        <f t="shared" si="3840"/>
        <v>0.33535264090449085</v>
      </c>
      <c r="O1314" s="149">
        <f t="shared" si="3840"/>
        <v>0.41711983628627786</v>
      </c>
      <c r="P1314" s="149">
        <f t="shared" si="3840"/>
        <v>0.42599582213711124</v>
      </c>
      <c r="Q1314" s="149">
        <f t="shared" si="3840"/>
        <v>0.43020858519016103</v>
      </c>
      <c r="R1314" s="149">
        <f t="shared" si="3840"/>
        <v>0.25210598123955646</v>
      </c>
      <c r="S1314" s="148">
        <f t="shared" si="3840"/>
        <v>0.44306851787540907</v>
      </c>
      <c r="T1314" s="149">
        <f t="shared" si="3840"/>
        <v>0.43794793381553115</v>
      </c>
      <c r="U1314" s="149">
        <f t="shared" si="3840"/>
        <v>0.43770799104472247</v>
      </c>
      <c r="V1314" s="149">
        <f t="shared" si="3840"/>
        <v>0.33641282851159332</v>
      </c>
      <c r="W1314" s="149">
        <f t="shared" si="3840"/>
        <v>0.12130646688428995</v>
      </c>
      <c r="X1314" s="149">
        <f t="shared" si="3840"/>
        <v>-0.11319475749038407</v>
      </c>
      <c r="Y1314" s="149">
        <f t="shared" si="3840"/>
        <v>0.33448484231341152</v>
      </c>
      <c r="Z1314" s="149">
        <f t="shared" si="3840"/>
        <v>0.33535264090449074</v>
      </c>
      <c r="AA1314" s="149">
        <f t="shared" si="3840"/>
        <v>0.41711983628627769</v>
      </c>
      <c r="AB1314" s="149">
        <f t="shared" si="3840"/>
        <v>0.42599582213711129</v>
      </c>
      <c r="AC1314" s="149">
        <f t="shared" si="3840"/>
        <v>0.43020858519016103</v>
      </c>
      <c r="AD1314" s="150">
        <f t="shared" si="3840"/>
        <v>0.25210598123955646</v>
      </c>
      <c r="AE1314" s="15"/>
      <c r="AF1314" s="233">
        <f>_xlfn.XLOOKUP($C1314,'Site Level Financials - ''23 ''24'!$C$2:$C$1577,'Site Level Financials - ''23 ''24'!$AF$2:$AF$1577)</f>
        <v>0.42437669837538305</v>
      </c>
      <c r="AG1314" s="97">
        <f t="shared" ref="AG1314:AH1314" si="3841">AG1313/AG1301</f>
        <v>0.36283990637325908</v>
      </c>
      <c r="AH1314" s="97">
        <f t="shared" si="3841"/>
        <v>0.31561250264919177</v>
      </c>
    </row>
    <row r="1315" spans="2:34" ht="6" customHeight="1" x14ac:dyDescent="0.2">
      <c r="B1315" s="9">
        <f>G1289</f>
        <v>27</v>
      </c>
      <c r="C1315" s="9" t="str">
        <f t="shared" si="3776"/>
        <v xml:space="preserve">27 - </v>
      </c>
      <c r="D1315" s="9" t="s">
        <v>56</v>
      </c>
      <c r="F1315" s="16"/>
      <c r="G1315" s="80"/>
      <c r="H1315" s="63"/>
      <c r="I1315" s="63"/>
      <c r="J1315" s="63"/>
      <c r="K1315" s="63"/>
      <c r="L1315" s="63"/>
      <c r="M1315" s="63"/>
      <c r="N1315" s="63"/>
      <c r="O1315" s="63"/>
      <c r="P1315" s="63"/>
      <c r="Q1315" s="63"/>
      <c r="R1315" s="63"/>
      <c r="S1315" s="80"/>
      <c r="T1315" s="63"/>
      <c r="U1315" s="63"/>
      <c r="V1315" s="63"/>
      <c r="W1315" s="63"/>
      <c r="X1315" s="63"/>
      <c r="Y1315" s="63"/>
      <c r="Z1315" s="63"/>
      <c r="AA1315" s="63"/>
      <c r="AB1315" s="63"/>
      <c r="AC1315" s="63"/>
      <c r="AD1315" s="81"/>
      <c r="AE1315" s="15"/>
      <c r="AF1315" s="11"/>
      <c r="AG1315" s="15"/>
      <c r="AH1315" s="15"/>
    </row>
    <row r="1316" spans="2:34" x14ac:dyDescent="0.2">
      <c r="B1316" s="9">
        <f>G1289</f>
        <v>27</v>
      </c>
      <c r="C1316" s="9" t="str">
        <f t="shared" si="3776"/>
        <v>27 - General and Administrative Expense</v>
      </c>
      <c r="D1316" s="9" t="s">
        <v>56</v>
      </c>
      <c r="F1316" t="s">
        <v>10</v>
      </c>
      <c r="G1316" s="178">
        <f>_xlfn.XLOOKUP($C1316,'Site Level Financials - ''23 ''24'!$C$2:$C$1577,'Site Level Financials - ''23 ''24'!S$2:S$1577)</f>
        <v>-36.947953598558932</v>
      </c>
      <c r="H1316" s="179">
        <f>_xlfn.XLOOKUP($C1316,'Site Level Financials - ''23 ''24'!$C$2:$C$1577,'Site Level Financials - ''23 ''24'!T$2:T$1577)</f>
        <v>-36.709241060564764</v>
      </c>
      <c r="I1316" s="179">
        <f>_xlfn.XLOOKUP($C1316,'Site Level Financials - ''23 ''24'!$C$2:$C$1577,'Site Level Financials - ''23 ''24'!U$2:U$1577)</f>
        <v>-39.019419932450568</v>
      </c>
      <c r="J1316" s="179">
        <f>_xlfn.XLOOKUP($C1316,'Site Level Financials - ''23 ''24'!$C$2:$C$1577,'Site Level Financials - ''23 ''24'!V$2:V$1577)</f>
        <v>-42.844593653407486</v>
      </c>
      <c r="K1316" s="179">
        <f>_xlfn.XLOOKUP($C1316,'Site Level Financials - ''23 ''24'!$C$2:$C$1577,'Site Level Financials - ''23 ''24'!W$2:W$1577)</f>
        <v>-54.314228956406673</v>
      </c>
      <c r="L1316" s="179">
        <f>_xlfn.XLOOKUP($C1316,'Site Level Financials - ''23 ''24'!$C$2:$C$1577,'Site Level Financials - ''23 ''24'!X$2:X$1577)</f>
        <v>-43.078530085810151</v>
      </c>
      <c r="M1316" s="179">
        <f>_xlfn.XLOOKUP($C1316,'Site Level Financials - ''23 ''24'!$C$2:$C$1577,'Site Level Financials - ''23 ''24'!Y$2:Y$1577)</f>
        <v>-41.246286947514484</v>
      </c>
      <c r="N1316" s="179">
        <f>_xlfn.XLOOKUP($C1316,'Site Level Financials - ''23 ''24'!$C$2:$C$1577,'Site Level Financials - ''23 ''24'!Z$2:Z$1577)</f>
        <v>-37.441601830100062</v>
      </c>
      <c r="O1316" s="179">
        <f>_xlfn.XLOOKUP($C1316,'Site Level Financials - ''23 ''24'!$C$2:$C$1577,'Site Level Financials - ''23 ''24'!AA$2:AA$1577)</f>
        <v>-27.874324250815974</v>
      </c>
      <c r="P1316" s="179">
        <f>_xlfn.XLOOKUP($C1316,'Site Level Financials - ''23 ''24'!$C$2:$C$1577,'Site Level Financials - ''23 ''24'!AB$2:AB$1577)</f>
        <v>-31.441787075266834</v>
      </c>
      <c r="Q1316" s="179">
        <f>_xlfn.XLOOKUP($C1316,'Site Level Financials - ''23 ''24'!$C$2:$C$1577,'Site Level Financials - ''23 ''24'!AC$2:AC$1577)</f>
        <v>-28.472721290416313</v>
      </c>
      <c r="R1316" s="179">
        <f>_xlfn.XLOOKUP($C1316,'Site Level Financials - ''23 ''24'!$C$2:$C$1577,'Site Level Financials - ''23 ''24'!AD$2:AD$1577)</f>
        <v>-22.599677629331605</v>
      </c>
      <c r="S1316" s="155">
        <f>S1317*S1301</f>
        <v>-26.714537764151711</v>
      </c>
      <c r="T1316" s="154">
        <f t="shared" ref="T1316" si="3842">T1317*T1301</f>
        <v>-27.844363296417061</v>
      </c>
      <c r="U1316" s="154">
        <f t="shared" ref="U1316" si="3843">U1317*U1301</f>
        <v>-38.428617537895889</v>
      </c>
      <c r="V1316" s="154">
        <f t="shared" ref="V1316" si="3844">V1317*V1301</f>
        <v>-59.948717020517435</v>
      </c>
      <c r="W1316" s="154">
        <f t="shared" ref="W1316" si="3845">W1317*W1301</f>
        <v>-150.40769017109278</v>
      </c>
      <c r="X1316" s="154">
        <f t="shared" ref="X1316" si="3846">X1317*X1301</f>
        <v>-122.33766235024291</v>
      </c>
      <c r="Y1316" s="154">
        <f t="shared" ref="Y1316" si="3847">Y1317*Y1301</f>
        <v>-72.844434523621871</v>
      </c>
      <c r="Z1316" s="154">
        <f t="shared" ref="Z1316" si="3848">Z1317*Z1301</f>
        <v>-61.941812306447389</v>
      </c>
      <c r="AA1316" s="154">
        <f t="shared" ref="AA1316" si="3849">AA1317*AA1301</f>
        <v>-36.989941207324868</v>
      </c>
      <c r="AB1316" s="154">
        <f t="shared" ref="AB1316" si="3850">AB1317*AB1301</f>
        <v>-42.02391627044674</v>
      </c>
      <c r="AC1316" s="154">
        <f t="shared" ref="AC1316" si="3851">AC1317*AC1301</f>
        <v>-32.885009359955582</v>
      </c>
      <c r="AD1316" s="156">
        <f t="shared" ref="AD1316" si="3852">AD1317*AD1301</f>
        <v>-27.512285733170572</v>
      </c>
      <c r="AE1316" s="15"/>
      <c r="AF1316" s="115">
        <f>_xlfn.XLOOKUP($C1316,'Site Level Financials - ''23 ''24'!$C$2:$C$1577,'Site Level Financials - ''23 ''24'!$AF$2:$AF$1577)</f>
        <v>-434.47635491990997</v>
      </c>
      <c r="AG1316" s="93">
        <f>SUM(G1316:R1316)</f>
        <v>-441.99036631064388</v>
      </c>
      <c r="AH1316" s="93">
        <f t="shared" ref="AH1316" si="3853">SUM(S1316:AD1316)</f>
        <v>-699.87898754128469</v>
      </c>
    </row>
    <row r="1317" spans="2:34" x14ac:dyDescent="0.2">
      <c r="B1317" s="9">
        <f>G1289</f>
        <v>27</v>
      </c>
      <c r="C1317" s="9" t="str">
        <f t="shared" si="3776"/>
        <v>27 - % of Revenue - General and Administrative Expense</v>
      </c>
      <c r="D1317" s="9" t="s">
        <v>56</v>
      </c>
      <c r="F1317" s="16" t="str">
        <f>"% of Revenue - "&amp;F1316</f>
        <v>% of Revenue - General and Administrative Expense</v>
      </c>
      <c r="G1317" s="148">
        <f>G1316/G1301</f>
        <v>-8.3496488760004581E-2</v>
      </c>
      <c r="H1317" s="149">
        <f t="shared" ref="H1317:R1317" si="3854">H1316/H1301</f>
        <v>-8.4045917645907339E-2</v>
      </c>
      <c r="I1317" s="149">
        <f t="shared" si="3854"/>
        <v>-0.1080227048046466</v>
      </c>
      <c r="J1317" s="149">
        <f t="shared" si="3854"/>
        <v>-0.15732045999791491</v>
      </c>
      <c r="K1317" s="149">
        <f t="shared" si="3854"/>
        <v>-0.33210231266862811</v>
      </c>
      <c r="L1317" s="149">
        <f t="shared" si="3854"/>
        <v>-0.32167156482694897</v>
      </c>
      <c r="M1317" s="149">
        <f t="shared" si="3854"/>
        <v>-0.1599836896790664</v>
      </c>
      <c r="N1317" s="149">
        <f t="shared" si="3854"/>
        <v>-0.15864769086631469</v>
      </c>
      <c r="O1317" s="149">
        <f t="shared" si="3854"/>
        <v>-0.1033335475572547</v>
      </c>
      <c r="P1317" s="149">
        <f t="shared" si="3854"/>
        <v>-0.10221766742610751</v>
      </c>
      <c r="Q1317" s="149">
        <f t="shared" si="3854"/>
        <v>-0.10119116420832466</v>
      </c>
      <c r="R1317" s="149">
        <f t="shared" si="3854"/>
        <v>-0.10372131791073237</v>
      </c>
      <c r="S1317" s="245">
        <f>_xlfn.XLOOKUP($F1317,'Budget Assumption Driver'!$A$33:$A$39,'Budget Assumption Driver'!E$33:E$39)+G1317</f>
        <v>-8.3496488760004581E-2</v>
      </c>
      <c r="T1317" s="246">
        <f>_xlfn.XLOOKUP($F1317,'Budget Assumption Driver'!$A$33:$A$39,'Budget Assumption Driver'!F$33:F$39)+H1317</f>
        <v>-8.4045917645907339E-2</v>
      </c>
      <c r="U1317" s="246">
        <f>_xlfn.XLOOKUP($F1317,'Budget Assumption Driver'!$A$33:$A$39,'Budget Assumption Driver'!G$33:G$39)+I1317</f>
        <v>-0.1080227048046466</v>
      </c>
      <c r="V1317" s="246">
        <f>_xlfn.XLOOKUP($F1317,'Budget Assumption Driver'!$A$33:$A$39,'Budget Assumption Driver'!H$33:H$39)+J1317</f>
        <v>-0.15732045999791491</v>
      </c>
      <c r="W1317" s="246">
        <f>_xlfn.XLOOKUP($F1317,'Budget Assumption Driver'!$A$33:$A$39,'Budget Assumption Driver'!I$33:I$39)+K1317</f>
        <v>-0.33210231266862811</v>
      </c>
      <c r="X1317" s="246">
        <f>_xlfn.XLOOKUP($F1317,'Budget Assumption Driver'!$A$33:$A$39,'Budget Assumption Driver'!J$33:J$39)+L1317</f>
        <v>-0.32167156482694897</v>
      </c>
      <c r="Y1317" s="246">
        <f>_xlfn.XLOOKUP($F1317,'Budget Assumption Driver'!$A$33:$A$39,'Budget Assumption Driver'!K$33:K$39)+M1317</f>
        <v>-0.1599836896790664</v>
      </c>
      <c r="Z1317" s="246">
        <f>_xlfn.XLOOKUP($F1317,'Budget Assumption Driver'!$A$33:$A$39,'Budget Assumption Driver'!L$33:L$39)+N1317</f>
        <v>-0.15864769086631469</v>
      </c>
      <c r="AA1317" s="246">
        <f>_xlfn.XLOOKUP($F1317,'Budget Assumption Driver'!$A$33:$A$39,'Budget Assumption Driver'!M$33:M$39)+O1317</f>
        <v>-0.1033335475572547</v>
      </c>
      <c r="AB1317" s="246">
        <f>_xlfn.XLOOKUP($F1317,'Budget Assumption Driver'!$A$33:$A$39,'Budget Assumption Driver'!N$33:N$39)+P1317</f>
        <v>-0.10221766742610751</v>
      </c>
      <c r="AC1317" s="246">
        <f>_xlfn.XLOOKUP($F1317,'Budget Assumption Driver'!$A$33:$A$39,'Budget Assumption Driver'!O$33:O$39)+Q1317</f>
        <v>-0.10119116420832466</v>
      </c>
      <c r="AD1317" s="296">
        <f>_xlfn.XLOOKUP($F1317,'Budget Assumption Driver'!$A$33:$A$39,'Budget Assumption Driver'!P$33:P$39)+R1317</f>
        <v>-0.10372131791073237</v>
      </c>
      <c r="AE1317" s="15"/>
      <c r="AF1317" s="232">
        <f>_xlfn.XLOOKUP($C1317,'Site Level Financials - ''23 ''24'!$C$2:$C$1577,'Site Level Financials - ''23 ''24'!$AF$2:$AF$1577)</f>
        <v>-7.8153075755403964E-2</v>
      </c>
      <c r="AG1317" s="97">
        <f t="shared" ref="AG1317:AH1317" si="3855">AG1316/AG1301</f>
        <v>-0.13073780036547486</v>
      </c>
      <c r="AH1317" s="97">
        <f t="shared" si="3855"/>
        <v>-0.15811656576763575</v>
      </c>
    </row>
    <row r="1318" spans="2:34" ht="3" customHeight="1" x14ac:dyDescent="0.2">
      <c r="B1318" s="9">
        <f>G1289</f>
        <v>27</v>
      </c>
      <c r="C1318" s="9" t="str">
        <f t="shared" si="3776"/>
        <v xml:space="preserve">27 - </v>
      </c>
      <c r="D1318" s="9" t="s">
        <v>56</v>
      </c>
      <c r="F1318" s="16"/>
      <c r="G1318" s="84"/>
      <c r="H1318" s="85"/>
      <c r="I1318" s="85"/>
      <c r="J1318" s="85"/>
      <c r="K1318" s="85"/>
      <c r="L1318" s="85"/>
      <c r="M1318" s="85"/>
      <c r="N1318" s="85"/>
      <c r="O1318" s="85"/>
      <c r="P1318" s="85"/>
      <c r="Q1318" s="85"/>
      <c r="R1318" s="85"/>
      <c r="S1318" s="84"/>
      <c r="T1318" s="85"/>
      <c r="U1318" s="85"/>
      <c r="V1318" s="85"/>
      <c r="W1318" s="85"/>
      <c r="X1318" s="85"/>
      <c r="Y1318" s="85"/>
      <c r="Z1318" s="85"/>
      <c r="AA1318" s="85"/>
      <c r="AB1318" s="85"/>
      <c r="AC1318" s="85"/>
      <c r="AD1318" s="86"/>
      <c r="AE1318" s="15"/>
      <c r="AF1318" s="36"/>
      <c r="AG1318" s="38"/>
      <c r="AH1318" s="38"/>
    </row>
    <row r="1319" spans="2:34" x14ac:dyDescent="0.2">
      <c r="B1319" s="9">
        <f>G1289</f>
        <v>27</v>
      </c>
      <c r="C1319" s="9" t="str">
        <f t="shared" si="3776"/>
        <v>27 - Marketing</v>
      </c>
      <c r="D1319" s="9" t="s">
        <v>56</v>
      </c>
      <c r="F1319" t="s">
        <v>7</v>
      </c>
      <c r="G1319" s="178">
        <f>_xlfn.XLOOKUP($C1319,'Site Level Financials - ''23 ''24'!$C$2:$C$1577,'Site Level Financials - ''23 ''24'!S$2:S$1577)</f>
        <v>-18.482351752933738</v>
      </c>
      <c r="H1319" s="179">
        <f>_xlfn.XLOOKUP($C1319,'Site Level Financials - ''23 ''24'!$C$2:$C$1577,'Site Level Financials - ''23 ''24'!T$2:T$1577)</f>
        <v>-16.612079341953017</v>
      </c>
      <c r="I1319" s="179">
        <f>_xlfn.XLOOKUP($C1319,'Site Level Financials - ''23 ''24'!$C$2:$C$1577,'Site Level Financials - ''23 ''24'!U$2:U$1577)</f>
        <v>-18.422817609061571</v>
      </c>
      <c r="J1319" s="179">
        <f>_xlfn.XLOOKUP($C1319,'Site Level Financials - ''23 ''24'!$C$2:$C$1577,'Site Level Financials - ''23 ''24'!V$2:V$1577)</f>
        <v>-19.733445438547456</v>
      </c>
      <c r="K1319" s="179">
        <f>_xlfn.XLOOKUP($C1319,'Site Level Financials - ''23 ''24'!$C$2:$C$1577,'Site Level Financials - ''23 ''24'!W$2:W$1577)</f>
        <v>-21.420001476100957</v>
      </c>
      <c r="L1319" s="179">
        <f>_xlfn.XLOOKUP($C1319,'Site Level Financials - ''23 ''24'!$C$2:$C$1577,'Site Level Financials - ''23 ''24'!X$2:X$1577)</f>
        <v>-17.976644536774202</v>
      </c>
      <c r="M1319" s="179">
        <f>_xlfn.XLOOKUP($C1319,'Site Level Financials - ''23 ''24'!$C$2:$C$1577,'Site Level Financials - ''23 ''24'!Y$2:Y$1577)</f>
        <v>-15.675946918168293</v>
      </c>
      <c r="N1319" s="179">
        <f>_xlfn.XLOOKUP($C1319,'Site Level Financials - ''23 ''24'!$C$2:$C$1577,'Site Level Financials - ''23 ''24'!Z$2:Z$1577)</f>
        <v>-14.278555763715458</v>
      </c>
      <c r="O1319" s="179">
        <f>_xlfn.XLOOKUP($C1319,'Site Level Financials - ''23 ''24'!$C$2:$C$1577,'Site Level Financials - ''23 ''24'!AA$2:AA$1577)</f>
        <v>-10.823507805229429</v>
      </c>
      <c r="P1319" s="179">
        <f>_xlfn.XLOOKUP($C1319,'Site Level Financials - ''23 ''24'!$C$2:$C$1577,'Site Level Financials - ''23 ''24'!AB$2:AB$1577)</f>
        <v>-12.464697656187557</v>
      </c>
      <c r="Q1319" s="179">
        <f>_xlfn.XLOOKUP($C1319,'Site Level Financials - ''23 ''24'!$C$2:$C$1577,'Site Level Financials - ''23 ''24'!AC$2:AC$1577)</f>
        <v>-12.565130066953643</v>
      </c>
      <c r="R1319" s="179">
        <f>_xlfn.XLOOKUP($C1319,'Site Level Financials - ''23 ''24'!$C$2:$C$1577,'Site Level Financials - ''23 ''24'!AD$2:AD$1577)</f>
        <v>-10.353836298125096</v>
      </c>
      <c r="S1319" s="155">
        <f>S1320*S1301</f>
        <v>-13.363324238161361</v>
      </c>
      <c r="T1319" s="154">
        <f t="shared" ref="T1319" si="3856">T1320*T1301</f>
        <v>-12.600444981771803</v>
      </c>
      <c r="U1319" s="154">
        <f t="shared" ref="U1319" si="3857">U1320*U1301</f>
        <v>-18.143873309614779</v>
      </c>
      <c r="V1319" s="154">
        <f t="shared" ref="V1319" si="3858">V1320*V1301</f>
        <v>-27.611295511521714</v>
      </c>
      <c r="W1319" s="154">
        <f t="shared" ref="W1319" si="3859">W1320*W1301</f>
        <v>-59.316554931996713</v>
      </c>
      <c r="X1319" s="154">
        <f t="shared" ref="X1319" si="3860">X1320*X1301</f>
        <v>-51.051432468784107</v>
      </c>
      <c r="Y1319" s="154">
        <f t="shared" ref="Y1319" si="3861">Y1320*Y1301</f>
        <v>-27.685049331333666</v>
      </c>
      <c r="Z1319" s="154">
        <f t="shared" ref="Z1319" si="3862">Z1320*Z1301</f>
        <v>-23.621842493185923</v>
      </c>
      <c r="AA1319" s="154">
        <f t="shared" ref="AA1319" si="3863">AA1320*AA1301</f>
        <v>-14.363071684535583</v>
      </c>
      <c r="AB1319" s="154">
        <f t="shared" ref="AB1319" si="3864">AB1320*AB1301</f>
        <v>-16.659848544426737</v>
      </c>
      <c r="AC1319" s="154">
        <f t="shared" ref="AC1319" si="3865">AC1320*AC1301</f>
        <v>-14.512291102990256</v>
      </c>
      <c r="AD1319" s="156">
        <f t="shared" ref="AD1319" si="3866">AD1320*AD1301</f>
        <v>-12.604502919934593</v>
      </c>
      <c r="AE1319" s="15"/>
      <c r="AF1319" s="115">
        <f>_xlfn.XLOOKUP($C1319,'Site Level Financials - ''23 ''24'!$C$2:$C$1577,'Site Level Financials - ''23 ''24'!$AF$2:$AF$1577)</f>
        <v>-226.93704790842398</v>
      </c>
      <c r="AG1319" s="93">
        <f>SUM(G1319:R1319)</f>
        <v>-188.80901466375042</v>
      </c>
      <c r="AH1319" s="93">
        <f t="shared" ref="AH1319" si="3867">SUM(S1319:AD1319)</f>
        <v>-291.53353151825723</v>
      </c>
    </row>
    <row r="1320" spans="2:34" x14ac:dyDescent="0.2">
      <c r="B1320" s="9">
        <f>G1289</f>
        <v>27</v>
      </c>
      <c r="C1320" s="9" t="str">
        <f t="shared" si="3776"/>
        <v>27 - % of Revenue - Marketing</v>
      </c>
      <c r="D1320" s="9" t="s">
        <v>56</v>
      </c>
      <c r="F1320" s="16" t="str">
        <f>"% of Revenue - "&amp;F1319</f>
        <v>% of Revenue - Marketing</v>
      </c>
      <c r="G1320" s="148">
        <f>G1319/G1301</f>
        <v>-4.1767170441003046E-2</v>
      </c>
      <c r="H1320" s="149">
        <f t="shared" ref="H1320:R1320" si="3868">H1319/H1301</f>
        <v>-3.803340553942746E-2</v>
      </c>
      <c r="I1320" s="149">
        <f t="shared" si="3868"/>
        <v>-5.1002362200634553E-2</v>
      </c>
      <c r="J1320" s="149">
        <f t="shared" si="3868"/>
        <v>-7.2458960373151735E-2</v>
      </c>
      <c r="K1320" s="149">
        <f t="shared" si="3868"/>
        <v>-0.13097179439457848</v>
      </c>
      <c r="L1320" s="149">
        <f t="shared" si="3868"/>
        <v>-0.13423334934974329</v>
      </c>
      <c r="M1320" s="149">
        <f t="shared" si="3868"/>
        <v>-6.080294767800621E-2</v>
      </c>
      <c r="N1320" s="149">
        <f t="shared" si="3868"/>
        <v>-6.0501148190681246E-2</v>
      </c>
      <c r="O1320" s="149">
        <f t="shared" si="3868"/>
        <v>-4.0124074343981721E-2</v>
      </c>
      <c r="P1320" s="149">
        <f t="shared" si="3868"/>
        <v>-4.0522897650096389E-2</v>
      </c>
      <c r="Q1320" s="149">
        <f t="shared" si="3868"/>
        <v>-4.4656080707397419E-2</v>
      </c>
      <c r="R1320" s="149">
        <f t="shared" si="3868"/>
        <v>-4.7518976327330688E-2</v>
      </c>
      <c r="S1320" s="245">
        <f>_xlfn.XLOOKUP($F1320,'Budget Assumption Driver'!$A$33:$A$39,'Budget Assumption Driver'!E$33:E$39)+G1320</f>
        <v>-4.1767170441003046E-2</v>
      </c>
      <c r="T1320" s="246">
        <f>_xlfn.XLOOKUP($F1320,'Budget Assumption Driver'!$A$33:$A$39,'Budget Assumption Driver'!F$33:F$39)+H1320</f>
        <v>-3.803340553942746E-2</v>
      </c>
      <c r="U1320" s="246">
        <f>_xlfn.XLOOKUP($F1320,'Budget Assumption Driver'!$A$33:$A$39,'Budget Assumption Driver'!G$33:G$39)+I1320</f>
        <v>-5.1002362200634553E-2</v>
      </c>
      <c r="V1320" s="246">
        <f>_xlfn.XLOOKUP($F1320,'Budget Assumption Driver'!$A$33:$A$39,'Budget Assumption Driver'!H$33:H$39)+J1320</f>
        <v>-7.2458960373151735E-2</v>
      </c>
      <c r="W1320" s="246">
        <f>_xlfn.XLOOKUP($F1320,'Budget Assumption Driver'!$A$33:$A$39,'Budget Assumption Driver'!I$33:I$39)+K1320</f>
        <v>-0.13097179439457848</v>
      </c>
      <c r="X1320" s="246">
        <f>_xlfn.XLOOKUP($F1320,'Budget Assumption Driver'!$A$33:$A$39,'Budget Assumption Driver'!J$33:J$39)+L1320</f>
        <v>-0.13423334934974329</v>
      </c>
      <c r="Y1320" s="246">
        <f>_xlfn.XLOOKUP($F1320,'Budget Assumption Driver'!$A$33:$A$39,'Budget Assumption Driver'!K$33:K$39)+M1320</f>
        <v>-6.080294767800621E-2</v>
      </c>
      <c r="Z1320" s="246">
        <f>_xlfn.XLOOKUP($F1320,'Budget Assumption Driver'!$A$33:$A$39,'Budget Assumption Driver'!L$33:L$39)+N1320</f>
        <v>-6.0501148190681246E-2</v>
      </c>
      <c r="AA1320" s="246">
        <f>_xlfn.XLOOKUP($F1320,'Budget Assumption Driver'!$A$33:$A$39,'Budget Assumption Driver'!M$33:M$39)+O1320</f>
        <v>-4.0124074343981721E-2</v>
      </c>
      <c r="AB1320" s="246">
        <f>_xlfn.XLOOKUP($F1320,'Budget Assumption Driver'!$A$33:$A$39,'Budget Assumption Driver'!N$33:N$39)+P1320</f>
        <v>-4.0522897650096389E-2</v>
      </c>
      <c r="AC1320" s="246">
        <f>_xlfn.XLOOKUP($F1320,'Budget Assumption Driver'!$A$33:$A$39,'Budget Assumption Driver'!O$33:O$39)+Q1320</f>
        <v>-4.4656080707397419E-2</v>
      </c>
      <c r="AD1320" s="296">
        <f>_xlfn.XLOOKUP($F1320,'Budget Assumption Driver'!$A$33:$A$39,'Budget Assumption Driver'!P$33:P$39)+R1320</f>
        <v>-4.7518976327330688E-2</v>
      </c>
      <c r="AE1320" s="15"/>
      <c r="AF1320" s="232">
        <f>_xlfn.XLOOKUP($C1320,'Site Level Financials - ''23 ''24'!$C$2:$C$1577,'Site Level Financials - ''23 ''24'!$AF$2:$AF$1577)</f>
        <v>-4.0821158841116145E-2</v>
      </c>
      <c r="AG1320" s="97">
        <f t="shared" ref="AG1320:AH1320" si="3869">AG1319/AG1301</f>
        <v>-5.5848446364015182E-2</v>
      </c>
      <c r="AH1320" s="97">
        <f t="shared" si="3869"/>
        <v>-6.5863215827805494E-2</v>
      </c>
    </row>
    <row r="1321" spans="2:34" ht="3" customHeight="1" x14ac:dyDescent="0.2">
      <c r="B1321" s="9">
        <f>G1289</f>
        <v>27</v>
      </c>
      <c r="C1321" s="9" t="str">
        <f t="shared" si="3776"/>
        <v xml:space="preserve">27 - </v>
      </c>
      <c r="D1321" s="9" t="s">
        <v>56</v>
      </c>
      <c r="F1321" s="16"/>
      <c r="G1321" s="84"/>
      <c r="H1321" s="85"/>
      <c r="I1321" s="85"/>
      <c r="J1321" s="85"/>
      <c r="K1321" s="85"/>
      <c r="L1321" s="85"/>
      <c r="M1321" s="85"/>
      <c r="N1321" s="85"/>
      <c r="O1321" s="85"/>
      <c r="P1321" s="85"/>
      <c r="Q1321" s="85"/>
      <c r="R1321" s="85"/>
      <c r="S1321" s="84"/>
      <c r="T1321" s="85"/>
      <c r="U1321" s="85"/>
      <c r="V1321" s="85"/>
      <c r="W1321" s="85"/>
      <c r="X1321" s="85"/>
      <c r="Y1321" s="85"/>
      <c r="Z1321" s="85"/>
      <c r="AA1321" s="85"/>
      <c r="AB1321" s="85"/>
      <c r="AC1321" s="85"/>
      <c r="AD1321" s="86"/>
      <c r="AE1321" s="15"/>
      <c r="AF1321" s="36"/>
      <c r="AG1321" s="38"/>
      <c r="AH1321" s="38"/>
    </row>
    <row r="1322" spans="2:34" x14ac:dyDescent="0.2">
      <c r="B1322" s="9">
        <f>G1289</f>
        <v>27</v>
      </c>
      <c r="C1322" s="9" t="str">
        <f t="shared" si="3776"/>
        <v>27 - Office Rent</v>
      </c>
      <c r="D1322" s="9" t="s">
        <v>56</v>
      </c>
      <c r="F1322" t="s">
        <v>162</v>
      </c>
      <c r="G1322" s="178">
        <f>_xlfn.XLOOKUP($C1322,'Site Level Financials - ''23 ''24'!$C$2:$C$1577,'Site Level Financials - ''23 ''24'!S$2:S$1577)</f>
        <v>-31.45225218796686</v>
      </c>
      <c r="H1322" s="179">
        <f>_xlfn.XLOOKUP($C1322,'Site Level Financials - ''23 ''24'!$C$2:$C$1577,'Site Level Financials - ''23 ''24'!T$2:T$1577)</f>
        <v>-31.45225218796686</v>
      </c>
      <c r="I1322" s="179">
        <f>_xlfn.XLOOKUP($C1322,'Site Level Financials - ''23 ''24'!$C$2:$C$1577,'Site Level Financials - ''23 ''24'!U$2:U$1577)</f>
        <v>-31.45225218796686</v>
      </c>
      <c r="J1322" s="179">
        <f>_xlfn.XLOOKUP($C1322,'Site Level Financials - ''23 ''24'!$C$2:$C$1577,'Site Level Financials - ''23 ''24'!V$2:V$1577)</f>
        <v>-31.45225218796686</v>
      </c>
      <c r="K1322" s="179">
        <f>_xlfn.XLOOKUP($C1322,'Site Level Financials - ''23 ''24'!$C$2:$C$1577,'Site Level Financials - ''23 ''24'!W$2:W$1577)</f>
        <v>-31.45225218796686</v>
      </c>
      <c r="L1322" s="179">
        <f>_xlfn.XLOOKUP($C1322,'Site Level Financials - ''23 ''24'!$C$2:$C$1577,'Site Level Financials - ''23 ''24'!X$2:X$1577)</f>
        <v>-32.395819753605863</v>
      </c>
      <c r="M1322" s="179">
        <f>_xlfn.XLOOKUP($C1322,'Site Level Financials - ''23 ''24'!$C$2:$C$1577,'Site Level Financials - ''23 ''24'!Y$2:Y$1577)</f>
        <v>-32.395819753605863</v>
      </c>
      <c r="N1322" s="179">
        <f>_xlfn.XLOOKUP($C1322,'Site Level Financials - ''23 ''24'!$C$2:$C$1577,'Site Level Financials - ''23 ''24'!Z$2:Z$1577)</f>
        <v>-32.395819753605863</v>
      </c>
      <c r="O1322" s="179">
        <f>_xlfn.XLOOKUP($C1322,'Site Level Financials - ''23 ''24'!$C$2:$C$1577,'Site Level Financials - ''23 ''24'!AA$2:AA$1577)</f>
        <v>-32.395819753605863</v>
      </c>
      <c r="P1322" s="179">
        <f>_xlfn.XLOOKUP($C1322,'Site Level Financials - ''23 ''24'!$C$2:$C$1577,'Site Level Financials - ''23 ''24'!AB$2:AB$1577)</f>
        <v>-32.395819753605863</v>
      </c>
      <c r="Q1322" s="179">
        <f>_xlfn.XLOOKUP($C1322,'Site Level Financials - ''23 ''24'!$C$2:$C$1577,'Site Level Financials - ''23 ''24'!AC$2:AC$1577)</f>
        <v>-32.395819753605863</v>
      </c>
      <c r="R1322" s="179">
        <f>_xlfn.XLOOKUP($C1322,'Site Level Financials - ''23 ''24'!$C$2:$C$1577,'Site Level Financials - ''23 ''24'!AD$2:AD$1577)</f>
        <v>-32.395819753605863</v>
      </c>
      <c r="S1322" s="155">
        <f>G1322*(1+S1323)</f>
        <v>-32.395819753605863</v>
      </c>
      <c r="T1322" s="154">
        <f t="shared" ref="T1322" si="3870">H1322*(1+T1323)</f>
        <v>-32.395819753605863</v>
      </c>
      <c r="U1322" s="154">
        <f t="shared" ref="U1322" si="3871">I1322*(1+U1323)</f>
        <v>-32.395819753605863</v>
      </c>
      <c r="V1322" s="154">
        <f t="shared" ref="V1322" si="3872">J1322*(1+V1323)</f>
        <v>-32.395819753605863</v>
      </c>
      <c r="W1322" s="154">
        <f t="shared" ref="W1322" si="3873">K1322*(1+W1323)</f>
        <v>-32.395819753605863</v>
      </c>
      <c r="X1322" s="154">
        <f t="shared" ref="X1322" si="3874">L1322*(1+X1323)</f>
        <v>-33.367694346214037</v>
      </c>
      <c r="Y1322" s="154">
        <f t="shared" ref="Y1322" si="3875">M1322*(1+Y1323)</f>
        <v>-33.367694346214037</v>
      </c>
      <c r="Z1322" s="154">
        <f t="shared" ref="Z1322" si="3876">N1322*(1+Z1323)</f>
        <v>-33.367694346214037</v>
      </c>
      <c r="AA1322" s="154">
        <f t="shared" ref="AA1322" si="3877">O1322*(1+AA1323)</f>
        <v>-33.367694346214037</v>
      </c>
      <c r="AB1322" s="154">
        <f t="shared" ref="AB1322" si="3878">P1322*(1+AB1323)</f>
        <v>-33.367694346214037</v>
      </c>
      <c r="AC1322" s="154">
        <f t="shared" ref="AC1322" si="3879">Q1322*(1+AC1323)</f>
        <v>-33.367694346214037</v>
      </c>
      <c r="AD1322" s="156">
        <f t="shared" ref="AD1322" si="3880">R1322*(1+AD1323)</f>
        <v>-33.367694346214037</v>
      </c>
      <c r="AE1322" s="15"/>
      <c r="AF1322" s="115">
        <f>_xlfn.XLOOKUP($C1322,'Site Level Financials - ''23 ''24'!$C$2:$C$1577,'Site Level Financials - ''23 ''24'!$AF$2:$AF$1577)</f>
        <v>-372.84779540821683</v>
      </c>
      <c r="AG1322" s="93">
        <f>SUM(G1322:R1322)</f>
        <v>-384.03199921507525</v>
      </c>
      <c r="AH1322" s="93">
        <f t="shared" ref="AH1322" si="3881">SUM(S1322:AD1322)</f>
        <v>-395.55295919152746</v>
      </c>
    </row>
    <row r="1323" spans="2:34" x14ac:dyDescent="0.2">
      <c r="B1323" s="9">
        <f>G1289</f>
        <v>27</v>
      </c>
      <c r="C1323" s="9" t="str">
        <f t="shared" si="3776"/>
        <v>27 - % YoY Growth</v>
      </c>
      <c r="D1323" s="9" t="s">
        <v>56</v>
      </c>
      <c r="F1323" s="16" t="s">
        <v>8</v>
      </c>
      <c r="G1323" s="245">
        <f>_xlfn.XLOOKUP($C1323,'Site Level Financials - ''23 ''24'!$C$2:$C$1577,'Site Level Financials - ''23 ''24'!S$2:S$1577)</f>
        <v>2.9996700918167862E-2</v>
      </c>
      <c r="H1323" s="246">
        <f>_xlfn.XLOOKUP($C1323,'Site Level Financials - ''23 ''24'!$C$2:$C$1577,'Site Level Financials - ''23 ''24'!T$2:T$1577)</f>
        <v>2.9996700918167862E-2</v>
      </c>
      <c r="I1323" s="246">
        <f>_xlfn.XLOOKUP($C1323,'Site Level Financials - ''23 ''24'!$C$2:$C$1577,'Site Level Financials - ''23 ''24'!U$2:U$1577)</f>
        <v>2.9996700918167862E-2</v>
      </c>
      <c r="J1323" s="246">
        <f>_xlfn.XLOOKUP($C1323,'Site Level Financials - ''23 ''24'!$C$2:$C$1577,'Site Level Financials - ''23 ''24'!V$2:V$1577)</f>
        <v>2.9996700918167862E-2</v>
      </c>
      <c r="K1323" s="246">
        <f>_xlfn.XLOOKUP($C1323,'Site Level Financials - ''23 ''24'!$C$2:$C$1577,'Site Level Financials - ''23 ''24'!W$2:W$1577)</f>
        <v>2.9996700918167862E-2</v>
      </c>
      <c r="L1323" s="246">
        <f>_xlfn.XLOOKUP($C1323,'Site Level Financials - ''23 ''24'!$C$2:$C$1577,'Site Level Financials - ''23 ''24'!X$2:X$1577)</f>
        <v>2.9996700918167862E-2</v>
      </c>
      <c r="M1323" s="246">
        <f>_xlfn.XLOOKUP($C1323,'Site Level Financials - ''23 ''24'!$C$2:$C$1577,'Site Level Financials - ''23 ''24'!Y$2:Y$1577)</f>
        <v>2.9996700918167862E-2</v>
      </c>
      <c r="N1323" s="246">
        <f>_xlfn.XLOOKUP($C1323,'Site Level Financials - ''23 ''24'!$C$2:$C$1577,'Site Level Financials - ''23 ''24'!Z$2:Z$1577)</f>
        <v>2.9996700918167862E-2</v>
      </c>
      <c r="O1323" s="246">
        <f>_xlfn.XLOOKUP($C1323,'Site Level Financials - ''23 ''24'!$C$2:$C$1577,'Site Level Financials - ''23 ''24'!AA$2:AA$1577)</f>
        <v>2.9996700918167862E-2</v>
      </c>
      <c r="P1323" s="246">
        <f>_xlfn.XLOOKUP($C1323,'Site Level Financials - ''23 ''24'!$C$2:$C$1577,'Site Level Financials - ''23 ''24'!AB$2:AB$1577)</f>
        <v>2.9996700918167862E-2</v>
      </c>
      <c r="Q1323" s="246">
        <f>_xlfn.XLOOKUP($C1323,'Site Level Financials - ''23 ''24'!$C$2:$C$1577,'Site Level Financials - ''23 ''24'!AC$2:AC$1577)</f>
        <v>2.9996700918167862E-2</v>
      </c>
      <c r="R1323" s="246">
        <f>_xlfn.XLOOKUP($C1323,'Site Level Financials - ''23 ''24'!$C$2:$C$1577,'Site Level Financials - ''23 ''24'!AD$2:AD$1577)</f>
        <v>2.9996700918167862E-2</v>
      </c>
      <c r="S1323" s="245">
        <f>_xlfn.XLOOKUP($F1323,'Budget Assumption Driver'!$A$33:$A$39,'Budget Assumption Driver'!E$33:E$39)</f>
        <v>0.03</v>
      </c>
      <c r="T1323" s="246">
        <f>_xlfn.XLOOKUP($F1323,'Budget Assumption Driver'!$A$33:$A$39,'Budget Assumption Driver'!F$33:F$39)</f>
        <v>0.03</v>
      </c>
      <c r="U1323" s="246">
        <f>_xlfn.XLOOKUP($F1323,'Budget Assumption Driver'!$A$33:$A$39,'Budget Assumption Driver'!G$33:G$39)</f>
        <v>0.03</v>
      </c>
      <c r="V1323" s="246">
        <f>_xlfn.XLOOKUP($F1323,'Budget Assumption Driver'!$A$33:$A$39,'Budget Assumption Driver'!H$33:H$39)</f>
        <v>0.03</v>
      </c>
      <c r="W1323" s="246">
        <f>_xlfn.XLOOKUP($F1323,'Budget Assumption Driver'!$A$33:$A$39,'Budget Assumption Driver'!I$33:I$39)</f>
        <v>0.03</v>
      </c>
      <c r="X1323" s="246">
        <f>_xlfn.XLOOKUP($F1323,'Budget Assumption Driver'!$A$33:$A$39,'Budget Assumption Driver'!J$33:J$39)</f>
        <v>0.03</v>
      </c>
      <c r="Y1323" s="246">
        <f>_xlfn.XLOOKUP($F1323,'Budget Assumption Driver'!$A$33:$A$39,'Budget Assumption Driver'!K$33:K$39)</f>
        <v>0.03</v>
      </c>
      <c r="Z1323" s="246">
        <f>_xlfn.XLOOKUP($F1323,'Budget Assumption Driver'!$A$33:$A$39,'Budget Assumption Driver'!L$33:L$39)</f>
        <v>0.03</v>
      </c>
      <c r="AA1323" s="246">
        <f>_xlfn.XLOOKUP($F1323,'Budget Assumption Driver'!$A$33:$A$39,'Budget Assumption Driver'!M$33:M$39)</f>
        <v>0.03</v>
      </c>
      <c r="AB1323" s="246">
        <f>_xlfn.XLOOKUP($F1323,'Budget Assumption Driver'!$A$33:$A$39,'Budget Assumption Driver'!N$33:N$39)</f>
        <v>0.03</v>
      </c>
      <c r="AC1323" s="246">
        <f>_xlfn.XLOOKUP($F1323,'Budget Assumption Driver'!$A$33:$A$39,'Budget Assumption Driver'!O$33:O$39)</f>
        <v>0.03</v>
      </c>
      <c r="AD1323" s="296">
        <f>_xlfn.XLOOKUP($F1323,'Budget Assumption Driver'!$A$33:$A$39,'Budget Assumption Driver'!P$33:P$39)</f>
        <v>0.03</v>
      </c>
      <c r="AE1323" s="15"/>
      <c r="AF1323" s="11"/>
      <c r="AG1323" s="97">
        <f>AG1322/AF1322-1</f>
        <v>2.999670091816764E-2</v>
      </c>
      <c r="AH1323" s="97">
        <f>AH1322/AG1322-1</f>
        <v>2.9999999999999805E-2</v>
      </c>
    </row>
    <row r="1324" spans="2:34" ht="6" customHeight="1" x14ac:dyDescent="0.2">
      <c r="B1324" s="9">
        <f>G1289</f>
        <v>27</v>
      </c>
      <c r="C1324" s="9" t="str">
        <f t="shared" si="3776"/>
        <v xml:space="preserve">27 - </v>
      </c>
      <c r="D1324" s="9" t="s">
        <v>56</v>
      </c>
      <c r="F1324" s="16"/>
      <c r="G1324" s="80"/>
      <c r="H1324" s="63"/>
      <c r="I1324" s="63"/>
      <c r="J1324" s="63"/>
      <c r="K1324" s="63"/>
      <c r="L1324" s="63"/>
      <c r="M1324" s="63"/>
      <c r="N1324" s="63"/>
      <c r="O1324" s="63"/>
      <c r="P1324" s="63"/>
      <c r="Q1324" s="63"/>
      <c r="R1324" s="63"/>
      <c r="S1324" s="80"/>
      <c r="T1324" s="63"/>
      <c r="U1324" s="63"/>
      <c r="V1324" s="63"/>
      <c r="W1324" s="63"/>
      <c r="X1324" s="63"/>
      <c r="Y1324" s="63"/>
      <c r="Z1324" s="63"/>
      <c r="AA1324" s="63"/>
      <c r="AB1324" s="63"/>
      <c r="AC1324" s="63"/>
      <c r="AD1324" s="81"/>
      <c r="AE1324" s="15"/>
      <c r="AF1324" s="11"/>
      <c r="AG1324" s="15"/>
      <c r="AH1324" s="15"/>
    </row>
    <row r="1325" spans="2:34" x14ac:dyDescent="0.2">
      <c r="B1325" s="9">
        <f>G1289</f>
        <v>27</v>
      </c>
      <c r="C1325" s="9" t="str">
        <f t="shared" si="3776"/>
        <v>27 - Office EBITDA</v>
      </c>
      <c r="D1325" s="9" t="s">
        <v>56</v>
      </c>
      <c r="F1325" s="8" t="s">
        <v>12</v>
      </c>
      <c r="G1325" s="241">
        <f>_xlfn.XLOOKUP($C1325,'Site Level Financials - ''23 ''24'!$C$2:$C$1577,'Site Level Financials - ''23 ''24'!S$2:S$1577)</f>
        <v>109.17928030017505</v>
      </c>
      <c r="H1325" s="242">
        <f>_xlfn.XLOOKUP($C1325,'Site Level Financials - ''23 ''24'!$C$2:$C$1577,'Site Level Financials - ''23 ''24'!T$2:T$1577)</f>
        <v>106.51158110541847</v>
      </c>
      <c r="I1325" s="242">
        <f>_xlfn.XLOOKUP($C1325,'Site Level Financials - ''23 ''24'!$C$2:$C$1577,'Site Level Financials - ''23 ''24'!U$2:U$1577)</f>
        <v>69.212196649556034</v>
      </c>
      <c r="J1325" s="242">
        <f>_xlfn.XLOOKUP($C1325,'Site Level Financials - ''23 ''24'!$C$2:$C$1577,'Site Level Financials - ''23 ''24'!V$2:V$1577)</f>
        <v>-2.4117507699099328</v>
      </c>
      <c r="K1325" s="242">
        <f>_xlfn.XLOOKUP($C1325,'Site Level Financials - ''23 ''24'!$C$2:$C$1577,'Site Level Financials - ''23 ''24'!W$2:W$1577)</f>
        <v>-87.347213320292681</v>
      </c>
      <c r="L1325" s="242">
        <f>_xlfn.XLOOKUP($C1325,'Site Level Financials - ''23 ''24'!$C$2:$C$1577,'Site Level Financials - ''23 ''24'!X$2:X$1577)</f>
        <v>-108.61013276235374</v>
      </c>
      <c r="M1325" s="242">
        <f>_xlfn.XLOOKUP($C1325,'Site Level Financials - ''23 ''24'!$C$2:$C$1577,'Site Level Financials - ''23 ''24'!Y$2:Y$1577)</f>
        <v>-3.0826516646959945</v>
      </c>
      <c r="N1325" s="242">
        <f>_xlfn.XLOOKUP($C1325,'Site Level Financials - ''23 ''24'!$C$2:$C$1577,'Site Level Financials - ''23 ''24'!Z$2:Z$1577)</f>
        <v>-4.9711755236181645</v>
      </c>
      <c r="O1325" s="242">
        <f>_xlfn.XLOOKUP($C1325,'Site Level Financials - ''23 ''24'!$C$2:$C$1577,'Site Level Financials - ''23 ''24'!AA$2:AA$1577)</f>
        <v>41.424826873651199</v>
      </c>
      <c r="P1325" s="242">
        <f>_xlfn.XLOOKUP($C1325,'Site Level Financials - ''23 ''24'!$C$2:$C$1577,'Site Level Financials - ''23 ''24'!AB$2:AB$1577)</f>
        <v>54.732479147336576</v>
      </c>
      <c r="Q1325" s="242">
        <f>_xlfn.XLOOKUP($C1325,'Site Level Financials - ''23 ''24'!$C$2:$C$1577,'Site Level Financials - ''23 ''24'!AC$2:AC$1577)</f>
        <v>47.616513840410235</v>
      </c>
      <c r="R1325" s="242">
        <f>_xlfn.XLOOKUP($C1325,'Site Level Financials - ''23 ''24'!$C$2:$C$1577,'Site Level Financials - ''23 ''24'!AD$2:AD$1577)</f>
        <v>-10.418351128913976</v>
      </c>
      <c r="S1325" s="134">
        <f t="shared" ref="S1325:AD1325" si="3882">S1313+S1316+S1319+S1322</f>
        <v>69.2852212670672</v>
      </c>
      <c r="T1325" s="135">
        <f t="shared" si="3882"/>
        <v>72.251265966565057</v>
      </c>
      <c r="U1325" s="135">
        <f t="shared" si="3882"/>
        <v>66.744444523441913</v>
      </c>
      <c r="V1325" s="135">
        <f t="shared" si="3882"/>
        <v>8.2380304756300404</v>
      </c>
      <c r="W1325" s="135">
        <f t="shared" si="3882"/>
        <v>-187.18089463451292</v>
      </c>
      <c r="X1325" s="135">
        <f t="shared" si="3882"/>
        <v>-249.80685493380253</v>
      </c>
      <c r="Y1325" s="135">
        <f t="shared" si="3882"/>
        <v>18.40184205471504</v>
      </c>
      <c r="Z1325" s="135">
        <f t="shared" si="3882"/>
        <v>12.002484343612934</v>
      </c>
      <c r="AA1325" s="135">
        <f t="shared" si="3882"/>
        <v>64.594191798846751</v>
      </c>
      <c r="AB1325" s="135">
        <f t="shared" si="3882"/>
        <v>83.08473022604889</v>
      </c>
      <c r="AC1325" s="135">
        <f t="shared" si="3882"/>
        <v>59.043786534496547</v>
      </c>
      <c r="AD1325" s="136">
        <f t="shared" si="3882"/>
        <v>-6.6128703875947004</v>
      </c>
      <c r="AE1325" s="15"/>
      <c r="AF1325" s="113">
        <f>_xlfn.XLOOKUP($C1325,'Site Level Financials - ''23 ''24'!$C$2:$C$1577,'Site Level Financials - ''23 ''24'!$AF$2:$AF$1577)</f>
        <v>1324.9759685787717</v>
      </c>
      <c r="AG1325" s="95">
        <f>SUM(G1325:R1325)</f>
        <v>211.83560274676313</v>
      </c>
      <c r="AH1325" s="95">
        <f t="shared" ref="AH1325" si="3883">SUM(S1325:AD1325)</f>
        <v>10.045377234514259</v>
      </c>
    </row>
    <row r="1326" spans="2:34" x14ac:dyDescent="0.2">
      <c r="B1326" s="9">
        <f>G1289</f>
        <v>27</v>
      </c>
      <c r="C1326" s="9" t="str">
        <f t="shared" si="3776"/>
        <v>27 - % of Revenue - Office EBITDA</v>
      </c>
      <c r="D1326" s="9" t="s">
        <v>56</v>
      </c>
      <c r="F1326" s="16" t="str">
        <f>"% of Revenue - "&amp;F1325</f>
        <v>% of Revenue - Office EBITDA</v>
      </c>
      <c r="G1326" s="148">
        <f>G1325/G1301</f>
        <v>0.24672777955324995</v>
      </c>
      <c r="H1326" s="149">
        <f t="shared" ref="H1326:AD1326" si="3884">H1325/H1301</f>
        <v>0.24385858479482436</v>
      </c>
      <c r="I1326" s="149">
        <f t="shared" si="3884"/>
        <v>0.19160942680591486</v>
      </c>
      <c r="J1326" s="149">
        <f t="shared" si="3884"/>
        <v>-8.8556736841027429E-3</v>
      </c>
      <c r="K1326" s="149">
        <f t="shared" si="3884"/>
        <v>-0.53408125469500045</v>
      </c>
      <c r="L1326" s="149">
        <f t="shared" si="3884"/>
        <v>-0.81100240171001126</v>
      </c>
      <c r="M1326" s="149">
        <f t="shared" si="3884"/>
        <v>-1.1956809298760413E-2</v>
      </c>
      <c r="N1326" s="149">
        <f t="shared" si="3884"/>
        <v>-2.1063882931395859E-2</v>
      </c>
      <c r="O1326" s="149">
        <f t="shared" si="3884"/>
        <v>0.15356692701435343</v>
      </c>
      <c r="P1326" s="149">
        <f t="shared" si="3884"/>
        <v>0.17793601672500783</v>
      </c>
      <c r="Q1326" s="149">
        <f t="shared" si="3884"/>
        <v>0.1692276063782755</v>
      </c>
      <c r="R1326" s="149">
        <f t="shared" si="3884"/>
        <v>-4.7815067421370261E-2</v>
      </c>
      <c r="S1326" s="148">
        <f t="shared" si="3884"/>
        <v>0.21655148031507801</v>
      </c>
      <c r="T1326" s="149">
        <f t="shared" si="3884"/>
        <v>0.21808449647759975</v>
      </c>
      <c r="U1326" s="149">
        <f t="shared" si="3884"/>
        <v>0.1876183919704088</v>
      </c>
      <c r="V1326" s="149">
        <f t="shared" si="3884"/>
        <v>2.1618656884006382E-2</v>
      </c>
      <c r="W1326" s="149">
        <f t="shared" si="3884"/>
        <v>-0.41329806956540738</v>
      </c>
      <c r="X1326" s="149">
        <f t="shared" si="3884"/>
        <v>-0.65683584586570565</v>
      </c>
      <c r="Y1326" s="149">
        <f t="shared" si="3884"/>
        <v>4.0414818346212168E-2</v>
      </c>
      <c r="Z1326" s="149">
        <f t="shared" si="3884"/>
        <v>3.0741212678000483E-2</v>
      </c>
      <c r="AA1326" s="149">
        <f t="shared" si="3884"/>
        <v>0.18044762365955874</v>
      </c>
      <c r="AB1326" s="149">
        <f t="shared" si="3884"/>
        <v>0.20209271472413023</v>
      </c>
      <c r="AC1326" s="149">
        <f t="shared" si="3884"/>
        <v>0.18168489579233552</v>
      </c>
      <c r="AD1326" s="150">
        <f t="shared" si="3884"/>
        <v>-2.49305215286863E-2</v>
      </c>
      <c r="AE1326" s="15"/>
      <c r="AF1326" s="232">
        <f>_xlfn.XLOOKUP($C1326,'Site Level Financials - ''23 ''24'!$C$2:$C$1577,'Site Level Financials - ''23 ''24'!$AF$2:$AF$1577)</f>
        <v>0.23833505799300575</v>
      </c>
      <c r="AG1326" s="97">
        <f t="shared" ref="AG1326:AH1326" si="3885">AG1325/AG1301</f>
        <v>6.2659557431940821E-2</v>
      </c>
      <c r="AH1326" s="97">
        <f t="shared" si="3885"/>
        <v>2.2694502598823788E-3</v>
      </c>
    </row>
    <row r="1327" spans="2:34" ht="6" customHeight="1" x14ac:dyDescent="0.2">
      <c r="B1327" s="9">
        <f>G1289</f>
        <v>27</v>
      </c>
      <c r="C1327" s="9" t="str">
        <f t="shared" si="3776"/>
        <v xml:space="preserve">27 - </v>
      </c>
      <c r="D1327" s="9" t="s">
        <v>56</v>
      </c>
      <c r="G1327" s="80"/>
      <c r="H1327" s="63"/>
      <c r="I1327" s="63"/>
      <c r="J1327" s="63"/>
      <c r="K1327" s="63"/>
      <c r="L1327" s="63"/>
      <c r="M1327" s="63"/>
      <c r="N1327" s="63"/>
      <c r="O1327" s="63"/>
      <c r="P1327" s="63"/>
      <c r="Q1327" s="63"/>
      <c r="R1327" s="63"/>
      <c r="S1327" s="80"/>
      <c r="T1327" s="63"/>
      <c r="U1327" s="63"/>
      <c r="V1327" s="63"/>
      <c r="W1327" s="63"/>
      <c r="X1327" s="63"/>
      <c r="Y1327" s="63"/>
      <c r="Z1327" s="63"/>
      <c r="AA1327" s="63"/>
      <c r="AB1327" s="63"/>
      <c r="AC1327" s="63"/>
      <c r="AD1327" s="81"/>
      <c r="AE1327" s="15"/>
      <c r="AF1327" s="11"/>
      <c r="AG1327" s="15"/>
      <c r="AH1327" s="15"/>
    </row>
    <row r="1328" spans="2:34" x14ac:dyDescent="0.2">
      <c r="B1328" s="9">
        <f>G1289</f>
        <v>27</v>
      </c>
      <c r="C1328" s="9" t="str">
        <f t="shared" si="3776"/>
        <v>27 - Memo:</v>
      </c>
      <c r="D1328" s="9" t="s">
        <v>56</v>
      </c>
      <c r="F1328" s="6" t="s">
        <v>13</v>
      </c>
      <c r="G1328" s="80"/>
      <c r="H1328" s="63"/>
      <c r="I1328" s="63"/>
      <c r="J1328" s="63"/>
      <c r="K1328" s="63"/>
      <c r="L1328" s="63"/>
      <c r="M1328" s="63"/>
      <c r="N1328" s="63"/>
      <c r="O1328" s="63"/>
      <c r="P1328" s="63"/>
      <c r="Q1328" s="63"/>
      <c r="R1328" s="63"/>
      <c r="S1328" s="80"/>
      <c r="T1328" s="63"/>
      <c r="U1328" s="63"/>
      <c r="V1328" s="63"/>
      <c r="W1328" s="63"/>
      <c r="X1328" s="63"/>
      <c r="Y1328" s="63"/>
      <c r="Z1328" s="63"/>
      <c r="AA1328" s="63"/>
      <c r="AB1328" s="63"/>
      <c r="AC1328" s="63"/>
      <c r="AD1328" s="81"/>
      <c r="AE1328" s="15"/>
      <c r="AF1328" s="11"/>
      <c r="AG1328" s="15"/>
      <c r="AH1328" s="15"/>
    </row>
    <row r="1329" spans="2:35" s="24" customFormat="1" x14ac:dyDescent="0.2">
      <c r="B1329" s="9">
        <f>G1289</f>
        <v>27</v>
      </c>
      <c r="C1329" s="9" t="str">
        <f t="shared" si="3776"/>
        <v>27 - Collections</v>
      </c>
      <c r="D1329" s="9" t="s">
        <v>56</v>
      </c>
      <c r="E1329" s="49"/>
      <c r="F1329" s="24" t="s">
        <v>15</v>
      </c>
      <c r="G1329" s="247">
        <f>_xlfn.XLOOKUP($C1329,'Site Level Financials - ''23 ''24'!$C$2:$C$1577,'Site Level Financials - ''23 ''24'!S$2:S$1577)</f>
        <v>443.5571782137269</v>
      </c>
      <c r="H1329" s="248">
        <f>_xlfn.XLOOKUP($C1329,'Site Level Financials - ''23 ''24'!$C$2:$C$1577,'Site Level Financials - ''23 ''24'!T$2:T$1577)</f>
        <v>436.15977504045816</v>
      </c>
      <c r="I1329" s="248">
        <f>_xlfn.XLOOKUP($C1329,'Site Level Financials - ''23 ''24'!$C$2:$C$1577,'Site Level Financials - ''23 ''24'!U$2:U$1577)</f>
        <v>354.03310991788555</v>
      </c>
      <c r="J1329" s="248">
        <f>_xlfn.XLOOKUP($C1329,'Site Level Financials - ''23 ''24'!$C$2:$C$1577,'Site Level Financials - ''23 ''24'!V$2:V$1577)</f>
        <v>271.46936009785486</v>
      </c>
      <c r="K1329" s="248">
        <f>_xlfn.XLOOKUP($C1329,'Site Level Financials - ''23 ''24'!$C$2:$C$1577,'Site Level Financials - ''23 ''24'!W$2:W$1577)</f>
        <v>160.5534769740905</v>
      </c>
      <c r="L1329" s="248">
        <f>_xlfn.XLOOKUP($C1329,'Site Level Financials - ''23 ''24'!$C$2:$C$1577,'Site Level Financials - ''23 ''24'!X$2:X$1577)</f>
        <v>132.67684355413164</v>
      </c>
      <c r="M1329" s="248">
        <f>_xlfn.XLOOKUP($C1329,'Site Level Financials - ''23 ''24'!$C$2:$C$1577,'Site Level Financials - ''23 ''24'!Y$2:Y$1577)</f>
        <v>255.91804290304492</v>
      </c>
      <c r="N1329" s="248">
        <f>_xlfn.XLOOKUP($C1329,'Site Level Financials - ''23 ''24'!$C$2:$C$1577,'Site Level Financials - ''23 ''24'!Z$2:Z$1577)</f>
        <v>233.81941680092956</v>
      </c>
      <c r="O1329" s="248">
        <f>_xlfn.XLOOKUP($C1329,'Site Level Financials - ''23 ''24'!$C$2:$C$1577,'Site Level Financials - ''23 ''24'!AA$2:AA$1577)</f>
        <v>270.68562269915509</v>
      </c>
      <c r="P1329" s="248">
        <f>_xlfn.XLOOKUP($C1329,'Site Level Financials - ''23 ''24'!$C$2:$C$1577,'Site Level Financials - ''23 ''24'!AB$2:AB$1577)</f>
        <v>306.35146557900629</v>
      </c>
      <c r="Q1329" s="248">
        <f>_xlfn.XLOOKUP($C1329,'Site Level Financials - ''23 ''24'!$C$2:$C$1577,'Site Level Financials - ''23 ''24'!AC$2:AC$1577)</f>
        <v>278.15553925448569</v>
      </c>
      <c r="R1329" s="248">
        <f>_xlfn.XLOOKUP($C1329,'Site Level Financials - ''23 ''24'!$C$2:$C$1577,'Site Level Financials - ''23 ''24'!AD$2:AD$1577)</f>
        <v>212.8676054525076</v>
      </c>
      <c r="S1329" s="169">
        <f t="shared" ref="S1329:AD1329" si="3886">S1330*S1299</f>
        <v>319.94803806586134</v>
      </c>
      <c r="T1329" s="170">
        <f t="shared" si="3886"/>
        <v>331.29941437165041</v>
      </c>
      <c r="U1329" s="170">
        <f t="shared" si="3886"/>
        <v>355.74574444689227</v>
      </c>
      <c r="V1329" s="170">
        <f t="shared" si="3886"/>
        <v>381.06116026683355</v>
      </c>
      <c r="W1329" s="170">
        <f t="shared" si="3886"/>
        <v>452.8956421967759</v>
      </c>
      <c r="X1329" s="170">
        <f t="shared" si="3886"/>
        <v>380.31854763431585</v>
      </c>
      <c r="Y1329" s="170">
        <f t="shared" si="3886"/>
        <v>455.32413128957512</v>
      </c>
      <c r="Z1329" s="170">
        <f t="shared" si="3886"/>
        <v>390.43626773391225</v>
      </c>
      <c r="AA1329" s="170">
        <f t="shared" si="3886"/>
        <v>357.96643086147418</v>
      </c>
      <c r="AB1329" s="170">
        <f t="shared" si="3886"/>
        <v>411.1218474127827</v>
      </c>
      <c r="AC1329" s="170">
        <f t="shared" si="3886"/>
        <v>324.97905935991042</v>
      </c>
      <c r="AD1329" s="171">
        <f t="shared" si="3886"/>
        <v>265.25198760826572</v>
      </c>
      <c r="AE1329" s="26"/>
      <c r="AF1329" s="234">
        <f>_xlfn.XLOOKUP($C1329,'Site Level Financials - ''23 ''24'!$C$2:$C$1577,'Site Level Financials - ''23 ''24'!$AF$2:$AF$1577)</f>
        <v>5572.9837685378125</v>
      </c>
      <c r="AG1329" s="99">
        <f>SUM(G1329:R1329)</f>
        <v>3356.2474364872764</v>
      </c>
      <c r="AH1329" s="99">
        <f t="shared" ref="AH1329" si="3887">SUM(S1329:AD1329)</f>
        <v>4426.3482712482501</v>
      </c>
    </row>
    <row r="1330" spans="2:35" x14ac:dyDescent="0.2">
      <c r="B1330" s="9">
        <f>G1289</f>
        <v>27</v>
      </c>
      <c r="C1330" s="9" t="str">
        <f t="shared" si="3776"/>
        <v>27 - Collections as a % of Production</v>
      </c>
      <c r="D1330" s="9" t="s">
        <v>56</v>
      </c>
      <c r="F1330" s="16" t="s">
        <v>17</v>
      </c>
      <c r="G1330" s="245">
        <f>_xlfn.XLOOKUP($C1330,'Site Level Financials - ''23 ''24'!$C$2:$C$1577,'Site Level Financials - ''23 ''24'!S$2:S$1577)</f>
        <v>0.98599411042233442</v>
      </c>
      <c r="H1330" s="246">
        <f>_xlfn.XLOOKUP($C1330,'Site Level Financials - ''23 ''24'!$C$2:$C$1577,'Site Level Financials - ''23 ''24'!T$2:T$1577)</f>
        <v>0.98227640787430726</v>
      </c>
      <c r="I1330" s="246">
        <f>_xlfn.XLOOKUP($C1330,'Site Level Financials - ''23 ''24'!$C$2:$C$1577,'Site Level Financials - ''23 ''24'!U$2:U$1577)</f>
        <v>0.96410648564350365</v>
      </c>
      <c r="J1330" s="246">
        <f>_xlfn.XLOOKUP($C1330,'Site Level Financials - ''23 ''24'!$C$2:$C$1577,'Site Level Financials - ''23 ''24'!V$2:V$1577)</f>
        <v>0.98052096571192304</v>
      </c>
      <c r="K1330" s="246">
        <f>_xlfn.XLOOKUP($C1330,'Site Level Financials - ''23 ''24'!$C$2:$C$1577,'Site Level Financials - ''23 ''24'!W$2:W$1577)</f>
        <v>0.96566142276184874</v>
      </c>
      <c r="L1330" s="246">
        <f>_xlfn.XLOOKUP($C1330,'Site Level Financials - ''23 ''24'!$C$2:$C$1577,'Site Level Financials - ''23 ''24'!X$2:X$1577)</f>
        <v>0.97452685707194819</v>
      </c>
      <c r="M1330" s="246">
        <f>_xlfn.XLOOKUP($C1330,'Site Level Financials - ''23 ''24'!$C$2:$C$1577,'Site Level Financials - ''23 ''24'!Y$2:Y$1577)</f>
        <v>0.97642444024552366</v>
      </c>
      <c r="N1330" s="246">
        <f>_xlfn.XLOOKUP($C1330,'Site Level Financials - ''23 ''24'!$C$2:$C$1577,'Site Level Financials - ''23 ''24'!Z$2:Z$1577)</f>
        <v>0.97455598613844896</v>
      </c>
      <c r="O1330" s="246">
        <f>_xlfn.XLOOKUP($C1330,'Site Level Financials - ''23 ''24'!$C$2:$C$1577,'Site Level Financials - ''23 ''24'!AA$2:AA$1577)</f>
        <v>0.98707253183158017</v>
      </c>
      <c r="P1330" s="246">
        <f>_xlfn.XLOOKUP($C1330,'Site Level Financials - ''23 ''24'!$C$2:$C$1577,'Site Level Financials - ''23 ''24'!AB$2:AB$1577)</f>
        <v>0.97968304511498394</v>
      </c>
      <c r="Q1330" s="246">
        <f>_xlfn.XLOOKUP($C1330,'Site Level Financials - ''23 ''24'!$C$2:$C$1577,'Site Level Financials - ''23 ''24'!AC$2:AC$1577)</f>
        <v>0.97240730841172218</v>
      </c>
      <c r="R1330" s="246">
        <f>_xlfn.XLOOKUP($C1330,'Site Level Financials - ''23 ''24'!$C$2:$C$1577,'Site Level Financials - ''23 ''24'!AD$2:AD$1577)</f>
        <v>0.9609974663676778</v>
      </c>
      <c r="S1330" s="148">
        <f>S1300</f>
        <v>0.97653817915819086</v>
      </c>
      <c r="T1330" s="149">
        <f t="shared" ref="T1330:AD1330" si="3888">T1300</f>
        <v>0.97653817915819086</v>
      </c>
      <c r="U1330" s="149">
        <f t="shared" si="3888"/>
        <v>0.97653817915819086</v>
      </c>
      <c r="V1330" s="149">
        <f t="shared" si="3888"/>
        <v>0.97653817915819086</v>
      </c>
      <c r="W1330" s="149">
        <f t="shared" si="3888"/>
        <v>0.97653817915819086</v>
      </c>
      <c r="X1330" s="149">
        <f t="shared" si="3888"/>
        <v>0.97653817915819086</v>
      </c>
      <c r="Y1330" s="149">
        <f t="shared" si="3888"/>
        <v>0.97653817915819086</v>
      </c>
      <c r="Z1330" s="149">
        <f t="shared" si="3888"/>
        <v>0.97653817915819086</v>
      </c>
      <c r="AA1330" s="149">
        <f t="shared" si="3888"/>
        <v>0.97653817915819086</v>
      </c>
      <c r="AB1330" s="149">
        <f t="shared" si="3888"/>
        <v>0.97653817915819086</v>
      </c>
      <c r="AC1330" s="149">
        <f t="shared" si="3888"/>
        <v>0.97653817915819086</v>
      </c>
      <c r="AD1330" s="150">
        <f t="shared" si="3888"/>
        <v>0.97653817915819086</v>
      </c>
      <c r="AE1330" s="15"/>
      <c r="AF1330" s="232">
        <f>_xlfn.XLOOKUP($C1330,'Site Level Financials - ''23 ''24'!$C$2:$C$1577,'Site Level Financials - ''23 ''24'!$AF$2:$AF$1577)</f>
        <v>0.97845759212243444</v>
      </c>
      <c r="AG1330" s="97">
        <f t="shared" ref="AG1330:AH1330" si="3889">AG1329/AG1299</f>
        <v>0.97653817915819086</v>
      </c>
      <c r="AH1330" s="97">
        <f t="shared" si="3889"/>
        <v>0.97653817915819086</v>
      </c>
    </row>
    <row r="1331" spans="2:35" ht="6" customHeight="1" x14ac:dyDescent="0.2">
      <c r="B1331" s="9">
        <f>G1289</f>
        <v>27</v>
      </c>
      <c r="C1331" s="9" t="str">
        <f t="shared" si="3776"/>
        <v xml:space="preserve">27 - </v>
      </c>
      <c r="D1331" s="9" t="s">
        <v>56</v>
      </c>
      <c r="F1331" s="27"/>
      <c r="G1331" s="63"/>
      <c r="H1331" s="63"/>
      <c r="I1331" s="63"/>
      <c r="J1331" s="63"/>
      <c r="K1331" s="63"/>
      <c r="L1331" s="63"/>
      <c r="M1331" s="63"/>
      <c r="N1331" s="63"/>
      <c r="O1331" s="63"/>
      <c r="P1331" s="63"/>
      <c r="Q1331" s="63"/>
      <c r="R1331" s="81"/>
      <c r="S1331" s="63"/>
      <c r="T1331" s="63"/>
      <c r="U1331" s="63"/>
      <c r="V1331" s="63"/>
      <c r="W1331" s="63"/>
      <c r="X1331" s="63"/>
      <c r="Y1331" s="63"/>
      <c r="Z1331" s="63"/>
      <c r="AA1331" s="63"/>
      <c r="AB1331" s="63"/>
      <c r="AC1331" s="63"/>
      <c r="AD1331" s="81"/>
      <c r="AE1331" s="15"/>
      <c r="AF1331" s="11"/>
      <c r="AH1331" s="224"/>
    </row>
    <row r="1332" spans="2:35" s="24" customFormat="1" x14ac:dyDescent="0.2">
      <c r="B1332" s="9">
        <f>G1289</f>
        <v>27</v>
      </c>
      <c r="C1332" s="9" t="str">
        <f t="shared" si="3776"/>
        <v>27 - Production per Vet Workday - YoY Change</v>
      </c>
      <c r="D1332" s="9" t="s">
        <v>56</v>
      </c>
      <c r="E1332" s="49"/>
      <c r="F1332" s="24" t="s">
        <v>55</v>
      </c>
      <c r="G1332" s="249">
        <f>_xlfn.XLOOKUP($C1332,'Site Level Financials - ''23 ''24'!$C$2:$C$1577,'Site Level Financials - ''23 ''24'!S$2:S$1577)</f>
        <v>3.0222534548573821E-2</v>
      </c>
      <c r="H1332" s="250">
        <f>_xlfn.XLOOKUP($C1332,'Site Level Financials - ''23 ''24'!$C$2:$C$1577,'Site Level Financials - ''23 ''24'!T$2:T$1577)</f>
        <v>6.3276401637690771E-3</v>
      </c>
      <c r="I1332" s="250">
        <f>_xlfn.XLOOKUP($C1332,'Site Level Financials - ''23 ''24'!$C$2:$C$1577,'Site Level Financials - ''23 ''24'!U$2:U$1577)</f>
        <v>-2.5922406600213499E-2</v>
      </c>
      <c r="J1332" s="250">
        <f>_xlfn.XLOOKUP($C1332,'Site Level Financials - ''23 ''24'!$C$2:$C$1577,'Site Level Financials - ''23 ''24'!V$2:V$1577)</f>
        <v>6.5074183666702368E-3</v>
      </c>
      <c r="K1332" s="250">
        <f>_xlfn.XLOOKUP($C1332,'Site Level Financials - ''23 ''24'!$C$2:$C$1577,'Site Level Financials - ''23 ''24'!W$2:W$1577)</f>
        <v>3.90170816119082E-2</v>
      </c>
      <c r="L1332" s="250">
        <f>_xlfn.XLOOKUP($C1332,'Site Level Financials - ''23 ''24'!$C$2:$C$1577,'Site Level Financials - ''23 ''24'!X$2:X$1577)</f>
        <v>8.5661777656098614E-4</v>
      </c>
      <c r="M1332" s="250">
        <f>_xlfn.XLOOKUP($C1332,'Site Level Financials - ''23 ''24'!$C$2:$C$1577,'Site Level Financials - ''23 ''24'!Y$2:Y$1577)</f>
        <v>-4.9837773639925809E-3</v>
      </c>
      <c r="N1332" s="250">
        <f>_xlfn.XLOOKUP($C1332,'Site Level Financials - ''23 ''24'!$C$2:$C$1577,'Site Level Financials - ''23 ''24'!Z$2:Z$1577)</f>
        <v>3.3730339127104436E-2</v>
      </c>
      <c r="O1332" s="250">
        <f>_xlfn.XLOOKUP($C1332,'Site Level Financials - ''23 ''24'!$C$2:$C$1577,'Site Level Financials - ''23 ''24'!AA$2:AA$1577)</f>
        <v>-0.16413306178750464</v>
      </c>
      <c r="P1332" s="250">
        <f>_xlfn.XLOOKUP($C1332,'Site Level Financials - ''23 ''24'!$C$2:$C$1577,'Site Level Financials - ''23 ''24'!AB$2:AB$1577)</f>
        <v>-0.15889604119608658</v>
      </c>
      <c r="Q1332" s="250">
        <f>_xlfn.XLOOKUP($C1332,'Site Level Financials - ''23 ''24'!$C$2:$C$1577,'Site Level Financials - ''23 ''24'!AC$2:AC$1577)</f>
        <v>-2.7947051206963058E-2</v>
      </c>
      <c r="R1332" s="251">
        <f>_xlfn.XLOOKUP($C1332,'Site Level Financials - ''23 ''24'!$C$2:$C$1577,'Site Level Financials - ''23 ''24'!AD$2:AD$1577)</f>
        <v>-3.2926975726728869E-2</v>
      </c>
      <c r="S1332" s="151">
        <f>S1298/G1298-1</f>
        <v>-2.8922996461732353E-2</v>
      </c>
      <c r="T1332" s="152">
        <f t="shared" ref="T1332" si="3890">T1298/H1298-1</f>
        <v>1.8728088379242447E-2</v>
      </c>
      <c r="U1332" s="152">
        <f t="shared" ref="U1332" si="3891">U1298/I1298-1</f>
        <v>-7.9544561591429197E-3</v>
      </c>
      <c r="V1332" s="152">
        <f t="shared" ref="V1332" si="3892">V1298/J1298-1</f>
        <v>-6.0384301329879486E-2</v>
      </c>
      <c r="W1332" s="152">
        <f t="shared" ref="W1332" si="3893">W1298/K1298-1</f>
        <v>-7.0192967098787196E-2</v>
      </c>
      <c r="X1332" s="152">
        <f t="shared" ref="X1332" si="3894">X1298/L1298-1</f>
        <v>-4.6467049234873437E-2</v>
      </c>
      <c r="Y1332" s="152">
        <f t="shared" ref="Y1332" si="3895">Y1298/M1298-1</f>
        <v>-0.11051387034092841</v>
      </c>
      <c r="Z1332" s="152">
        <f t="shared" ref="Z1332" si="3896">Z1298/N1298-1</f>
        <v>-0.16678486499940914</v>
      </c>
      <c r="AA1332" s="152">
        <f t="shared" ref="AA1332" si="3897">AA1298/O1298-1</f>
        <v>2.5319336943159243E-3</v>
      </c>
      <c r="AB1332" s="152">
        <f t="shared" ref="AB1332" si="3898">AB1298/P1298-1</f>
        <v>9.7368871640590715E-3</v>
      </c>
      <c r="AC1332" s="152">
        <f t="shared" ref="AC1332" si="3899">AC1298/Q1298-1</f>
        <v>-0.12745483843579852</v>
      </c>
      <c r="AD1332" s="153">
        <f t="shared" ref="AD1332" si="3900">AD1298/R1298-1</f>
        <v>-8.0306005052667384E-2</v>
      </c>
      <c r="AF1332" s="43"/>
      <c r="AG1332" s="177">
        <f>AG1298/AF1298-1</f>
        <v>-7.1376536234430188E-2</v>
      </c>
      <c r="AH1332" s="225">
        <f>AH1298/AG1298-1</f>
        <v>-2.8371649823834222E-2</v>
      </c>
    </row>
    <row r="1333" spans="2:35" s="24" customFormat="1" ht="6" customHeight="1" x14ac:dyDescent="0.2">
      <c r="D1333" s="9" t="s">
        <v>56</v>
      </c>
      <c r="E1333" s="49"/>
      <c r="G1333" s="28"/>
      <c r="H1333" s="30"/>
      <c r="I1333" s="30"/>
      <c r="J1333" s="30"/>
      <c r="K1333" s="30"/>
      <c r="L1333" s="30"/>
      <c r="M1333" s="30"/>
      <c r="N1333" s="30"/>
      <c r="O1333" s="30"/>
      <c r="P1333" s="30"/>
      <c r="Q1333" s="30"/>
      <c r="R1333" s="29"/>
      <c r="S1333" s="30"/>
      <c r="T1333" s="30"/>
      <c r="U1333" s="30"/>
      <c r="V1333" s="30"/>
      <c r="W1333" s="30"/>
      <c r="X1333" s="30"/>
      <c r="Y1333" s="30"/>
      <c r="Z1333" s="30"/>
      <c r="AA1333" s="30"/>
      <c r="AB1333" s="30"/>
      <c r="AC1333" s="30"/>
      <c r="AD1333" s="29"/>
      <c r="AE1333" s="25"/>
      <c r="AF1333" s="28"/>
      <c r="AG1333" s="30"/>
      <c r="AH1333" s="226"/>
    </row>
    <row r="1334" spans="2:35" s="24" customFormat="1" ht="6" customHeight="1" x14ac:dyDescent="0.2">
      <c r="D1334" s="9" t="s">
        <v>56</v>
      </c>
      <c r="E1334" s="49"/>
    </row>
    <row r="1335" spans="2:35" s="24" customFormat="1" ht="12.75" customHeight="1" x14ac:dyDescent="0.2">
      <c r="D1335" s="9" t="s">
        <v>56</v>
      </c>
      <c r="E1335" s="49"/>
    </row>
    <row r="1336" spans="2:35" ht="15.75" thickBot="1" x14ac:dyDescent="0.4">
      <c r="B1336" s="35" t="s">
        <v>52</v>
      </c>
      <c r="C1336" s="35"/>
      <c r="D1336" s="9" t="s">
        <v>56</v>
      </c>
      <c r="E1336" s="48" t="s">
        <v>0</v>
      </c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74"/>
      <c r="AH1336" s="3">
        <f ca="1">TODAY()</f>
        <v>45999</v>
      </c>
      <c r="AI1336" s="1"/>
    </row>
    <row r="1337" spans="2:35" x14ac:dyDescent="0.2">
      <c r="B1337" s="9">
        <f>G1338</f>
        <v>28</v>
      </c>
      <c r="C1337" s="9"/>
      <c r="D1337" s="9" t="s">
        <v>56</v>
      </c>
      <c r="F1337" t="s">
        <v>159</v>
      </c>
      <c r="AG1337" s="6"/>
      <c r="AH1337" s="6" t="s">
        <v>16</v>
      </c>
    </row>
    <row r="1338" spans="2:35" x14ac:dyDescent="0.2">
      <c r="B1338" s="9">
        <f>G1338</f>
        <v>28</v>
      </c>
      <c r="C1338" s="9"/>
      <c r="D1338" s="9" t="s">
        <v>56</v>
      </c>
      <c r="F1338" s="40" t="s">
        <v>53</v>
      </c>
      <c r="G1338" s="42">
        <v>28</v>
      </c>
    </row>
    <row r="1339" spans="2:35" x14ac:dyDescent="0.2">
      <c r="B1339" s="9">
        <f>G1338</f>
        <v>28</v>
      </c>
      <c r="C1339" s="9"/>
      <c r="D1339" s="9" t="s">
        <v>56</v>
      </c>
      <c r="F1339" s="39" t="s">
        <v>45</v>
      </c>
      <c r="G1339" s="41"/>
      <c r="H1339" s="11"/>
    </row>
    <row r="1340" spans="2:35" x14ac:dyDescent="0.2">
      <c r="B1340" s="9">
        <f>G1338</f>
        <v>28</v>
      </c>
      <c r="C1340" s="9"/>
      <c r="D1340" s="9" t="s">
        <v>56</v>
      </c>
      <c r="G1340" s="23"/>
    </row>
    <row r="1341" spans="2:35" x14ac:dyDescent="0.2">
      <c r="B1341" s="9">
        <f>G1338</f>
        <v>28</v>
      </c>
      <c r="C1341" s="9"/>
      <c r="D1341" s="9" t="s">
        <v>56</v>
      </c>
      <c r="G1341" s="208" t="s">
        <v>229</v>
      </c>
      <c r="H1341" s="209"/>
      <c r="I1341" s="209"/>
      <c r="J1341" s="209"/>
      <c r="K1341" s="209"/>
      <c r="L1341" s="209"/>
      <c r="M1341" s="209"/>
      <c r="N1341" s="209"/>
      <c r="O1341" s="209"/>
      <c r="P1341" s="209"/>
      <c r="Q1341" s="209"/>
      <c r="R1341" s="210"/>
      <c r="S1341" s="266" t="s">
        <v>230</v>
      </c>
      <c r="T1341" s="267"/>
      <c r="U1341" s="267"/>
      <c r="V1341" s="267"/>
      <c r="W1341" s="267"/>
      <c r="X1341" s="267"/>
      <c r="Y1341" s="267"/>
      <c r="Z1341" s="267"/>
      <c r="AA1341" s="267"/>
      <c r="AB1341" s="267"/>
      <c r="AC1341" s="267"/>
      <c r="AD1341" s="268"/>
      <c r="AF1341" s="17" t="s">
        <v>231</v>
      </c>
      <c r="AG1341" s="50"/>
      <c r="AH1341" s="269" t="s">
        <v>232</v>
      </c>
    </row>
    <row r="1342" spans="2:35" ht="15" customHeight="1" x14ac:dyDescent="0.35">
      <c r="B1342" s="9">
        <f>G1338</f>
        <v>28</v>
      </c>
      <c r="C1342" s="9"/>
      <c r="D1342" s="9" t="s">
        <v>56</v>
      </c>
      <c r="G1342" s="211">
        <v>44957</v>
      </c>
      <c r="H1342" s="212">
        <f>EOMONTH(G1342,1)</f>
        <v>44985</v>
      </c>
      <c r="I1342" s="212">
        <f t="shared" ref="I1342" si="3901">EOMONTH(H1342,1)</f>
        <v>45016</v>
      </c>
      <c r="J1342" s="212">
        <f t="shared" ref="J1342" si="3902">EOMONTH(I1342,1)</f>
        <v>45046</v>
      </c>
      <c r="K1342" s="212">
        <f t="shared" ref="K1342" si="3903">EOMONTH(J1342,1)</f>
        <v>45077</v>
      </c>
      <c r="L1342" s="212">
        <f t="shared" ref="L1342" si="3904">EOMONTH(K1342,1)</f>
        <v>45107</v>
      </c>
      <c r="M1342" s="212">
        <f t="shared" ref="M1342" si="3905">EOMONTH(L1342,1)</f>
        <v>45138</v>
      </c>
      <c r="N1342" s="212">
        <f t="shared" ref="N1342" si="3906">EOMONTH(M1342,1)</f>
        <v>45169</v>
      </c>
      <c r="O1342" s="212">
        <f t="shared" ref="O1342" si="3907">EOMONTH(N1342,1)</f>
        <v>45199</v>
      </c>
      <c r="P1342" s="212">
        <f t="shared" ref="P1342" si="3908">EOMONTH(O1342,1)</f>
        <v>45230</v>
      </c>
      <c r="Q1342" s="212">
        <f t="shared" ref="Q1342" si="3909">EOMONTH(P1342,1)</f>
        <v>45260</v>
      </c>
      <c r="R1342" s="213">
        <f t="shared" ref="R1342" si="3910">EOMONTH(Q1342,1)</f>
        <v>45291</v>
      </c>
      <c r="S1342" s="4">
        <f t="shared" ref="S1342" si="3911">EOMONTH(R1342,1)</f>
        <v>45322</v>
      </c>
      <c r="T1342" s="19">
        <f t="shared" ref="T1342" si="3912">EOMONTH(S1342,1)</f>
        <v>45351</v>
      </c>
      <c r="U1342" s="19">
        <f t="shared" ref="U1342" si="3913">EOMONTH(T1342,1)</f>
        <v>45382</v>
      </c>
      <c r="V1342" s="19">
        <f t="shared" ref="V1342" si="3914">EOMONTH(U1342,1)</f>
        <v>45412</v>
      </c>
      <c r="W1342" s="19">
        <f t="shared" ref="W1342" si="3915">EOMONTH(V1342,1)</f>
        <v>45443</v>
      </c>
      <c r="X1342" s="19">
        <f t="shared" ref="X1342" si="3916">EOMONTH(W1342,1)</f>
        <v>45473</v>
      </c>
      <c r="Y1342" s="19">
        <f t="shared" ref="Y1342" si="3917">EOMONTH(X1342,1)</f>
        <v>45504</v>
      </c>
      <c r="Z1342" s="19">
        <f t="shared" ref="Z1342" si="3918">EOMONTH(Y1342,1)</f>
        <v>45535</v>
      </c>
      <c r="AA1342" s="19">
        <f t="shared" ref="AA1342" si="3919">EOMONTH(Z1342,1)</f>
        <v>45565</v>
      </c>
      <c r="AB1342" s="19">
        <f t="shared" ref="AB1342" si="3920">EOMONTH(AA1342,1)</f>
        <v>45596</v>
      </c>
      <c r="AC1342" s="19">
        <f t="shared" ref="AC1342" si="3921">EOMONTH(AB1342,1)</f>
        <v>45626</v>
      </c>
      <c r="AD1342" s="5">
        <f t="shared" ref="AD1342" si="3922">EOMONTH(AC1342,1)</f>
        <v>45657</v>
      </c>
      <c r="AE1342" s="168"/>
      <c r="AF1342" s="13">
        <v>45291</v>
      </c>
      <c r="AG1342" s="14">
        <v>45657</v>
      </c>
      <c r="AH1342" s="14">
        <v>46022</v>
      </c>
    </row>
    <row r="1343" spans="2:35" ht="0.95" customHeight="1" x14ac:dyDescent="0.2">
      <c r="B1343" s="9">
        <f>G1338</f>
        <v>28</v>
      </c>
      <c r="C1343" s="9"/>
      <c r="D1343" s="9" t="s">
        <v>56</v>
      </c>
      <c r="G1343" s="11"/>
      <c r="S1343" s="11"/>
      <c r="AD1343" s="15"/>
      <c r="AE1343" s="15"/>
      <c r="AF1343" s="11"/>
      <c r="AG1343" s="15"/>
      <c r="AH1343" s="15"/>
    </row>
    <row r="1344" spans="2:35" x14ac:dyDescent="0.2">
      <c r="B1344" s="9">
        <f>G1338</f>
        <v>28</v>
      </c>
      <c r="C1344" s="9" t="str">
        <f>B1344&amp;" - "&amp;F1344</f>
        <v>28 - Employed Vets</v>
      </c>
      <c r="D1344" s="9" t="s">
        <v>56</v>
      </c>
      <c r="F1344" s="7" t="s">
        <v>160</v>
      </c>
      <c r="G1344" s="178">
        <f>_xlfn.XLOOKUP($C1344,'Site Level Financials - ''23 ''24'!$C$2:$C$1577,'Site Level Financials - ''23 ''24'!S$2:S$1577)</f>
        <v>4</v>
      </c>
      <c r="H1344" s="179">
        <f>_xlfn.XLOOKUP($C1344,'Site Level Financials - ''23 ''24'!$C$2:$C$1577,'Site Level Financials - ''23 ''24'!T$2:T$1577)</f>
        <v>4</v>
      </c>
      <c r="I1344" s="179">
        <f>_xlfn.XLOOKUP($C1344,'Site Level Financials - ''23 ''24'!$C$2:$C$1577,'Site Level Financials - ''23 ''24'!U$2:U$1577)</f>
        <v>4</v>
      </c>
      <c r="J1344" s="179">
        <f>_xlfn.XLOOKUP($C1344,'Site Level Financials - ''23 ''24'!$C$2:$C$1577,'Site Level Financials - ''23 ''24'!V$2:V$1577)</f>
        <v>4</v>
      </c>
      <c r="K1344" s="179">
        <f>_xlfn.XLOOKUP($C1344,'Site Level Financials - ''23 ''24'!$C$2:$C$1577,'Site Level Financials - ''23 ''24'!W$2:W$1577)</f>
        <v>3</v>
      </c>
      <c r="L1344" s="179">
        <f>_xlfn.XLOOKUP($C1344,'Site Level Financials - ''23 ''24'!$C$2:$C$1577,'Site Level Financials - ''23 ''24'!X$2:X$1577)</f>
        <v>3</v>
      </c>
      <c r="M1344" s="179">
        <f>_xlfn.XLOOKUP($C1344,'Site Level Financials - ''23 ''24'!$C$2:$C$1577,'Site Level Financials - ''23 ''24'!Y$2:Y$1577)</f>
        <v>4</v>
      </c>
      <c r="N1344" s="179">
        <f>_xlfn.XLOOKUP($C1344,'Site Level Financials - ''23 ''24'!$C$2:$C$1577,'Site Level Financials - ''23 ''24'!Z$2:Z$1577)</f>
        <v>4</v>
      </c>
      <c r="O1344" s="179">
        <f>_xlfn.XLOOKUP($C1344,'Site Level Financials - ''23 ''24'!$C$2:$C$1577,'Site Level Financials - ''23 ''24'!AA$2:AA$1577)</f>
        <v>4</v>
      </c>
      <c r="P1344" s="179">
        <f>_xlfn.XLOOKUP($C1344,'Site Level Financials - ''23 ''24'!$C$2:$C$1577,'Site Level Financials - ''23 ''24'!AB$2:AB$1577)</f>
        <v>4</v>
      </c>
      <c r="Q1344" s="179">
        <f>_xlfn.XLOOKUP($C1344,'Site Level Financials - ''23 ''24'!$C$2:$C$1577,'Site Level Financials - ''23 ''24'!AC$2:AC$1577)</f>
        <v>4</v>
      </c>
      <c r="R1344" s="179">
        <f>_xlfn.XLOOKUP($C1344,'Site Level Financials - ''23 ''24'!$C$2:$C$1577,'Site Level Financials - ''23 ''24'!AD$2:AD$1577)</f>
        <v>4</v>
      </c>
      <c r="S1344" s="178">
        <f>R1344+_xlfn.XLOOKUP($R1344,'Budget Assumption Driver'!$A$7:$A$11,'Budget Assumption Driver'!E$7:E$11)</f>
        <v>4</v>
      </c>
      <c r="T1344" s="179">
        <f>S1344+_xlfn.XLOOKUP($R1344,'Budget Assumption Driver'!$A$7:$A$11,'Budget Assumption Driver'!F$7:F$11)</f>
        <v>4</v>
      </c>
      <c r="U1344" s="179">
        <f>T1344+_xlfn.XLOOKUP($R1344,'Budget Assumption Driver'!$A$7:$A$11,'Budget Assumption Driver'!G$7:G$11)</f>
        <v>4</v>
      </c>
      <c r="V1344" s="179">
        <f>U1344+_xlfn.XLOOKUP($R1344,'Budget Assumption Driver'!$A$7:$A$11,'Budget Assumption Driver'!H$7:H$11)</f>
        <v>4</v>
      </c>
      <c r="W1344" s="179">
        <f>V1344+_xlfn.XLOOKUP($R1344,'Budget Assumption Driver'!$A$7:$A$11,'Budget Assumption Driver'!I$7:I$11)</f>
        <v>4</v>
      </c>
      <c r="X1344" s="179">
        <f>W1344+_xlfn.XLOOKUP($R1344,'Budget Assumption Driver'!$A$7:$A$11,'Budget Assumption Driver'!J$7:J$11)</f>
        <v>4</v>
      </c>
      <c r="Y1344" s="179">
        <f>X1344+_xlfn.XLOOKUP($R1344,'Budget Assumption Driver'!$A$7:$A$11,'Budget Assumption Driver'!K$7:K$11)</f>
        <v>4</v>
      </c>
      <c r="Z1344" s="179">
        <f>Y1344+_xlfn.XLOOKUP($R1344,'Budget Assumption Driver'!$A$7:$A$11,'Budget Assumption Driver'!L$7:L$11)</f>
        <v>4</v>
      </c>
      <c r="AA1344" s="179">
        <f>Z1344+_xlfn.XLOOKUP($R1344,'Budget Assumption Driver'!$A$7:$A$11,'Budget Assumption Driver'!M$7:M$11)</f>
        <v>4</v>
      </c>
      <c r="AB1344" s="179">
        <f>AA1344+_xlfn.XLOOKUP($R1344,'Budget Assumption Driver'!$A$7:$A$11,'Budget Assumption Driver'!N$7:N$11)</f>
        <v>4</v>
      </c>
      <c r="AC1344" s="179">
        <f>AB1344+_xlfn.XLOOKUP($R1344,'Budget Assumption Driver'!$A$7:$A$11,'Budget Assumption Driver'!O$7:O$11)</f>
        <v>4</v>
      </c>
      <c r="AD1344" s="290">
        <f>AC1344+_xlfn.XLOOKUP($R1344,'Budget Assumption Driver'!$A$7:$A$11,'Budget Assumption Driver'!P$7:P$11)</f>
        <v>4</v>
      </c>
      <c r="AE1344" s="15"/>
      <c r="AF1344" s="229">
        <f>_xlfn.XLOOKUP($C1344,'Site Level Financials - ''23 ''24'!$C$2:$C$1577,'Site Level Financials - ''23 ''24'!$AF$2:$AF$1577)</f>
        <v>3.0833333333333335</v>
      </c>
      <c r="AG1344" s="91">
        <f t="shared" ref="AG1344:AH1344" si="3923">AG1346/AG1345</f>
        <v>3.8327137546468402</v>
      </c>
      <c r="AH1344" s="91">
        <f t="shared" si="3923"/>
        <v>4</v>
      </c>
    </row>
    <row r="1345" spans="2:34" x14ac:dyDescent="0.2">
      <c r="B1345" s="9">
        <f>G1338</f>
        <v>28</v>
      </c>
      <c r="C1345" s="9" t="str">
        <f t="shared" ref="C1345:C1381" si="3924">B1345&amp;" - "&amp;F1345</f>
        <v>28 - Workdays in Month / Year</v>
      </c>
      <c r="D1345" s="9" t="s">
        <v>56</v>
      </c>
      <c r="F1345" s="7" t="s">
        <v>54</v>
      </c>
      <c r="G1345" s="178">
        <f>_xlfn.XLOOKUP($C1345,'Site Level Financials - ''23 ''24'!$C$2:$C$1577,'Site Level Financials - ''23 ''24'!S$2:S$1577)</f>
        <v>23</v>
      </c>
      <c r="H1345" s="235">
        <f>_xlfn.XLOOKUP($C1345,'Site Level Financials - ''23 ''24'!$C$2:$C$1577,'Site Level Financials - ''23 ''24'!T$2:T$1577)</f>
        <v>22</v>
      </c>
      <c r="I1345" s="235">
        <f>_xlfn.XLOOKUP($C1345,'Site Level Financials - ''23 ''24'!$C$2:$C$1577,'Site Level Financials - ''23 ''24'!U$2:U$1577)</f>
        <v>22</v>
      </c>
      <c r="J1345" s="179">
        <f>_xlfn.XLOOKUP($C1345,'Site Level Financials - ''23 ''24'!$C$2:$C$1577,'Site Level Financials - ''23 ''24'!V$2:V$1577)</f>
        <v>22</v>
      </c>
      <c r="K1345" s="179">
        <f>_xlfn.XLOOKUP($C1345,'Site Level Financials - ''23 ''24'!$C$2:$C$1577,'Site Level Financials - ''23 ''24'!W$2:W$1577)</f>
        <v>24</v>
      </c>
      <c r="L1345" s="179">
        <f>_xlfn.XLOOKUP($C1345,'Site Level Financials - ''23 ''24'!$C$2:$C$1577,'Site Level Financials - ''23 ''24'!X$2:X$1577)</f>
        <v>21</v>
      </c>
      <c r="M1345" s="179">
        <f>_xlfn.XLOOKUP($C1345,'Site Level Financials - ''23 ''24'!$C$2:$C$1577,'Site Level Financials - ''23 ''24'!Y$2:Y$1577)</f>
        <v>23</v>
      </c>
      <c r="N1345" s="179">
        <f>_xlfn.XLOOKUP($C1345,'Site Level Financials - ''23 ''24'!$C$2:$C$1577,'Site Level Financials - ''23 ''24'!Z$2:Z$1577)</f>
        <v>23</v>
      </c>
      <c r="O1345" s="179">
        <f>_xlfn.XLOOKUP($C1345,'Site Level Financials - ''23 ''24'!$C$2:$C$1577,'Site Level Financials - ''23 ''24'!AA$2:AA$1577)</f>
        <v>21</v>
      </c>
      <c r="P1345" s="179">
        <f>_xlfn.XLOOKUP($C1345,'Site Level Financials - ''23 ''24'!$C$2:$C$1577,'Site Level Financials - ''23 ''24'!AB$2:AB$1577)</f>
        <v>24</v>
      </c>
      <c r="Q1345" s="179">
        <f>_xlfn.XLOOKUP($C1345,'Site Level Financials - ''23 ''24'!$C$2:$C$1577,'Site Level Financials - ''23 ''24'!AC$2:AC$1577)</f>
        <v>22</v>
      </c>
      <c r="R1345" s="179">
        <f>_xlfn.XLOOKUP($C1345,'Site Level Financials - ''23 ''24'!$C$2:$C$1577,'Site Level Financials - ''23 ''24'!AD$2:AD$1577)</f>
        <v>22</v>
      </c>
      <c r="S1345" s="155">
        <f>NETWORKDAYS(R1342,S1342)</f>
        <v>23</v>
      </c>
      <c r="T1345" s="154">
        <f t="shared" ref="T1345:AD1345" si="3925">NETWORKDAYS(S1342,T1342)</f>
        <v>22</v>
      </c>
      <c r="U1345" s="154">
        <f t="shared" si="3925"/>
        <v>22</v>
      </c>
      <c r="V1345" s="154">
        <f t="shared" si="3925"/>
        <v>22</v>
      </c>
      <c r="W1345" s="154">
        <f t="shared" si="3925"/>
        <v>24</v>
      </c>
      <c r="X1345" s="154">
        <f t="shared" si="3925"/>
        <v>21</v>
      </c>
      <c r="Y1345" s="154">
        <f t="shared" si="3925"/>
        <v>23</v>
      </c>
      <c r="Z1345" s="154">
        <f t="shared" si="3925"/>
        <v>23</v>
      </c>
      <c r="AA1345" s="154">
        <f t="shared" si="3925"/>
        <v>21</v>
      </c>
      <c r="AB1345" s="154">
        <f t="shared" si="3925"/>
        <v>24</v>
      </c>
      <c r="AC1345" s="154">
        <f t="shared" si="3925"/>
        <v>22</v>
      </c>
      <c r="AD1345" s="156">
        <f t="shared" si="3925"/>
        <v>22</v>
      </c>
      <c r="AE1345" s="15"/>
      <c r="AF1345" s="115">
        <f>_xlfn.XLOOKUP($C1345,'Site Level Financials - ''23 ''24'!$C$2:$C$1577,'Site Level Financials - ''23 ''24'!$AF$2:$AF$1577)</f>
        <v>269</v>
      </c>
      <c r="AG1345" s="93">
        <f>SUM(G1345:R1345)</f>
        <v>269</v>
      </c>
      <c r="AH1345" s="93">
        <f>SUM(S1345:AD1345)</f>
        <v>269</v>
      </c>
    </row>
    <row r="1346" spans="2:34" x14ac:dyDescent="0.2">
      <c r="B1346" s="9">
        <f>G1338</f>
        <v>28</v>
      </c>
      <c r="C1346" s="9" t="str">
        <f t="shared" si="3924"/>
        <v>28 - Total Vet Days</v>
      </c>
      <c r="D1346" s="9" t="s">
        <v>56</v>
      </c>
      <c r="F1346" s="8" t="s">
        <v>51</v>
      </c>
      <c r="G1346" s="236">
        <f>_xlfn.XLOOKUP($C1346,'Site Level Financials - ''23 ''24'!$C$2:$C$1577,'Site Level Financials - ''23 ''24'!S$2:S$1577)</f>
        <v>92</v>
      </c>
      <c r="H1346" s="237">
        <f>_xlfn.XLOOKUP($C1346,'Site Level Financials - ''23 ''24'!$C$2:$C$1577,'Site Level Financials - ''23 ''24'!T$2:T$1577)</f>
        <v>88</v>
      </c>
      <c r="I1346" s="237">
        <f>_xlfn.XLOOKUP($C1346,'Site Level Financials - ''23 ''24'!$C$2:$C$1577,'Site Level Financials - ''23 ''24'!U$2:U$1577)</f>
        <v>88</v>
      </c>
      <c r="J1346" s="238">
        <f>_xlfn.XLOOKUP($C1346,'Site Level Financials - ''23 ''24'!$C$2:$C$1577,'Site Level Financials - ''23 ''24'!V$2:V$1577)</f>
        <v>88</v>
      </c>
      <c r="K1346" s="238">
        <f>_xlfn.XLOOKUP($C1346,'Site Level Financials - ''23 ''24'!$C$2:$C$1577,'Site Level Financials - ''23 ''24'!W$2:W$1577)</f>
        <v>72</v>
      </c>
      <c r="L1346" s="238">
        <f>_xlfn.XLOOKUP($C1346,'Site Level Financials - ''23 ''24'!$C$2:$C$1577,'Site Level Financials - ''23 ''24'!X$2:X$1577)</f>
        <v>63</v>
      </c>
      <c r="M1346" s="238">
        <f>_xlfn.XLOOKUP($C1346,'Site Level Financials - ''23 ''24'!$C$2:$C$1577,'Site Level Financials - ''23 ''24'!Y$2:Y$1577)</f>
        <v>92</v>
      </c>
      <c r="N1346" s="238">
        <f>_xlfn.XLOOKUP($C1346,'Site Level Financials - ''23 ''24'!$C$2:$C$1577,'Site Level Financials - ''23 ''24'!Z$2:Z$1577)</f>
        <v>92</v>
      </c>
      <c r="O1346" s="238">
        <f>_xlfn.XLOOKUP($C1346,'Site Level Financials - ''23 ''24'!$C$2:$C$1577,'Site Level Financials - ''23 ''24'!AA$2:AA$1577)</f>
        <v>84</v>
      </c>
      <c r="P1346" s="238">
        <f>_xlfn.XLOOKUP($C1346,'Site Level Financials - ''23 ''24'!$C$2:$C$1577,'Site Level Financials - ''23 ''24'!AB$2:AB$1577)</f>
        <v>96</v>
      </c>
      <c r="Q1346" s="238">
        <f>_xlfn.XLOOKUP($C1346,'Site Level Financials - ''23 ''24'!$C$2:$C$1577,'Site Level Financials - ''23 ''24'!AC$2:AC$1577)</f>
        <v>88</v>
      </c>
      <c r="R1346" s="238">
        <f>_xlfn.XLOOKUP($C1346,'Site Level Financials - ''23 ''24'!$C$2:$C$1577,'Site Level Financials - ''23 ''24'!AD$2:AD$1577)</f>
        <v>88</v>
      </c>
      <c r="S1346" s="125">
        <f t="shared" ref="S1346:AD1346" si="3926">S1344*S1345</f>
        <v>92</v>
      </c>
      <c r="T1346" s="127">
        <f t="shared" si="3926"/>
        <v>88</v>
      </c>
      <c r="U1346" s="127">
        <f t="shared" si="3926"/>
        <v>88</v>
      </c>
      <c r="V1346" s="127">
        <f t="shared" si="3926"/>
        <v>88</v>
      </c>
      <c r="W1346" s="127">
        <f t="shared" si="3926"/>
        <v>96</v>
      </c>
      <c r="X1346" s="127">
        <f t="shared" si="3926"/>
        <v>84</v>
      </c>
      <c r="Y1346" s="127">
        <f t="shared" si="3926"/>
        <v>92</v>
      </c>
      <c r="Z1346" s="127">
        <f t="shared" si="3926"/>
        <v>92</v>
      </c>
      <c r="AA1346" s="127">
        <f t="shared" si="3926"/>
        <v>84</v>
      </c>
      <c r="AB1346" s="127">
        <f t="shared" si="3926"/>
        <v>96</v>
      </c>
      <c r="AC1346" s="127">
        <f t="shared" si="3926"/>
        <v>88</v>
      </c>
      <c r="AD1346" s="128">
        <f t="shared" si="3926"/>
        <v>88</v>
      </c>
      <c r="AF1346" s="112">
        <f>_xlfn.XLOOKUP($C1346,'Site Level Financials - ''23 ''24'!$C$2:$C$1577,'Site Level Financials - ''23 ''24'!$AF$2:$AF$1577)</f>
        <v>831</v>
      </c>
      <c r="AG1346" s="120">
        <f>SUM(G1346:R1346)</f>
        <v>1031</v>
      </c>
      <c r="AH1346" s="120">
        <f t="shared" ref="AH1346" si="3927">SUM(S1346:AD1346)</f>
        <v>1076</v>
      </c>
    </row>
    <row r="1347" spans="2:34" x14ac:dyDescent="0.2">
      <c r="B1347" s="9">
        <f>G1338</f>
        <v>28</v>
      </c>
      <c r="C1347" s="9" t="str">
        <f t="shared" si="3924"/>
        <v>28 - Production per Vet Workday</v>
      </c>
      <c r="D1347" s="9" t="s">
        <v>56</v>
      </c>
      <c r="F1347" s="7" t="s">
        <v>50</v>
      </c>
      <c r="G1347" s="239">
        <f>_xlfn.XLOOKUP($C1347,'Site Level Financials - ''23 ''24'!$C$2:$C$1577,'Site Level Financials - ''23 ''24'!S$2:S$1577)</f>
        <v>4.8915265313149403</v>
      </c>
      <c r="H1347" s="240">
        <f>_xlfn.XLOOKUP($C1347,'Site Level Financials - ''23 ''24'!$C$2:$C$1577,'Site Level Financials - ''23 ''24'!T$2:T$1577)</f>
        <v>5.044488615073436</v>
      </c>
      <c r="I1347" s="240">
        <f>_xlfn.XLOOKUP($C1347,'Site Level Financials - ''23 ''24'!$C$2:$C$1577,'Site Level Financials - ''23 ''24'!U$2:U$1577)</f>
        <v>5.5418345935577262</v>
      </c>
      <c r="J1347" s="240">
        <f>_xlfn.XLOOKUP($C1347,'Site Level Financials - ''23 ''24'!$C$2:$C$1577,'Site Level Financials - ''23 ''24'!V$2:V$1577)</f>
        <v>5.5109447816275763</v>
      </c>
      <c r="K1347" s="240">
        <f>_xlfn.XLOOKUP($C1347,'Site Level Financials - ''23 ''24'!$C$2:$C$1577,'Site Level Financials - ''23 ''24'!W$2:W$1577)</f>
        <v>6.3637957274907482</v>
      </c>
      <c r="L1347" s="240">
        <f>_xlfn.XLOOKUP($C1347,'Site Level Financials - ''23 ''24'!$C$2:$C$1577,'Site Level Financials - ''23 ''24'!X$2:X$1577)</f>
        <v>5.8996620795716179</v>
      </c>
      <c r="M1347" s="240">
        <f>_xlfn.XLOOKUP($C1347,'Site Level Financials - ''23 ''24'!$C$2:$C$1577,'Site Level Financials - ''23 ''24'!Y$2:Y$1577)</f>
        <v>5.0302763942402766</v>
      </c>
      <c r="N1347" s="240">
        <f>_xlfn.XLOOKUP($C1347,'Site Level Financials - ''23 ''24'!$C$2:$C$1577,'Site Level Financials - ''23 ''24'!Z$2:Z$1577)</f>
        <v>4.6461818147587026</v>
      </c>
      <c r="O1347" s="240">
        <f>_xlfn.XLOOKUP($C1347,'Site Level Financials - ''23 ''24'!$C$2:$C$1577,'Site Level Financials - ''23 ''24'!AA$2:AA$1577)</f>
        <v>4.6935932915043113</v>
      </c>
      <c r="P1347" s="240">
        <f>_xlfn.XLOOKUP($C1347,'Site Level Financials - ''23 ''24'!$C$2:$C$1577,'Site Level Financials - ''23 ''24'!AB$2:AB$1577)</f>
        <v>4.8565801104291397</v>
      </c>
      <c r="Q1347" s="240">
        <f>_xlfn.XLOOKUP($C1347,'Site Level Financials - ''23 ''24'!$C$2:$C$1577,'Site Level Financials - ''23 ''24'!AC$2:AC$1577)</f>
        <v>4.4199212862342714</v>
      </c>
      <c r="R1347" s="240">
        <f>_xlfn.XLOOKUP($C1347,'Site Level Financials - ''23 ''24'!$C$2:$C$1577,'Site Level Financials - ''23 ''24'!AD$2:AD$1577)</f>
        <v>3.5223707131881312</v>
      </c>
      <c r="S1347" s="239">
        <f>R1347*(1+_xlfn.XLOOKUP($R1344,'Budget Assumption Driver'!$A$15:$A$19,'Budget Assumption Driver'!E$15:E$19))</f>
        <v>4.983480901950089</v>
      </c>
      <c r="T1347" s="240">
        <f>S1347*(1+_xlfn.XLOOKUP($R1344,'Budget Assumption Driver'!$A$15:$A$19,'Budget Assumption Driver'!F$15:F$19))</f>
        <v>5.3948474698307693</v>
      </c>
      <c r="U1347" s="240">
        <f>T1347*(1+_xlfn.XLOOKUP($R1344,'Budget Assumption Driver'!$A$15:$A$19,'Budget Assumption Driver'!G$15:G$19))</f>
        <v>5.7929291332203672</v>
      </c>
      <c r="V1347" s="240">
        <f>U1347*(1+_xlfn.XLOOKUP($R1344,'Budget Assumption Driver'!$A$15:$A$19,'Budget Assumption Driver'!H$15:H$19))</f>
        <v>6.2051629044238297</v>
      </c>
      <c r="W1347" s="240">
        <f>V1347*(1+_xlfn.XLOOKUP($R1344,'Budget Assumption Driver'!$A$15:$A$19,'Budget Assumption Driver'!I$15:I$19))</f>
        <v>6.7603329087283646</v>
      </c>
      <c r="X1347" s="240">
        <f>W1347*(1+_xlfn.XLOOKUP($R1344,'Budget Assumption Driver'!$A$15:$A$19,'Budget Assumption Driver'!J$15:J$19))</f>
        <v>6.487978380692069</v>
      </c>
      <c r="Y1347" s="240">
        <f>X1347*(1+_xlfn.XLOOKUP($R1344,'Budget Assumption Driver'!$A$15:$A$19,'Budget Assumption Driver'!K$15:K$19))</f>
        <v>5.9678625982307878</v>
      </c>
      <c r="Z1347" s="240">
        <f>Y1347*(1+_xlfn.XLOOKUP($R1344,'Budget Assumption Driver'!$A$15:$A$19,'Budget Assumption Driver'!L$15:L$19))</f>
        <v>5.1173874589136785</v>
      </c>
      <c r="AA1347" s="240">
        <f>Z1347*(1+_xlfn.XLOOKUP($R1344,'Budget Assumption Driver'!$A$15:$A$19,'Budget Assumption Driver'!M$15:M$19))</f>
        <v>5.1386494366560047</v>
      </c>
      <c r="AB1347" s="240">
        <f>AA1347*(1+_xlfn.XLOOKUP($R1344,'Budget Assumption Driver'!$A$15:$A$19,'Budget Assumption Driver'!N$15:N$19))</f>
        <v>5.1639888800618667</v>
      </c>
      <c r="AC1347" s="240">
        <f>AB1347*(1+_xlfn.XLOOKUP($R1344,'Budget Assumption Driver'!$A$15:$A$19,'Budget Assumption Driver'!O$15:O$19))</f>
        <v>4.453061369470328</v>
      </c>
      <c r="AD1347" s="291">
        <f>AC1347*(1+_xlfn.XLOOKUP($R1344,'Budget Assumption Driver'!$A$15:$A$19,'Budget Assumption Driver'!P$15:P$19))</f>
        <v>3.6346445876238564</v>
      </c>
      <c r="AE1347" s="15"/>
      <c r="AF1347" s="230">
        <f>_xlfn.XLOOKUP($C1347,'Site Level Financials - ''23 ''24'!$C$2:$C$1577,'Site Level Financials - ''23 ''24'!$AF$2:$AF$1577)</f>
        <v>5.0986193021985899</v>
      </c>
      <c r="AG1347" s="101">
        <f>AG1348/AG1346</f>
        <v>4.9913689676825674</v>
      </c>
      <c r="AH1347" s="101">
        <f>AH1348/AH1346</f>
        <v>5.4293602950742423</v>
      </c>
    </row>
    <row r="1348" spans="2:34" x14ac:dyDescent="0.2">
      <c r="B1348" s="9">
        <f>G1338</f>
        <v>28</v>
      </c>
      <c r="C1348" s="9" t="str">
        <f t="shared" si="3924"/>
        <v>28 - Total Production</v>
      </c>
      <c r="D1348" s="9" t="s">
        <v>56</v>
      </c>
      <c r="F1348" s="8" t="s">
        <v>1</v>
      </c>
      <c r="G1348" s="241">
        <f>_xlfn.XLOOKUP($C1348,'Site Level Financials - ''23 ''24'!$C$2:$C$1577,'Site Level Financials - ''23 ''24'!S$2:S$1577)</f>
        <v>450.02044088097449</v>
      </c>
      <c r="H1348" s="242">
        <f>_xlfn.XLOOKUP($C1348,'Site Level Financials - ''23 ''24'!$C$2:$C$1577,'Site Level Financials - ''23 ''24'!T$2:T$1577)</f>
        <v>443.91499812646236</v>
      </c>
      <c r="I1348" s="242">
        <f>_xlfn.XLOOKUP($C1348,'Site Level Financials - ''23 ''24'!$C$2:$C$1577,'Site Level Financials - ''23 ''24'!U$2:U$1577)</f>
        <v>487.6814442330799</v>
      </c>
      <c r="J1348" s="242">
        <f>_xlfn.XLOOKUP($C1348,'Site Level Financials - ''23 ''24'!$C$2:$C$1577,'Site Level Financials - ''23 ''24'!V$2:V$1577)</f>
        <v>484.96314078322672</v>
      </c>
      <c r="K1348" s="242">
        <f>_xlfn.XLOOKUP($C1348,'Site Level Financials - ''23 ''24'!$C$2:$C$1577,'Site Level Financials - ''23 ''24'!W$2:W$1577)</f>
        <v>458.19329237933385</v>
      </c>
      <c r="L1348" s="242">
        <f>_xlfn.XLOOKUP($C1348,'Site Level Financials - ''23 ''24'!$C$2:$C$1577,'Site Level Financials - ''23 ''24'!X$2:X$1577)</f>
        <v>371.67871101301193</v>
      </c>
      <c r="M1348" s="242">
        <f>_xlfn.XLOOKUP($C1348,'Site Level Financials - ''23 ''24'!$C$2:$C$1577,'Site Level Financials - ''23 ''24'!Y$2:Y$1577)</f>
        <v>462.78542827010546</v>
      </c>
      <c r="N1348" s="242">
        <f>_xlfn.XLOOKUP($C1348,'Site Level Financials - ''23 ''24'!$C$2:$C$1577,'Site Level Financials - ''23 ''24'!Z$2:Z$1577)</f>
        <v>427.44872695780066</v>
      </c>
      <c r="O1348" s="242">
        <f>_xlfn.XLOOKUP($C1348,'Site Level Financials - ''23 ''24'!$C$2:$C$1577,'Site Level Financials - ''23 ''24'!AA$2:AA$1577)</f>
        <v>394.26183648636214</v>
      </c>
      <c r="P1348" s="242">
        <f>_xlfn.XLOOKUP($C1348,'Site Level Financials - ''23 ''24'!$C$2:$C$1577,'Site Level Financials - ''23 ''24'!AB$2:AB$1577)</f>
        <v>466.23169060119744</v>
      </c>
      <c r="Q1348" s="242">
        <f>_xlfn.XLOOKUP($C1348,'Site Level Financials - ''23 ''24'!$C$2:$C$1577,'Site Level Financials - ''23 ''24'!AC$2:AC$1577)</f>
        <v>388.95307318861586</v>
      </c>
      <c r="R1348" s="242">
        <f>_xlfn.XLOOKUP($C1348,'Site Level Financials - ''23 ''24'!$C$2:$C$1577,'Site Level Financials - ''23 ''24'!AD$2:AD$1577)</f>
        <v>309.96862276055555</v>
      </c>
      <c r="S1348" s="134">
        <f t="shared" ref="S1348:AD1348" si="3928">S1347*S1346</f>
        <v>458.48024297940816</v>
      </c>
      <c r="T1348" s="135">
        <f t="shared" si="3928"/>
        <v>474.74657734510771</v>
      </c>
      <c r="U1348" s="135">
        <f t="shared" si="3928"/>
        <v>509.7777637233923</v>
      </c>
      <c r="V1348" s="135">
        <f t="shared" si="3928"/>
        <v>546.05433558929701</v>
      </c>
      <c r="W1348" s="135">
        <f t="shared" si="3928"/>
        <v>648.99195923792297</v>
      </c>
      <c r="X1348" s="135">
        <f t="shared" si="3928"/>
        <v>544.99018397813381</v>
      </c>
      <c r="Y1348" s="135">
        <f t="shared" si="3928"/>
        <v>549.04335903723245</v>
      </c>
      <c r="Z1348" s="135">
        <f t="shared" si="3928"/>
        <v>470.79964622005843</v>
      </c>
      <c r="AA1348" s="135">
        <f t="shared" si="3928"/>
        <v>431.64655267910439</v>
      </c>
      <c r="AB1348" s="135">
        <f t="shared" si="3928"/>
        <v>495.74293248593921</v>
      </c>
      <c r="AC1348" s="135">
        <f t="shared" si="3928"/>
        <v>391.86940051338888</v>
      </c>
      <c r="AD1348" s="136">
        <f t="shared" si="3928"/>
        <v>319.84872371089938</v>
      </c>
      <c r="AE1348" s="15"/>
      <c r="AF1348" s="113">
        <f>_xlfn.XLOOKUP($C1348,'Site Level Financials - ''23 ''24'!$C$2:$C$1577,'Site Level Financials - ''23 ''24'!$AF$2:$AF$1577)</f>
        <v>4022.1091836015667</v>
      </c>
      <c r="AG1348" s="95">
        <f>SUM(G1348:R1348)</f>
        <v>5146.1014056807271</v>
      </c>
      <c r="AH1348" s="95">
        <f t="shared" ref="AH1348" si="3929">SUM(S1348:AD1348)</f>
        <v>5841.9916774998846</v>
      </c>
    </row>
    <row r="1349" spans="2:34" x14ac:dyDescent="0.2">
      <c r="B1349" s="9">
        <f>G1338</f>
        <v>28</v>
      </c>
      <c r="C1349" s="9" t="str">
        <f t="shared" si="3924"/>
        <v>28 - Revenue as a % of Production</v>
      </c>
      <c r="D1349" s="9" t="s">
        <v>56</v>
      </c>
      <c r="F1349" s="7" t="s">
        <v>2</v>
      </c>
      <c r="G1349" s="243">
        <f>_xlfn.XLOOKUP($C1349,'Site Level Financials - ''23 ''24'!$C$2:$C$1577,'Site Level Financials - ''23 ''24'!S$2:S$1577)</f>
        <v>0.98024434002464211</v>
      </c>
      <c r="H1349" s="244">
        <f>_xlfn.XLOOKUP($C1349,'Site Level Financials - ''23 ''24'!$C$2:$C$1577,'Site Level Financials - ''23 ''24'!T$2:T$1577)</f>
        <v>0.98024434002464211</v>
      </c>
      <c r="I1349" s="244">
        <f>_xlfn.XLOOKUP($C1349,'Site Level Financials - ''23 ''24'!$C$2:$C$1577,'Site Level Financials - ''23 ''24'!U$2:U$1577)</f>
        <v>0.98024434002464211</v>
      </c>
      <c r="J1349" s="244">
        <f>_xlfn.XLOOKUP($C1349,'Site Level Financials - ''23 ''24'!$C$2:$C$1577,'Site Level Financials - ''23 ''24'!V$2:V$1577)</f>
        <v>0.98024434002464211</v>
      </c>
      <c r="K1349" s="244">
        <f>_xlfn.XLOOKUP($C1349,'Site Level Financials - ''23 ''24'!$C$2:$C$1577,'Site Level Financials - ''23 ''24'!W$2:W$1577)</f>
        <v>0.98024434002464211</v>
      </c>
      <c r="L1349" s="244">
        <f>_xlfn.XLOOKUP($C1349,'Site Level Financials - ''23 ''24'!$C$2:$C$1577,'Site Level Financials - ''23 ''24'!X$2:X$1577)</f>
        <v>0.98024434002464211</v>
      </c>
      <c r="M1349" s="244">
        <f>_xlfn.XLOOKUP($C1349,'Site Level Financials - ''23 ''24'!$C$2:$C$1577,'Site Level Financials - ''23 ''24'!Y$2:Y$1577)</f>
        <v>0.98024434002464211</v>
      </c>
      <c r="N1349" s="244">
        <f>_xlfn.XLOOKUP($C1349,'Site Level Financials - ''23 ''24'!$C$2:$C$1577,'Site Level Financials - ''23 ''24'!Z$2:Z$1577)</f>
        <v>0.98024434002464211</v>
      </c>
      <c r="O1349" s="244">
        <f>_xlfn.XLOOKUP($C1349,'Site Level Financials - ''23 ''24'!$C$2:$C$1577,'Site Level Financials - ''23 ''24'!AA$2:AA$1577)</f>
        <v>0.98024434002464211</v>
      </c>
      <c r="P1349" s="244">
        <f>_xlfn.XLOOKUP($C1349,'Site Level Financials - ''23 ''24'!$C$2:$C$1577,'Site Level Financials - ''23 ''24'!AB$2:AB$1577)</f>
        <v>0.98024434002464211</v>
      </c>
      <c r="Q1349" s="244">
        <f>_xlfn.XLOOKUP($C1349,'Site Level Financials - ''23 ''24'!$C$2:$C$1577,'Site Level Financials - ''23 ''24'!AC$2:AC$1577)</f>
        <v>0.98024434002464211</v>
      </c>
      <c r="R1349" s="244">
        <f>_xlfn.XLOOKUP($C1349,'Site Level Financials - ''23 ''24'!$C$2:$C$1577,'Site Level Financials - ''23 ''24'!AD$2:AD$1577)</f>
        <v>0.98024434002464211</v>
      </c>
      <c r="S1349" s="292">
        <f>SUM(G1378:R1378)/SUM(G1348:R1348)</f>
        <v>0.97706737633063212</v>
      </c>
      <c r="T1349" s="203">
        <f>S1349</f>
        <v>0.97706737633063212</v>
      </c>
      <c r="U1349" s="203">
        <f t="shared" ref="U1349:AD1349" si="3930">T1349</f>
        <v>0.97706737633063212</v>
      </c>
      <c r="V1349" s="203">
        <f t="shared" si="3930"/>
        <v>0.97706737633063212</v>
      </c>
      <c r="W1349" s="203">
        <f t="shared" si="3930"/>
        <v>0.97706737633063212</v>
      </c>
      <c r="X1349" s="203">
        <f t="shared" si="3930"/>
        <v>0.97706737633063212</v>
      </c>
      <c r="Y1349" s="203">
        <f t="shared" si="3930"/>
        <v>0.97706737633063212</v>
      </c>
      <c r="Z1349" s="203">
        <f t="shared" si="3930"/>
        <v>0.97706737633063212</v>
      </c>
      <c r="AA1349" s="203">
        <f t="shared" si="3930"/>
        <v>0.97706737633063212</v>
      </c>
      <c r="AB1349" s="203">
        <f t="shared" si="3930"/>
        <v>0.97706737633063212</v>
      </c>
      <c r="AC1349" s="203">
        <f t="shared" si="3930"/>
        <v>0.97706737633063212</v>
      </c>
      <c r="AD1349" s="204">
        <f t="shared" si="3930"/>
        <v>0.97706737633063212</v>
      </c>
      <c r="AE1349" s="15"/>
      <c r="AF1349" s="231">
        <f>_xlfn.XLOOKUP($C1349,'Site Level Financials - ''23 ''24'!$C$2:$C$1577,'Site Level Financials - ''23 ''24'!$AF$2:$AF$1577)</f>
        <v>0.98680129700544117</v>
      </c>
      <c r="AG1349" s="103">
        <f>AG1350/AG1348</f>
        <v>0.98024434002464189</v>
      </c>
      <c r="AH1349" s="103">
        <f>AH1350/AH1348</f>
        <v>0.97706737633063212</v>
      </c>
    </row>
    <row r="1350" spans="2:34" x14ac:dyDescent="0.2">
      <c r="B1350" s="9">
        <f>G1338</f>
        <v>28</v>
      </c>
      <c r="C1350" s="9" t="str">
        <f t="shared" si="3924"/>
        <v>28 - Total Revenue</v>
      </c>
      <c r="D1350" s="9" t="s">
        <v>56</v>
      </c>
      <c r="F1350" s="8" t="s">
        <v>3</v>
      </c>
      <c r="G1350" s="241">
        <f>_xlfn.XLOOKUP($C1350,'Site Level Financials - ''23 ''24'!$C$2:$C$1577,'Site Level Financials - ''23 ''24'!S$2:S$1577)</f>
        <v>441.12999006896933</v>
      </c>
      <c r="H1350" s="242">
        <f>_xlfn.XLOOKUP($C1350,'Site Level Financials - ''23 ''24'!$C$2:$C$1577,'Site Level Financials - ''23 ''24'!T$2:T$1577)</f>
        <v>435.14516436551435</v>
      </c>
      <c r="I1350" s="242">
        <f>_xlfn.XLOOKUP($C1350,'Site Level Financials - ''23 ''24'!$C$2:$C$1577,'Site Level Financials - ''23 ''24'!U$2:U$1577)</f>
        <v>478.04697544451972</v>
      </c>
      <c r="J1350" s="242">
        <f>_xlfn.XLOOKUP($C1350,'Site Level Financials - ''23 ''24'!$C$2:$C$1577,'Site Level Financials - ''23 ''24'!V$2:V$1577)</f>
        <v>475.38237387333169</v>
      </c>
      <c r="K1350" s="242">
        <f>_xlfn.XLOOKUP($C1350,'Site Level Financials - ''23 ''24'!$C$2:$C$1577,'Site Level Financials - ''23 ''24'!W$2:W$1577)</f>
        <v>449.14138149209799</v>
      </c>
      <c r="L1350" s="242">
        <f>_xlfn.XLOOKUP($C1350,'Site Level Financials - ''23 ''24'!$C$2:$C$1577,'Site Level Financials - ''23 ''24'!X$2:X$1577)</f>
        <v>364.33595277815954</v>
      </c>
      <c r="M1350" s="242">
        <f>_xlfn.XLOOKUP($C1350,'Site Level Financials - ''23 ''24'!$C$2:$C$1577,'Site Level Financials - ''23 ''24'!Y$2:Y$1577)</f>
        <v>453.64279670765086</v>
      </c>
      <c r="N1350" s="242">
        <f>_xlfn.XLOOKUP($C1350,'Site Level Financials - ''23 ''24'!$C$2:$C$1577,'Site Level Financials - ''23 ''24'!Z$2:Z$1577)</f>
        <v>419.00419525112278</v>
      </c>
      <c r="O1350" s="242">
        <f>_xlfn.XLOOKUP($C1350,'Site Level Financials - ''23 ''24'!$C$2:$C$1577,'Site Level Financials - ''23 ''24'!AA$2:AA$1577)</f>
        <v>386.47293370347739</v>
      </c>
      <c r="P1350" s="242">
        <f>_xlfn.XLOOKUP($C1350,'Site Level Financials - ''23 ''24'!$C$2:$C$1577,'Site Level Financials - ''23 ''24'!AB$2:AB$1577)</f>
        <v>457.02097585194394</v>
      </c>
      <c r="Q1350" s="242">
        <f>_xlfn.XLOOKUP($C1350,'Site Level Financials - ''23 ''24'!$C$2:$C$1577,'Site Level Financials - ''23 ''24'!AC$2:AC$1577)</f>
        <v>381.2690485283311</v>
      </c>
      <c r="R1350" s="242">
        <f>_xlfn.XLOOKUP($C1350,'Site Level Financials - ''23 ''24'!$C$2:$C$1577,'Site Level Financials - ''23 ''24'!AD$2:AD$1577)</f>
        <v>303.84498804626804</v>
      </c>
      <c r="S1350" s="134">
        <f t="shared" ref="S1350:AD1350" si="3931">S1349*S1348</f>
        <v>447.96608810732107</v>
      </c>
      <c r="T1350" s="135">
        <f t="shared" si="3931"/>
        <v>463.85939274853189</v>
      </c>
      <c r="U1350" s="135">
        <f t="shared" si="3931"/>
        <v>498.08722211291183</v>
      </c>
      <c r="V1350" s="135">
        <f t="shared" si="3931"/>
        <v>533.53187700820092</v>
      </c>
      <c r="W1350" s="135">
        <f t="shared" si="3931"/>
        <v>634.108870872274</v>
      </c>
      <c r="X1350" s="135">
        <f t="shared" si="3931"/>
        <v>532.49212918546368</v>
      </c>
      <c r="Y1350" s="135">
        <f t="shared" si="3931"/>
        <v>536.45235430626599</v>
      </c>
      <c r="Z1350" s="135">
        <f t="shared" si="3931"/>
        <v>460.0029751096223</v>
      </c>
      <c r="AA1350" s="135">
        <f t="shared" si="3931"/>
        <v>421.74776472833452</v>
      </c>
      <c r="AB1350" s="135">
        <f t="shared" si="3931"/>
        <v>484.37424637849034</v>
      </c>
      <c r="AC1350" s="135">
        <f t="shared" si="3931"/>
        <v>382.88280702387453</v>
      </c>
      <c r="AD1350" s="136">
        <f t="shared" si="3931"/>
        <v>312.51375329890971</v>
      </c>
      <c r="AE1350" s="15"/>
      <c r="AF1350" s="113">
        <f>_xlfn.XLOOKUP($C1350,'Site Level Financials - ''23 ''24'!$C$2:$C$1577,'Site Level Financials - ''23 ''24'!$AF$2:$AF$1577)</f>
        <v>3969.0225590755222</v>
      </c>
      <c r="AG1350" s="95">
        <f>SUM(G1350:R1350)</f>
        <v>5044.4367761113863</v>
      </c>
      <c r="AH1350" s="95">
        <f t="shared" ref="AH1350" si="3932">SUM(S1350:AD1350)</f>
        <v>5708.0194808802007</v>
      </c>
    </row>
    <row r="1351" spans="2:34" x14ac:dyDescent="0.2">
      <c r="B1351" s="9">
        <f>G1338</f>
        <v>28</v>
      </c>
      <c r="C1351" s="9" t="str">
        <f t="shared" si="3924"/>
        <v>28 - % YoY Revenue Growth</v>
      </c>
      <c r="D1351" s="9" t="s">
        <v>56</v>
      </c>
      <c r="F1351" s="16" t="s">
        <v>174</v>
      </c>
      <c r="G1351" s="245">
        <f>_xlfn.XLOOKUP($C1351,'Site Level Financials - ''23 ''24'!$C$2:$C$1577,'Site Level Financials - ''23 ''24'!S$2:S$1577)</f>
        <v>0.99792816408837148</v>
      </c>
      <c r="H1351" s="246">
        <f>_xlfn.XLOOKUP($C1351,'Site Level Financials - ''23 ''24'!$C$2:$C$1577,'Site Level Financials - ''23 ''24'!T$2:T$1577)</f>
        <v>0.94847973838815713</v>
      </c>
      <c r="I1351" s="246">
        <f>_xlfn.XLOOKUP($C1351,'Site Level Financials - ''23 ''24'!$C$2:$C$1577,'Site Level Financials - ''23 ''24'!U$2:U$1577)</f>
        <v>0.77612335924075881</v>
      </c>
      <c r="J1351" s="246">
        <f>_xlfn.XLOOKUP($C1351,'Site Level Financials - ''23 ''24'!$C$2:$C$1577,'Site Level Financials - ''23 ''24'!V$2:V$1577)</f>
        <v>1.0096159991675235</v>
      </c>
      <c r="K1351" s="246">
        <f>_xlfn.XLOOKUP($C1351,'Site Level Financials - ''23 ''24'!$C$2:$C$1577,'Site Level Financials - ''23 ''24'!W$2:W$1577)</f>
        <v>0.63275554205989937</v>
      </c>
      <c r="L1351" s="246">
        <f>_xlfn.XLOOKUP($C1351,'Site Level Financials - ''23 ''24'!$C$2:$C$1577,'Site Level Financials - ''23 ''24'!X$2:X$1577)</f>
        <v>0.33588491988237945</v>
      </c>
      <c r="M1351" s="246">
        <f>_xlfn.XLOOKUP($C1351,'Site Level Financials - ''23 ''24'!$C$2:$C$1577,'Site Level Financials - ''23 ''24'!Y$2:Y$1577)</f>
        <v>0.33004989200572532</v>
      </c>
      <c r="N1351" s="246">
        <f>_xlfn.XLOOKUP($C1351,'Site Level Financials - ''23 ''24'!$C$2:$C$1577,'Site Level Financials - ''23 ''24'!Z$2:Z$1577)</f>
        <v>-4.5442650654293093E-2</v>
      </c>
      <c r="O1351" s="246">
        <f>_xlfn.XLOOKUP($C1351,'Site Level Financials - ''23 ''24'!$C$2:$C$1577,'Site Level Financials - ''23 ''24'!AA$2:AA$1577)</f>
        <v>-7.9619326480184327E-2</v>
      </c>
      <c r="P1351" s="246">
        <f>_xlfn.XLOOKUP($C1351,'Site Level Financials - ''23 ''24'!$C$2:$C$1577,'Site Level Financials - ''23 ''24'!AB$2:AB$1577)</f>
        <v>4.2877805974034455E-2</v>
      </c>
      <c r="Q1351" s="246">
        <f>_xlfn.XLOOKUP($C1351,'Site Level Financials - ''23 ''24'!$C$2:$C$1577,'Site Level Financials - ''23 ''24'!AC$2:AC$1577)</f>
        <v>-0.19007062283217657</v>
      </c>
      <c r="R1351" s="246">
        <f>_xlfn.XLOOKUP($C1351,'Site Level Financials - ''23 ''24'!$C$2:$C$1577,'Site Level Financials - ''23 ''24'!AD$2:AD$1577)</f>
        <v>-0.16176698084191754</v>
      </c>
      <c r="S1351" s="148">
        <f>S1350/G1350-1</f>
        <v>1.5496788230795477E-2</v>
      </c>
      <c r="T1351" s="149">
        <f t="shared" ref="T1351" si="3933">T1350/H1350-1</f>
        <v>6.598769958729922E-2</v>
      </c>
      <c r="U1351" s="149">
        <f t="shared" ref="U1351" si="3934">U1350/I1350-1</f>
        <v>4.1921082441233715E-2</v>
      </c>
      <c r="V1351" s="149">
        <f t="shared" ref="V1351" si="3935">V1350/J1350-1</f>
        <v>0.12232153805173152</v>
      </c>
      <c r="W1351" s="149">
        <f t="shared" ref="W1351" si="3936">W1350/K1350-1</f>
        <v>0.41182464364715909</v>
      </c>
      <c r="X1351" s="149">
        <f t="shared" ref="X1351" si="3937">X1350/L1350-1</f>
        <v>0.46154153913460405</v>
      </c>
      <c r="Y1351" s="149">
        <f t="shared" ref="Y1351" si="3938">Y1350/M1350-1</f>
        <v>0.18254353028332471</v>
      </c>
      <c r="Z1351" s="149">
        <f t="shared" ref="Z1351" si="3939">Z1350/N1350-1</f>
        <v>9.7848136899745475E-2</v>
      </c>
      <c r="AA1351" s="149">
        <f t="shared" ref="AA1351" si="3940">AA1350/O1350-1</f>
        <v>9.1273742476159603E-2</v>
      </c>
      <c r="AB1351" s="149">
        <f t="shared" ref="AB1351" si="3941">AB1350/P1350-1</f>
        <v>5.9851236533632779E-2</v>
      </c>
      <c r="AC1351" s="149">
        <f t="shared" ref="AC1351" si="3942">AC1350/Q1350-1</f>
        <v>4.2325976938657472E-3</v>
      </c>
      <c r="AD1351" s="150">
        <f t="shared" ref="AD1351" si="3943">AD1350/R1350-1</f>
        <v>2.8530222954744389E-2</v>
      </c>
      <c r="AE1351" s="15"/>
      <c r="AF1351" s="11"/>
      <c r="AG1351" s="97">
        <f>AG1350/AF1350-1</f>
        <v>0.27095190340423581</v>
      </c>
      <c r="AH1351" s="97">
        <f>AH1350/AG1350-1</f>
        <v>0.13154743219526521</v>
      </c>
    </row>
    <row r="1352" spans="2:34" ht="6" customHeight="1" x14ac:dyDescent="0.2">
      <c r="B1352" s="9">
        <f>G1338</f>
        <v>28</v>
      </c>
      <c r="C1352" s="9" t="str">
        <f t="shared" si="3924"/>
        <v xml:space="preserve">28 - </v>
      </c>
      <c r="D1352" s="9" t="s">
        <v>56</v>
      </c>
      <c r="G1352" s="80"/>
      <c r="H1352" s="63"/>
      <c r="I1352" s="63"/>
      <c r="J1352" s="63"/>
      <c r="K1352" s="63"/>
      <c r="L1352" s="63"/>
      <c r="M1352" s="63"/>
      <c r="N1352" s="63"/>
      <c r="O1352" s="63"/>
      <c r="P1352" s="63"/>
      <c r="Q1352" s="63"/>
      <c r="R1352" s="63"/>
      <c r="S1352" s="80"/>
      <c r="T1352" s="63"/>
      <c r="U1352" s="63"/>
      <c r="V1352" s="63"/>
      <c r="W1352" s="63"/>
      <c r="X1352" s="63"/>
      <c r="Y1352" s="63"/>
      <c r="Z1352" s="63"/>
      <c r="AA1352" s="63"/>
      <c r="AB1352" s="63"/>
      <c r="AC1352" s="63"/>
      <c r="AD1352" s="81"/>
      <c r="AE1352" s="15"/>
      <c r="AF1352" s="11"/>
      <c r="AG1352" s="15"/>
      <c r="AH1352" s="15"/>
    </row>
    <row r="1353" spans="2:34" x14ac:dyDescent="0.2">
      <c r="B1353" s="9">
        <f>G1338</f>
        <v>28</v>
      </c>
      <c r="C1353" s="9" t="str">
        <f t="shared" si="3924"/>
        <v>28 - Doctor Compensation</v>
      </c>
      <c r="D1353" s="9" t="s">
        <v>56</v>
      </c>
      <c r="F1353" t="s">
        <v>4</v>
      </c>
      <c r="G1353" s="178">
        <f>_xlfn.XLOOKUP($C1353,'Site Level Financials - ''23 ''24'!$C$2:$C$1577,'Site Level Financials - ''23 ''24'!S$2:S$1577)</f>
        <v>-136.21146687978936</v>
      </c>
      <c r="H1353" s="179">
        <f>_xlfn.XLOOKUP($C1353,'Site Level Financials - ''23 ''24'!$C$2:$C$1577,'Site Level Financials - ''23 ''24'!T$2:T$1577)</f>
        <v>-134.94670791493999</v>
      </c>
      <c r="I1353" s="179">
        <f>_xlfn.XLOOKUP($C1353,'Site Level Financials - ''23 ''24'!$C$2:$C$1577,'Site Level Financials - ''23 ''24'!U$2:U$1577)</f>
        <v>-147.48783440163095</v>
      </c>
      <c r="J1353" s="179">
        <f>_xlfn.XLOOKUP($C1353,'Site Level Financials - ''23 ''24'!$C$2:$C$1577,'Site Level Financials - ''23 ''24'!V$2:V$1577)</f>
        <v>-145.56174949683609</v>
      </c>
      <c r="K1353" s="179">
        <f>_xlfn.XLOOKUP($C1353,'Site Level Financials - ''23 ''24'!$C$2:$C$1577,'Site Level Financials - ''23 ''24'!W$2:W$1577)</f>
        <v>-188.42987900222579</v>
      </c>
      <c r="L1353" s="179">
        <f>_xlfn.XLOOKUP($C1353,'Site Level Financials - ''23 ''24'!$C$2:$C$1577,'Site Level Financials - ''23 ''24'!X$2:X$1577)</f>
        <v>-153.82845473694672</v>
      </c>
      <c r="M1353" s="179">
        <f>_xlfn.XLOOKUP($C1353,'Site Level Financials - ''23 ''24'!$C$2:$C$1577,'Site Level Financials - ''23 ''24'!Y$2:Y$1577)</f>
        <v>-146.74559459943902</v>
      </c>
      <c r="N1353" s="179">
        <f>_xlfn.XLOOKUP($C1353,'Site Level Financials - ''23 ''24'!$C$2:$C$1577,'Site Level Financials - ''23 ''24'!Z$2:Z$1577)</f>
        <v>-132.7466560012023</v>
      </c>
      <c r="O1353" s="179">
        <f>_xlfn.XLOOKUP($C1353,'Site Level Financials - ''23 ''24'!$C$2:$C$1577,'Site Level Financials - ''23 ''24'!AA$2:AA$1577)</f>
        <v>-121.52224067221437</v>
      </c>
      <c r="P1353" s="179">
        <f>_xlfn.XLOOKUP($C1353,'Site Level Financials - ''23 ''24'!$C$2:$C$1577,'Site Level Financials - ''23 ''24'!AB$2:AB$1577)</f>
        <v>-145.74566289048116</v>
      </c>
      <c r="Q1353" s="179">
        <f>_xlfn.XLOOKUP($C1353,'Site Level Financials - ''23 ''24'!$C$2:$C$1577,'Site Level Financials - ''23 ''24'!AC$2:AC$1577)</f>
        <v>-121.72320040972807</v>
      </c>
      <c r="R1353" s="179">
        <f>_xlfn.XLOOKUP($C1353,'Site Level Financials - ''23 ''24'!$C$2:$C$1577,'Site Level Financials - ''23 ''24'!AD$2:AD$1577)</f>
        <v>-97.139063481911663</v>
      </c>
      <c r="S1353" s="155">
        <f>S1354*S1350</f>
        <v>-138.32230713663148</v>
      </c>
      <c r="T1353" s="154">
        <f t="shared" ref="T1353" si="3944">T1354*T1350</f>
        <v>-143.85153073712607</v>
      </c>
      <c r="U1353" s="154">
        <f t="shared" ref="U1353" si="3945">U1354*U1350</f>
        <v>-153.67068406666073</v>
      </c>
      <c r="V1353" s="154">
        <f t="shared" ref="V1353" si="3946">V1354*V1350</f>
        <v>-163.36708657678994</v>
      </c>
      <c r="W1353" s="154">
        <f t="shared" ref="W1353" si="3947">W1354*W1350</f>
        <v>-266.02994677479472</v>
      </c>
      <c r="X1353" s="154">
        <f t="shared" ref="X1353" si="3948">X1354*X1350</f>
        <v>-224.82667649893489</v>
      </c>
      <c r="Y1353" s="154">
        <f t="shared" ref="Y1353" si="3949">Y1354*Y1350</f>
        <v>-173.53305349114621</v>
      </c>
      <c r="Z1353" s="154">
        <f t="shared" ref="Z1353" si="3950">Z1354*Z1350</f>
        <v>-145.73566897059135</v>
      </c>
      <c r="AA1353" s="154">
        <f t="shared" ref="AA1353" si="3951">AA1354*AA1350</f>
        <v>-132.61403037245594</v>
      </c>
      <c r="AB1353" s="154">
        <f t="shared" ref="AB1353" si="3952">AB1354*AB1350</f>
        <v>-154.46872103389046</v>
      </c>
      <c r="AC1353" s="154">
        <f t="shared" ref="AC1353" si="3953">AC1354*AC1350</f>
        <v>-122.23840574707226</v>
      </c>
      <c r="AD1353" s="156">
        <f t="shared" ref="AD1353" si="3954">AD1354*AD1350</f>
        <v>-99.910462620665669</v>
      </c>
      <c r="AE1353" s="15"/>
      <c r="AF1353" s="115">
        <f>_xlfn.XLOOKUP($C1353,'Site Level Financials - ''23 ''24'!$C$2:$C$1577,'Site Level Financials - ''23 ''24'!$AF$2:$AF$1577)</f>
        <v>-953.94632781965845</v>
      </c>
      <c r="AG1353" s="93">
        <f>SUM(G1353:R1353)</f>
        <v>-1672.0885104873455</v>
      </c>
      <c r="AH1353" s="93">
        <f t="shared" ref="AH1353" si="3955">SUM(S1353:AD1353)</f>
        <v>-1918.5685740267595</v>
      </c>
    </row>
    <row r="1354" spans="2:34" x14ac:dyDescent="0.2">
      <c r="B1354" s="9">
        <f>G1338</f>
        <v>28</v>
      </c>
      <c r="C1354" s="9" t="str">
        <f t="shared" si="3924"/>
        <v>28 - % of Revenue - Doctor Compensation</v>
      </c>
      <c r="D1354" s="9" t="s">
        <v>56</v>
      </c>
      <c r="F1354" s="16" t="str">
        <f>"% of Revenue - "&amp;F1353</f>
        <v>% of Revenue - Doctor Compensation</v>
      </c>
      <c r="G1354" s="148">
        <f>G1353/G1350</f>
        <v>-0.30877852321600968</v>
      </c>
      <c r="H1354" s="149">
        <f t="shared" ref="H1354:R1354" si="3956">H1353/H1350</f>
        <v>-0.3101188269245872</v>
      </c>
      <c r="I1354" s="149">
        <f t="shared" si="3956"/>
        <v>-0.30852163485499934</v>
      </c>
      <c r="J1354" s="149">
        <f t="shared" si="3956"/>
        <v>-0.30619929870521839</v>
      </c>
      <c r="K1354" s="149">
        <f t="shared" si="3956"/>
        <v>-0.41953355172093165</v>
      </c>
      <c r="L1354" s="149">
        <f t="shared" si="3956"/>
        <v>-0.42221596184500437</v>
      </c>
      <c r="M1354" s="149">
        <f t="shared" si="3956"/>
        <v>-0.32348269533751445</v>
      </c>
      <c r="N1354" s="149">
        <f t="shared" si="3956"/>
        <v>-0.3168146226355632</v>
      </c>
      <c r="O1354" s="149">
        <f t="shared" si="3956"/>
        <v>-0.31443920149257515</v>
      </c>
      <c r="P1354" s="149">
        <f t="shared" si="3956"/>
        <v>-0.31890366217610278</v>
      </c>
      <c r="Q1354" s="149">
        <f t="shared" si="3956"/>
        <v>-0.31925801708680568</v>
      </c>
      <c r="R1354" s="149">
        <f t="shared" si="3956"/>
        <v>-0.31969941023716936</v>
      </c>
      <c r="S1354" s="245">
        <f>_xlfn.XLOOKUP($F1354,'Budget Assumption Driver'!$A$33:$A$39,'Budget Assumption Driver'!E$33:E$39)+G1354</f>
        <v>-0.30877852321600968</v>
      </c>
      <c r="T1354" s="246">
        <f>_xlfn.XLOOKUP($F1354,'Budget Assumption Driver'!$A$33:$A$39,'Budget Assumption Driver'!F$33:F$39)+H1354</f>
        <v>-0.3101188269245872</v>
      </c>
      <c r="U1354" s="246">
        <f>_xlfn.XLOOKUP($F1354,'Budget Assumption Driver'!$A$33:$A$39,'Budget Assumption Driver'!G$33:G$39)+I1354</f>
        <v>-0.30852163485499934</v>
      </c>
      <c r="V1354" s="246">
        <f>_xlfn.XLOOKUP($F1354,'Budget Assumption Driver'!$A$33:$A$39,'Budget Assumption Driver'!H$33:H$39)+J1354</f>
        <v>-0.30619929870521839</v>
      </c>
      <c r="W1354" s="246">
        <f>_xlfn.XLOOKUP($F1354,'Budget Assumption Driver'!$A$33:$A$39,'Budget Assumption Driver'!I$33:I$39)+K1354</f>
        <v>-0.41953355172093165</v>
      </c>
      <c r="X1354" s="246">
        <f>_xlfn.XLOOKUP($F1354,'Budget Assumption Driver'!$A$33:$A$39,'Budget Assumption Driver'!J$33:J$39)+L1354</f>
        <v>-0.42221596184500437</v>
      </c>
      <c r="Y1354" s="246">
        <f>_xlfn.XLOOKUP($F1354,'Budget Assumption Driver'!$A$33:$A$39,'Budget Assumption Driver'!K$33:K$39)+M1354</f>
        <v>-0.32348269533751445</v>
      </c>
      <c r="Z1354" s="246">
        <f>_xlfn.XLOOKUP($F1354,'Budget Assumption Driver'!$A$33:$A$39,'Budget Assumption Driver'!L$33:L$39)+N1354</f>
        <v>-0.3168146226355632</v>
      </c>
      <c r="AA1354" s="246">
        <f>_xlfn.XLOOKUP($F1354,'Budget Assumption Driver'!$A$33:$A$39,'Budget Assumption Driver'!M$33:M$39)+O1354</f>
        <v>-0.31443920149257515</v>
      </c>
      <c r="AB1354" s="246">
        <f>_xlfn.XLOOKUP($F1354,'Budget Assumption Driver'!$A$33:$A$39,'Budget Assumption Driver'!N$33:N$39)+P1354</f>
        <v>-0.31890366217610278</v>
      </c>
      <c r="AC1354" s="246">
        <f>_xlfn.XLOOKUP($F1354,'Budget Assumption Driver'!$A$33:$A$39,'Budget Assumption Driver'!O$33:O$39)+Q1354</f>
        <v>-0.31925801708680568</v>
      </c>
      <c r="AD1354" s="296">
        <f>_xlfn.XLOOKUP($F1354,'Budget Assumption Driver'!$A$33:$A$39,'Budget Assumption Driver'!P$33:P$39)+R1354</f>
        <v>-0.31969941023716936</v>
      </c>
      <c r="AE1354" s="15"/>
      <c r="AF1354" s="232">
        <f>_xlfn.XLOOKUP($C1354,'Site Level Financials - ''23 ''24'!$C$2:$C$1577,'Site Level Financials - ''23 ''24'!$AF$2:$AF$1577)</f>
        <v>-0.2403479228502684</v>
      </c>
      <c r="AG1354" s="97">
        <f t="shared" ref="AG1354:AH1354" si="3957">AG1353/AG1350</f>
        <v>-0.33147179451346226</v>
      </c>
      <c r="AH1354" s="97">
        <f t="shared" si="3957"/>
        <v>-0.33611808446927516</v>
      </c>
    </row>
    <row r="1355" spans="2:34" ht="3" customHeight="1" x14ac:dyDescent="0.2">
      <c r="B1355" s="9">
        <f>G1338</f>
        <v>28</v>
      </c>
      <c r="C1355" s="9" t="str">
        <f t="shared" si="3924"/>
        <v xml:space="preserve">28 - </v>
      </c>
      <c r="D1355" s="9" t="s">
        <v>56</v>
      </c>
      <c r="F1355" s="16"/>
      <c r="G1355" s="84"/>
      <c r="H1355" s="85"/>
      <c r="I1355" s="85"/>
      <c r="J1355" s="85"/>
      <c r="K1355" s="85"/>
      <c r="L1355" s="85"/>
      <c r="M1355" s="85"/>
      <c r="N1355" s="85"/>
      <c r="O1355" s="85"/>
      <c r="P1355" s="85"/>
      <c r="Q1355" s="85"/>
      <c r="R1355" s="85"/>
      <c r="S1355" s="84"/>
      <c r="T1355" s="85"/>
      <c r="U1355" s="85"/>
      <c r="V1355" s="85"/>
      <c r="W1355" s="85"/>
      <c r="X1355" s="85"/>
      <c r="Y1355" s="85"/>
      <c r="Z1355" s="85"/>
      <c r="AA1355" s="85"/>
      <c r="AB1355" s="85"/>
      <c r="AC1355" s="85"/>
      <c r="AD1355" s="86"/>
      <c r="AE1355" s="15"/>
      <c r="AF1355" s="36"/>
      <c r="AG1355" s="38"/>
      <c r="AH1355" s="38"/>
    </row>
    <row r="1356" spans="2:34" x14ac:dyDescent="0.2">
      <c r="B1356" s="9">
        <f>G1338</f>
        <v>28</v>
      </c>
      <c r="C1356" s="9" t="str">
        <f t="shared" si="3924"/>
        <v>28 - Administrative Staff Compensation</v>
      </c>
      <c r="D1356" s="9" t="s">
        <v>56</v>
      </c>
      <c r="F1356" t="s">
        <v>5</v>
      </c>
      <c r="G1356" s="178">
        <f>_xlfn.XLOOKUP($C1356,'Site Level Financials - ''23 ''24'!$C$2:$C$1577,'Site Level Financials - ''23 ''24'!S$2:S$1577)</f>
        <v>-56.638980722364316</v>
      </c>
      <c r="H1356" s="179">
        <f>_xlfn.XLOOKUP($C1356,'Site Level Financials - ''23 ''24'!$C$2:$C$1577,'Site Level Financials - ''23 ''24'!T$2:T$1577)</f>
        <v>-55.904007227760154</v>
      </c>
      <c r="I1356" s="179">
        <f>_xlfn.XLOOKUP($C1356,'Site Level Financials - ''23 ''24'!$C$2:$C$1577,'Site Level Financials - ''23 ''24'!U$2:U$1577)</f>
        <v>-59.204981980171056</v>
      </c>
      <c r="J1356" s="179">
        <f>_xlfn.XLOOKUP($C1356,'Site Level Financials - ''23 ''24'!$C$2:$C$1577,'Site Level Financials - ''23 ''24'!V$2:V$1577)</f>
        <v>-60.077444821284026</v>
      </c>
      <c r="K1356" s="179">
        <f>_xlfn.XLOOKUP($C1356,'Site Level Financials - ''23 ''24'!$C$2:$C$1577,'Site Level Financials - ''23 ''24'!W$2:W$1577)</f>
        <v>-77.973351547020556</v>
      </c>
      <c r="L1356" s="179">
        <f>_xlfn.XLOOKUP($C1356,'Site Level Financials - ''23 ''24'!$C$2:$C$1577,'Site Level Financials - ''23 ''24'!X$2:X$1577)</f>
        <v>-60.24195888475279</v>
      </c>
      <c r="M1356" s="179">
        <f>_xlfn.XLOOKUP($C1356,'Site Level Financials - ''23 ''24'!$C$2:$C$1577,'Site Level Financials - ''23 ''24'!Y$2:Y$1577)</f>
        <v>-53.507754738606508</v>
      </c>
      <c r="N1356" s="179">
        <f>_xlfn.XLOOKUP($C1356,'Site Level Financials - ''23 ''24'!$C$2:$C$1577,'Site Level Financials - ''23 ''24'!Z$2:Z$1577)</f>
        <v>-50.283059807762015</v>
      </c>
      <c r="O1356" s="179">
        <f>_xlfn.XLOOKUP($C1356,'Site Level Financials - ''23 ''24'!$C$2:$C$1577,'Site Level Financials - ''23 ''24'!AA$2:AA$1577)</f>
        <v>-43.621024257911039</v>
      </c>
      <c r="P1356" s="179">
        <f>_xlfn.XLOOKUP($C1356,'Site Level Financials - ''23 ''24'!$C$2:$C$1577,'Site Level Financials - ''23 ''24'!AB$2:AB$1577)</f>
        <v>-49.062076004788729</v>
      </c>
      <c r="Q1356" s="179">
        <f>_xlfn.XLOOKUP($C1356,'Site Level Financials - ''23 ''24'!$C$2:$C$1577,'Site Level Financials - ''23 ''24'!AC$2:AC$1577)</f>
        <v>-38.72270843172695</v>
      </c>
      <c r="R1356" s="179">
        <f>_xlfn.XLOOKUP($C1356,'Site Level Financials - ''23 ''24'!$C$2:$C$1577,'Site Level Financials - ''23 ''24'!AD$2:AD$1577)</f>
        <v>-31.729948709800656</v>
      </c>
      <c r="S1356" s="155">
        <f>S1357*S1350</f>
        <v>-57.516703012226905</v>
      </c>
      <c r="T1356" s="154">
        <f t="shared" ref="T1356" si="3958">T1357*T1350</f>
        <v>-59.592984062431803</v>
      </c>
      <c r="U1356" s="154">
        <f t="shared" ref="U1356" si="3959">U1357*U1350</f>
        <v>-61.686918910693564</v>
      </c>
      <c r="V1356" s="154">
        <f t="shared" ref="V1356" si="3960">V1357*V1350</f>
        <v>-67.426210274041523</v>
      </c>
      <c r="W1356" s="154">
        <f t="shared" ref="W1356" si="3961">W1357*W1350</f>
        <v>-110.08469926184695</v>
      </c>
      <c r="X1356" s="154">
        <f t="shared" ref="X1356" si="3962">X1357*X1350</f>
        <v>-88.046125308905133</v>
      </c>
      <c r="Y1356" s="154">
        <f t="shared" ref="Y1356" si="3963">Y1357*Y1350</f>
        <v>-63.275249186126032</v>
      </c>
      <c r="Z1356" s="154">
        <f t="shared" ref="Z1356" si="3964">Z1357*Z1350</f>
        <v>-55.203163527569998</v>
      </c>
      <c r="AA1356" s="154">
        <f t="shared" ref="AA1356" si="3965">AA1357*AA1350</f>
        <v>-47.602478392573929</v>
      </c>
      <c r="AB1356" s="154">
        <f t="shared" ref="AB1356" si="3966">AB1357*AB1350</f>
        <v>-51.998501920582413</v>
      </c>
      <c r="AC1356" s="154">
        <f t="shared" ref="AC1356" si="3967">AC1357*AC1350</f>
        <v>-38.886606078135316</v>
      </c>
      <c r="AD1356" s="156">
        <f t="shared" ref="AD1356" si="3968">AD1357*AD1350</f>
        <v>-32.635211220833874</v>
      </c>
      <c r="AE1356" s="15"/>
      <c r="AF1356" s="115">
        <f>_xlfn.XLOOKUP($C1356,'Site Level Financials - ''23 ''24'!$C$2:$C$1577,'Site Level Financials - ''23 ''24'!$AF$2:$AF$1577)</f>
        <v>-469.19709941217099</v>
      </c>
      <c r="AG1356" s="93">
        <f>SUM(G1356:R1356)</f>
        <v>-636.96729713394882</v>
      </c>
      <c r="AH1356" s="93">
        <f t="shared" ref="AH1356" si="3969">SUM(S1356:AD1356)</f>
        <v>-733.95485115596739</v>
      </c>
    </row>
    <row r="1357" spans="2:34" x14ac:dyDescent="0.2">
      <c r="B1357" s="9">
        <f>G1338</f>
        <v>28</v>
      </c>
      <c r="C1357" s="9" t="str">
        <f t="shared" si="3924"/>
        <v>28 - % of Revenue - Administrative Staff Compensation</v>
      </c>
      <c r="D1357" s="9" t="s">
        <v>56</v>
      </c>
      <c r="F1357" s="16" t="str">
        <f>"% of Revenue - "&amp;F1356</f>
        <v>% of Revenue - Administrative Staff Compensation</v>
      </c>
      <c r="G1357" s="148">
        <f>G1356/G1350</f>
        <v>-0.12839521682375071</v>
      </c>
      <c r="H1357" s="149">
        <f t="shared" ref="H1357:R1357" si="3970">H1356/H1350</f>
        <v>-0.12847208657201523</v>
      </c>
      <c r="I1357" s="149">
        <f t="shared" si="3970"/>
        <v>-0.12384762381378597</v>
      </c>
      <c r="J1357" s="149">
        <f t="shared" si="3970"/>
        <v>-0.12637709793862067</v>
      </c>
      <c r="K1357" s="149">
        <f t="shared" si="3970"/>
        <v>-0.17360536071734103</v>
      </c>
      <c r="L1357" s="149">
        <f t="shared" si="3970"/>
        <v>-0.16534728023790041</v>
      </c>
      <c r="M1357" s="149">
        <f t="shared" si="3970"/>
        <v>-0.11795129367630953</v>
      </c>
      <c r="N1357" s="149">
        <f t="shared" si="3970"/>
        <v>-0.12000610107883466</v>
      </c>
      <c r="O1357" s="149">
        <f t="shared" si="3970"/>
        <v>-0.11286954519660984</v>
      </c>
      <c r="P1357" s="149">
        <f t="shared" si="3970"/>
        <v>-0.10735191292550833</v>
      </c>
      <c r="Q1357" s="149">
        <f t="shared" si="3970"/>
        <v>-0.10156268540862048</v>
      </c>
      <c r="R1357" s="149">
        <f t="shared" si="3970"/>
        <v>-0.10442807996875358</v>
      </c>
      <c r="S1357" s="245">
        <f>_xlfn.XLOOKUP($F1357,'Budget Assumption Driver'!$A$33:$A$39,'Budget Assumption Driver'!E$33:E$39)+G1357</f>
        <v>-0.12839521682375071</v>
      </c>
      <c r="T1357" s="246">
        <f>_xlfn.XLOOKUP($F1357,'Budget Assumption Driver'!$A$33:$A$39,'Budget Assumption Driver'!F$33:F$39)+H1357</f>
        <v>-0.12847208657201523</v>
      </c>
      <c r="U1357" s="246">
        <f>_xlfn.XLOOKUP($F1357,'Budget Assumption Driver'!$A$33:$A$39,'Budget Assumption Driver'!G$33:G$39)+I1357</f>
        <v>-0.12384762381378597</v>
      </c>
      <c r="V1357" s="246">
        <f>_xlfn.XLOOKUP($F1357,'Budget Assumption Driver'!$A$33:$A$39,'Budget Assumption Driver'!H$33:H$39)+J1357</f>
        <v>-0.12637709793862067</v>
      </c>
      <c r="W1357" s="246">
        <f>_xlfn.XLOOKUP($F1357,'Budget Assumption Driver'!$A$33:$A$39,'Budget Assumption Driver'!I$33:I$39)+K1357</f>
        <v>-0.17360536071734103</v>
      </c>
      <c r="X1357" s="246">
        <f>_xlfn.XLOOKUP($F1357,'Budget Assumption Driver'!$A$33:$A$39,'Budget Assumption Driver'!J$33:J$39)+L1357</f>
        <v>-0.16534728023790041</v>
      </c>
      <c r="Y1357" s="246">
        <f>_xlfn.XLOOKUP($F1357,'Budget Assumption Driver'!$A$33:$A$39,'Budget Assumption Driver'!K$33:K$39)+M1357</f>
        <v>-0.11795129367630953</v>
      </c>
      <c r="Z1357" s="246">
        <f>_xlfn.XLOOKUP($F1357,'Budget Assumption Driver'!$A$33:$A$39,'Budget Assumption Driver'!L$33:L$39)+N1357</f>
        <v>-0.12000610107883466</v>
      </c>
      <c r="AA1357" s="246">
        <f>_xlfn.XLOOKUP($F1357,'Budget Assumption Driver'!$A$33:$A$39,'Budget Assumption Driver'!M$33:M$39)+O1357</f>
        <v>-0.11286954519660984</v>
      </c>
      <c r="AB1357" s="246">
        <f>_xlfn.XLOOKUP($F1357,'Budget Assumption Driver'!$A$33:$A$39,'Budget Assumption Driver'!N$33:N$39)+P1357</f>
        <v>-0.10735191292550833</v>
      </c>
      <c r="AC1357" s="246">
        <f>_xlfn.XLOOKUP($F1357,'Budget Assumption Driver'!$A$33:$A$39,'Budget Assumption Driver'!O$33:O$39)+Q1357</f>
        <v>-0.10156268540862048</v>
      </c>
      <c r="AD1357" s="296">
        <f>_xlfn.XLOOKUP($F1357,'Budget Assumption Driver'!$A$33:$A$39,'Budget Assumption Driver'!P$33:P$39)+R1357</f>
        <v>-0.10442807996875358</v>
      </c>
      <c r="AE1357" s="15"/>
      <c r="AF1357" s="232">
        <f>_xlfn.XLOOKUP($C1357,'Site Level Financials - ''23 ''24'!$C$2:$C$1577,'Site Level Financials - ''23 ''24'!$AF$2:$AF$1577)</f>
        <v>-0.11821477263698343</v>
      </c>
      <c r="AG1357" s="97">
        <f t="shared" ref="AG1357:AH1357" si="3971">AG1356/AG1350</f>
        <v>-0.12627124204438317</v>
      </c>
      <c r="AH1357" s="97">
        <f t="shared" si="3971"/>
        <v>-0.12858310200489864</v>
      </c>
    </row>
    <row r="1358" spans="2:34" ht="3" customHeight="1" x14ac:dyDescent="0.2">
      <c r="B1358" s="9">
        <f>G1338</f>
        <v>28</v>
      </c>
      <c r="C1358" s="9" t="str">
        <f t="shared" si="3924"/>
        <v xml:space="preserve">28 - </v>
      </c>
      <c r="D1358" s="9" t="s">
        <v>56</v>
      </c>
      <c r="F1358" s="16"/>
      <c r="G1358" s="84"/>
      <c r="H1358" s="85"/>
      <c r="I1358" s="85"/>
      <c r="J1358" s="85"/>
      <c r="K1358" s="85"/>
      <c r="L1358" s="85"/>
      <c r="M1358" s="85"/>
      <c r="N1358" s="85"/>
      <c r="O1358" s="85"/>
      <c r="P1358" s="85"/>
      <c r="Q1358" s="85"/>
      <c r="R1358" s="85"/>
      <c r="S1358" s="84"/>
      <c r="T1358" s="85"/>
      <c r="U1358" s="85"/>
      <c r="V1358" s="85"/>
      <c r="W1358" s="85"/>
      <c r="X1358" s="85"/>
      <c r="Y1358" s="85"/>
      <c r="Z1358" s="85"/>
      <c r="AA1358" s="85"/>
      <c r="AB1358" s="85"/>
      <c r="AC1358" s="85"/>
      <c r="AD1358" s="86"/>
      <c r="AE1358" s="15"/>
      <c r="AF1358" s="36"/>
      <c r="AG1358" s="38"/>
      <c r="AH1358" s="38"/>
    </row>
    <row r="1359" spans="2:34" x14ac:dyDescent="0.2">
      <c r="B1359" s="9">
        <f>G1338</f>
        <v>28</v>
      </c>
      <c r="C1359" s="9" t="str">
        <f t="shared" si="3924"/>
        <v>28 - Office Supplies</v>
      </c>
      <c r="D1359" s="9" t="s">
        <v>56</v>
      </c>
      <c r="F1359" t="s">
        <v>6</v>
      </c>
      <c r="G1359" s="178">
        <f>_xlfn.XLOOKUP($C1359,'Site Level Financials - ''23 ''24'!$C$2:$C$1577,'Site Level Financials - ''23 ''24'!S$2:S$1577)</f>
        <v>-20.93060658119337</v>
      </c>
      <c r="H1359" s="179">
        <f>_xlfn.XLOOKUP($C1359,'Site Level Financials - ''23 ''24'!$C$2:$C$1577,'Site Level Financials - ''23 ''24'!T$2:T$1577)</f>
        <v>-21.116636683312215</v>
      </c>
      <c r="I1359" s="179">
        <f>_xlfn.XLOOKUP($C1359,'Site Level Financials - ''23 ''24'!$C$2:$C$1577,'Site Level Financials - ''23 ''24'!U$2:U$1577)</f>
        <v>-23.85108374494045</v>
      </c>
      <c r="J1359" s="179">
        <f>_xlfn.XLOOKUP($C1359,'Site Level Financials - ''23 ''24'!$C$2:$C$1577,'Site Level Financials - ''23 ''24'!V$2:V$1577)</f>
        <v>-24.876211544200668</v>
      </c>
      <c r="K1359" s="179">
        <f>_xlfn.XLOOKUP($C1359,'Site Level Financials - ''23 ''24'!$C$2:$C$1577,'Site Level Financials - ''23 ''24'!W$2:W$1577)</f>
        <v>-29.859999921429647</v>
      </c>
      <c r="L1359" s="179">
        <f>_xlfn.XLOOKUP($C1359,'Site Level Financials - ''23 ''24'!$C$2:$C$1577,'Site Level Financials - ''23 ''24'!X$2:X$1577)</f>
        <v>-24.305161941167206</v>
      </c>
      <c r="M1359" s="179">
        <f>_xlfn.XLOOKUP($C1359,'Site Level Financials - ''23 ''24'!$C$2:$C$1577,'Site Level Financials - ''23 ''24'!Y$2:Y$1577)</f>
        <v>-23.094610027522936</v>
      </c>
      <c r="N1359" s="179">
        <f>_xlfn.XLOOKUP($C1359,'Site Level Financials - ''23 ''24'!$C$2:$C$1577,'Site Level Financials - ''23 ''24'!Z$2:Z$1577)</f>
        <v>-21.16051492115459</v>
      </c>
      <c r="O1359" s="179">
        <f>_xlfn.XLOOKUP($C1359,'Site Level Financials - ''23 ''24'!$C$2:$C$1577,'Site Level Financials - ''23 ''24'!AA$2:AA$1577)</f>
        <v>-19.484395529930012</v>
      </c>
      <c r="P1359" s="179">
        <f>_xlfn.XLOOKUP($C1359,'Site Level Financials - ''23 ''24'!$C$2:$C$1577,'Site Level Financials - ''23 ''24'!AB$2:AB$1577)</f>
        <v>-23.858596611842678</v>
      </c>
      <c r="Q1359" s="179">
        <f>_xlfn.XLOOKUP($C1359,'Site Level Financials - ''23 ''24'!$C$2:$C$1577,'Site Level Financials - ''23 ''24'!AC$2:AC$1577)</f>
        <v>-20.292567681001952</v>
      </c>
      <c r="R1359" s="179">
        <f>_xlfn.XLOOKUP($C1359,'Site Level Financials - ''23 ''24'!$C$2:$C$1577,'Site Level Financials - ''23 ''24'!AD$2:AD$1577)</f>
        <v>-15.481177462480716</v>
      </c>
      <c r="S1359" s="155">
        <f>S1360*S1350</f>
        <v>-21.25496375892422</v>
      </c>
      <c r="T1359" s="154">
        <f t="shared" ref="T1359" si="3972">T1360*T1350</f>
        <v>-22.510074961064767</v>
      </c>
      <c r="U1359" s="154">
        <f t="shared" ref="U1359" si="3973">U1360*U1350</f>
        <v>-24.850946992924865</v>
      </c>
      <c r="V1359" s="154">
        <f t="shared" ref="V1359" si="3974">V1360*V1350</f>
        <v>-27.919108001187535</v>
      </c>
      <c r="W1359" s="154">
        <f t="shared" ref="W1359" si="3975">W1360*W1350</f>
        <v>-42.157083748376607</v>
      </c>
      <c r="X1359" s="154">
        <f t="shared" ref="X1359" si="3976">X1360*X1350</f>
        <v>-35.52300379240932</v>
      </c>
      <c r="Y1359" s="154">
        <f t="shared" ref="Y1359" si="3977">Y1360*Y1350</f>
        <v>-27.310381672463638</v>
      </c>
      <c r="Z1359" s="154">
        <f t="shared" ref="Z1359" si="3978">Z1360*Z1350</f>
        <v>-23.23103188202883</v>
      </c>
      <c r="AA1359" s="154">
        <f t="shared" ref="AA1359" si="3979">AA1360*AA1350</f>
        <v>-21.262809229832481</v>
      </c>
      <c r="AB1359" s="154">
        <f t="shared" ref="AB1359" si="3980">AB1360*AB1350</f>
        <v>-25.286563121018606</v>
      </c>
      <c r="AC1359" s="154">
        <f t="shared" ref="AC1359" si="3981">AC1360*AC1350</f>
        <v>-20.378457956171175</v>
      </c>
      <c r="AD1359" s="156">
        <f t="shared" ref="AD1359" si="3982">AD1360*AD1350</f>
        <v>-15.922858907087255</v>
      </c>
      <c r="AE1359" s="15"/>
      <c r="AF1359" s="115">
        <f>_xlfn.XLOOKUP($C1359,'Site Level Financials - ''23 ''24'!$C$2:$C$1577,'Site Level Financials - ''23 ''24'!$AF$2:$AF$1577)</f>
        <v>-238.60013085647893</v>
      </c>
      <c r="AG1359" s="93">
        <f>SUM(G1359:R1359)</f>
        <v>-268.31156265017648</v>
      </c>
      <c r="AH1359" s="93">
        <f t="shared" ref="AH1359" si="3983">SUM(S1359:AD1359)</f>
        <v>-307.60728402348929</v>
      </c>
    </row>
    <row r="1360" spans="2:34" x14ac:dyDescent="0.2">
      <c r="B1360" s="9">
        <f>G1338</f>
        <v>28</v>
      </c>
      <c r="C1360" s="9" t="str">
        <f t="shared" si="3924"/>
        <v>28 - % of Revenue - Office Supplies</v>
      </c>
      <c r="D1360" s="9" t="s">
        <v>56</v>
      </c>
      <c r="F1360" s="16" t="str">
        <f>"% of Revenue - "&amp;F1359</f>
        <v>% of Revenue - Office Supplies</v>
      </c>
      <c r="G1360" s="148">
        <f>G1359/G1350</f>
        <v>-4.7447707143921304E-2</v>
      </c>
      <c r="H1360" s="149">
        <f t="shared" ref="H1360:R1360" si="3984">H1359/H1350</f>
        <v>-4.8527798106414458E-2</v>
      </c>
      <c r="I1360" s="149">
        <f t="shared" si="3984"/>
        <v>-4.9892761527802018E-2</v>
      </c>
      <c r="J1360" s="149">
        <f t="shared" si="3984"/>
        <v>-5.2328847074227192E-2</v>
      </c>
      <c r="K1360" s="149">
        <f t="shared" si="3984"/>
        <v>-6.6482406546979442E-2</v>
      </c>
      <c r="L1360" s="149">
        <f t="shared" si="3984"/>
        <v>-6.6710852321418782E-2</v>
      </c>
      <c r="M1360" s="149">
        <f t="shared" si="3984"/>
        <v>-5.0909240034524801E-2</v>
      </c>
      <c r="N1360" s="149">
        <f t="shared" si="3984"/>
        <v>-5.0501916594110491E-2</v>
      </c>
      <c r="O1360" s="149">
        <f t="shared" si="3984"/>
        <v>-5.0415938169888701E-2</v>
      </c>
      <c r="P1360" s="149">
        <f t="shared" si="3984"/>
        <v>-5.2204598634378402E-2</v>
      </c>
      <c r="Q1360" s="149">
        <f t="shared" si="3984"/>
        <v>-5.3223747795237211E-2</v>
      </c>
      <c r="R1360" s="149">
        <f t="shared" si="3984"/>
        <v>-5.0950906124945912E-2</v>
      </c>
      <c r="S1360" s="245">
        <f>_xlfn.XLOOKUP($F1360,'Budget Assumption Driver'!$A$33:$A$39,'Budget Assumption Driver'!E$33:E$39)+G1360</f>
        <v>-4.7447707143921304E-2</v>
      </c>
      <c r="T1360" s="246">
        <f>_xlfn.XLOOKUP($F1360,'Budget Assumption Driver'!$A$33:$A$39,'Budget Assumption Driver'!F$33:F$39)+H1360</f>
        <v>-4.8527798106414458E-2</v>
      </c>
      <c r="U1360" s="246">
        <f>_xlfn.XLOOKUP($F1360,'Budget Assumption Driver'!$A$33:$A$39,'Budget Assumption Driver'!G$33:G$39)+I1360</f>
        <v>-4.9892761527802018E-2</v>
      </c>
      <c r="V1360" s="246">
        <f>_xlfn.XLOOKUP($F1360,'Budget Assumption Driver'!$A$33:$A$39,'Budget Assumption Driver'!H$33:H$39)+J1360</f>
        <v>-5.2328847074227192E-2</v>
      </c>
      <c r="W1360" s="246">
        <f>_xlfn.XLOOKUP($F1360,'Budget Assumption Driver'!$A$33:$A$39,'Budget Assumption Driver'!I$33:I$39)+K1360</f>
        <v>-6.6482406546979442E-2</v>
      </c>
      <c r="X1360" s="246">
        <f>_xlfn.XLOOKUP($F1360,'Budget Assumption Driver'!$A$33:$A$39,'Budget Assumption Driver'!J$33:J$39)+L1360</f>
        <v>-6.6710852321418782E-2</v>
      </c>
      <c r="Y1360" s="246">
        <f>_xlfn.XLOOKUP($F1360,'Budget Assumption Driver'!$A$33:$A$39,'Budget Assumption Driver'!K$33:K$39)+M1360</f>
        <v>-5.0909240034524801E-2</v>
      </c>
      <c r="Z1360" s="246">
        <f>_xlfn.XLOOKUP($F1360,'Budget Assumption Driver'!$A$33:$A$39,'Budget Assumption Driver'!L$33:L$39)+N1360</f>
        <v>-5.0501916594110491E-2</v>
      </c>
      <c r="AA1360" s="246">
        <f>_xlfn.XLOOKUP($F1360,'Budget Assumption Driver'!$A$33:$A$39,'Budget Assumption Driver'!M$33:M$39)+O1360</f>
        <v>-5.0415938169888701E-2</v>
      </c>
      <c r="AB1360" s="246">
        <f>_xlfn.XLOOKUP($F1360,'Budget Assumption Driver'!$A$33:$A$39,'Budget Assumption Driver'!N$33:N$39)+P1360</f>
        <v>-5.2204598634378402E-2</v>
      </c>
      <c r="AC1360" s="246">
        <f>_xlfn.XLOOKUP($F1360,'Budget Assumption Driver'!$A$33:$A$39,'Budget Assumption Driver'!O$33:O$39)+Q1360</f>
        <v>-5.3223747795237211E-2</v>
      </c>
      <c r="AD1360" s="296">
        <f>_xlfn.XLOOKUP($F1360,'Budget Assumption Driver'!$A$33:$A$39,'Budget Assumption Driver'!P$33:P$39)+R1360</f>
        <v>-5.0950906124945912E-2</v>
      </c>
      <c r="AE1360" s="15"/>
      <c r="AF1360" s="232">
        <f>_xlfn.XLOOKUP($C1360,'Site Level Financials - ''23 ''24'!$C$2:$C$1577,'Site Level Financials - ''23 ''24'!$AF$2:$AF$1577)</f>
        <v>-6.0115589494672578E-2</v>
      </c>
      <c r="AG1360" s="97">
        <f t="shared" ref="AG1360:AH1360" si="3985">AG1359/AG1350</f>
        <v>-5.3189597681311464E-2</v>
      </c>
      <c r="AH1360" s="97">
        <f t="shared" si="3985"/>
        <v>-5.3890370390967016E-2</v>
      </c>
    </row>
    <row r="1361" spans="2:34" ht="6" customHeight="1" x14ac:dyDescent="0.2">
      <c r="B1361" s="9">
        <f>G1338</f>
        <v>28</v>
      </c>
      <c r="C1361" s="9" t="str">
        <f t="shared" si="3924"/>
        <v xml:space="preserve">28 - </v>
      </c>
      <c r="D1361" s="9" t="s">
        <v>56</v>
      </c>
      <c r="F1361" s="16"/>
      <c r="G1361" s="80"/>
      <c r="H1361" s="63"/>
      <c r="I1361" s="63"/>
      <c r="J1361" s="63"/>
      <c r="K1361" s="63"/>
      <c r="L1361" s="63"/>
      <c r="M1361" s="63"/>
      <c r="N1361" s="63"/>
      <c r="O1361" s="63"/>
      <c r="P1361" s="63"/>
      <c r="Q1361" s="63"/>
      <c r="R1361" s="63"/>
      <c r="S1361" s="80"/>
      <c r="T1361" s="63"/>
      <c r="U1361" s="63"/>
      <c r="V1361" s="63"/>
      <c r="W1361" s="63"/>
      <c r="X1361" s="63"/>
      <c r="Y1361" s="63"/>
      <c r="Z1361" s="63"/>
      <c r="AA1361" s="63"/>
      <c r="AB1361" s="63"/>
      <c r="AC1361" s="63"/>
      <c r="AD1361" s="81"/>
      <c r="AE1361" s="15"/>
      <c r="AF1361" s="11"/>
      <c r="AG1361" s="15"/>
      <c r="AH1361" s="15"/>
    </row>
    <row r="1362" spans="2:34" x14ac:dyDescent="0.2">
      <c r="B1362" s="9">
        <f>G1338</f>
        <v>28</v>
      </c>
      <c r="C1362" s="9" t="str">
        <f t="shared" si="3924"/>
        <v>28 - Office Gross Profit</v>
      </c>
      <c r="D1362" s="9" t="s">
        <v>56</v>
      </c>
      <c r="F1362" s="8" t="s">
        <v>11</v>
      </c>
      <c r="G1362" s="241">
        <f>_xlfn.XLOOKUP($C1362,'Site Level Financials - ''23 ''24'!$C$2:$C$1577,'Site Level Financials - ''23 ''24'!S$2:S$1577)</f>
        <v>227.34893588562227</v>
      </c>
      <c r="H1362" s="242">
        <f>_xlfn.XLOOKUP($C1362,'Site Level Financials - ''23 ''24'!$C$2:$C$1577,'Site Level Financials - ''23 ''24'!T$2:T$1577)</f>
        <v>223.17781253950196</v>
      </c>
      <c r="I1362" s="242">
        <f>_xlfn.XLOOKUP($C1362,'Site Level Financials - ''23 ''24'!$C$2:$C$1577,'Site Level Financials - ''23 ''24'!U$2:U$1577)</f>
        <v>247.50307531777727</v>
      </c>
      <c r="J1362" s="242">
        <f>_xlfn.XLOOKUP($C1362,'Site Level Financials - ''23 ''24'!$C$2:$C$1577,'Site Level Financials - ''23 ''24'!V$2:V$1577)</f>
        <v>244.86696801101095</v>
      </c>
      <c r="K1362" s="242">
        <f>_xlfn.XLOOKUP($C1362,'Site Level Financials - ''23 ''24'!$C$2:$C$1577,'Site Level Financials - ''23 ''24'!W$2:W$1577)</f>
        <v>152.87815102142198</v>
      </c>
      <c r="L1362" s="242">
        <f>_xlfn.XLOOKUP($C1362,'Site Level Financials - ''23 ''24'!$C$2:$C$1577,'Site Level Financials - ''23 ''24'!X$2:X$1577)</f>
        <v>125.96037721529282</v>
      </c>
      <c r="M1362" s="242">
        <f>_xlfn.XLOOKUP($C1362,'Site Level Financials - ''23 ''24'!$C$2:$C$1577,'Site Level Financials - ''23 ''24'!Y$2:Y$1577)</f>
        <v>230.29483734208239</v>
      </c>
      <c r="N1362" s="242">
        <f>_xlfn.XLOOKUP($C1362,'Site Level Financials - ''23 ''24'!$C$2:$C$1577,'Site Level Financials - ''23 ''24'!Z$2:Z$1577)</f>
        <v>214.81396452100384</v>
      </c>
      <c r="O1362" s="242">
        <f>_xlfn.XLOOKUP($C1362,'Site Level Financials - ''23 ''24'!$C$2:$C$1577,'Site Level Financials - ''23 ''24'!AA$2:AA$1577)</f>
        <v>201.84527324342196</v>
      </c>
      <c r="P1362" s="242">
        <f>_xlfn.XLOOKUP($C1362,'Site Level Financials - ''23 ''24'!$C$2:$C$1577,'Site Level Financials - ''23 ''24'!AB$2:AB$1577)</f>
        <v>238.35464034483138</v>
      </c>
      <c r="Q1362" s="242">
        <f>_xlfn.XLOOKUP($C1362,'Site Level Financials - ''23 ''24'!$C$2:$C$1577,'Site Level Financials - ''23 ''24'!AC$2:AC$1577)</f>
        <v>200.53057200587415</v>
      </c>
      <c r="R1362" s="242">
        <f>_xlfn.XLOOKUP($C1362,'Site Level Financials - ''23 ''24'!$C$2:$C$1577,'Site Level Financials - ''23 ''24'!AD$2:AD$1577)</f>
        <v>159.49479839207504</v>
      </c>
      <c r="S1362" s="134">
        <f t="shared" ref="S1362:AD1362" si="3986">S1350+S1353+S1356+S1359</f>
        <v>230.87211419953846</v>
      </c>
      <c r="T1362" s="135">
        <f t="shared" si="3986"/>
        <v>237.90480298790922</v>
      </c>
      <c r="U1362" s="135">
        <f t="shared" si="3986"/>
        <v>257.87867214263264</v>
      </c>
      <c r="V1362" s="135">
        <f t="shared" si="3986"/>
        <v>274.81947215618197</v>
      </c>
      <c r="W1362" s="135">
        <f t="shared" si="3986"/>
        <v>215.83714108725573</v>
      </c>
      <c r="X1362" s="135">
        <f t="shared" si="3986"/>
        <v>184.09632358521435</v>
      </c>
      <c r="Y1362" s="135">
        <f t="shared" si="3986"/>
        <v>272.33366995653012</v>
      </c>
      <c r="Z1362" s="135">
        <f t="shared" si="3986"/>
        <v>235.83311072943212</v>
      </c>
      <c r="AA1362" s="135">
        <f t="shared" si="3986"/>
        <v>220.26844673347219</v>
      </c>
      <c r="AB1362" s="135">
        <f t="shared" si="3986"/>
        <v>252.62046030299882</v>
      </c>
      <c r="AC1362" s="135">
        <f t="shared" si="3986"/>
        <v>201.37933724249581</v>
      </c>
      <c r="AD1362" s="136">
        <f t="shared" si="3986"/>
        <v>164.04522055032291</v>
      </c>
      <c r="AE1362" s="15"/>
      <c r="AF1362" s="114">
        <f>_xlfn.XLOOKUP($C1362,'Site Level Financials - ''23 ''24'!$C$2:$C$1577,'Site Level Financials - ''23 ''24'!$AF$2:$AF$1577)</f>
        <v>2307.2790009872137</v>
      </c>
      <c r="AG1362" s="95">
        <f>SUM(G1362:R1362)</f>
        <v>2467.0694058399158</v>
      </c>
      <c r="AH1362" s="95">
        <f t="shared" ref="AH1362" si="3987">SUM(S1362:AD1362)</f>
        <v>2747.8887716739841</v>
      </c>
    </row>
    <row r="1363" spans="2:34" x14ac:dyDescent="0.2">
      <c r="B1363" s="9">
        <f>G1338</f>
        <v>28</v>
      </c>
      <c r="C1363" s="9" t="str">
        <f t="shared" si="3924"/>
        <v>28 - % of Revenue - Office Gross Profit</v>
      </c>
      <c r="D1363" s="9" t="s">
        <v>56</v>
      </c>
      <c r="F1363" s="16" t="str">
        <f>"% of Revenue - "&amp;F1362</f>
        <v>% of Revenue - Office Gross Profit</v>
      </c>
      <c r="G1363" s="148">
        <f>G1362/G1350</f>
        <v>0.51537855281631828</v>
      </c>
      <c r="H1363" s="149">
        <f t="shared" ref="H1363:AD1363" si="3988">H1362/H1350</f>
        <v>0.5128812883969831</v>
      </c>
      <c r="I1363" s="149">
        <f t="shared" si="3988"/>
        <v>0.51773797980341274</v>
      </c>
      <c r="J1363" s="149">
        <f t="shared" si="3988"/>
        <v>0.51509475628193391</v>
      </c>
      <c r="K1363" s="149">
        <f t="shared" si="3988"/>
        <v>0.34037868101474783</v>
      </c>
      <c r="L1363" s="149">
        <f t="shared" si="3988"/>
        <v>0.34572590559567645</v>
      </c>
      <c r="M1363" s="149">
        <f t="shared" si="3988"/>
        <v>0.50765677095165118</v>
      </c>
      <c r="N1363" s="149">
        <f t="shared" si="3988"/>
        <v>0.51267735969149153</v>
      </c>
      <c r="O1363" s="149">
        <f t="shared" si="3988"/>
        <v>0.52227531514092629</v>
      </c>
      <c r="P1363" s="149">
        <f t="shared" si="3988"/>
        <v>0.52153982626401052</v>
      </c>
      <c r="Q1363" s="149">
        <f t="shared" si="3988"/>
        <v>0.52595554970933667</v>
      </c>
      <c r="R1363" s="149">
        <f t="shared" si="3988"/>
        <v>0.52492160366913132</v>
      </c>
      <c r="S1363" s="148">
        <f t="shared" si="3988"/>
        <v>0.51537855281631828</v>
      </c>
      <c r="T1363" s="149">
        <f t="shared" si="3988"/>
        <v>0.5128812883969831</v>
      </c>
      <c r="U1363" s="149">
        <f t="shared" si="3988"/>
        <v>0.51773797980341263</v>
      </c>
      <c r="V1363" s="149">
        <f t="shared" si="3988"/>
        <v>0.51509475628193391</v>
      </c>
      <c r="W1363" s="149">
        <f t="shared" si="3988"/>
        <v>0.34037868101474794</v>
      </c>
      <c r="X1363" s="149">
        <f t="shared" si="3988"/>
        <v>0.3457259055956764</v>
      </c>
      <c r="Y1363" s="149">
        <f t="shared" si="3988"/>
        <v>0.50765677095165118</v>
      </c>
      <c r="Z1363" s="149">
        <f t="shared" si="3988"/>
        <v>0.51267735969149164</v>
      </c>
      <c r="AA1363" s="149">
        <f t="shared" si="3988"/>
        <v>0.5222753151409264</v>
      </c>
      <c r="AB1363" s="149">
        <f t="shared" si="3988"/>
        <v>0.52153982626401041</v>
      </c>
      <c r="AC1363" s="149">
        <f t="shared" si="3988"/>
        <v>0.52595554970933667</v>
      </c>
      <c r="AD1363" s="150">
        <f t="shared" si="3988"/>
        <v>0.52492160366913121</v>
      </c>
      <c r="AE1363" s="15"/>
      <c r="AF1363" s="233">
        <f>_xlfn.XLOOKUP($C1363,'Site Level Financials - ''23 ''24'!$C$2:$C$1577,'Site Level Financials - ''23 ''24'!$AF$2:$AF$1577)</f>
        <v>0.58132171501807561</v>
      </c>
      <c r="AG1363" s="97">
        <f t="shared" ref="AG1363:AH1363" si="3989">AG1362/AG1350</f>
        <v>0.48906736576084314</v>
      </c>
      <c r="AH1363" s="97">
        <f t="shared" si="3989"/>
        <v>0.48140844313485909</v>
      </c>
    </row>
    <row r="1364" spans="2:34" ht="6" customHeight="1" x14ac:dyDescent="0.2">
      <c r="B1364" s="9">
        <f>G1338</f>
        <v>28</v>
      </c>
      <c r="C1364" s="9" t="str">
        <f t="shared" si="3924"/>
        <v xml:space="preserve">28 - </v>
      </c>
      <c r="D1364" s="9" t="s">
        <v>56</v>
      </c>
      <c r="F1364" s="16"/>
      <c r="G1364" s="80"/>
      <c r="H1364" s="63"/>
      <c r="I1364" s="63"/>
      <c r="J1364" s="63"/>
      <c r="K1364" s="63"/>
      <c r="L1364" s="63"/>
      <c r="M1364" s="63"/>
      <c r="N1364" s="63"/>
      <c r="O1364" s="63"/>
      <c r="P1364" s="63"/>
      <c r="Q1364" s="63"/>
      <c r="R1364" s="63"/>
      <c r="S1364" s="80"/>
      <c r="T1364" s="63"/>
      <c r="U1364" s="63"/>
      <c r="V1364" s="63"/>
      <c r="W1364" s="63"/>
      <c r="X1364" s="63"/>
      <c r="Y1364" s="63"/>
      <c r="Z1364" s="63"/>
      <c r="AA1364" s="63"/>
      <c r="AB1364" s="63"/>
      <c r="AC1364" s="63"/>
      <c r="AD1364" s="81"/>
      <c r="AE1364" s="15"/>
      <c r="AF1364" s="11"/>
      <c r="AG1364" s="15"/>
      <c r="AH1364" s="15"/>
    </row>
    <row r="1365" spans="2:34" x14ac:dyDescent="0.2">
      <c r="B1365" s="9">
        <f>G1338</f>
        <v>28</v>
      </c>
      <c r="C1365" s="9" t="str">
        <f t="shared" si="3924"/>
        <v>28 - General and Administrative Expense</v>
      </c>
      <c r="D1365" s="9" t="s">
        <v>56</v>
      </c>
      <c r="F1365" t="s">
        <v>10</v>
      </c>
      <c r="G1365" s="178">
        <f>_xlfn.XLOOKUP($C1365,'Site Level Financials - ''23 ''24'!$C$2:$C$1577,'Site Level Financials - ''23 ''24'!S$2:S$1577)</f>
        <v>-9.6299789901055828</v>
      </c>
      <c r="H1365" s="179">
        <f>_xlfn.XLOOKUP($C1365,'Site Level Financials - ''23 ''24'!$C$2:$C$1577,'Site Level Financials - ''23 ''24'!T$2:T$1577)</f>
        <v>-8.888535891154369</v>
      </c>
      <c r="I1365" s="179">
        <f>_xlfn.XLOOKUP($C1365,'Site Level Financials - ''23 ''24'!$C$2:$C$1577,'Site Level Financials - ''23 ''24'!U$2:U$1577)</f>
        <v>-9.5225753379977434</v>
      </c>
      <c r="J1365" s="179">
        <f>_xlfn.XLOOKUP($C1365,'Site Level Financials - ''23 ''24'!$C$2:$C$1577,'Site Level Financials - ''23 ''24'!V$2:V$1577)</f>
        <v>-9.8658907572996331</v>
      </c>
      <c r="K1365" s="179">
        <f>_xlfn.XLOOKUP($C1365,'Site Level Financials - ''23 ''24'!$C$2:$C$1577,'Site Level Financials - ''23 ''24'!W$2:W$1577)</f>
        <v>-11.635607205144302</v>
      </c>
      <c r="L1365" s="179">
        <f>_xlfn.XLOOKUP($C1365,'Site Level Financials - ''23 ''24'!$C$2:$C$1577,'Site Level Financials - ''23 ''24'!X$2:X$1577)</f>
        <v>-10.273266466196816</v>
      </c>
      <c r="M1365" s="179">
        <f>_xlfn.XLOOKUP($C1365,'Site Level Financials - ''23 ''24'!$C$2:$C$1577,'Site Level Financials - ''23 ''24'!Y$2:Y$1577)</f>
        <v>-9.1416278956678561</v>
      </c>
      <c r="N1365" s="179">
        <f>_xlfn.XLOOKUP($C1365,'Site Level Financials - ''23 ''24'!$C$2:$C$1577,'Site Level Financials - ''23 ''24'!Z$2:Z$1577)</f>
        <v>-8.175847282421719</v>
      </c>
      <c r="O1365" s="179">
        <f>_xlfn.XLOOKUP($C1365,'Site Level Financials - ''23 ''24'!$C$2:$C$1577,'Site Level Financials - ''23 ''24'!AA$2:AA$1577)</f>
        <v>-6.6168367103499381</v>
      </c>
      <c r="P1365" s="179">
        <f>_xlfn.XLOOKUP($C1365,'Site Level Financials - ''23 ''24'!$C$2:$C$1577,'Site Level Financials - ''23 ''24'!AB$2:AB$1577)</f>
        <v>-7.2992471533476477</v>
      </c>
      <c r="Q1365" s="179">
        <f>_xlfn.XLOOKUP($C1365,'Site Level Financials - ''23 ''24'!$C$2:$C$1577,'Site Level Financials - ''23 ''24'!AC$2:AC$1577)</f>
        <v>-5.7629172154808304</v>
      </c>
      <c r="R1365" s="179">
        <f>_xlfn.XLOOKUP($C1365,'Site Level Financials - ''23 ''24'!$C$2:$C$1577,'Site Level Financials - ''23 ''24'!AD$2:AD$1577)</f>
        <v>-5.2883288559937194</v>
      </c>
      <c r="S1365" s="155">
        <f>S1366*S1350</f>
        <v>-9.7792127351822575</v>
      </c>
      <c r="T1365" s="154">
        <f t="shared" ref="T1365" si="3990">T1366*T1350</f>
        <v>-9.4750699273107912</v>
      </c>
      <c r="U1365" s="154">
        <f t="shared" ref="U1365" si="3991">U1366*U1350</f>
        <v>-9.9217720037948052</v>
      </c>
      <c r="V1365" s="154">
        <f t="shared" ref="V1365" si="3992">V1366*V1350</f>
        <v>-11.072701688982887</v>
      </c>
      <c r="W1365" s="154">
        <f t="shared" ref="W1365" si="3993">W1366*W1350</f>
        <v>-16.427436996021171</v>
      </c>
      <c r="X1365" s="154">
        <f t="shared" ref="X1365" si="3994">X1366*X1350</f>
        <v>-15.014805682945209</v>
      </c>
      <c r="Y1365" s="154">
        <f t="shared" ref="Y1365" si="3995">Y1366*Y1350</f>
        <v>-10.810372924279587</v>
      </c>
      <c r="Z1365" s="154">
        <f t="shared" ref="Z1365" si="3996">Z1366*Z1350</f>
        <v>-8.9758387065835308</v>
      </c>
      <c r="AA1365" s="154">
        <f t="shared" ref="AA1365" si="3997">AA1366*AA1350</f>
        <v>-7.2207801602572177</v>
      </c>
      <c r="AB1365" s="154">
        <f t="shared" ref="AB1365" si="3998">AB1366*AB1350</f>
        <v>-7.7361161212401042</v>
      </c>
      <c r="AC1365" s="154">
        <f t="shared" ref="AC1365" si="3999">AC1366*AC1350</f>
        <v>-5.7873093255970138</v>
      </c>
      <c r="AD1365" s="156">
        <f t="shared" ref="AD1365" si="4000">AD1366*AD1350</f>
        <v>-5.4392060573132284</v>
      </c>
      <c r="AE1365" s="15"/>
      <c r="AF1365" s="115">
        <f>_xlfn.XLOOKUP($C1365,'Site Level Financials - ''23 ''24'!$C$2:$C$1577,'Site Level Financials - ''23 ''24'!$AF$2:$AF$1577)</f>
        <v>-149.35001767269958</v>
      </c>
      <c r="AG1365" s="93">
        <f>SUM(G1365:R1365)</f>
        <v>-102.10065976116016</v>
      </c>
      <c r="AH1365" s="93">
        <f t="shared" ref="AH1365" si="4001">SUM(S1365:AD1365)</f>
        <v>-117.6606223295078</v>
      </c>
    </row>
    <row r="1366" spans="2:34" x14ac:dyDescent="0.2">
      <c r="B1366" s="9">
        <f>G1338</f>
        <v>28</v>
      </c>
      <c r="C1366" s="9" t="str">
        <f t="shared" si="3924"/>
        <v>28 - % of Revenue - General and Administrative Expense</v>
      </c>
      <c r="D1366" s="9" t="s">
        <v>56</v>
      </c>
      <c r="F1366" s="16" t="str">
        <f>"% of Revenue - "&amp;F1365</f>
        <v>% of Revenue - General and Administrative Expense</v>
      </c>
      <c r="G1366" s="148">
        <f>G1365/G1350</f>
        <v>-2.1830252322223579E-2</v>
      </c>
      <c r="H1366" s="149">
        <f t="shared" ref="H1366:R1366" si="4002">H1365/H1350</f>
        <v>-2.0426599257088732E-2</v>
      </c>
      <c r="I1366" s="149">
        <f t="shared" si="4002"/>
        <v>-1.991974811501113E-2</v>
      </c>
      <c r="J1366" s="149">
        <f t="shared" si="4002"/>
        <v>-2.0753589740642037E-2</v>
      </c>
      <c r="K1366" s="149">
        <f t="shared" si="4002"/>
        <v>-2.590633525347745E-2</v>
      </c>
      <c r="L1366" s="149">
        <f t="shared" si="4002"/>
        <v>-2.8197234963665812E-2</v>
      </c>
      <c r="M1366" s="149">
        <f t="shared" si="4002"/>
        <v>-2.0151599368520689E-2</v>
      </c>
      <c r="N1366" s="149">
        <f t="shared" si="4002"/>
        <v>-1.9512566640345137E-2</v>
      </c>
      <c r="O1366" s="149">
        <f t="shared" si="4002"/>
        <v>-1.7121086972229541E-2</v>
      </c>
      <c r="P1366" s="149">
        <f t="shared" si="4002"/>
        <v>-1.597136135762903E-2</v>
      </c>
      <c r="Q1366" s="149">
        <f t="shared" si="4002"/>
        <v>-1.5115093233309241E-2</v>
      </c>
      <c r="R1366" s="149">
        <f t="shared" si="4002"/>
        <v>-1.7404693393160194E-2</v>
      </c>
      <c r="S1366" s="245">
        <f>_xlfn.XLOOKUP($F1366,'Budget Assumption Driver'!$A$33:$A$39,'Budget Assumption Driver'!E$33:E$39)+G1366</f>
        <v>-2.1830252322223579E-2</v>
      </c>
      <c r="T1366" s="246">
        <f>_xlfn.XLOOKUP($F1366,'Budget Assumption Driver'!$A$33:$A$39,'Budget Assumption Driver'!F$33:F$39)+H1366</f>
        <v>-2.0426599257088732E-2</v>
      </c>
      <c r="U1366" s="246">
        <f>_xlfn.XLOOKUP($F1366,'Budget Assumption Driver'!$A$33:$A$39,'Budget Assumption Driver'!G$33:G$39)+I1366</f>
        <v>-1.991974811501113E-2</v>
      </c>
      <c r="V1366" s="246">
        <f>_xlfn.XLOOKUP($F1366,'Budget Assumption Driver'!$A$33:$A$39,'Budget Assumption Driver'!H$33:H$39)+J1366</f>
        <v>-2.0753589740642037E-2</v>
      </c>
      <c r="W1366" s="246">
        <f>_xlfn.XLOOKUP($F1366,'Budget Assumption Driver'!$A$33:$A$39,'Budget Assumption Driver'!I$33:I$39)+K1366</f>
        <v>-2.590633525347745E-2</v>
      </c>
      <c r="X1366" s="246">
        <f>_xlfn.XLOOKUP($F1366,'Budget Assumption Driver'!$A$33:$A$39,'Budget Assumption Driver'!J$33:J$39)+L1366</f>
        <v>-2.8197234963665812E-2</v>
      </c>
      <c r="Y1366" s="246">
        <f>_xlfn.XLOOKUP($F1366,'Budget Assumption Driver'!$A$33:$A$39,'Budget Assumption Driver'!K$33:K$39)+M1366</f>
        <v>-2.0151599368520689E-2</v>
      </c>
      <c r="Z1366" s="246">
        <f>_xlfn.XLOOKUP($F1366,'Budget Assumption Driver'!$A$33:$A$39,'Budget Assumption Driver'!L$33:L$39)+N1366</f>
        <v>-1.9512566640345137E-2</v>
      </c>
      <c r="AA1366" s="246">
        <f>_xlfn.XLOOKUP($F1366,'Budget Assumption Driver'!$A$33:$A$39,'Budget Assumption Driver'!M$33:M$39)+O1366</f>
        <v>-1.7121086972229541E-2</v>
      </c>
      <c r="AB1366" s="246">
        <f>_xlfn.XLOOKUP($F1366,'Budget Assumption Driver'!$A$33:$A$39,'Budget Assumption Driver'!N$33:N$39)+P1366</f>
        <v>-1.597136135762903E-2</v>
      </c>
      <c r="AC1366" s="246">
        <f>_xlfn.XLOOKUP($F1366,'Budget Assumption Driver'!$A$33:$A$39,'Budget Assumption Driver'!O$33:O$39)+Q1366</f>
        <v>-1.5115093233309241E-2</v>
      </c>
      <c r="AD1366" s="296">
        <f>_xlfn.XLOOKUP($F1366,'Budget Assumption Driver'!$A$33:$A$39,'Budget Assumption Driver'!P$33:P$39)+R1366</f>
        <v>-1.7404693393160194E-2</v>
      </c>
      <c r="AE1366" s="15"/>
      <c r="AF1366" s="232">
        <f>_xlfn.XLOOKUP($C1366,'Site Level Financials - ''23 ''24'!$C$2:$C$1577,'Site Level Financials - ''23 ''24'!$AF$2:$AF$1577)</f>
        <v>-3.7628916301117393E-2</v>
      </c>
      <c r="AG1366" s="97">
        <f t="shared" ref="AG1366:AH1366" si="4003">AG1365/AG1350</f>
        <v>-2.0240249663683301E-2</v>
      </c>
      <c r="AH1366" s="97">
        <f t="shared" si="4003"/>
        <v>-2.06132131685304E-2</v>
      </c>
    </row>
    <row r="1367" spans="2:34" ht="3" customHeight="1" x14ac:dyDescent="0.2">
      <c r="B1367" s="9">
        <f>G1338</f>
        <v>28</v>
      </c>
      <c r="C1367" s="9" t="str">
        <f t="shared" si="3924"/>
        <v xml:space="preserve">28 - </v>
      </c>
      <c r="D1367" s="9" t="s">
        <v>56</v>
      </c>
      <c r="F1367" s="16"/>
      <c r="G1367" s="84"/>
      <c r="H1367" s="85"/>
      <c r="I1367" s="85"/>
      <c r="J1367" s="85"/>
      <c r="K1367" s="85"/>
      <c r="L1367" s="85"/>
      <c r="M1367" s="85"/>
      <c r="N1367" s="85"/>
      <c r="O1367" s="85"/>
      <c r="P1367" s="85"/>
      <c r="Q1367" s="85"/>
      <c r="R1367" s="85"/>
      <c r="S1367" s="84"/>
      <c r="T1367" s="85"/>
      <c r="U1367" s="85"/>
      <c r="V1367" s="85"/>
      <c r="W1367" s="85"/>
      <c r="X1367" s="85"/>
      <c r="Y1367" s="85"/>
      <c r="Z1367" s="85"/>
      <c r="AA1367" s="85"/>
      <c r="AB1367" s="85"/>
      <c r="AC1367" s="85"/>
      <c r="AD1367" s="86"/>
      <c r="AE1367" s="15"/>
      <c r="AF1367" s="36"/>
      <c r="AG1367" s="38"/>
      <c r="AH1367" s="38"/>
    </row>
    <row r="1368" spans="2:34" x14ac:dyDescent="0.2">
      <c r="B1368" s="9">
        <f>G1338</f>
        <v>28</v>
      </c>
      <c r="C1368" s="9" t="str">
        <f t="shared" si="3924"/>
        <v>28 - Marketing</v>
      </c>
      <c r="D1368" s="9" t="s">
        <v>56</v>
      </c>
      <c r="F1368" t="s">
        <v>7</v>
      </c>
      <c r="G1368" s="178">
        <f>_xlfn.XLOOKUP($C1368,'Site Level Financials - ''23 ''24'!$C$2:$C$1577,'Site Level Financials - ''23 ''24'!S$2:S$1577)</f>
        <v>-9.5109832335155584</v>
      </c>
      <c r="H1368" s="179">
        <f>_xlfn.XLOOKUP($C1368,'Site Level Financials - ''23 ''24'!$C$2:$C$1577,'Site Level Financials - ''23 ''24'!T$2:T$1577)</f>
        <v>-9.6507049414123056</v>
      </c>
      <c r="I1368" s="179">
        <f>_xlfn.XLOOKUP($C1368,'Site Level Financials - ''23 ''24'!$C$2:$C$1577,'Site Level Financials - ''23 ''24'!U$2:U$1577)</f>
        <v>-11.567661367645101</v>
      </c>
      <c r="J1368" s="179">
        <f>_xlfn.XLOOKUP($C1368,'Site Level Financials - ''23 ''24'!$C$2:$C$1577,'Site Level Financials - ''23 ''24'!V$2:V$1577)</f>
        <v>-10.730452738712701</v>
      </c>
      <c r="K1368" s="179">
        <f>_xlfn.XLOOKUP($C1368,'Site Level Financials - ''23 ''24'!$C$2:$C$1577,'Site Level Financials - ''23 ''24'!W$2:W$1577)</f>
        <v>-12.331852195228088</v>
      </c>
      <c r="L1368" s="179">
        <f>_xlfn.XLOOKUP($C1368,'Site Level Financials - ''23 ''24'!$C$2:$C$1577,'Site Level Financials - ''23 ''24'!X$2:X$1577)</f>
        <v>-9.3815582092972729</v>
      </c>
      <c r="M1368" s="179">
        <f>_xlfn.XLOOKUP($C1368,'Site Level Financials - ''23 ''24'!$C$2:$C$1577,'Site Level Financials - ''23 ''24'!Y$2:Y$1577)</f>
        <v>-9.3142961870177796</v>
      </c>
      <c r="N1368" s="179">
        <f>_xlfn.XLOOKUP($C1368,'Site Level Financials - ''23 ''24'!$C$2:$C$1577,'Site Level Financials - ''23 ''24'!Z$2:Z$1577)</f>
        <v>-7.8906671608467782</v>
      </c>
      <c r="O1368" s="179">
        <f>_xlfn.XLOOKUP($C1368,'Site Level Financials - ''23 ''24'!$C$2:$C$1577,'Site Level Financials - ''23 ''24'!AA$2:AA$1577)</f>
        <v>-7.8667458281035554</v>
      </c>
      <c r="P1368" s="179">
        <f>_xlfn.XLOOKUP($C1368,'Site Level Financials - ''23 ''24'!$C$2:$C$1577,'Site Level Financials - ''23 ''24'!AB$2:AB$1577)</f>
        <v>-9.5299648218854234</v>
      </c>
      <c r="Q1368" s="179">
        <f>_xlfn.XLOOKUP($C1368,'Site Level Financials - ''23 ''24'!$C$2:$C$1577,'Site Level Financials - ''23 ''24'!AC$2:AC$1577)</f>
        <v>-7.7297729352919298</v>
      </c>
      <c r="R1368" s="179">
        <f>_xlfn.XLOOKUP($C1368,'Site Level Financials - ''23 ''24'!$C$2:$C$1577,'Site Level Financials - ''23 ''24'!AD$2:AD$1577)</f>
        <v>-6.4217470266469148</v>
      </c>
      <c r="S1368" s="155">
        <f>S1369*S1350</f>
        <v>-9.658372926551996</v>
      </c>
      <c r="T1368" s="154">
        <f t="shared" ref="T1368" si="4004">T1369*T1350</f>
        <v>-10.287532759891885</v>
      </c>
      <c r="U1368" s="154">
        <f t="shared" ref="U1368" si="4005">U1369*U1350</f>
        <v>-12.052590253490425</v>
      </c>
      <c r="V1368" s="154">
        <f t="shared" ref="V1368" si="4006">V1369*V1350</f>
        <v>-12.043018221703456</v>
      </c>
      <c r="W1368" s="154">
        <f t="shared" ref="W1368" si="4007">W1369*W1350</f>
        <v>-17.410412831037334</v>
      </c>
      <c r="X1368" s="154">
        <f t="shared" ref="X1368" si="4008">X1369*X1350</f>
        <v>-13.711537024697215</v>
      </c>
      <c r="Y1368" s="154">
        <f t="shared" ref="Y1368" si="4009">Y1369*Y1350</f>
        <v>-11.014560695100513</v>
      </c>
      <c r="Z1368" s="154">
        <f t="shared" ref="Z1368" si="4010">Z1369*Z1350</f>
        <v>-8.6627542414316387</v>
      </c>
      <c r="AA1368" s="154">
        <f t="shared" ref="AA1368" si="4011">AA1369*AA1350</f>
        <v>-8.584773160943282</v>
      </c>
      <c r="AB1368" s="154">
        <f t="shared" ref="AB1368" si="4012">AB1369*AB1350</f>
        <v>-10.100345000597288</v>
      </c>
      <c r="AC1368" s="154">
        <f t="shared" ref="AC1368" si="4013">AC1369*AC1350</f>
        <v>-7.7624899543919526</v>
      </c>
      <c r="AD1368" s="156">
        <f t="shared" ref="AD1368" si="4014">AD1369*AD1350</f>
        <v>-6.6049609010761179</v>
      </c>
      <c r="AE1368" s="15"/>
      <c r="AF1368" s="115">
        <f>_xlfn.XLOOKUP($C1368,'Site Level Financials - ''23 ''24'!$C$2:$C$1577,'Site Level Financials - ''23 ''24'!$AF$2:$AF$1577)</f>
        <v>-140.26797263069685</v>
      </c>
      <c r="AG1368" s="93">
        <f>SUM(G1368:R1368)</f>
        <v>-111.92640664560342</v>
      </c>
      <c r="AH1368" s="93">
        <f t="shared" ref="AH1368" si="4015">SUM(S1368:AD1368)</f>
        <v>-127.89334797091311</v>
      </c>
    </row>
    <row r="1369" spans="2:34" x14ac:dyDescent="0.2">
      <c r="B1369" s="9">
        <f>G1338</f>
        <v>28</v>
      </c>
      <c r="C1369" s="9" t="str">
        <f t="shared" si="3924"/>
        <v>28 - % of Revenue - Marketing</v>
      </c>
      <c r="D1369" s="9" t="s">
        <v>56</v>
      </c>
      <c r="F1369" s="16" t="str">
        <f>"% of Revenue - "&amp;F1368</f>
        <v>% of Revenue - Marketing</v>
      </c>
      <c r="G1369" s="148">
        <f>G1368/G1350</f>
        <v>-2.1560500187322439E-2</v>
      </c>
      <c r="H1369" s="149">
        <f t="shared" ref="H1369:R1369" si="4016">H1368/H1350</f>
        <v>-2.2178127511732801E-2</v>
      </c>
      <c r="I1369" s="149">
        <f t="shared" si="4016"/>
        <v>-2.4197750350556501E-2</v>
      </c>
      <c r="J1369" s="149">
        <f t="shared" si="4016"/>
        <v>-2.2572256205636878E-2</v>
      </c>
      <c r="K1369" s="149">
        <f t="shared" si="4016"/>
        <v>-2.7456504128522501E-2</v>
      </c>
      <c r="L1369" s="149">
        <f t="shared" si="4016"/>
        <v>-2.5749745908303506E-2</v>
      </c>
      <c r="M1369" s="149">
        <f t="shared" si="4016"/>
        <v>-2.053222547479434E-2</v>
      </c>
      <c r="N1369" s="149">
        <f t="shared" si="4016"/>
        <v>-1.8831952639800292E-2</v>
      </c>
      <c r="O1369" s="149">
        <f t="shared" si="4016"/>
        <v>-2.0355230967194566E-2</v>
      </c>
      <c r="P1369" s="149">
        <f t="shared" si="4016"/>
        <v>-2.0852357605950982E-2</v>
      </c>
      <c r="Q1369" s="149">
        <f t="shared" si="4016"/>
        <v>-2.0273801309411955E-2</v>
      </c>
      <c r="R1369" s="149">
        <f t="shared" si="4016"/>
        <v>-2.1134944722764497E-2</v>
      </c>
      <c r="S1369" s="245">
        <f>_xlfn.XLOOKUP($F1369,'Budget Assumption Driver'!$A$33:$A$39,'Budget Assumption Driver'!E$33:E$39)+G1369</f>
        <v>-2.1560500187322439E-2</v>
      </c>
      <c r="T1369" s="246">
        <f>_xlfn.XLOOKUP($F1369,'Budget Assumption Driver'!$A$33:$A$39,'Budget Assumption Driver'!F$33:F$39)+H1369</f>
        <v>-2.2178127511732801E-2</v>
      </c>
      <c r="U1369" s="246">
        <f>_xlfn.XLOOKUP($F1369,'Budget Assumption Driver'!$A$33:$A$39,'Budget Assumption Driver'!G$33:G$39)+I1369</f>
        <v>-2.4197750350556501E-2</v>
      </c>
      <c r="V1369" s="246">
        <f>_xlfn.XLOOKUP($F1369,'Budget Assumption Driver'!$A$33:$A$39,'Budget Assumption Driver'!H$33:H$39)+J1369</f>
        <v>-2.2572256205636878E-2</v>
      </c>
      <c r="W1369" s="246">
        <f>_xlfn.XLOOKUP($F1369,'Budget Assumption Driver'!$A$33:$A$39,'Budget Assumption Driver'!I$33:I$39)+K1369</f>
        <v>-2.7456504128522501E-2</v>
      </c>
      <c r="X1369" s="246">
        <f>_xlfn.XLOOKUP($F1369,'Budget Assumption Driver'!$A$33:$A$39,'Budget Assumption Driver'!J$33:J$39)+L1369</f>
        <v>-2.5749745908303506E-2</v>
      </c>
      <c r="Y1369" s="246">
        <f>_xlfn.XLOOKUP($F1369,'Budget Assumption Driver'!$A$33:$A$39,'Budget Assumption Driver'!K$33:K$39)+M1369</f>
        <v>-2.053222547479434E-2</v>
      </c>
      <c r="Z1369" s="246">
        <f>_xlfn.XLOOKUP($F1369,'Budget Assumption Driver'!$A$33:$A$39,'Budget Assumption Driver'!L$33:L$39)+N1369</f>
        <v>-1.8831952639800292E-2</v>
      </c>
      <c r="AA1369" s="246">
        <f>_xlfn.XLOOKUP($F1369,'Budget Assumption Driver'!$A$33:$A$39,'Budget Assumption Driver'!M$33:M$39)+O1369</f>
        <v>-2.0355230967194566E-2</v>
      </c>
      <c r="AB1369" s="246">
        <f>_xlfn.XLOOKUP($F1369,'Budget Assumption Driver'!$A$33:$A$39,'Budget Assumption Driver'!N$33:N$39)+P1369</f>
        <v>-2.0852357605950982E-2</v>
      </c>
      <c r="AC1369" s="246">
        <f>_xlfn.XLOOKUP($F1369,'Budget Assumption Driver'!$A$33:$A$39,'Budget Assumption Driver'!O$33:O$39)+Q1369</f>
        <v>-2.0273801309411955E-2</v>
      </c>
      <c r="AD1369" s="296">
        <f>_xlfn.XLOOKUP($F1369,'Budget Assumption Driver'!$A$33:$A$39,'Budget Assumption Driver'!P$33:P$39)+R1369</f>
        <v>-2.1134944722764497E-2</v>
      </c>
      <c r="AE1369" s="15"/>
      <c r="AF1369" s="232">
        <f>_xlfn.XLOOKUP($C1369,'Site Level Financials - ''23 ''24'!$C$2:$C$1577,'Site Level Financials - ''23 ''24'!$AF$2:$AF$1577)</f>
        <v>-3.5340684146519065E-2</v>
      </c>
      <c r="AG1369" s="97">
        <f t="shared" ref="AG1369:AH1369" si="4017">AG1368/AG1350</f>
        <v>-2.2188087910159977E-2</v>
      </c>
      <c r="AH1369" s="97">
        <f t="shared" si="4017"/>
        <v>-2.2405906006331886E-2</v>
      </c>
    </row>
    <row r="1370" spans="2:34" ht="3" customHeight="1" x14ac:dyDescent="0.2">
      <c r="B1370" s="9">
        <f>G1338</f>
        <v>28</v>
      </c>
      <c r="C1370" s="9" t="str">
        <f t="shared" si="3924"/>
        <v xml:space="preserve">28 - </v>
      </c>
      <c r="D1370" s="9" t="s">
        <v>56</v>
      </c>
      <c r="F1370" s="16"/>
      <c r="G1370" s="84"/>
      <c r="H1370" s="85"/>
      <c r="I1370" s="85"/>
      <c r="J1370" s="85"/>
      <c r="K1370" s="85"/>
      <c r="L1370" s="85"/>
      <c r="M1370" s="85"/>
      <c r="N1370" s="85"/>
      <c r="O1370" s="85"/>
      <c r="P1370" s="85"/>
      <c r="Q1370" s="85"/>
      <c r="R1370" s="85"/>
      <c r="S1370" s="84"/>
      <c r="T1370" s="85"/>
      <c r="U1370" s="85"/>
      <c r="V1370" s="85"/>
      <c r="W1370" s="85"/>
      <c r="X1370" s="85"/>
      <c r="Y1370" s="85"/>
      <c r="Z1370" s="85"/>
      <c r="AA1370" s="85"/>
      <c r="AB1370" s="85"/>
      <c r="AC1370" s="85"/>
      <c r="AD1370" s="86"/>
      <c r="AE1370" s="15"/>
      <c r="AF1370" s="36"/>
      <c r="AG1370" s="38"/>
      <c r="AH1370" s="38"/>
    </row>
    <row r="1371" spans="2:34" x14ac:dyDescent="0.2">
      <c r="B1371" s="9">
        <f>G1338</f>
        <v>28</v>
      </c>
      <c r="C1371" s="9" t="str">
        <f t="shared" si="3924"/>
        <v>28 - Office Rent</v>
      </c>
      <c r="D1371" s="9" t="s">
        <v>56</v>
      </c>
      <c r="F1371" t="s">
        <v>162</v>
      </c>
      <c r="G1371" s="178">
        <f>_xlfn.XLOOKUP($C1371,'Site Level Financials - ''23 ''24'!$C$2:$C$1577,'Site Level Financials - ''23 ''24'!S$2:S$1577)</f>
        <v>-21.740131537395762</v>
      </c>
      <c r="H1371" s="179">
        <f>_xlfn.XLOOKUP($C1371,'Site Level Financials - ''23 ''24'!$C$2:$C$1577,'Site Level Financials - ''23 ''24'!T$2:T$1577)</f>
        <v>-21.740131537395762</v>
      </c>
      <c r="I1371" s="179">
        <f>_xlfn.XLOOKUP($C1371,'Site Level Financials - ''23 ''24'!$C$2:$C$1577,'Site Level Financials - ''23 ''24'!U$2:U$1577)</f>
        <v>-22.392335483517634</v>
      </c>
      <c r="J1371" s="179">
        <f>_xlfn.XLOOKUP($C1371,'Site Level Financials - ''23 ''24'!$C$2:$C$1577,'Site Level Financials - ''23 ''24'!V$2:V$1577)</f>
        <v>-22.392335483517634</v>
      </c>
      <c r="K1371" s="179">
        <f>_xlfn.XLOOKUP($C1371,'Site Level Financials - ''23 ''24'!$C$2:$C$1577,'Site Level Financials - ''23 ''24'!W$2:W$1577)</f>
        <v>-22.392335483517634</v>
      </c>
      <c r="L1371" s="179">
        <f>_xlfn.XLOOKUP($C1371,'Site Level Financials - ''23 ''24'!$C$2:$C$1577,'Site Level Financials - ''23 ''24'!X$2:X$1577)</f>
        <v>-22.392335483517634</v>
      </c>
      <c r="M1371" s="179">
        <f>_xlfn.XLOOKUP($C1371,'Site Level Financials - ''23 ''24'!$C$2:$C$1577,'Site Level Financials - ''23 ''24'!Y$2:Y$1577)</f>
        <v>-22.392335483517634</v>
      </c>
      <c r="N1371" s="179">
        <f>_xlfn.XLOOKUP($C1371,'Site Level Financials - ''23 ''24'!$C$2:$C$1577,'Site Level Financials - ''23 ''24'!Z$2:Z$1577)</f>
        <v>-22.392335483517634</v>
      </c>
      <c r="O1371" s="179">
        <f>_xlfn.XLOOKUP($C1371,'Site Level Financials - ''23 ''24'!$C$2:$C$1577,'Site Level Financials - ''23 ''24'!AA$2:AA$1577)</f>
        <v>-22.392335483517634</v>
      </c>
      <c r="P1371" s="179">
        <f>_xlfn.XLOOKUP($C1371,'Site Level Financials - ''23 ''24'!$C$2:$C$1577,'Site Level Financials - ''23 ''24'!AB$2:AB$1577)</f>
        <v>-22.392335483517634</v>
      </c>
      <c r="Q1371" s="179">
        <f>_xlfn.XLOOKUP($C1371,'Site Level Financials - ''23 ''24'!$C$2:$C$1577,'Site Level Financials - ''23 ''24'!AC$2:AC$1577)</f>
        <v>-22.392335483517634</v>
      </c>
      <c r="R1371" s="179">
        <f>_xlfn.XLOOKUP($C1371,'Site Level Financials - ''23 ''24'!$C$2:$C$1577,'Site Level Financials - ''23 ''24'!AD$2:AD$1577)</f>
        <v>-22.392335483517634</v>
      </c>
      <c r="S1371" s="155">
        <f>G1371*(1+S1372)</f>
        <v>-22.392335483517634</v>
      </c>
      <c r="T1371" s="154">
        <f t="shared" ref="T1371" si="4018">H1371*(1+T1372)</f>
        <v>-22.392335483517634</v>
      </c>
      <c r="U1371" s="154">
        <f t="shared" ref="U1371" si="4019">I1371*(1+U1372)</f>
        <v>-23.064105548023164</v>
      </c>
      <c r="V1371" s="154">
        <f t="shared" ref="V1371" si="4020">J1371*(1+V1372)</f>
        <v>-23.064105548023164</v>
      </c>
      <c r="W1371" s="154">
        <f t="shared" ref="W1371" si="4021">K1371*(1+W1372)</f>
        <v>-23.064105548023164</v>
      </c>
      <c r="X1371" s="154">
        <f t="shared" ref="X1371" si="4022">L1371*(1+X1372)</f>
        <v>-23.064105548023164</v>
      </c>
      <c r="Y1371" s="154">
        <f t="shared" ref="Y1371" si="4023">M1371*(1+Y1372)</f>
        <v>-23.064105548023164</v>
      </c>
      <c r="Z1371" s="154">
        <f t="shared" ref="Z1371" si="4024">N1371*(1+Z1372)</f>
        <v>-23.064105548023164</v>
      </c>
      <c r="AA1371" s="154">
        <f t="shared" ref="AA1371" si="4025">O1371*(1+AA1372)</f>
        <v>-23.064105548023164</v>
      </c>
      <c r="AB1371" s="154">
        <f t="shared" ref="AB1371" si="4026">P1371*(1+AB1372)</f>
        <v>-23.064105548023164</v>
      </c>
      <c r="AC1371" s="154">
        <f t="shared" ref="AC1371" si="4027">Q1371*(1+AC1372)</f>
        <v>-23.064105548023164</v>
      </c>
      <c r="AD1371" s="156">
        <f t="shared" ref="AD1371" si="4028">R1371*(1+AD1372)</f>
        <v>-23.064105548023164</v>
      </c>
      <c r="AE1371" s="15"/>
      <c r="AF1371" s="115">
        <f>_xlfn.XLOOKUP($C1371,'Site Level Financials - ''23 ''24'!$C$2:$C$1577,'Site Level Financials - ''23 ''24'!$AF$2:$AF$1577)</f>
        <v>-259.62007110804416</v>
      </c>
      <c r="AG1371" s="93">
        <f>SUM(G1371:R1371)</f>
        <v>-267.40361790996781</v>
      </c>
      <c r="AH1371" s="93">
        <f t="shared" ref="AH1371" si="4029">SUM(S1371:AD1371)</f>
        <v>-275.42572644726698</v>
      </c>
    </row>
    <row r="1372" spans="2:34" x14ac:dyDescent="0.2">
      <c r="B1372" s="9">
        <f>G1338</f>
        <v>28</v>
      </c>
      <c r="C1372" s="9" t="str">
        <f t="shared" si="3924"/>
        <v>28 - % YoY Growth</v>
      </c>
      <c r="D1372" s="9" t="s">
        <v>56</v>
      </c>
      <c r="F1372" s="16" t="s">
        <v>8</v>
      </c>
      <c r="G1372" s="245">
        <f>_xlfn.XLOOKUP($C1372,'Site Level Financials - ''23 ''24'!$C$2:$C$1577,'Site Level Financials - ''23 ''24'!S$2:S$1577)</f>
        <v>2.9980527964205583E-2</v>
      </c>
      <c r="H1372" s="246">
        <f>_xlfn.XLOOKUP($C1372,'Site Level Financials - ''23 ''24'!$C$2:$C$1577,'Site Level Financials - ''23 ''24'!T$2:T$1577)</f>
        <v>2.9980527964205583E-2</v>
      </c>
      <c r="I1372" s="246">
        <f>_xlfn.XLOOKUP($C1372,'Site Level Financials - ''23 ''24'!$C$2:$C$1577,'Site Level Financials - ''23 ''24'!U$2:U$1577)</f>
        <v>2.9980527964205583E-2</v>
      </c>
      <c r="J1372" s="246">
        <f>_xlfn.XLOOKUP($C1372,'Site Level Financials - ''23 ''24'!$C$2:$C$1577,'Site Level Financials - ''23 ''24'!V$2:V$1577)</f>
        <v>2.9980527964205583E-2</v>
      </c>
      <c r="K1372" s="246">
        <f>_xlfn.XLOOKUP($C1372,'Site Level Financials - ''23 ''24'!$C$2:$C$1577,'Site Level Financials - ''23 ''24'!W$2:W$1577)</f>
        <v>2.9980527964205583E-2</v>
      </c>
      <c r="L1372" s="246">
        <f>_xlfn.XLOOKUP($C1372,'Site Level Financials - ''23 ''24'!$C$2:$C$1577,'Site Level Financials - ''23 ''24'!X$2:X$1577)</f>
        <v>2.9980527964205583E-2</v>
      </c>
      <c r="M1372" s="246">
        <f>_xlfn.XLOOKUP($C1372,'Site Level Financials - ''23 ''24'!$C$2:$C$1577,'Site Level Financials - ''23 ''24'!Y$2:Y$1577)</f>
        <v>2.9980527964205583E-2</v>
      </c>
      <c r="N1372" s="246">
        <f>_xlfn.XLOOKUP($C1372,'Site Level Financials - ''23 ''24'!$C$2:$C$1577,'Site Level Financials - ''23 ''24'!Z$2:Z$1577)</f>
        <v>2.9980527964205583E-2</v>
      </c>
      <c r="O1372" s="246">
        <f>_xlfn.XLOOKUP($C1372,'Site Level Financials - ''23 ''24'!$C$2:$C$1577,'Site Level Financials - ''23 ''24'!AA$2:AA$1577)</f>
        <v>2.9980527964205583E-2</v>
      </c>
      <c r="P1372" s="246">
        <f>_xlfn.XLOOKUP($C1372,'Site Level Financials - ''23 ''24'!$C$2:$C$1577,'Site Level Financials - ''23 ''24'!AB$2:AB$1577)</f>
        <v>2.9980527964205583E-2</v>
      </c>
      <c r="Q1372" s="246">
        <f>_xlfn.XLOOKUP($C1372,'Site Level Financials - ''23 ''24'!$C$2:$C$1577,'Site Level Financials - ''23 ''24'!AC$2:AC$1577)</f>
        <v>2.9980527964205583E-2</v>
      </c>
      <c r="R1372" s="246">
        <f>_xlfn.XLOOKUP($C1372,'Site Level Financials - ''23 ''24'!$C$2:$C$1577,'Site Level Financials - ''23 ''24'!AD$2:AD$1577)</f>
        <v>2.9980527964205583E-2</v>
      </c>
      <c r="S1372" s="245">
        <f>_xlfn.XLOOKUP($F1372,'Budget Assumption Driver'!$A$33:$A$39,'Budget Assumption Driver'!E$33:E$39)</f>
        <v>0.03</v>
      </c>
      <c r="T1372" s="246">
        <f>_xlfn.XLOOKUP($F1372,'Budget Assumption Driver'!$A$33:$A$39,'Budget Assumption Driver'!F$33:F$39)</f>
        <v>0.03</v>
      </c>
      <c r="U1372" s="246">
        <f>_xlfn.XLOOKUP($F1372,'Budget Assumption Driver'!$A$33:$A$39,'Budget Assumption Driver'!G$33:G$39)</f>
        <v>0.03</v>
      </c>
      <c r="V1372" s="246">
        <f>_xlfn.XLOOKUP($F1372,'Budget Assumption Driver'!$A$33:$A$39,'Budget Assumption Driver'!H$33:H$39)</f>
        <v>0.03</v>
      </c>
      <c r="W1372" s="246">
        <f>_xlfn.XLOOKUP($F1372,'Budget Assumption Driver'!$A$33:$A$39,'Budget Assumption Driver'!I$33:I$39)</f>
        <v>0.03</v>
      </c>
      <c r="X1372" s="246">
        <f>_xlfn.XLOOKUP($F1372,'Budget Assumption Driver'!$A$33:$A$39,'Budget Assumption Driver'!J$33:J$39)</f>
        <v>0.03</v>
      </c>
      <c r="Y1372" s="246">
        <f>_xlfn.XLOOKUP($F1372,'Budget Assumption Driver'!$A$33:$A$39,'Budget Assumption Driver'!K$33:K$39)</f>
        <v>0.03</v>
      </c>
      <c r="Z1372" s="246">
        <f>_xlfn.XLOOKUP($F1372,'Budget Assumption Driver'!$A$33:$A$39,'Budget Assumption Driver'!L$33:L$39)</f>
        <v>0.03</v>
      </c>
      <c r="AA1372" s="246">
        <f>_xlfn.XLOOKUP($F1372,'Budget Assumption Driver'!$A$33:$A$39,'Budget Assumption Driver'!M$33:M$39)</f>
        <v>0.03</v>
      </c>
      <c r="AB1372" s="246">
        <f>_xlfn.XLOOKUP($F1372,'Budget Assumption Driver'!$A$33:$A$39,'Budget Assumption Driver'!N$33:N$39)</f>
        <v>0.03</v>
      </c>
      <c r="AC1372" s="246">
        <f>_xlfn.XLOOKUP($F1372,'Budget Assumption Driver'!$A$33:$A$39,'Budget Assumption Driver'!O$33:O$39)</f>
        <v>0.03</v>
      </c>
      <c r="AD1372" s="296">
        <f>_xlfn.XLOOKUP($F1372,'Budget Assumption Driver'!$A$33:$A$39,'Budget Assumption Driver'!P$33:P$39)</f>
        <v>0.03</v>
      </c>
      <c r="AE1372" s="15"/>
      <c r="AF1372" s="11"/>
      <c r="AG1372" s="97">
        <f>AG1371/AF1371-1</f>
        <v>2.9980527964205139E-2</v>
      </c>
      <c r="AH1372" s="97">
        <f>AH1371/AG1371-1</f>
        <v>3.0000000000000471E-2</v>
      </c>
    </row>
    <row r="1373" spans="2:34" ht="6" customHeight="1" x14ac:dyDescent="0.2">
      <c r="B1373" s="9">
        <f>G1338</f>
        <v>28</v>
      </c>
      <c r="C1373" s="9" t="str">
        <f t="shared" si="3924"/>
        <v xml:space="preserve">28 - </v>
      </c>
      <c r="D1373" s="9" t="s">
        <v>56</v>
      </c>
      <c r="F1373" s="16"/>
      <c r="G1373" s="80"/>
      <c r="H1373" s="63"/>
      <c r="I1373" s="63"/>
      <c r="J1373" s="63"/>
      <c r="K1373" s="63"/>
      <c r="L1373" s="63"/>
      <c r="M1373" s="63"/>
      <c r="N1373" s="63"/>
      <c r="O1373" s="63"/>
      <c r="P1373" s="63"/>
      <c r="Q1373" s="63"/>
      <c r="R1373" s="63"/>
      <c r="S1373" s="80"/>
      <c r="T1373" s="63"/>
      <c r="U1373" s="63"/>
      <c r="V1373" s="63"/>
      <c r="W1373" s="63"/>
      <c r="X1373" s="63"/>
      <c r="Y1373" s="63"/>
      <c r="Z1373" s="63"/>
      <c r="AA1373" s="63"/>
      <c r="AB1373" s="63"/>
      <c r="AC1373" s="63"/>
      <c r="AD1373" s="81"/>
      <c r="AE1373" s="15"/>
      <c r="AF1373" s="11"/>
      <c r="AG1373" s="15"/>
      <c r="AH1373" s="15"/>
    </row>
    <row r="1374" spans="2:34" x14ac:dyDescent="0.2">
      <c r="B1374" s="9">
        <f>G1338</f>
        <v>28</v>
      </c>
      <c r="C1374" s="9" t="str">
        <f t="shared" si="3924"/>
        <v>28 - Office EBITDA</v>
      </c>
      <c r="D1374" s="9" t="s">
        <v>56</v>
      </c>
      <c r="F1374" s="8" t="s">
        <v>12</v>
      </c>
      <c r="G1374" s="241">
        <f>_xlfn.XLOOKUP($C1374,'Site Level Financials - ''23 ''24'!$C$2:$C$1577,'Site Level Financials - ''23 ''24'!S$2:S$1577)</f>
        <v>186.46784212460537</v>
      </c>
      <c r="H1374" s="242">
        <f>_xlfn.XLOOKUP($C1374,'Site Level Financials - ''23 ''24'!$C$2:$C$1577,'Site Level Financials - ''23 ''24'!T$2:T$1577)</f>
        <v>182.89844016953953</v>
      </c>
      <c r="I1374" s="242">
        <f>_xlfn.XLOOKUP($C1374,'Site Level Financials - ''23 ''24'!$C$2:$C$1577,'Site Level Financials - ''23 ''24'!U$2:U$1577)</f>
        <v>204.02050312861678</v>
      </c>
      <c r="J1374" s="242">
        <f>_xlfn.XLOOKUP($C1374,'Site Level Financials - ''23 ''24'!$C$2:$C$1577,'Site Level Financials - ''23 ''24'!V$2:V$1577)</f>
        <v>201.87828903148099</v>
      </c>
      <c r="K1374" s="242">
        <f>_xlfn.XLOOKUP($C1374,'Site Level Financials - ''23 ''24'!$C$2:$C$1577,'Site Level Financials - ''23 ''24'!W$2:W$1577)</f>
        <v>106.51835613753195</v>
      </c>
      <c r="L1374" s="242">
        <f>_xlfn.XLOOKUP($C1374,'Site Level Financials - ''23 ''24'!$C$2:$C$1577,'Site Level Financials - ''23 ''24'!X$2:X$1577)</f>
        <v>83.913217056281098</v>
      </c>
      <c r="M1374" s="242">
        <f>_xlfn.XLOOKUP($C1374,'Site Level Financials - ''23 ''24'!$C$2:$C$1577,'Site Level Financials - ''23 ''24'!Y$2:Y$1577)</f>
        <v>189.44657777587912</v>
      </c>
      <c r="N1374" s="242">
        <f>_xlfn.XLOOKUP($C1374,'Site Level Financials - ''23 ''24'!$C$2:$C$1577,'Site Level Financials - ''23 ''24'!Z$2:Z$1577)</f>
        <v>176.3551145942177</v>
      </c>
      <c r="O1374" s="242">
        <f>_xlfn.XLOOKUP($C1374,'Site Level Financials - ''23 ''24'!$C$2:$C$1577,'Site Level Financials - ''23 ''24'!AA$2:AA$1577)</f>
        <v>164.96935522145085</v>
      </c>
      <c r="P1374" s="242">
        <f>_xlfn.XLOOKUP($C1374,'Site Level Financials - ''23 ''24'!$C$2:$C$1577,'Site Level Financials - ''23 ''24'!AB$2:AB$1577)</f>
        <v>199.1330928860807</v>
      </c>
      <c r="Q1374" s="242">
        <f>_xlfn.XLOOKUP($C1374,'Site Level Financials - ''23 ''24'!$C$2:$C$1577,'Site Level Financials - ''23 ''24'!AC$2:AC$1577)</f>
        <v>164.64554637158378</v>
      </c>
      <c r="R1374" s="242">
        <f>_xlfn.XLOOKUP($C1374,'Site Level Financials - ''23 ''24'!$C$2:$C$1577,'Site Level Financials - ''23 ''24'!AD$2:AD$1577)</f>
        <v>125.39238702591678</v>
      </c>
      <c r="S1374" s="134">
        <f t="shared" ref="S1374:AD1374" si="4030">S1362+S1365+S1368+S1371</f>
        <v>189.04219305428657</v>
      </c>
      <c r="T1374" s="135">
        <f t="shared" si="4030"/>
        <v>195.74986481718892</v>
      </c>
      <c r="U1374" s="135">
        <f t="shared" si="4030"/>
        <v>212.84020433732422</v>
      </c>
      <c r="V1374" s="135">
        <f t="shared" si="4030"/>
        <v>228.63964669747247</v>
      </c>
      <c r="W1374" s="135">
        <f t="shared" si="4030"/>
        <v>158.93518571217407</v>
      </c>
      <c r="X1374" s="135">
        <f t="shared" si="4030"/>
        <v>132.30587532954877</v>
      </c>
      <c r="Y1374" s="135">
        <f t="shared" si="4030"/>
        <v>227.44463078912685</v>
      </c>
      <c r="Z1374" s="135">
        <f t="shared" si="4030"/>
        <v>195.13041223339377</v>
      </c>
      <c r="AA1374" s="135">
        <f t="shared" si="4030"/>
        <v>181.3987878642485</v>
      </c>
      <c r="AB1374" s="135">
        <f t="shared" si="4030"/>
        <v>211.71989363313827</v>
      </c>
      <c r="AC1374" s="135">
        <f t="shared" si="4030"/>
        <v>164.76543241448366</v>
      </c>
      <c r="AD1374" s="136">
        <f t="shared" si="4030"/>
        <v>128.93694804391043</v>
      </c>
      <c r="AE1374" s="15"/>
      <c r="AF1374" s="113">
        <f>_xlfn.XLOOKUP($C1374,'Site Level Financials - ''23 ''24'!$C$2:$C$1577,'Site Level Financials - ''23 ''24'!$AF$2:$AF$1577)</f>
        <v>1758.0409395757731</v>
      </c>
      <c r="AG1374" s="95">
        <f>SUM(G1374:R1374)</f>
        <v>1985.6387215231848</v>
      </c>
      <c r="AH1374" s="95">
        <f t="shared" ref="AH1374" si="4031">SUM(S1374:AD1374)</f>
        <v>2226.9090749262969</v>
      </c>
    </row>
    <row r="1375" spans="2:34" x14ac:dyDescent="0.2">
      <c r="B1375" s="9">
        <f>G1338</f>
        <v>28</v>
      </c>
      <c r="C1375" s="9" t="str">
        <f t="shared" si="3924"/>
        <v>28 - % of Revenue - Office EBITDA</v>
      </c>
      <c r="D1375" s="9" t="s">
        <v>56</v>
      </c>
      <c r="F1375" s="16" t="str">
        <f>"% of Revenue - "&amp;F1374</f>
        <v>% of Revenue - Office EBITDA</v>
      </c>
      <c r="G1375" s="148">
        <f>G1374/G1350</f>
        <v>0.42270497658853728</v>
      </c>
      <c r="H1375" s="149">
        <f t="shared" ref="H1375:AD1375" si="4032">H1374/H1350</f>
        <v>0.42031592017395836</v>
      </c>
      <c r="I1375" s="149">
        <f t="shared" si="4032"/>
        <v>0.42677919453188679</v>
      </c>
      <c r="J1375" s="149">
        <f t="shared" si="4032"/>
        <v>0.42466506990280756</v>
      </c>
      <c r="K1375" s="149">
        <f t="shared" si="4032"/>
        <v>0.23715996905844222</v>
      </c>
      <c r="L1375" s="149">
        <f t="shared" si="4032"/>
        <v>0.23031824451147428</v>
      </c>
      <c r="M1375" s="149">
        <f t="shared" si="4032"/>
        <v>0.41761178431753554</v>
      </c>
      <c r="N1375" s="149">
        <f t="shared" si="4032"/>
        <v>0.42089104737608263</v>
      </c>
      <c r="O1375" s="149">
        <f t="shared" si="4032"/>
        <v>0.42685875474018092</v>
      </c>
      <c r="P1375" s="149">
        <f t="shared" si="4032"/>
        <v>0.43571981026663348</v>
      </c>
      <c r="Q1375" s="149">
        <f t="shared" si="4032"/>
        <v>0.43183559485644796</v>
      </c>
      <c r="R1375" s="149">
        <f t="shared" si="4032"/>
        <v>0.41268538879707511</v>
      </c>
      <c r="S1375" s="148">
        <f t="shared" si="4032"/>
        <v>0.42200112480165453</v>
      </c>
      <c r="T1375" s="149">
        <f t="shared" si="4032"/>
        <v>0.42200258931332907</v>
      </c>
      <c r="U1375" s="149">
        <f t="shared" si="4032"/>
        <v>0.42731512652431641</v>
      </c>
      <c r="V1375" s="149">
        <f t="shared" si="4032"/>
        <v>0.42853980530568758</v>
      </c>
      <c r="W1375" s="149">
        <f t="shared" si="4032"/>
        <v>0.25064337216027965</v>
      </c>
      <c r="X1375" s="149">
        <f t="shared" si="4032"/>
        <v>0.24846541024358965</v>
      </c>
      <c r="Y1375" s="149">
        <f t="shared" si="4032"/>
        <v>0.42397918279854624</v>
      </c>
      <c r="Z1375" s="149">
        <f t="shared" si="4032"/>
        <v>0.42419380480505081</v>
      </c>
      <c r="AA1375" s="149">
        <f t="shared" si="4032"/>
        <v>0.43011203149137045</v>
      </c>
      <c r="AB1375" s="149">
        <f t="shared" si="4032"/>
        <v>0.43709981531037101</v>
      </c>
      <c r="AC1375" s="149">
        <f t="shared" si="4032"/>
        <v>0.43032862638883068</v>
      </c>
      <c r="AD1375" s="150">
        <f t="shared" si="4032"/>
        <v>0.41258007586176931</v>
      </c>
      <c r="AE1375" s="15"/>
      <c r="AF1375" s="232">
        <f>_xlfn.XLOOKUP($C1375,'Site Level Financials - ''23 ''24'!$C$2:$C$1577,'Site Level Financials - ''23 ''24'!$AF$2:$AF$1577)</f>
        <v>0.44294052588737659</v>
      </c>
      <c r="AG1375" s="97">
        <f t="shared" ref="AG1375:AH1375" si="4033">AG1374/AG1350</f>
        <v>0.39362941982471583</v>
      </c>
      <c r="AH1375" s="97">
        <f t="shared" si="4033"/>
        <v>0.39013690867482781</v>
      </c>
    </row>
    <row r="1376" spans="2:34" ht="6" customHeight="1" x14ac:dyDescent="0.2">
      <c r="B1376" s="9">
        <f>G1338</f>
        <v>28</v>
      </c>
      <c r="C1376" s="9" t="str">
        <f t="shared" si="3924"/>
        <v xml:space="preserve">28 - </v>
      </c>
      <c r="D1376" s="9" t="s">
        <v>56</v>
      </c>
      <c r="G1376" s="80"/>
      <c r="H1376" s="63"/>
      <c r="I1376" s="63"/>
      <c r="J1376" s="63"/>
      <c r="K1376" s="63"/>
      <c r="L1376" s="63"/>
      <c r="M1376" s="63"/>
      <c r="N1376" s="63"/>
      <c r="O1376" s="63"/>
      <c r="P1376" s="63"/>
      <c r="Q1376" s="63"/>
      <c r="R1376" s="63"/>
      <c r="S1376" s="80"/>
      <c r="T1376" s="63"/>
      <c r="U1376" s="63"/>
      <c r="V1376" s="63"/>
      <c r="W1376" s="63"/>
      <c r="X1376" s="63"/>
      <c r="Y1376" s="63"/>
      <c r="Z1376" s="63"/>
      <c r="AA1376" s="63"/>
      <c r="AB1376" s="63"/>
      <c r="AC1376" s="63"/>
      <c r="AD1376" s="81"/>
      <c r="AE1376" s="15"/>
      <c r="AF1376" s="11"/>
      <c r="AG1376" s="15"/>
      <c r="AH1376" s="15"/>
    </row>
    <row r="1377" spans="2:35" x14ac:dyDescent="0.2">
      <c r="B1377" s="9">
        <f>G1338</f>
        <v>28</v>
      </c>
      <c r="C1377" s="9" t="str">
        <f t="shared" si="3924"/>
        <v>28 - Memo:</v>
      </c>
      <c r="D1377" s="9" t="s">
        <v>56</v>
      </c>
      <c r="F1377" s="6" t="s">
        <v>13</v>
      </c>
      <c r="G1377" s="80"/>
      <c r="H1377" s="63"/>
      <c r="I1377" s="63"/>
      <c r="J1377" s="63"/>
      <c r="K1377" s="63"/>
      <c r="L1377" s="63"/>
      <c r="M1377" s="63"/>
      <c r="N1377" s="63"/>
      <c r="O1377" s="63"/>
      <c r="P1377" s="63"/>
      <c r="Q1377" s="63"/>
      <c r="R1377" s="63"/>
      <c r="S1377" s="80"/>
      <c r="T1377" s="63"/>
      <c r="U1377" s="63"/>
      <c r="V1377" s="63"/>
      <c r="W1377" s="63"/>
      <c r="X1377" s="63"/>
      <c r="Y1377" s="63"/>
      <c r="Z1377" s="63"/>
      <c r="AA1377" s="63"/>
      <c r="AB1377" s="63"/>
      <c r="AC1377" s="63"/>
      <c r="AD1377" s="81"/>
      <c r="AE1377" s="15"/>
      <c r="AF1377" s="11"/>
      <c r="AG1377" s="15"/>
      <c r="AH1377" s="15"/>
    </row>
    <row r="1378" spans="2:35" s="24" customFormat="1" x14ac:dyDescent="0.2">
      <c r="B1378" s="9">
        <f>G1338</f>
        <v>28</v>
      </c>
      <c r="C1378" s="9" t="str">
        <f t="shared" si="3924"/>
        <v>28 - Collections</v>
      </c>
      <c r="D1378" s="9" t="s">
        <v>56</v>
      </c>
      <c r="E1378" s="49"/>
      <c r="F1378" s="24" t="s">
        <v>15</v>
      </c>
      <c r="G1378" s="247">
        <f>_xlfn.XLOOKUP($C1378,'Site Level Financials - ''23 ''24'!$C$2:$C$1577,'Site Level Financials - ''23 ''24'!S$2:S$1577)</f>
        <v>449.10534988568838</v>
      </c>
      <c r="H1378" s="248">
        <f>_xlfn.XLOOKUP($C1378,'Site Level Financials - ''23 ''24'!$C$2:$C$1577,'Site Level Financials - ''23 ''24'!T$2:T$1577)</f>
        <v>439.79954915391602</v>
      </c>
      <c r="I1378" s="248">
        <f>_xlfn.XLOOKUP($C1378,'Site Level Financials - ''23 ''24'!$C$2:$C$1577,'Site Level Financials - ''23 ''24'!U$2:U$1577)</f>
        <v>477.64716095056821</v>
      </c>
      <c r="J1378" s="248">
        <f>_xlfn.XLOOKUP($C1378,'Site Level Financials - ''23 ''24'!$C$2:$C$1577,'Site Level Financials - ''23 ''24'!V$2:V$1577)</f>
        <v>466.4744495510667</v>
      </c>
      <c r="K1378" s="248">
        <f>_xlfn.XLOOKUP($C1378,'Site Level Financials - ''23 ''24'!$C$2:$C$1577,'Site Level Financials - ''23 ''24'!W$2:W$1577)</f>
        <v>445.22174409594277</v>
      </c>
      <c r="L1378" s="248">
        <f>_xlfn.XLOOKUP($C1378,'Site Level Financials - ''23 ''24'!$C$2:$C$1577,'Site Level Financials - ''23 ''24'!X$2:X$1577)</f>
        <v>359.20751526936505</v>
      </c>
      <c r="M1378" s="248">
        <f>_xlfn.XLOOKUP($C1378,'Site Level Financials - ''23 ''24'!$C$2:$C$1577,'Site Level Financials - ''23 ''24'!Y$2:Y$1577)</f>
        <v>457.42705224775631</v>
      </c>
      <c r="N1378" s="248">
        <f>_xlfn.XLOOKUP($C1378,'Site Level Financials - ''23 ''24'!$C$2:$C$1577,'Site Level Financials - ''23 ''24'!Z$2:Z$1577)</f>
        <v>415.25752670443063</v>
      </c>
      <c r="O1378" s="248">
        <f>_xlfn.XLOOKUP($C1378,'Site Level Financials - ''23 ''24'!$C$2:$C$1577,'Site Level Financials - ''23 ''24'!AA$2:AA$1577)</f>
        <v>385.73358453784124</v>
      </c>
      <c r="P1378" s="248">
        <f>_xlfn.XLOOKUP($C1378,'Site Level Financials - ''23 ''24'!$C$2:$C$1577,'Site Level Financials - ''23 ''24'!AB$2:AB$1577)</f>
        <v>449.75711833249585</v>
      </c>
      <c r="Q1378" s="248">
        <f>_xlfn.XLOOKUP($C1378,'Site Level Financials - ''23 ''24'!$C$2:$C$1577,'Site Level Financials - ''23 ''24'!AC$2:AC$1577)</f>
        <v>374.09850150575141</v>
      </c>
      <c r="R1378" s="248">
        <f>_xlfn.XLOOKUP($C1378,'Site Level Financials - ''23 ''24'!$C$2:$C$1577,'Site Level Financials - ''23 ''24'!AD$2:AD$1577)</f>
        <v>308.35824654502295</v>
      </c>
      <c r="S1378" s="169">
        <f t="shared" ref="S1378:AD1378" si="4034">S1379*S1348</f>
        <v>447.96608810732107</v>
      </c>
      <c r="T1378" s="170">
        <f t="shared" si="4034"/>
        <v>463.85939274853189</v>
      </c>
      <c r="U1378" s="170">
        <f t="shared" si="4034"/>
        <v>498.08722211291183</v>
      </c>
      <c r="V1378" s="170">
        <f t="shared" si="4034"/>
        <v>533.53187700820092</v>
      </c>
      <c r="W1378" s="170">
        <f t="shared" si="4034"/>
        <v>634.108870872274</v>
      </c>
      <c r="X1378" s="170">
        <f t="shared" si="4034"/>
        <v>532.49212918546368</v>
      </c>
      <c r="Y1378" s="170">
        <f t="shared" si="4034"/>
        <v>536.45235430626599</v>
      </c>
      <c r="Z1378" s="170">
        <f t="shared" si="4034"/>
        <v>460.0029751096223</v>
      </c>
      <c r="AA1378" s="170">
        <f t="shared" si="4034"/>
        <v>421.74776472833452</v>
      </c>
      <c r="AB1378" s="170">
        <f t="shared" si="4034"/>
        <v>484.37424637849034</v>
      </c>
      <c r="AC1378" s="170">
        <f t="shared" si="4034"/>
        <v>382.88280702387453</v>
      </c>
      <c r="AD1378" s="171">
        <f t="shared" si="4034"/>
        <v>312.51375329890971</v>
      </c>
      <c r="AE1378" s="26"/>
      <c r="AF1378" s="234">
        <f>_xlfn.XLOOKUP($C1378,'Site Level Financials - ''23 ''24'!$C$2:$C$1577,'Site Level Financials - ''23 ''24'!$AF$2:$AF$1577)</f>
        <v>3941.5597953720671</v>
      </c>
      <c r="AG1378" s="99">
        <f>SUM(G1378:R1378)</f>
        <v>5028.0877987798458</v>
      </c>
      <c r="AH1378" s="99">
        <f t="shared" ref="AH1378" si="4035">SUM(S1378:AD1378)</f>
        <v>5708.0194808802007</v>
      </c>
    </row>
    <row r="1379" spans="2:35" x14ac:dyDescent="0.2">
      <c r="B1379" s="9">
        <f>G1338</f>
        <v>28</v>
      </c>
      <c r="C1379" s="9" t="str">
        <f t="shared" si="3924"/>
        <v>28 - Collections as a % of Production</v>
      </c>
      <c r="D1379" s="9" t="s">
        <v>56</v>
      </c>
      <c r="F1379" s="16" t="s">
        <v>17</v>
      </c>
      <c r="G1379" s="245">
        <f>_xlfn.XLOOKUP($C1379,'Site Level Financials - ''23 ''24'!$C$2:$C$1577,'Site Level Financials - ''23 ''24'!S$2:S$1577)</f>
        <v>0.99796655682240853</v>
      </c>
      <c r="H1379" s="246">
        <f>_xlfn.XLOOKUP($C1379,'Site Level Financials - ''23 ''24'!$C$2:$C$1577,'Site Level Financials - ''23 ''24'!T$2:T$1577)</f>
        <v>0.99072919592733844</v>
      </c>
      <c r="I1379" s="246">
        <f>_xlfn.XLOOKUP($C1379,'Site Level Financials - ''23 ''24'!$C$2:$C$1577,'Site Level Financials - ''23 ''24'!U$2:U$1577)</f>
        <v>0.97942451286353238</v>
      </c>
      <c r="J1379" s="246">
        <f>_xlfn.XLOOKUP($C1379,'Site Level Financials - ''23 ''24'!$C$2:$C$1577,'Site Level Financials - ''23 ''24'!V$2:V$1577)</f>
        <v>0.96187608979457628</v>
      </c>
      <c r="K1379" s="246">
        <f>_xlfn.XLOOKUP($C1379,'Site Level Financials - ''23 ''24'!$C$2:$C$1577,'Site Level Financials - ''23 ''24'!W$2:W$1577)</f>
        <v>0.97168979009703171</v>
      </c>
      <c r="L1379" s="246">
        <f>_xlfn.XLOOKUP($C1379,'Site Level Financials - ''23 ''24'!$C$2:$C$1577,'Site Level Financials - ''23 ''24'!X$2:X$1577)</f>
        <v>0.96644630059747949</v>
      </c>
      <c r="M1379" s="246">
        <f>_xlfn.XLOOKUP($C1379,'Site Level Financials - ''23 ''24'!$C$2:$C$1577,'Site Level Financials - ''23 ''24'!Y$2:Y$1577)</f>
        <v>0.98842146771479222</v>
      </c>
      <c r="N1379" s="246">
        <f>_xlfn.XLOOKUP($C1379,'Site Level Financials - ''23 ''24'!$C$2:$C$1577,'Site Level Financials - ''23 ''24'!Z$2:Z$1577)</f>
        <v>0.97147915180345457</v>
      </c>
      <c r="O1379" s="246">
        <f>_xlfn.XLOOKUP($C1379,'Site Level Financials - ''23 ''24'!$C$2:$C$1577,'Site Level Financials - ''23 ''24'!AA$2:AA$1577)</f>
        <v>0.97836906553136316</v>
      </c>
      <c r="P1379" s="246">
        <f>_xlfn.XLOOKUP($C1379,'Site Level Financials - ''23 ''24'!$C$2:$C$1577,'Site Level Financials - ''23 ''24'!AB$2:AB$1577)</f>
        <v>0.96466440913216789</v>
      </c>
      <c r="Q1379" s="246">
        <f>_xlfn.XLOOKUP($C1379,'Site Level Financials - ''23 ''24'!$C$2:$C$1577,'Site Level Financials - ''23 ''24'!AC$2:AC$1577)</f>
        <v>0.96180883323253508</v>
      </c>
      <c r="R1379" s="246">
        <f>_xlfn.XLOOKUP($C1379,'Site Level Financials - ''23 ''24'!$C$2:$C$1577,'Site Level Financials - ''23 ''24'!AD$2:AD$1577)</f>
        <v>0.9948047121634741</v>
      </c>
      <c r="S1379" s="148">
        <f>S1349</f>
        <v>0.97706737633063212</v>
      </c>
      <c r="T1379" s="149">
        <f t="shared" ref="T1379:AD1379" si="4036">T1349</f>
        <v>0.97706737633063212</v>
      </c>
      <c r="U1379" s="149">
        <f t="shared" si="4036"/>
        <v>0.97706737633063212</v>
      </c>
      <c r="V1379" s="149">
        <f t="shared" si="4036"/>
        <v>0.97706737633063212</v>
      </c>
      <c r="W1379" s="149">
        <f t="shared" si="4036"/>
        <v>0.97706737633063212</v>
      </c>
      <c r="X1379" s="149">
        <f t="shared" si="4036"/>
        <v>0.97706737633063212</v>
      </c>
      <c r="Y1379" s="149">
        <f t="shared" si="4036"/>
        <v>0.97706737633063212</v>
      </c>
      <c r="Z1379" s="149">
        <f t="shared" si="4036"/>
        <v>0.97706737633063212</v>
      </c>
      <c r="AA1379" s="149">
        <f t="shared" si="4036"/>
        <v>0.97706737633063212</v>
      </c>
      <c r="AB1379" s="149">
        <f t="shared" si="4036"/>
        <v>0.97706737633063212</v>
      </c>
      <c r="AC1379" s="149">
        <f t="shared" si="4036"/>
        <v>0.97706737633063212</v>
      </c>
      <c r="AD1379" s="150">
        <f t="shared" si="4036"/>
        <v>0.97706737633063212</v>
      </c>
      <c r="AE1379" s="15"/>
      <c r="AF1379" s="232">
        <f>_xlfn.XLOOKUP($C1379,'Site Level Financials - ''23 ''24'!$C$2:$C$1577,'Site Level Financials - ''23 ''24'!$AF$2:$AF$1577)</f>
        <v>0.97997334618415999</v>
      </c>
      <c r="AG1379" s="97">
        <f t="shared" ref="AG1379:AH1379" si="4037">AG1378/AG1348</f>
        <v>0.97706737633063212</v>
      </c>
      <c r="AH1379" s="97">
        <f t="shared" si="4037"/>
        <v>0.97706737633063212</v>
      </c>
    </row>
    <row r="1380" spans="2:35" ht="6" customHeight="1" x14ac:dyDescent="0.2">
      <c r="B1380" s="9">
        <f>G1338</f>
        <v>28</v>
      </c>
      <c r="C1380" s="9" t="str">
        <f t="shared" si="3924"/>
        <v xml:space="preserve">28 - </v>
      </c>
      <c r="D1380" s="9" t="s">
        <v>56</v>
      </c>
      <c r="F1380" s="27"/>
      <c r="G1380" s="63"/>
      <c r="H1380" s="63"/>
      <c r="I1380" s="63"/>
      <c r="J1380" s="63"/>
      <c r="K1380" s="63"/>
      <c r="L1380" s="63"/>
      <c r="M1380" s="63"/>
      <c r="N1380" s="63"/>
      <c r="O1380" s="63"/>
      <c r="P1380" s="63"/>
      <c r="Q1380" s="63"/>
      <c r="R1380" s="81"/>
      <c r="S1380" s="63"/>
      <c r="T1380" s="63"/>
      <c r="U1380" s="63"/>
      <c r="V1380" s="63"/>
      <c r="W1380" s="63"/>
      <c r="X1380" s="63"/>
      <c r="Y1380" s="63"/>
      <c r="Z1380" s="63"/>
      <c r="AA1380" s="63"/>
      <c r="AB1380" s="63"/>
      <c r="AC1380" s="63"/>
      <c r="AD1380" s="81"/>
      <c r="AE1380" s="15"/>
      <c r="AF1380" s="11"/>
      <c r="AH1380" s="224"/>
    </row>
    <row r="1381" spans="2:35" s="24" customFormat="1" x14ac:dyDescent="0.2">
      <c r="B1381" s="9">
        <f>G1338</f>
        <v>28</v>
      </c>
      <c r="C1381" s="9" t="str">
        <f t="shared" si="3924"/>
        <v>28 - Production per Vet Workday - YoY Change</v>
      </c>
      <c r="D1381" s="9" t="s">
        <v>56</v>
      </c>
      <c r="E1381" s="49"/>
      <c r="F1381" s="24" t="s">
        <v>55</v>
      </c>
      <c r="G1381" s="249">
        <f>_xlfn.XLOOKUP($C1381,'Site Level Financials - ''23 ''24'!$C$2:$C$1577,'Site Level Financials - ''23 ''24'!S$2:S$1577)</f>
        <v>-3.8077492980542749E-2</v>
      </c>
      <c r="H1381" s="250">
        <f>_xlfn.XLOOKUP($C1381,'Site Level Financials - ''23 ''24'!$C$2:$C$1577,'Site Level Financials - ''23 ''24'!T$2:T$1577)</f>
        <v>-6.3823186615336258E-2</v>
      </c>
      <c r="I1381" s="250">
        <f>_xlfn.XLOOKUP($C1381,'Site Level Financials - ''23 ''24'!$C$2:$C$1577,'Site Level Financials - ''23 ''24'!U$2:U$1577)</f>
        <v>-2.4725072212998134E-2</v>
      </c>
      <c r="J1381" s="250">
        <f>_xlfn.XLOOKUP($C1381,'Site Level Financials - ''23 ''24'!$C$2:$C$1577,'Site Level Financials - ''23 ''24'!V$2:V$1577)</f>
        <v>-3.4449337521053613E-2</v>
      </c>
      <c r="K1381" s="250">
        <f>_xlfn.XLOOKUP($C1381,'Site Level Financials - ''23 ''24'!$C$2:$C$1577,'Site Level Financials - ''23 ''24'!W$2:W$1577)</f>
        <v>5.0127109431025385E-2</v>
      </c>
      <c r="L1381" s="250">
        <f>_xlfn.XLOOKUP($C1381,'Site Level Financials - ''23 ''24'!$C$2:$C$1577,'Site Level Financials - ''23 ''24'!X$2:X$1577)</f>
        <v>-1.8067356818517455E-2</v>
      </c>
      <c r="M1381" s="250">
        <f>_xlfn.XLOOKUP($C1381,'Site Level Financials - ''23 ''24'!$C$2:$C$1577,'Site Level Financials - ''23 ''24'!Y$2:Y$1577)</f>
        <v>-3.9451255373677441E-2</v>
      </c>
      <c r="N1381" s="250">
        <f>_xlfn.XLOOKUP($C1381,'Site Level Financials - ''23 ''24'!$C$2:$C$1577,'Site Level Financials - ''23 ''24'!Z$2:Z$1577)</f>
        <v>2.7225913295718662E-3</v>
      </c>
      <c r="O1381" s="250">
        <f>_xlfn.XLOOKUP($C1381,'Site Level Financials - ''23 ''24'!$C$2:$C$1577,'Site Level Financials - ''23 ''24'!AA$2:AA$1577)</f>
        <v>-2.9341984964599943E-2</v>
      </c>
      <c r="P1381" s="250">
        <f>_xlfn.XLOOKUP($C1381,'Site Level Financials - ''23 ''24'!$C$2:$C$1577,'Site Level Financials - ''23 ''24'!AB$2:AB$1577)</f>
        <v>-3.7634085633311942E-2</v>
      </c>
      <c r="Q1381" s="250">
        <f>_xlfn.XLOOKUP($C1381,'Site Level Financials - ''23 ''24'!$C$2:$C$1577,'Site Level Financials - ''23 ''24'!AC$2:AC$1577)</f>
        <v>6.5510388031641886E-2</v>
      </c>
      <c r="R1381" s="251">
        <f>_xlfn.XLOOKUP($C1381,'Site Level Financials - ''23 ''24'!$C$2:$C$1577,'Site Level Financials - ''23 ''24'!AD$2:AD$1577)</f>
        <v>5.4800059438737225E-2</v>
      </c>
      <c r="S1381" s="151">
        <f>S1347/G1347-1</f>
        <v>1.8798706302923796E-2</v>
      </c>
      <c r="T1381" s="152">
        <f t="shared" ref="T1381" si="4038">T1347/H1347-1</f>
        <v>6.9453790362500989E-2</v>
      </c>
      <c r="U1381" s="152">
        <f t="shared" ref="U1381" si="4039">U1347/I1347-1</f>
        <v>4.5308919893519262E-2</v>
      </c>
      <c r="V1381" s="152">
        <f t="shared" ref="V1381" si="4040">V1347/J1347-1</f>
        <v>0.12597079998163685</v>
      </c>
      <c r="W1381" s="152">
        <f t="shared" ref="W1381" si="4041">W1347/K1347-1</f>
        <v>6.2311425164800482E-2</v>
      </c>
      <c r="X1381" s="152">
        <f t="shared" ref="X1381" si="4042">X1347/L1347-1</f>
        <v>9.9720338755939331E-2</v>
      </c>
      <c r="Y1381" s="152">
        <f t="shared" ref="Y1381" si="4043">Y1347/M1347-1</f>
        <v>0.18638860581578731</v>
      </c>
      <c r="Z1381" s="152">
        <f t="shared" ref="Z1381" si="4044">Z1347/N1347-1</f>
        <v>0.10141782283641598</v>
      </c>
      <c r="AA1381" s="152">
        <f t="shared" ref="AA1381" si="4045">AA1347/O1347-1</f>
        <v>9.4822051573422828E-2</v>
      </c>
      <c r="AB1381" s="152">
        <f t="shared" ref="AB1381" si="4046">AB1347/P1347-1</f>
        <v>6.3297374416328545E-2</v>
      </c>
      <c r="AC1381" s="152">
        <f t="shared" ref="AC1381" si="4047">AC1347/Q1347-1</f>
        <v>7.4978899147526423E-3</v>
      </c>
      <c r="AD1381" s="153">
        <f t="shared" ref="AD1381" si="4048">AD1347/R1347-1</f>
        <v>3.1874519628317444E-2</v>
      </c>
      <c r="AF1381" s="43"/>
      <c r="AG1381" s="177">
        <f>AG1347/AF1347-1</f>
        <v>-2.1035172104293953E-2</v>
      </c>
      <c r="AH1381" s="225">
        <f>AH1347/AG1347-1</f>
        <v>8.7749739646081348E-2</v>
      </c>
    </row>
    <row r="1382" spans="2:35" s="24" customFormat="1" ht="6" customHeight="1" x14ac:dyDescent="0.2">
      <c r="D1382" s="9" t="s">
        <v>56</v>
      </c>
      <c r="E1382" s="49"/>
      <c r="G1382" s="28"/>
      <c r="H1382" s="30"/>
      <c r="I1382" s="30"/>
      <c r="J1382" s="30"/>
      <c r="K1382" s="30"/>
      <c r="L1382" s="30"/>
      <c r="M1382" s="30"/>
      <c r="N1382" s="30"/>
      <c r="O1382" s="30"/>
      <c r="P1382" s="30"/>
      <c r="Q1382" s="30"/>
      <c r="R1382" s="29"/>
      <c r="S1382" s="30"/>
      <c r="T1382" s="30"/>
      <c r="U1382" s="30"/>
      <c r="V1382" s="30"/>
      <c r="W1382" s="30"/>
      <c r="X1382" s="30"/>
      <c r="Y1382" s="30"/>
      <c r="Z1382" s="30"/>
      <c r="AA1382" s="30"/>
      <c r="AB1382" s="30"/>
      <c r="AC1382" s="30"/>
      <c r="AD1382" s="29"/>
      <c r="AE1382" s="25"/>
      <c r="AF1382" s="28"/>
      <c r="AG1382" s="30"/>
      <c r="AH1382" s="226"/>
    </row>
    <row r="1383" spans="2:35" s="24" customFormat="1" ht="6" customHeight="1" x14ac:dyDescent="0.2">
      <c r="D1383" s="9" t="s">
        <v>56</v>
      </c>
      <c r="E1383" s="49"/>
    </row>
    <row r="1384" spans="2:35" x14ac:dyDescent="0.2">
      <c r="D1384" s="9" t="s">
        <v>56</v>
      </c>
      <c r="F1384" s="16"/>
    </row>
    <row r="1385" spans="2:35" ht="15.75" thickBot="1" x14ac:dyDescent="0.4">
      <c r="B1385" s="35" t="s">
        <v>52</v>
      </c>
      <c r="C1385" s="35"/>
      <c r="D1385" s="9" t="s">
        <v>56</v>
      </c>
      <c r="E1385" s="48" t="s">
        <v>0</v>
      </c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74"/>
      <c r="AH1385" s="3">
        <f ca="1">TODAY()</f>
        <v>45999</v>
      </c>
      <c r="AI1385" s="1"/>
    </row>
    <row r="1386" spans="2:35" x14ac:dyDescent="0.2">
      <c r="B1386" s="9">
        <f>G1387</f>
        <v>29</v>
      </c>
      <c r="C1386" s="9"/>
      <c r="D1386" s="9" t="s">
        <v>56</v>
      </c>
      <c r="F1386" t="s">
        <v>159</v>
      </c>
      <c r="AG1386" s="6"/>
      <c r="AH1386" s="6" t="s">
        <v>16</v>
      </c>
    </row>
    <row r="1387" spans="2:35" x14ac:dyDescent="0.2">
      <c r="B1387" s="9">
        <f>G1387</f>
        <v>29</v>
      </c>
      <c r="C1387" s="9"/>
      <c r="D1387" s="9" t="s">
        <v>56</v>
      </c>
      <c r="F1387" s="40" t="s">
        <v>53</v>
      </c>
      <c r="G1387" s="42">
        <v>29</v>
      </c>
    </row>
    <row r="1388" spans="2:35" x14ac:dyDescent="0.2">
      <c r="B1388" s="9">
        <f>G1387</f>
        <v>29</v>
      </c>
      <c r="C1388" s="9"/>
      <c r="D1388" s="9" t="s">
        <v>56</v>
      </c>
      <c r="F1388" s="39" t="s">
        <v>46</v>
      </c>
      <c r="G1388" s="41"/>
      <c r="H1388" s="11"/>
    </row>
    <row r="1389" spans="2:35" x14ac:dyDescent="0.2">
      <c r="B1389" s="9">
        <f>G1387</f>
        <v>29</v>
      </c>
      <c r="C1389" s="9"/>
      <c r="D1389" s="9" t="s">
        <v>56</v>
      </c>
      <c r="G1389" s="23"/>
    </row>
    <row r="1390" spans="2:35" x14ac:dyDescent="0.2">
      <c r="B1390" s="9">
        <f>G1387</f>
        <v>29</v>
      </c>
      <c r="C1390" s="9"/>
      <c r="D1390" s="9" t="s">
        <v>56</v>
      </c>
      <c r="G1390" s="208" t="s">
        <v>229</v>
      </c>
      <c r="H1390" s="209"/>
      <c r="I1390" s="209"/>
      <c r="J1390" s="209"/>
      <c r="K1390" s="209"/>
      <c r="L1390" s="209"/>
      <c r="M1390" s="209"/>
      <c r="N1390" s="209"/>
      <c r="O1390" s="209"/>
      <c r="P1390" s="209"/>
      <c r="Q1390" s="209"/>
      <c r="R1390" s="210"/>
      <c r="S1390" s="266" t="s">
        <v>230</v>
      </c>
      <c r="T1390" s="267"/>
      <c r="U1390" s="267"/>
      <c r="V1390" s="267"/>
      <c r="W1390" s="267"/>
      <c r="X1390" s="267"/>
      <c r="Y1390" s="267"/>
      <c r="Z1390" s="267"/>
      <c r="AA1390" s="267"/>
      <c r="AB1390" s="267"/>
      <c r="AC1390" s="267"/>
      <c r="AD1390" s="268"/>
      <c r="AF1390" s="17" t="s">
        <v>231</v>
      </c>
      <c r="AG1390" s="50"/>
      <c r="AH1390" s="269" t="s">
        <v>232</v>
      </c>
    </row>
    <row r="1391" spans="2:35" ht="15" customHeight="1" x14ac:dyDescent="0.35">
      <c r="B1391" s="9">
        <f>G1387</f>
        <v>29</v>
      </c>
      <c r="C1391" s="9"/>
      <c r="D1391" s="9" t="s">
        <v>56</v>
      </c>
      <c r="G1391" s="211">
        <v>44957</v>
      </c>
      <c r="H1391" s="212">
        <f>EOMONTH(G1391,1)</f>
        <v>44985</v>
      </c>
      <c r="I1391" s="212">
        <f t="shared" ref="I1391" si="4049">EOMONTH(H1391,1)</f>
        <v>45016</v>
      </c>
      <c r="J1391" s="212">
        <f t="shared" ref="J1391" si="4050">EOMONTH(I1391,1)</f>
        <v>45046</v>
      </c>
      <c r="K1391" s="212">
        <f t="shared" ref="K1391" si="4051">EOMONTH(J1391,1)</f>
        <v>45077</v>
      </c>
      <c r="L1391" s="212">
        <f t="shared" ref="L1391" si="4052">EOMONTH(K1391,1)</f>
        <v>45107</v>
      </c>
      <c r="M1391" s="212">
        <f t="shared" ref="M1391" si="4053">EOMONTH(L1391,1)</f>
        <v>45138</v>
      </c>
      <c r="N1391" s="212">
        <f t="shared" ref="N1391" si="4054">EOMONTH(M1391,1)</f>
        <v>45169</v>
      </c>
      <c r="O1391" s="212">
        <f t="shared" ref="O1391" si="4055">EOMONTH(N1391,1)</f>
        <v>45199</v>
      </c>
      <c r="P1391" s="212">
        <f t="shared" ref="P1391" si="4056">EOMONTH(O1391,1)</f>
        <v>45230</v>
      </c>
      <c r="Q1391" s="212">
        <f t="shared" ref="Q1391" si="4057">EOMONTH(P1391,1)</f>
        <v>45260</v>
      </c>
      <c r="R1391" s="213">
        <f t="shared" ref="R1391" si="4058">EOMONTH(Q1391,1)</f>
        <v>45291</v>
      </c>
      <c r="S1391" s="4">
        <f t="shared" ref="S1391" si="4059">EOMONTH(R1391,1)</f>
        <v>45322</v>
      </c>
      <c r="T1391" s="19">
        <f t="shared" ref="T1391" si="4060">EOMONTH(S1391,1)</f>
        <v>45351</v>
      </c>
      <c r="U1391" s="19">
        <f t="shared" ref="U1391" si="4061">EOMONTH(T1391,1)</f>
        <v>45382</v>
      </c>
      <c r="V1391" s="19">
        <f t="shared" ref="V1391" si="4062">EOMONTH(U1391,1)</f>
        <v>45412</v>
      </c>
      <c r="W1391" s="19">
        <f t="shared" ref="W1391" si="4063">EOMONTH(V1391,1)</f>
        <v>45443</v>
      </c>
      <c r="X1391" s="19">
        <f t="shared" ref="X1391" si="4064">EOMONTH(W1391,1)</f>
        <v>45473</v>
      </c>
      <c r="Y1391" s="19">
        <f t="shared" ref="Y1391" si="4065">EOMONTH(X1391,1)</f>
        <v>45504</v>
      </c>
      <c r="Z1391" s="19">
        <f t="shared" ref="Z1391" si="4066">EOMONTH(Y1391,1)</f>
        <v>45535</v>
      </c>
      <c r="AA1391" s="19">
        <f t="shared" ref="AA1391" si="4067">EOMONTH(Z1391,1)</f>
        <v>45565</v>
      </c>
      <c r="AB1391" s="19">
        <f t="shared" ref="AB1391" si="4068">EOMONTH(AA1391,1)</f>
        <v>45596</v>
      </c>
      <c r="AC1391" s="19">
        <f t="shared" ref="AC1391" si="4069">EOMONTH(AB1391,1)</f>
        <v>45626</v>
      </c>
      <c r="AD1391" s="5">
        <f t="shared" ref="AD1391" si="4070">EOMONTH(AC1391,1)</f>
        <v>45657</v>
      </c>
      <c r="AE1391" s="168"/>
      <c r="AF1391" s="13">
        <v>45291</v>
      </c>
      <c r="AG1391" s="14">
        <v>45657</v>
      </c>
      <c r="AH1391" s="14">
        <v>46022</v>
      </c>
    </row>
    <row r="1392" spans="2:35" ht="0.95" customHeight="1" x14ac:dyDescent="0.2">
      <c r="B1392" s="9">
        <f>G1387</f>
        <v>29</v>
      </c>
      <c r="C1392" s="9"/>
      <c r="D1392" s="9" t="s">
        <v>56</v>
      </c>
      <c r="G1392" s="11"/>
      <c r="S1392" s="11"/>
      <c r="AD1392" s="15"/>
      <c r="AE1392" s="15"/>
      <c r="AF1392" s="11"/>
      <c r="AG1392" s="15"/>
      <c r="AH1392" s="15"/>
    </row>
    <row r="1393" spans="2:34" x14ac:dyDescent="0.2">
      <c r="B1393" s="9">
        <f>G1387</f>
        <v>29</v>
      </c>
      <c r="C1393" s="9" t="str">
        <f>B1393&amp;" - "&amp;F1393</f>
        <v>29 - Employed Vets</v>
      </c>
      <c r="D1393" s="9" t="s">
        <v>56</v>
      </c>
      <c r="F1393" s="7" t="s">
        <v>160</v>
      </c>
      <c r="G1393" s="178">
        <f>_xlfn.XLOOKUP($C1393,'Site Level Financials - ''23 ''24'!$C$2:$C$1577,'Site Level Financials - ''23 ''24'!S$2:S$1577)</f>
        <v>1</v>
      </c>
      <c r="H1393" s="179">
        <f>_xlfn.XLOOKUP($C1393,'Site Level Financials - ''23 ''24'!$C$2:$C$1577,'Site Level Financials - ''23 ''24'!T$2:T$1577)</f>
        <v>1</v>
      </c>
      <c r="I1393" s="179">
        <f>_xlfn.XLOOKUP($C1393,'Site Level Financials - ''23 ''24'!$C$2:$C$1577,'Site Level Financials - ''23 ''24'!U$2:U$1577)</f>
        <v>1</v>
      </c>
      <c r="J1393" s="179">
        <f>_xlfn.XLOOKUP($C1393,'Site Level Financials - ''23 ''24'!$C$2:$C$1577,'Site Level Financials - ''23 ''24'!V$2:V$1577)</f>
        <v>1</v>
      </c>
      <c r="K1393" s="179">
        <f>_xlfn.XLOOKUP($C1393,'Site Level Financials - ''23 ''24'!$C$2:$C$1577,'Site Level Financials - ''23 ''24'!W$2:W$1577)</f>
        <v>1</v>
      </c>
      <c r="L1393" s="179">
        <f>_xlfn.XLOOKUP($C1393,'Site Level Financials - ''23 ''24'!$C$2:$C$1577,'Site Level Financials - ''23 ''24'!X$2:X$1577)</f>
        <v>1</v>
      </c>
      <c r="M1393" s="179">
        <f>_xlfn.XLOOKUP($C1393,'Site Level Financials - ''23 ''24'!$C$2:$C$1577,'Site Level Financials - ''23 ''24'!Y$2:Y$1577)</f>
        <v>1</v>
      </c>
      <c r="N1393" s="179">
        <f>_xlfn.XLOOKUP($C1393,'Site Level Financials - ''23 ''24'!$C$2:$C$1577,'Site Level Financials - ''23 ''24'!Z$2:Z$1577)</f>
        <v>1</v>
      </c>
      <c r="O1393" s="179">
        <f>_xlfn.XLOOKUP($C1393,'Site Level Financials - ''23 ''24'!$C$2:$C$1577,'Site Level Financials - ''23 ''24'!AA$2:AA$1577)</f>
        <v>1</v>
      </c>
      <c r="P1393" s="179">
        <f>_xlfn.XLOOKUP($C1393,'Site Level Financials - ''23 ''24'!$C$2:$C$1577,'Site Level Financials - ''23 ''24'!AB$2:AB$1577)</f>
        <v>1</v>
      </c>
      <c r="Q1393" s="179">
        <f>_xlfn.XLOOKUP($C1393,'Site Level Financials - ''23 ''24'!$C$2:$C$1577,'Site Level Financials - ''23 ''24'!AC$2:AC$1577)</f>
        <v>1</v>
      </c>
      <c r="R1393" s="179">
        <f>_xlfn.XLOOKUP($C1393,'Site Level Financials - ''23 ''24'!$C$2:$C$1577,'Site Level Financials - ''23 ''24'!AD$2:AD$1577)</f>
        <v>1</v>
      </c>
      <c r="S1393" s="178">
        <f>R1393+_xlfn.XLOOKUP($R1393,'Budget Assumption Driver'!$A$7:$A$11,'Budget Assumption Driver'!E$7:E$11)</f>
        <v>1</v>
      </c>
      <c r="T1393" s="179">
        <f>S1393+_xlfn.XLOOKUP($R1393,'Budget Assumption Driver'!$A$7:$A$11,'Budget Assumption Driver'!F$7:F$11)</f>
        <v>2</v>
      </c>
      <c r="U1393" s="179">
        <f>T1393+_xlfn.XLOOKUP($R1393,'Budget Assumption Driver'!$A$7:$A$11,'Budget Assumption Driver'!G$7:G$11)</f>
        <v>2</v>
      </c>
      <c r="V1393" s="179">
        <f>U1393+_xlfn.XLOOKUP($R1393,'Budget Assumption Driver'!$A$7:$A$11,'Budget Assumption Driver'!H$7:H$11)</f>
        <v>2</v>
      </c>
      <c r="W1393" s="179">
        <f>V1393+_xlfn.XLOOKUP($R1393,'Budget Assumption Driver'!$A$7:$A$11,'Budget Assumption Driver'!I$7:I$11)</f>
        <v>2</v>
      </c>
      <c r="X1393" s="179">
        <f>W1393+_xlfn.XLOOKUP($R1393,'Budget Assumption Driver'!$A$7:$A$11,'Budget Assumption Driver'!J$7:J$11)</f>
        <v>2</v>
      </c>
      <c r="Y1393" s="179">
        <f>X1393+_xlfn.XLOOKUP($R1393,'Budget Assumption Driver'!$A$7:$A$11,'Budget Assumption Driver'!K$7:K$11)</f>
        <v>3</v>
      </c>
      <c r="Z1393" s="179">
        <f>Y1393+_xlfn.XLOOKUP($R1393,'Budget Assumption Driver'!$A$7:$A$11,'Budget Assumption Driver'!L$7:L$11)</f>
        <v>3</v>
      </c>
      <c r="AA1393" s="179">
        <f>Z1393+_xlfn.XLOOKUP($R1393,'Budget Assumption Driver'!$A$7:$A$11,'Budget Assumption Driver'!M$7:M$11)</f>
        <v>3</v>
      </c>
      <c r="AB1393" s="179">
        <f>AA1393+_xlfn.XLOOKUP($R1393,'Budget Assumption Driver'!$A$7:$A$11,'Budget Assumption Driver'!N$7:N$11)</f>
        <v>3</v>
      </c>
      <c r="AC1393" s="179">
        <f>AB1393+_xlfn.XLOOKUP($R1393,'Budget Assumption Driver'!$A$7:$A$11,'Budget Assumption Driver'!O$7:O$11)</f>
        <v>3</v>
      </c>
      <c r="AD1393" s="290">
        <f>AC1393+_xlfn.XLOOKUP($R1393,'Budget Assumption Driver'!$A$7:$A$11,'Budget Assumption Driver'!P$7:P$11)</f>
        <v>3</v>
      </c>
      <c r="AE1393" s="15"/>
      <c r="AF1393" s="229">
        <f>_xlfn.XLOOKUP($C1393,'Site Level Financials - ''23 ''24'!$C$2:$C$1577,'Site Level Financials - ''23 ''24'!$AF$2:$AF$1577)</f>
        <v>1</v>
      </c>
      <c r="AG1393" s="91">
        <f t="shared" ref="AG1393:AH1393" si="4071">AG1395/AG1394</f>
        <v>1</v>
      </c>
      <c r="AH1393" s="91">
        <f t="shared" si="4071"/>
        <v>2.4163568773234201</v>
      </c>
    </row>
    <row r="1394" spans="2:34" x14ac:dyDescent="0.2">
      <c r="B1394" s="9">
        <f>G1387</f>
        <v>29</v>
      </c>
      <c r="C1394" s="9" t="str">
        <f t="shared" ref="C1394:C1430" si="4072">B1394&amp;" - "&amp;F1394</f>
        <v>29 - Workdays in Month / Year</v>
      </c>
      <c r="D1394" s="9" t="s">
        <v>56</v>
      </c>
      <c r="F1394" s="7" t="s">
        <v>54</v>
      </c>
      <c r="G1394" s="178">
        <f>_xlfn.XLOOKUP($C1394,'Site Level Financials - ''23 ''24'!$C$2:$C$1577,'Site Level Financials - ''23 ''24'!S$2:S$1577)</f>
        <v>23</v>
      </c>
      <c r="H1394" s="235">
        <f>_xlfn.XLOOKUP($C1394,'Site Level Financials - ''23 ''24'!$C$2:$C$1577,'Site Level Financials - ''23 ''24'!T$2:T$1577)</f>
        <v>22</v>
      </c>
      <c r="I1394" s="235">
        <f>_xlfn.XLOOKUP($C1394,'Site Level Financials - ''23 ''24'!$C$2:$C$1577,'Site Level Financials - ''23 ''24'!U$2:U$1577)</f>
        <v>22</v>
      </c>
      <c r="J1394" s="179">
        <f>_xlfn.XLOOKUP($C1394,'Site Level Financials - ''23 ''24'!$C$2:$C$1577,'Site Level Financials - ''23 ''24'!V$2:V$1577)</f>
        <v>22</v>
      </c>
      <c r="K1394" s="179">
        <f>_xlfn.XLOOKUP($C1394,'Site Level Financials - ''23 ''24'!$C$2:$C$1577,'Site Level Financials - ''23 ''24'!W$2:W$1577)</f>
        <v>24</v>
      </c>
      <c r="L1394" s="179">
        <f>_xlfn.XLOOKUP($C1394,'Site Level Financials - ''23 ''24'!$C$2:$C$1577,'Site Level Financials - ''23 ''24'!X$2:X$1577)</f>
        <v>21</v>
      </c>
      <c r="M1394" s="179">
        <f>_xlfn.XLOOKUP($C1394,'Site Level Financials - ''23 ''24'!$C$2:$C$1577,'Site Level Financials - ''23 ''24'!Y$2:Y$1577)</f>
        <v>23</v>
      </c>
      <c r="N1394" s="179">
        <f>_xlfn.XLOOKUP($C1394,'Site Level Financials - ''23 ''24'!$C$2:$C$1577,'Site Level Financials - ''23 ''24'!Z$2:Z$1577)</f>
        <v>23</v>
      </c>
      <c r="O1394" s="179">
        <f>_xlfn.XLOOKUP($C1394,'Site Level Financials - ''23 ''24'!$C$2:$C$1577,'Site Level Financials - ''23 ''24'!AA$2:AA$1577)</f>
        <v>21</v>
      </c>
      <c r="P1394" s="179">
        <f>_xlfn.XLOOKUP($C1394,'Site Level Financials - ''23 ''24'!$C$2:$C$1577,'Site Level Financials - ''23 ''24'!AB$2:AB$1577)</f>
        <v>24</v>
      </c>
      <c r="Q1394" s="179">
        <f>_xlfn.XLOOKUP($C1394,'Site Level Financials - ''23 ''24'!$C$2:$C$1577,'Site Level Financials - ''23 ''24'!AC$2:AC$1577)</f>
        <v>22</v>
      </c>
      <c r="R1394" s="179">
        <f>_xlfn.XLOOKUP($C1394,'Site Level Financials - ''23 ''24'!$C$2:$C$1577,'Site Level Financials - ''23 ''24'!AD$2:AD$1577)</f>
        <v>22</v>
      </c>
      <c r="S1394" s="155">
        <f>NETWORKDAYS(R1391,S1391)</f>
        <v>23</v>
      </c>
      <c r="T1394" s="154">
        <f t="shared" ref="T1394:AD1394" si="4073">NETWORKDAYS(S1391,T1391)</f>
        <v>22</v>
      </c>
      <c r="U1394" s="154">
        <f t="shared" si="4073"/>
        <v>22</v>
      </c>
      <c r="V1394" s="154">
        <f t="shared" si="4073"/>
        <v>22</v>
      </c>
      <c r="W1394" s="154">
        <f t="shared" si="4073"/>
        <v>24</v>
      </c>
      <c r="X1394" s="154">
        <f t="shared" si="4073"/>
        <v>21</v>
      </c>
      <c r="Y1394" s="154">
        <f t="shared" si="4073"/>
        <v>23</v>
      </c>
      <c r="Z1394" s="154">
        <f t="shared" si="4073"/>
        <v>23</v>
      </c>
      <c r="AA1394" s="154">
        <f t="shared" si="4073"/>
        <v>21</v>
      </c>
      <c r="AB1394" s="154">
        <f t="shared" si="4073"/>
        <v>24</v>
      </c>
      <c r="AC1394" s="154">
        <f t="shared" si="4073"/>
        <v>22</v>
      </c>
      <c r="AD1394" s="156">
        <f t="shared" si="4073"/>
        <v>22</v>
      </c>
      <c r="AE1394" s="15"/>
      <c r="AF1394" s="115">
        <f>_xlfn.XLOOKUP($C1394,'Site Level Financials - ''23 ''24'!$C$2:$C$1577,'Site Level Financials - ''23 ''24'!$AF$2:$AF$1577)</f>
        <v>269</v>
      </c>
      <c r="AG1394" s="93">
        <f>SUM(G1394:R1394)</f>
        <v>269</v>
      </c>
      <c r="AH1394" s="93">
        <f>SUM(S1394:AD1394)</f>
        <v>269</v>
      </c>
    </row>
    <row r="1395" spans="2:34" x14ac:dyDescent="0.2">
      <c r="B1395" s="9">
        <f>G1387</f>
        <v>29</v>
      </c>
      <c r="C1395" s="9" t="str">
        <f t="shared" si="4072"/>
        <v>29 - Total Vet Days</v>
      </c>
      <c r="D1395" s="9" t="s">
        <v>56</v>
      </c>
      <c r="F1395" s="8" t="s">
        <v>51</v>
      </c>
      <c r="G1395" s="236">
        <f>_xlfn.XLOOKUP($C1395,'Site Level Financials - ''23 ''24'!$C$2:$C$1577,'Site Level Financials - ''23 ''24'!S$2:S$1577)</f>
        <v>23</v>
      </c>
      <c r="H1395" s="237">
        <f>_xlfn.XLOOKUP($C1395,'Site Level Financials - ''23 ''24'!$C$2:$C$1577,'Site Level Financials - ''23 ''24'!T$2:T$1577)</f>
        <v>22</v>
      </c>
      <c r="I1395" s="237">
        <f>_xlfn.XLOOKUP($C1395,'Site Level Financials - ''23 ''24'!$C$2:$C$1577,'Site Level Financials - ''23 ''24'!U$2:U$1577)</f>
        <v>22</v>
      </c>
      <c r="J1395" s="238">
        <f>_xlfn.XLOOKUP($C1395,'Site Level Financials - ''23 ''24'!$C$2:$C$1577,'Site Level Financials - ''23 ''24'!V$2:V$1577)</f>
        <v>22</v>
      </c>
      <c r="K1395" s="238">
        <f>_xlfn.XLOOKUP($C1395,'Site Level Financials - ''23 ''24'!$C$2:$C$1577,'Site Level Financials - ''23 ''24'!W$2:W$1577)</f>
        <v>24</v>
      </c>
      <c r="L1395" s="238">
        <f>_xlfn.XLOOKUP($C1395,'Site Level Financials - ''23 ''24'!$C$2:$C$1577,'Site Level Financials - ''23 ''24'!X$2:X$1577)</f>
        <v>21</v>
      </c>
      <c r="M1395" s="238">
        <f>_xlfn.XLOOKUP($C1395,'Site Level Financials - ''23 ''24'!$C$2:$C$1577,'Site Level Financials - ''23 ''24'!Y$2:Y$1577)</f>
        <v>23</v>
      </c>
      <c r="N1395" s="238">
        <f>_xlfn.XLOOKUP($C1395,'Site Level Financials - ''23 ''24'!$C$2:$C$1577,'Site Level Financials - ''23 ''24'!Z$2:Z$1577)</f>
        <v>23</v>
      </c>
      <c r="O1395" s="238">
        <f>_xlfn.XLOOKUP($C1395,'Site Level Financials - ''23 ''24'!$C$2:$C$1577,'Site Level Financials - ''23 ''24'!AA$2:AA$1577)</f>
        <v>21</v>
      </c>
      <c r="P1395" s="238">
        <f>_xlfn.XLOOKUP($C1395,'Site Level Financials - ''23 ''24'!$C$2:$C$1577,'Site Level Financials - ''23 ''24'!AB$2:AB$1577)</f>
        <v>24</v>
      </c>
      <c r="Q1395" s="238">
        <f>_xlfn.XLOOKUP($C1395,'Site Level Financials - ''23 ''24'!$C$2:$C$1577,'Site Level Financials - ''23 ''24'!AC$2:AC$1577)</f>
        <v>22</v>
      </c>
      <c r="R1395" s="238">
        <f>_xlfn.XLOOKUP($C1395,'Site Level Financials - ''23 ''24'!$C$2:$C$1577,'Site Level Financials - ''23 ''24'!AD$2:AD$1577)</f>
        <v>22</v>
      </c>
      <c r="S1395" s="125">
        <f t="shared" ref="S1395:AD1395" si="4074">S1393*S1394</f>
        <v>23</v>
      </c>
      <c r="T1395" s="127">
        <f t="shared" si="4074"/>
        <v>44</v>
      </c>
      <c r="U1395" s="127">
        <f t="shared" si="4074"/>
        <v>44</v>
      </c>
      <c r="V1395" s="127">
        <f t="shared" si="4074"/>
        <v>44</v>
      </c>
      <c r="W1395" s="127">
        <f t="shared" si="4074"/>
        <v>48</v>
      </c>
      <c r="X1395" s="127">
        <f t="shared" si="4074"/>
        <v>42</v>
      </c>
      <c r="Y1395" s="127">
        <f t="shared" si="4074"/>
        <v>69</v>
      </c>
      <c r="Z1395" s="127">
        <f t="shared" si="4074"/>
        <v>69</v>
      </c>
      <c r="AA1395" s="127">
        <f t="shared" si="4074"/>
        <v>63</v>
      </c>
      <c r="AB1395" s="127">
        <f t="shared" si="4074"/>
        <v>72</v>
      </c>
      <c r="AC1395" s="127">
        <f t="shared" si="4074"/>
        <v>66</v>
      </c>
      <c r="AD1395" s="128">
        <f t="shared" si="4074"/>
        <v>66</v>
      </c>
      <c r="AF1395" s="112">
        <f>_xlfn.XLOOKUP($C1395,'Site Level Financials - ''23 ''24'!$C$2:$C$1577,'Site Level Financials - ''23 ''24'!$AF$2:$AF$1577)</f>
        <v>269</v>
      </c>
      <c r="AG1395" s="120">
        <f>SUM(G1395:R1395)</f>
        <v>269</v>
      </c>
      <c r="AH1395" s="120">
        <f t="shared" ref="AH1395" si="4075">SUM(S1395:AD1395)</f>
        <v>650</v>
      </c>
    </row>
    <row r="1396" spans="2:34" x14ac:dyDescent="0.2">
      <c r="B1396" s="9">
        <f>G1387</f>
        <v>29</v>
      </c>
      <c r="C1396" s="9" t="str">
        <f t="shared" si="4072"/>
        <v>29 - Production per Vet Workday</v>
      </c>
      <c r="D1396" s="9" t="s">
        <v>56</v>
      </c>
      <c r="F1396" s="7" t="s">
        <v>50</v>
      </c>
      <c r="G1396" s="239">
        <f>_xlfn.XLOOKUP($C1396,'Site Level Financials - ''23 ''24'!$C$2:$C$1577,'Site Level Financials - ''23 ''24'!S$2:S$1577)</f>
        <v>6.8199065225039535</v>
      </c>
      <c r="H1396" s="240">
        <f>_xlfn.XLOOKUP($C1396,'Site Level Financials - ''23 ''24'!$C$2:$C$1577,'Site Level Financials - ''23 ''24'!T$2:T$1577)</f>
        <v>6.4447111102641559</v>
      </c>
      <c r="I1396" s="240">
        <f>_xlfn.XLOOKUP($C1396,'Site Level Financials - ''23 ''24'!$C$2:$C$1577,'Site Level Financials - ''23 ''24'!U$2:U$1577)</f>
        <v>6.9297140951119198</v>
      </c>
      <c r="J1396" s="240">
        <f>_xlfn.XLOOKUP($C1396,'Site Level Financials - ''23 ''24'!$C$2:$C$1577,'Site Level Financials - ''23 ''24'!V$2:V$1577)</f>
        <v>6.91280593924506</v>
      </c>
      <c r="K1396" s="240">
        <f>_xlfn.XLOOKUP($C1396,'Site Level Financials - ''23 ''24'!$C$2:$C$1577,'Site Level Financials - ''23 ''24'!W$2:W$1577)</f>
        <v>8.8653072498733874</v>
      </c>
      <c r="L1396" s="240">
        <f>_xlfn.XLOOKUP($C1396,'Site Level Financials - ''23 ''24'!$C$2:$C$1577,'Site Level Financials - ''23 ''24'!X$2:X$1577)</f>
        <v>8.4937247533776024</v>
      </c>
      <c r="M1396" s="240">
        <f>_xlfn.XLOOKUP($C1396,'Site Level Financials - ''23 ''24'!$C$2:$C$1577,'Site Level Financials - ''23 ''24'!Y$2:Y$1577)</f>
        <v>7.7880195097179534</v>
      </c>
      <c r="N1396" s="240">
        <f>_xlfn.XLOOKUP($C1396,'Site Level Financials - ''23 ''24'!$C$2:$C$1577,'Site Level Financials - ''23 ''24'!Z$2:Z$1577)</f>
        <v>6.1022766751779978</v>
      </c>
      <c r="O1396" s="240">
        <f>_xlfn.XLOOKUP($C1396,'Site Level Financials - ''23 ''24'!$C$2:$C$1577,'Site Level Financials - ''23 ''24'!AA$2:AA$1577)</f>
        <v>6.8725947949158188</v>
      </c>
      <c r="P1396" s="240">
        <f>_xlfn.XLOOKUP($C1396,'Site Level Financials - ''23 ''24'!$C$2:$C$1577,'Site Level Financials - ''23 ''24'!AB$2:AB$1577)</f>
        <v>5.32248433606261</v>
      </c>
      <c r="Q1396" s="240">
        <f>_xlfn.XLOOKUP($C1396,'Site Level Financials - ''23 ''24'!$C$2:$C$1577,'Site Level Financials - ''23 ''24'!AC$2:AC$1577)</f>
        <v>5.1699040106393461</v>
      </c>
      <c r="R1396" s="240">
        <f>_xlfn.XLOOKUP($C1396,'Site Level Financials - ''23 ''24'!$C$2:$C$1577,'Site Level Financials - ''23 ''24'!AD$2:AD$1577)</f>
        <v>4.5021605602880541</v>
      </c>
      <c r="S1396" s="239">
        <f>R1396*(1+_xlfn.XLOOKUP($R1393,'Budget Assumption Driver'!$A$15:$A$19,'Budget Assumption Driver'!E$15:E$19))</f>
        <v>6.3696961497278064</v>
      </c>
      <c r="T1396" s="240">
        <f>S1396*(1+_xlfn.XLOOKUP($R1393,'Budget Assumption Driver'!$A$15:$A$19,'Budget Assumption Driver'!F$15:F$19))</f>
        <v>5.6215500541616636</v>
      </c>
      <c r="U1396" s="240">
        <f>T1396*(1+_xlfn.XLOOKUP($R1393,'Budget Assumption Driver'!$A$15:$A$19,'Budget Assumption Driver'!G$15:G$19))</f>
        <v>6.0363599276387276</v>
      </c>
      <c r="V1396" s="240">
        <f>U1396*(1+_xlfn.XLOOKUP($R1393,'Budget Assumption Driver'!$A$15:$A$19,'Budget Assumption Driver'!H$15:H$19))</f>
        <v>6.4659166096015603</v>
      </c>
      <c r="W1396" s="240">
        <f>V1396*(1+_xlfn.XLOOKUP($R1393,'Budget Assumption Driver'!$A$15:$A$19,'Budget Assumption Driver'!I$15:I$19))</f>
        <v>7.0444159991060769</v>
      </c>
      <c r="X1396" s="240">
        <f>W1396*(1+_xlfn.XLOOKUP($R1393,'Budget Assumption Driver'!$A$15:$A$19,'Budget Assumption Driver'!J$15:J$19))</f>
        <v>6.7606165737477841</v>
      </c>
      <c r="Y1396" s="240">
        <f>X1396*(1+_xlfn.XLOOKUP($R1393,'Budget Assumption Driver'!$A$15:$A$19,'Budget Assumption Driver'!K$15:K$19))</f>
        <v>4.8665211418222682</v>
      </c>
      <c r="Z1396" s="240">
        <f>Y1396*(1+_xlfn.XLOOKUP($R1393,'Budget Assumption Driver'!$A$15:$A$19,'Budget Assumption Driver'!L$15:L$19))</f>
        <v>4.1729972581946626</v>
      </c>
      <c r="AA1396" s="240">
        <f>Z1396*(1+_xlfn.XLOOKUP($R1393,'Budget Assumption Driver'!$A$15:$A$19,'Budget Assumption Driver'!M$15:M$19))</f>
        <v>4.1903354362268885</v>
      </c>
      <c r="AB1396" s="240">
        <f>AA1396*(1+_xlfn.XLOOKUP($R1393,'Budget Assumption Driver'!$A$15:$A$19,'Budget Assumption Driver'!N$15:N$19))</f>
        <v>4.2109986024822907</v>
      </c>
      <c r="AC1396" s="240">
        <f>AB1396*(1+_xlfn.XLOOKUP($R1393,'Budget Assumption Driver'!$A$15:$A$19,'Budget Assumption Driver'!O$15:O$19))</f>
        <v>3.6312694777496834</v>
      </c>
      <c r="AD1396" s="291">
        <f>AC1396*(1+_xlfn.XLOOKUP($R1393,'Budget Assumption Driver'!$A$15:$A$19,'Budget Assumption Driver'!P$15:P$19))</f>
        <v>2.9638877299093864</v>
      </c>
      <c r="AE1396" s="15"/>
      <c r="AF1396" s="230">
        <f>_xlfn.XLOOKUP($C1396,'Site Level Financials - ''23 ''24'!$C$2:$C$1577,'Site Level Financials - ''23 ''24'!$AF$2:$AF$1577)</f>
        <v>7.1804663346223032</v>
      </c>
      <c r="AG1396" s="101">
        <f>AG1397/AG1395</f>
        <v>6.6863898757951352</v>
      </c>
      <c r="AH1396" s="101">
        <f>AH1397/AH1395</f>
        <v>4.9111068041347847</v>
      </c>
    </row>
    <row r="1397" spans="2:34" x14ac:dyDescent="0.2">
      <c r="B1397" s="9">
        <f>G1387</f>
        <v>29</v>
      </c>
      <c r="C1397" s="9" t="str">
        <f t="shared" si="4072"/>
        <v>29 - Total Production</v>
      </c>
      <c r="D1397" s="9" t="s">
        <v>56</v>
      </c>
      <c r="F1397" s="8" t="s">
        <v>1</v>
      </c>
      <c r="G1397" s="241">
        <f>_xlfn.XLOOKUP($C1397,'Site Level Financials - ''23 ''24'!$C$2:$C$1577,'Site Level Financials - ''23 ''24'!S$2:S$1577)</f>
        <v>156.85785001759092</v>
      </c>
      <c r="H1397" s="242">
        <f>_xlfn.XLOOKUP($C1397,'Site Level Financials - ''23 ''24'!$C$2:$C$1577,'Site Level Financials - ''23 ''24'!T$2:T$1577)</f>
        <v>141.78364442581142</v>
      </c>
      <c r="I1397" s="242">
        <f>_xlfn.XLOOKUP($C1397,'Site Level Financials - ''23 ''24'!$C$2:$C$1577,'Site Level Financials - ''23 ''24'!U$2:U$1577)</f>
        <v>152.45371009246225</v>
      </c>
      <c r="J1397" s="242">
        <f>_xlfn.XLOOKUP($C1397,'Site Level Financials - ''23 ''24'!$C$2:$C$1577,'Site Level Financials - ''23 ''24'!V$2:V$1577)</f>
        <v>152.08173066339131</v>
      </c>
      <c r="K1397" s="242">
        <f>_xlfn.XLOOKUP($C1397,'Site Level Financials - ''23 ''24'!$C$2:$C$1577,'Site Level Financials - ''23 ''24'!W$2:W$1577)</f>
        <v>212.76737399696128</v>
      </c>
      <c r="L1397" s="242">
        <f>_xlfn.XLOOKUP($C1397,'Site Level Financials - ''23 ''24'!$C$2:$C$1577,'Site Level Financials - ''23 ''24'!X$2:X$1577)</f>
        <v>178.36821982092965</v>
      </c>
      <c r="M1397" s="242">
        <f>_xlfn.XLOOKUP($C1397,'Site Level Financials - ''23 ''24'!$C$2:$C$1577,'Site Level Financials - ''23 ''24'!Y$2:Y$1577)</f>
        <v>179.12444872351293</v>
      </c>
      <c r="N1397" s="242">
        <f>_xlfn.XLOOKUP($C1397,'Site Level Financials - ''23 ''24'!$C$2:$C$1577,'Site Level Financials - ''23 ''24'!Z$2:Z$1577)</f>
        <v>140.35236352909394</v>
      </c>
      <c r="O1397" s="242">
        <f>_xlfn.XLOOKUP($C1397,'Site Level Financials - ''23 ''24'!$C$2:$C$1577,'Site Level Financials - ''23 ''24'!AA$2:AA$1577)</f>
        <v>144.32449069323221</v>
      </c>
      <c r="P1397" s="242">
        <f>_xlfn.XLOOKUP($C1397,'Site Level Financials - ''23 ''24'!$C$2:$C$1577,'Site Level Financials - ''23 ''24'!AB$2:AB$1577)</f>
        <v>127.73962406550264</v>
      </c>
      <c r="Q1397" s="242">
        <f>_xlfn.XLOOKUP($C1397,'Site Level Financials - ''23 ''24'!$C$2:$C$1577,'Site Level Financials - ''23 ''24'!AC$2:AC$1577)</f>
        <v>113.73788823406562</v>
      </c>
      <c r="R1397" s="242">
        <f>_xlfn.XLOOKUP($C1397,'Site Level Financials - ''23 ''24'!$C$2:$C$1577,'Site Level Financials - ''23 ''24'!AD$2:AD$1577)</f>
        <v>99.047532326337191</v>
      </c>
      <c r="S1397" s="134">
        <f t="shared" ref="S1397:AD1397" si="4076">S1396*S1395</f>
        <v>146.50301144373955</v>
      </c>
      <c r="T1397" s="135">
        <f t="shared" si="4076"/>
        <v>247.3482023831132</v>
      </c>
      <c r="U1397" s="135">
        <f t="shared" si="4076"/>
        <v>265.59983681610402</v>
      </c>
      <c r="V1397" s="135">
        <f t="shared" si="4076"/>
        <v>284.50033082246864</v>
      </c>
      <c r="W1397" s="135">
        <f t="shared" si="4076"/>
        <v>338.13196795709166</v>
      </c>
      <c r="X1397" s="135">
        <f t="shared" si="4076"/>
        <v>283.94589609740694</v>
      </c>
      <c r="Y1397" s="135">
        <f t="shared" si="4076"/>
        <v>335.78995878573653</v>
      </c>
      <c r="Z1397" s="135">
        <f t="shared" si="4076"/>
        <v>287.93681081543173</v>
      </c>
      <c r="AA1397" s="135">
        <f t="shared" si="4076"/>
        <v>263.99113248229401</v>
      </c>
      <c r="AB1397" s="135">
        <f t="shared" si="4076"/>
        <v>303.19189937872494</v>
      </c>
      <c r="AC1397" s="135">
        <f t="shared" si="4076"/>
        <v>239.66378553147911</v>
      </c>
      <c r="AD1397" s="136">
        <f t="shared" si="4076"/>
        <v>195.61659017401951</v>
      </c>
      <c r="AE1397" s="15"/>
      <c r="AF1397" s="113">
        <f>_xlfn.XLOOKUP($C1397,'Site Level Financials - ''23 ''24'!$C$2:$C$1577,'Site Level Financials - ''23 ''24'!$AF$2:$AF$1577)</f>
        <v>1931.5454440133997</v>
      </c>
      <c r="AG1397" s="95">
        <f>SUM(G1397:R1397)</f>
        <v>1798.6388765888914</v>
      </c>
      <c r="AH1397" s="95">
        <f t="shared" ref="AH1397" si="4077">SUM(S1397:AD1397)</f>
        <v>3192.2194226876099</v>
      </c>
    </row>
    <row r="1398" spans="2:34" x14ac:dyDescent="0.2">
      <c r="B1398" s="9">
        <f>G1387</f>
        <v>29</v>
      </c>
      <c r="C1398" s="9" t="str">
        <f t="shared" si="4072"/>
        <v>29 - Revenue as a % of Production</v>
      </c>
      <c r="D1398" s="9" t="s">
        <v>56</v>
      </c>
      <c r="F1398" s="7" t="s">
        <v>2</v>
      </c>
      <c r="G1398" s="243">
        <f>_xlfn.XLOOKUP($C1398,'Site Level Financials - ''23 ''24'!$C$2:$C$1577,'Site Level Financials - ''23 ''24'!S$2:S$1577)</f>
        <v>0.97094222880116599</v>
      </c>
      <c r="H1398" s="244">
        <f>_xlfn.XLOOKUP($C1398,'Site Level Financials - ''23 ''24'!$C$2:$C$1577,'Site Level Financials - ''23 ''24'!T$2:T$1577)</f>
        <v>0.97094222880116599</v>
      </c>
      <c r="I1398" s="244">
        <f>_xlfn.XLOOKUP($C1398,'Site Level Financials - ''23 ''24'!$C$2:$C$1577,'Site Level Financials - ''23 ''24'!U$2:U$1577)</f>
        <v>0.97094222880116599</v>
      </c>
      <c r="J1398" s="244">
        <f>_xlfn.XLOOKUP($C1398,'Site Level Financials - ''23 ''24'!$C$2:$C$1577,'Site Level Financials - ''23 ''24'!V$2:V$1577)</f>
        <v>0.97094222880116599</v>
      </c>
      <c r="K1398" s="244">
        <f>_xlfn.XLOOKUP($C1398,'Site Level Financials - ''23 ''24'!$C$2:$C$1577,'Site Level Financials - ''23 ''24'!W$2:W$1577)</f>
        <v>0.97094222880116599</v>
      </c>
      <c r="L1398" s="244">
        <f>_xlfn.XLOOKUP($C1398,'Site Level Financials - ''23 ''24'!$C$2:$C$1577,'Site Level Financials - ''23 ''24'!X$2:X$1577)</f>
        <v>0.97094222880116599</v>
      </c>
      <c r="M1398" s="244">
        <f>_xlfn.XLOOKUP($C1398,'Site Level Financials - ''23 ''24'!$C$2:$C$1577,'Site Level Financials - ''23 ''24'!Y$2:Y$1577)</f>
        <v>0.97094222880116599</v>
      </c>
      <c r="N1398" s="244">
        <f>_xlfn.XLOOKUP($C1398,'Site Level Financials - ''23 ''24'!$C$2:$C$1577,'Site Level Financials - ''23 ''24'!Z$2:Z$1577)</f>
        <v>0.97094222880116599</v>
      </c>
      <c r="O1398" s="244">
        <f>_xlfn.XLOOKUP($C1398,'Site Level Financials - ''23 ''24'!$C$2:$C$1577,'Site Level Financials - ''23 ''24'!AA$2:AA$1577)</f>
        <v>0.97094222880116599</v>
      </c>
      <c r="P1398" s="244">
        <f>_xlfn.XLOOKUP($C1398,'Site Level Financials - ''23 ''24'!$C$2:$C$1577,'Site Level Financials - ''23 ''24'!AB$2:AB$1577)</f>
        <v>0.97094222880116599</v>
      </c>
      <c r="Q1398" s="244">
        <f>_xlfn.XLOOKUP($C1398,'Site Level Financials - ''23 ''24'!$C$2:$C$1577,'Site Level Financials - ''23 ''24'!AC$2:AC$1577)</f>
        <v>0.97094222880116599</v>
      </c>
      <c r="R1398" s="244">
        <f>_xlfn.XLOOKUP($C1398,'Site Level Financials - ''23 ''24'!$C$2:$C$1577,'Site Level Financials - ''23 ''24'!AD$2:AD$1577)</f>
        <v>0.97094222880116599</v>
      </c>
      <c r="S1398" s="292">
        <f>SUM(G1427:R1427)/SUM(G1397:R1397)</f>
        <v>0.9802897585975513</v>
      </c>
      <c r="T1398" s="203">
        <f>S1398</f>
        <v>0.9802897585975513</v>
      </c>
      <c r="U1398" s="203">
        <f t="shared" ref="U1398:AD1398" si="4078">T1398</f>
        <v>0.9802897585975513</v>
      </c>
      <c r="V1398" s="203">
        <f t="shared" si="4078"/>
        <v>0.9802897585975513</v>
      </c>
      <c r="W1398" s="203">
        <f t="shared" si="4078"/>
        <v>0.9802897585975513</v>
      </c>
      <c r="X1398" s="203">
        <f t="shared" si="4078"/>
        <v>0.9802897585975513</v>
      </c>
      <c r="Y1398" s="203">
        <f t="shared" si="4078"/>
        <v>0.9802897585975513</v>
      </c>
      <c r="Z1398" s="203">
        <f t="shared" si="4078"/>
        <v>0.9802897585975513</v>
      </c>
      <c r="AA1398" s="203">
        <f t="shared" si="4078"/>
        <v>0.9802897585975513</v>
      </c>
      <c r="AB1398" s="203">
        <f t="shared" si="4078"/>
        <v>0.9802897585975513</v>
      </c>
      <c r="AC1398" s="203">
        <f t="shared" si="4078"/>
        <v>0.9802897585975513</v>
      </c>
      <c r="AD1398" s="204">
        <f t="shared" si="4078"/>
        <v>0.9802897585975513</v>
      </c>
      <c r="AE1398" s="15"/>
      <c r="AF1398" s="231">
        <f>_xlfn.XLOOKUP($C1398,'Site Level Financials - ''23 ''24'!$C$2:$C$1577,'Site Level Financials - ''23 ''24'!$AF$2:$AF$1577)</f>
        <v>0.97548866886333252</v>
      </c>
      <c r="AG1398" s="103">
        <f>AG1399/AG1397</f>
        <v>0.97094222880116587</v>
      </c>
      <c r="AH1398" s="103">
        <f>AH1399/AH1397</f>
        <v>0.98028975859755108</v>
      </c>
    </row>
    <row r="1399" spans="2:34" x14ac:dyDescent="0.2">
      <c r="B1399" s="9">
        <f>G1387</f>
        <v>29</v>
      </c>
      <c r="C1399" s="9" t="str">
        <f t="shared" si="4072"/>
        <v>29 - Total Revenue</v>
      </c>
      <c r="D1399" s="9" t="s">
        <v>56</v>
      </c>
      <c r="F1399" s="8" t="s">
        <v>3</v>
      </c>
      <c r="G1399" s="241">
        <f>_xlfn.XLOOKUP($C1399,'Site Level Financials - ''23 ''24'!$C$2:$C$1577,'Site Level Financials - ''23 ''24'!S$2:S$1577)</f>
        <v>152.29991050103874</v>
      </c>
      <c r="H1399" s="242">
        <f>_xlfn.XLOOKUP($C1399,'Site Level Financials - ''23 ''24'!$C$2:$C$1577,'Site Level Financials - ''23 ''24'!T$2:T$1577)</f>
        <v>137.66372772634935</v>
      </c>
      <c r="I1399" s="242">
        <f>_xlfn.XLOOKUP($C1399,'Site Level Financials - ''23 ''24'!$C$2:$C$1577,'Site Level Financials - ''23 ''24'!U$2:U$1577)</f>
        <v>148.0237450661821</v>
      </c>
      <c r="J1399" s="242">
        <f>_xlfn.XLOOKUP($C1399,'Site Level Financials - ''23 ''24'!$C$2:$C$1577,'Site Level Financials - ''23 ''24'!V$2:V$1577)</f>
        <v>147.66257453025179</v>
      </c>
      <c r="K1399" s="242">
        <f>_xlfn.XLOOKUP($C1399,'Site Level Financials - ''23 ''24'!$C$2:$C$1577,'Site Level Financials - ''23 ''24'!W$2:W$1577)</f>
        <v>206.58482832478083</v>
      </c>
      <c r="L1399" s="242">
        <f>_xlfn.XLOOKUP($C1399,'Site Level Financials - ''23 ''24'!$C$2:$C$1577,'Site Level Financials - ''23 ''24'!X$2:X$1577)</f>
        <v>173.18523690022974</v>
      </c>
      <c r="M1399" s="242">
        <f>_xlfn.XLOOKUP($C1399,'Site Level Financials - ''23 ''24'!$C$2:$C$1577,'Site Level Financials - ''23 ''24'!Y$2:Y$1577)</f>
        <v>173.9194914763878</v>
      </c>
      <c r="N1399" s="242">
        <f>_xlfn.XLOOKUP($C1399,'Site Level Financials - ''23 ''24'!$C$2:$C$1577,'Site Level Financials - ''23 ''24'!Z$2:Z$1577)</f>
        <v>136.27403666244996</v>
      </c>
      <c r="O1399" s="242">
        <f>_xlfn.XLOOKUP($C1399,'Site Level Financials - ''23 ''24'!$C$2:$C$1577,'Site Level Financials - ''23 ''24'!AA$2:AA$1577)</f>
        <v>140.13074266428001</v>
      </c>
      <c r="P1399" s="242">
        <f>_xlfn.XLOOKUP($C1399,'Site Level Financials - ''23 ''24'!$C$2:$C$1577,'Site Level Financials - ''23 ''24'!AB$2:AB$1577)</f>
        <v>124.02779529638219</v>
      </c>
      <c r="Q1399" s="242">
        <f>_xlfn.XLOOKUP($C1399,'Site Level Financials - ''23 ''24'!$C$2:$C$1577,'Site Level Financials - ''23 ''24'!AC$2:AC$1577)</f>
        <v>110.43291870112159</v>
      </c>
      <c r="R1399" s="242">
        <f>_xlfn.XLOOKUP($C1399,'Site Level Financials - ''23 ''24'!$C$2:$C$1577,'Site Level Financials - ''23 ''24'!AD$2:AD$1577)</f>
        <v>96.169431794189364</v>
      </c>
      <c r="S1399" s="134">
        <f t="shared" ref="S1399:AD1399" si="4079">S1398*S1397</f>
        <v>143.61540172199773</v>
      </c>
      <c r="T1399" s="135">
        <f t="shared" si="4079"/>
        <v>242.47290960368031</v>
      </c>
      <c r="U1399" s="135">
        <f t="shared" si="4079"/>
        <v>260.3647999160076</v>
      </c>
      <c r="V1399" s="135">
        <f t="shared" si="4079"/>
        <v>278.89276062288127</v>
      </c>
      <c r="W1399" s="135">
        <f t="shared" si="4079"/>
        <v>331.46730524277234</v>
      </c>
      <c r="X1399" s="135">
        <f t="shared" si="4079"/>
        <v>278.34925394009241</v>
      </c>
      <c r="Y1399" s="135">
        <f t="shared" si="4079"/>
        <v>329.17145763755138</v>
      </c>
      <c r="Z1399" s="135">
        <f t="shared" si="4079"/>
        <v>282.26150676560837</v>
      </c>
      <c r="AA1399" s="135">
        <f t="shared" si="4079"/>
        <v>258.78780353296219</v>
      </c>
      <c r="AB1399" s="135">
        <f t="shared" si="4079"/>
        <v>297.21591385070332</v>
      </c>
      <c r="AC1399" s="135">
        <f t="shared" si="4079"/>
        <v>234.93995446322896</v>
      </c>
      <c r="AD1399" s="136">
        <f t="shared" si="4079"/>
        <v>191.76093995936571</v>
      </c>
      <c r="AE1399" s="15"/>
      <c r="AF1399" s="113">
        <f>_xlfn.XLOOKUP($C1399,'Site Level Financials - ''23 ''24'!$C$2:$C$1577,'Site Level Financials - ''23 ''24'!$AF$2:$AF$1577)</f>
        <v>1884.2006940296658</v>
      </c>
      <c r="AG1399" s="95">
        <f>SUM(G1399:R1399)</f>
        <v>1746.3744396436434</v>
      </c>
      <c r="AH1399" s="95">
        <f t="shared" ref="AH1399" si="4080">SUM(S1399:AD1399)</f>
        <v>3129.3000072568511</v>
      </c>
    </row>
    <row r="1400" spans="2:34" x14ac:dyDescent="0.2">
      <c r="B1400" s="9">
        <f>G1387</f>
        <v>29</v>
      </c>
      <c r="C1400" s="9" t="str">
        <f t="shared" si="4072"/>
        <v>29 - % YoY Revenue Growth</v>
      </c>
      <c r="D1400" s="9" t="s">
        <v>56</v>
      </c>
      <c r="F1400" s="16" t="s">
        <v>174</v>
      </c>
      <c r="G1400" s="245">
        <f>_xlfn.XLOOKUP($C1400,'Site Level Financials - ''23 ''24'!$C$2:$C$1577,'Site Level Financials - ''23 ''24'!S$2:S$1577)</f>
        <v>7.327730386152087E-2</v>
      </c>
      <c r="H1400" s="246">
        <f>_xlfn.XLOOKUP($C1400,'Site Level Financials - ''23 ''24'!$C$2:$C$1577,'Site Level Financials - ''23 ''24'!T$2:T$1577)</f>
        <v>5.4425981638015486E-3</v>
      </c>
      <c r="I1400" s="246">
        <f>_xlfn.XLOOKUP($C1400,'Site Level Financials - ''23 ''24'!$C$2:$C$1577,'Site Level Financials - ''23 ''24'!U$2:U$1577)</f>
        <v>-0.11025668023204493</v>
      </c>
      <c r="J1400" s="246">
        <f>_xlfn.XLOOKUP($C1400,'Site Level Financials - ''23 ''24'!$C$2:$C$1577,'Site Level Financials - ''23 ''24'!V$2:V$1577)</f>
        <v>-6.545541490300022E-2</v>
      </c>
      <c r="K1400" s="246">
        <f>_xlfn.XLOOKUP($C1400,'Site Level Financials - ''23 ''24'!$C$2:$C$1577,'Site Level Financials - ''23 ''24'!W$2:W$1577)</f>
        <v>3.7026686221629745E-2</v>
      </c>
      <c r="L1400" s="246">
        <f>_xlfn.XLOOKUP($C1400,'Site Level Financials - ''23 ''24'!$C$2:$C$1577,'Site Level Financials - ''23 ''24'!X$2:X$1577)</f>
        <v>-0.12725615165854065</v>
      </c>
      <c r="M1400" s="246">
        <f>_xlfn.XLOOKUP($C1400,'Site Level Financials - ''23 ''24'!$C$2:$C$1577,'Site Level Financials - ''23 ''24'!Y$2:Y$1577)</f>
        <v>-9.1855605983626187E-3</v>
      </c>
      <c r="N1400" s="246">
        <f>_xlfn.XLOOKUP($C1400,'Site Level Financials - ''23 ''24'!$C$2:$C$1577,'Site Level Financials - ''23 ''24'!Z$2:Z$1577)</f>
        <v>-0.15831788074724928</v>
      </c>
      <c r="O1400" s="246">
        <f>_xlfn.XLOOKUP($C1400,'Site Level Financials - ''23 ''24'!$C$2:$C$1577,'Site Level Financials - ''23 ''24'!AA$2:AA$1577)</f>
        <v>-0.10130080640040029</v>
      </c>
      <c r="P1400" s="246">
        <f>_xlfn.XLOOKUP($C1400,'Site Level Financials - ''23 ''24'!$C$2:$C$1577,'Site Level Financials - ''23 ''24'!AB$2:AB$1577)</f>
        <v>-0.1912923170141505</v>
      </c>
      <c r="Q1400" s="246">
        <f>_xlfn.XLOOKUP($C1400,'Site Level Financials - ''23 ''24'!$C$2:$C$1577,'Site Level Financials - ''23 ''24'!AC$2:AC$1577)</f>
        <v>-0.15943520381614684</v>
      </c>
      <c r="R1400" s="246">
        <f>_xlfn.XLOOKUP($C1400,'Site Level Financials - ''23 ''24'!$C$2:$C$1577,'Site Level Financials - ''23 ''24'!AD$2:AD$1577)</f>
        <v>-8.62994884249636E-2</v>
      </c>
      <c r="S1400" s="148">
        <f>S1399/G1399-1</f>
        <v>-5.7022415512068103E-2</v>
      </c>
      <c r="T1400" s="149">
        <f t="shared" ref="T1400" si="4081">T1399/H1399-1</f>
        <v>0.76134202965702547</v>
      </c>
      <c r="U1400" s="149">
        <f t="shared" ref="U1400" si="4082">U1399/I1399-1</f>
        <v>0.75893941745358018</v>
      </c>
      <c r="V1400" s="149">
        <f t="shared" ref="V1400" si="4083">V1399/J1399-1</f>
        <v>0.88871663324374861</v>
      </c>
      <c r="W1400" s="149">
        <f t="shared" ref="W1400" si="4084">W1399/K1399-1</f>
        <v>0.6045094304875982</v>
      </c>
      <c r="X1400" s="149">
        <f t="shared" ref="X1400" si="4085">X1399/L1399-1</f>
        <v>0.60723430543012502</v>
      </c>
      <c r="Y1400" s="149">
        <f t="shared" ref="Y1400" si="4086">Y1399/M1399-1</f>
        <v>0.89266570896247921</v>
      </c>
      <c r="Z1400" s="149">
        <f t="shared" ref="Z1400" si="4087">Z1399/N1399-1</f>
        <v>1.0712786799202885</v>
      </c>
      <c r="AA1400" s="149">
        <f t="shared" ref="AA1400" si="4088">AA1399/O1399-1</f>
        <v>0.84675966609951048</v>
      </c>
      <c r="AB1400" s="149">
        <f t="shared" ref="AB1400" si="4089">AB1399/P1399-1</f>
        <v>1.3963653722979052</v>
      </c>
      <c r="AC1400" s="149">
        <f t="shared" ref="AC1400" si="4090">AC1399/Q1399-1</f>
        <v>1.1274449432879368</v>
      </c>
      <c r="AD1400" s="150">
        <f t="shared" ref="AD1400" si="4091">AD1399/R1399-1</f>
        <v>0.99399056833100752</v>
      </c>
      <c r="AE1400" s="15"/>
      <c r="AF1400" s="11"/>
      <c r="AG1400" s="97">
        <f>AG1399/AF1399-1</f>
        <v>-7.3148393811095946E-2</v>
      </c>
      <c r="AH1400" s="97">
        <f>AH1399/AG1399-1</f>
        <v>0.79188376571487185</v>
      </c>
    </row>
    <row r="1401" spans="2:34" ht="6" customHeight="1" x14ac:dyDescent="0.2">
      <c r="B1401" s="9">
        <f>G1387</f>
        <v>29</v>
      </c>
      <c r="C1401" s="9" t="str">
        <f t="shared" si="4072"/>
        <v xml:space="preserve">29 - </v>
      </c>
      <c r="D1401" s="9" t="s">
        <v>56</v>
      </c>
      <c r="G1401" s="80"/>
      <c r="H1401" s="63"/>
      <c r="I1401" s="63"/>
      <c r="J1401" s="63"/>
      <c r="K1401" s="63"/>
      <c r="L1401" s="63"/>
      <c r="M1401" s="63"/>
      <c r="N1401" s="63"/>
      <c r="O1401" s="63"/>
      <c r="P1401" s="63"/>
      <c r="Q1401" s="63"/>
      <c r="R1401" s="63"/>
      <c r="S1401" s="80"/>
      <c r="T1401" s="63"/>
      <c r="U1401" s="63"/>
      <c r="V1401" s="63"/>
      <c r="W1401" s="63"/>
      <c r="X1401" s="63"/>
      <c r="Y1401" s="63"/>
      <c r="Z1401" s="63"/>
      <c r="AA1401" s="63"/>
      <c r="AB1401" s="63"/>
      <c r="AC1401" s="63"/>
      <c r="AD1401" s="81"/>
      <c r="AE1401" s="15"/>
      <c r="AF1401" s="11"/>
      <c r="AG1401" s="15"/>
      <c r="AH1401" s="15"/>
    </row>
    <row r="1402" spans="2:34" x14ac:dyDescent="0.2">
      <c r="B1402" s="9">
        <f>G1387</f>
        <v>29</v>
      </c>
      <c r="C1402" s="9" t="str">
        <f t="shared" si="4072"/>
        <v>29 - Doctor Compensation</v>
      </c>
      <c r="D1402" s="9" t="s">
        <v>56</v>
      </c>
      <c r="F1402" t="s">
        <v>4</v>
      </c>
      <c r="G1402" s="178">
        <f>_xlfn.XLOOKUP($C1402,'Site Level Financials - ''23 ''24'!$C$2:$C$1577,'Site Level Financials - ''23 ''24'!S$2:S$1577)</f>
        <v>-53.413745885304998</v>
      </c>
      <c r="H1402" s="179">
        <f>_xlfn.XLOOKUP($C1402,'Site Level Financials - ''23 ''24'!$C$2:$C$1577,'Site Level Financials - ''23 ''24'!T$2:T$1577)</f>
        <v>-47.960672753636501</v>
      </c>
      <c r="I1402" s="179">
        <f>_xlfn.XLOOKUP($C1402,'Site Level Financials - ''23 ''24'!$C$2:$C$1577,'Site Level Financials - ''23 ''24'!U$2:U$1577)</f>
        <v>-52.555041649731884</v>
      </c>
      <c r="J1402" s="179">
        <f>_xlfn.XLOOKUP($C1402,'Site Level Financials - ''23 ''24'!$C$2:$C$1577,'Site Level Financials - ''23 ''24'!V$2:V$1577)</f>
        <v>-52.92125209370483</v>
      </c>
      <c r="K1402" s="179">
        <f>_xlfn.XLOOKUP($C1402,'Site Level Financials - ''23 ''24'!$C$2:$C$1577,'Site Level Financials - ''23 ''24'!W$2:W$1577)</f>
        <v>-72.539914873792142</v>
      </c>
      <c r="L1402" s="179">
        <f>_xlfn.XLOOKUP($C1402,'Site Level Financials - ''23 ''24'!$C$2:$C$1577,'Site Level Financials - ''23 ''24'!X$2:X$1577)</f>
        <v>-61.239992833546516</v>
      </c>
      <c r="M1402" s="179">
        <f>_xlfn.XLOOKUP($C1402,'Site Level Financials - ''23 ''24'!$C$2:$C$1577,'Site Level Financials - ''23 ''24'!Y$2:Y$1577)</f>
        <v>-62.968294095931704</v>
      </c>
      <c r="N1402" s="179">
        <f>_xlfn.XLOOKUP($C1402,'Site Level Financials - ''23 ''24'!$C$2:$C$1577,'Site Level Financials - ''23 ''24'!Z$2:Z$1577)</f>
        <v>-48.426160583096866</v>
      </c>
      <c r="O1402" s="179">
        <f>_xlfn.XLOOKUP($C1402,'Site Level Financials - ''23 ''24'!$C$2:$C$1577,'Site Level Financials - ''23 ''24'!AA$2:AA$1577)</f>
        <v>-48.785375782032467</v>
      </c>
      <c r="P1402" s="179">
        <f>_xlfn.XLOOKUP($C1402,'Site Level Financials - ''23 ''24'!$C$2:$C$1577,'Site Level Financials - ''23 ''24'!AB$2:AB$1577)</f>
        <v>-41.948972819195866</v>
      </c>
      <c r="Q1402" s="179">
        <f>_xlfn.XLOOKUP($C1402,'Site Level Financials - ''23 ''24'!$C$2:$C$1577,'Site Level Financials - ''23 ''24'!AC$2:AC$1577)</f>
        <v>-37.645410510621574</v>
      </c>
      <c r="R1402" s="179">
        <f>_xlfn.XLOOKUP($C1402,'Site Level Financials - ''23 ''24'!$C$2:$C$1577,'Site Level Financials - ''23 ''24'!AD$2:AD$1577)</f>
        <v>-32.049299366121801</v>
      </c>
      <c r="S1402" s="155">
        <f>S1403*S1399</f>
        <v>-50.367965073377121</v>
      </c>
      <c r="T1402" s="154">
        <f t="shared" ref="T1402" si="4092">T1403*T1399</f>
        <v>-84.47514869160652</v>
      </c>
      <c r="U1402" s="154">
        <f t="shared" ref="U1402" si="4093">U1403*U1399</f>
        <v>-92.441134343628036</v>
      </c>
      <c r="V1402" s="154">
        <f t="shared" ref="V1402" si="4094">V1403*V1399</f>
        <v>-99.95324908146587</v>
      </c>
      <c r="W1402" s="154">
        <f t="shared" ref="W1402" si="4095">W1403*W1399</f>
        <v>-116.39097750176708</v>
      </c>
      <c r="X1402" s="154">
        <f t="shared" ref="X1402" si="4096">X1403*X1399</f>
        <v>-98.427017346370974</v>
      </c>
      <c r="Y1402" s="154">
        <f t="shared" ref="Y1402" si="4097">Y1403*Y1399</f>
        <v>-119.17793098723448</v>
      </c>
      <c r="Z1402" s="154">
        <f t="shared" ref="Z1402" si="4098">Z1403*Z1399</f>
        <v>-100.30407396616481</v>
      </c>
      <c r="AA1402" s="154">
        <f t="shared" ref="AA1402" si="4099">AA1403*AA1399</f>
        <v>-90.094864289765425</v>
      </c>
      <c r="AB1402" s="154">
        <f t="shared" ref="AB1402" si="4100">AB1403*AB1399</f>
        <v>-100.52506586738701</v>
      </c>
      <c r="AC1402" s="154">
        <f t="shared" ref="AC1402" si="4101">AC1403*AC1399</f>
        <v>-80.088538228820411</v>
      </c>
      <c r="AD1402" s="156">
        <f t="shared" ref="AD1402" si="4102">AD1403*AD1399</f>
        <v>-63.90600065766381</v>
      </c>
      <c r="AE1402" s="15"/>
      <c r="AF1402" s="115">
        <f>_xlfn.XLOOKUP($C1402,'Site Level Financials - ''23 ''24'!$C$2:$C$1577,'Site Level Financials - ''23 ''24'!$AF$2:$AF$1577)</f>
        <v>-657.80973833038638</v>
      </c>
      <c r="AG1402" s="93">
        <f>SUM(G1402:R1402)</f>
        <v>-612.45413324671711</v>
      </c>
      <c r="AH1402" s="93">
        <f t="shared" ref="AH1402" si="4103">SUM(S1402:AD1402)</f>
        <v>-1096.1519660352515</v>
      </c>
    </row>
    <row r="1403" spans="2:34" x14ac:dyDescent="0.2">
      <c r="B1403" s="9">
        <f>G1387</f>
        <v>29</v>
      </c>
      <c r="C1403" s="9" t="str">
        <f t="shared" si="4072"/>
        <v>29 - % of Revenue - Doctor Compensation</v>
      </c>
      <c r="D1403" s="9" t="s">
        <v>56</v>
      </c>
      <c r="F1403" s="16" t="str">
        <f>"% of Revenue - "&amp;F1402</f>
        <v>% of Revenue - Doctor Compensation</v>
      </c>
      <c r="G1403" s="148">
        <f>G1402/G1399</f>
        <v>-0.35071423029457854</v>
      </c>
      <c r="H1403" s="149">
        <f t="shared" ref="H1403:R1403" si="4104">H1402/H1399</f>
        <v>-0.3483900483137698</v>
      </c>
      <c r="I1403" s="149">
        <f t="shared" si="4104"/>
        <v>-0.35504466953078562</v>
      </c>
      <c r="J1403" s="149">
        <f t="shared" si="4104"/>
        <v>-0.35839312880775215</v>
      </c>
      <c r="K1403" s="149">
        <f t="shared" si="4104"/>
        <v>-0.35113863618169017</v>
      </c>
      <c r="L1403" s="149">
        <f t="shared" si="4104"/>
        <v>-0.35360977603897181</v>
      </c>
      <c r="M1403" s="149">
        <f t="shared" si="4104"/>
        <v>-0.36205426753148368</v>
      </c>
      <c r="N1403" s="149">
        <f t="shared" si="4104"/>
        <v>-0.35535867116821529</v>
      </c>
      <c r="O1403" s="149">
        <f t="shared" si="4104"/>
        <v>-0.34814184849437818</v>
      </c>
      <c r="P1403" s="149">
        <f t="shared" si="4104"/>
        <v>-0.33822235345676172</v>
      </c>
      <c r="Q1403" s="149">
        <f t="shared" si="4104"/>
        <v>-0.34088939198017626</v>
      </c>
      <c r="R1403" s="149">
        <f t="shared" si="4104"/>
        <v>-0.3332586952859406</v>
      </c>
      <c r="S1403" s="245">
        <f>_xlfn.XLOOKUP($F1403,'Budget Assumption Driver'!$A$33:$A$39,'Budget Assumption Driver'!E$33:E$39)+G1403</f>
        <v>-0.35071423029457854</v>
      </c>
      <c r="T1403" s="246">
        <f>_xlfn.XLOOKUP($F1403,'Budget Assumption Driver'!$A$33:$A$39,'Budget Assumption Driver'!F$33:F$39)+H1403</f>
        <v>-0.3483900483137698</v>
      </c>
      <c r="U1403" s="246">
        <f>_xlfn.XLOOKUP($F1403,'Budget Assumption Driver'!$A$33:$A$39,'Budget Assumption Driver'!G$33:G$39)+I1403</f>
        <v>-0.35504466953078562</v>
      </c>
      <c r="V1403" s="246">
        <f>_xlfn.XLOOKUP($F1403,'Budget Assumption Driver'!$A$33:$A$39,'Budget Assumption Driver'!H$33:H$39)+J1403</f>
        <v>-0.35839312880775215</v>
      </c>
      <c r="W1403" s="246">
        <f>_xlfn.XLOOKUP($F1403,'Budget Assumption Driver'!$A$33:$A$39,'Budget Assumption Driver'!I$33:I$39)+K1403</f>
        <v>-0.35113863618169017</v>
      </c>
      <c r="X1403" s="246">
        <f>_xlfn.XLOOKUP($F1403,'Budget Assumption Driver'!$A$33:$A$39,'Budget Assumption Driver'!J$33:J$39)+L1403</f>
        <v>-0.35360977603897181</v>
      </c>
      <c r="Y1403" s="246">
        <f>_xlfn.XLOOKUP($F1403,'Budget Assumption Driver'!$A$33:$A$39,'Budget Assumption Driver'!K$33:K$39)+M1403</f>
        <v>-0.36205426753148368</v>
      </c>
      <c r="Z1403" s="246">
        <f>_xlfn.XLOOKUP($F1403,'Budget Assumption Driver'!$A$33:$A$39,'Budget Assumption Driver'!L$33:L$39)+N1403</f>
        <v>-0.35535867116821529</v>
      </c>
      <c r="AA1403" s="246">
        <f>_xlfn.XLOOKUP($F1403,'Budget Assumption Driver'!$A$33:$A$39,'Budget Assumption Driver'!M$33:M$39)+O1403</f>
        <v>-0.34814184849437818</v>
      </c>
      <c r="AB1403" s="246">
        <f>_xlfn.XLOOKUP($F1403,'Budget Assumption Driver'!$A$33:$A$39,'Budget Assumption Driver'!N$33:N$39)+P1403</f>
        <v>-0.33822235345676172</v>
      </c>
      <c r="AC1403" s="246">
        <f>_xlfn.XLOOKUP($F1403,'Budget Assumption Driver'!$A$33:$A$39,'Budget Assumption Driver'!O$33:O$39)+Q1403</f>
        <v>-0.34088939198017626</v>
      </c>
      <c r="AD1403" s="296">
        <f>_xlfn.XLOOKUP($F1403,'Budget Assumption Driver'!$A$33:$A$39,'Budget Assumption Driver'!P$33:P$39)+R1403</f>
        <v>-0.3332586952859406</v>
      </c>
      <c r="AE1403" s="15"/>
      <c r="AF1403" s="232">
        <f>_xlfn.XLOOKUP($C1403,'Site Level Financials - ''23 ''24'!$C$2:$C$1577,'Site Level Financials - ''23 ''24'!$AF$2:$AF$1577)</f>
        <v>-0.34911872202082389</v>
      </c>
      <c r="AG1403" s="97">
        <f t="shared" ref="AG1403:AH1403" si="4105">AG1402/AG1399</f>
        <v>-0.350700353454378</v>
      </c>
      <c r="AH1403" s="97">
        <f t="shared" si="4105"/>
        <v>-0.35028663390958792</v>
      </c>
    </row>
    <row r="1404" spans="2:34" ht="3" customHeight="1" x14ac:dyDescent="0.2">
      <c r="B1404" s="9">
        <f>G1387</f>
        <v>29</v>
      </c>
      <c r="C1404" s="9" t="str">
        <f t="shared" si="4072"/>
        <v xml:space="preserve">29 - </v>
      </c>
      <c r="D1404" s="9" t="s">
        <v>56</v>
      </c>
      <c r="F1404" s="16"/>
      <c r="G1404" s="84"/>
      <c r="H1404" s="85"/>
      <c r="I1404" s="85"/>
      <c r="J1404" s="85"/>
      <c r="K1404" s="85"/>
      <c r="L1404" s="85"/>
      <c r="M1404" s="85"/>
      <c r="N1404" s="85"/>
      <c r="O1404" s="85"/>
      <c r="P1404" s="85"/>
      <c r="Q1404" s="85"/>
      <c r="R1404" s="85"/>
      <c r="S1404" s="84"/>
      <c r="T1404" s="85"/>
      <c r="U1404" s="85"/>
      <c r="V1404" s="85"/>
      <c r="W1404" s="85"/>
      <c r="X1404" s="85"/>
      <c r="Y1404" s="85"/>
      <c r="Z1404" s="85"/>
      <c r="AA1404" s="85"/>
      <c r="AB1404" s="85"/>
      <c r="AC1404" s="85"/>
      <c r="AD1404" s="86"/>
      <c r="AE1404" s="15"/>
      <c r="AF1404" s="36"/>
      <c r="AG1404" s="38"/>
      <c r="AH1404" s="38"/>
    </row>
    <row r="1405" spans="2:34" x14ac:dyDescent="0.2">
      <c r="B1405" s="9">
        <f>G1387</f>
        <v>29</v>
      </c>
      <c r="C1405" s="9" t="str">
        <f t="shared" si="4072"/>
        <v>29 - Administrative Staff Compensation</v>
      </c>
      <c r="D1405" s="9" t="s">
        <v>56</v>
      </c>
      <c r="F1405" t="s">
        <v>5</v>
      </c>
      <c r="G1405" s="178">
        <f>_xlfn.XLOOKUP($C1405,'Site Level Financials - ''23 ''24'!$C$2:$C$1577,'Site Level Financials - ''23 ''24'!S$2:S$1577)</f>
        <v>-31.664939474152582</v>
      </c>
      <c r="H1405" s="179">
        <f>_xlfn.XLOOKUP($C1405,'Site Level Financials - ''23 ''24'!$C$2:$C$1577,'Site Level Financials - ''23 ''24'!T$2:T$1577)</f>
        <v>-27.852089601641588</v>
      </c>
      <c r="I1405" s="179">
        <f>_xlfn.XLOOKUP($C1405,'Site Level Financials - ''23 ''24'!$C$2:$C$1577,'Site Level Financials - ''23 ''24'!U$2:U$1577)</f>
        <v>-29.348562286398987</v>
      </c>
      <c r="J1405" s="179">
        <f>_xlfn.XLOOKUP($C1405,'Site Level Financials - ''23 ''24'!$C$2:$C$1577,'Site Level Financials - ''23 ''24'!V$2:V$1577)</f>
        <v>-28.532326574308161</v>
      </c>
      <c r="K1405" s="179">
        <f>_xlfn.XLOOKUP($C1405,'Site Level Financials - ''23 ''24'!$C$2:$C$1577,'Site Level Financials - ''23 ''24'!W$2:W$1577)</f>
        <v>-39.07763481426155</v>
      </c>
      <c r="L1405" s="179">
        <f>_xlfn.XLOOKUP($C1405,'Site Level Financials - ''23 ''24'!$C$2:$C$1577,'Site Level Financials - ''23 ''24'!X$2:X$1577)</f>
        <v>-34.444305906970953</v>
      </c>
      <c r="M1405" s="179">
        <f>_xlfn.XLOOKUP($C1405,'Site Level Financials - ''23 ''24'!$C$2:$C$1577,'Site Level Financials - ''23 ''24'!Y$2:Y$1577)</f>
        <v>-33.110860623307325</v>
      </c>
      <c r="N1405" s="179">
        <f>_xlfn.XLOOKUP($C1405,'Site Level Financials - ''23 ''24'!$C$2:$C$1577,'Site Level Financials - ''23 ''24'!Z$2:Z$1577)</f>
        <v>-27.136617231070488</v>
      </c>
      <c r="O1405" s="179">
        <f>_xlfn.XLOOKUP($C1405,'Site Level Financials - ''23 ''24'!$C$2:$C$1577,'Site Level Financials - ''23 ''24'!AA$2:AA$1577)</f>
        <v>-27.755568499023653</v>
      </c>
      <c r="P1405" s="179">
        <f>_xlfn.XLOOKUP($C1405,'Site Level Financials - ''23 ''24'!$C$2:$C$1577,'Site Level Financials - ''23 ''24'!AB$2:AB$1577)</f>
        <v>-23.873699759917884</v>
      </c>
      <c r="Q1405" s="179">
        <f>_xlfn.XLOOKUP($C1405,'Site Level Financials - ''23 ''24'!$C$2:$C$1577,'Site Level Financials - ''23 ''24'!AC$2:AC$1577)</f>
        <v>-21.067363465012207</v>
      </c>
      <c r="R1405" s="179">
        <f>_xlfn.XLOOKUP($C1405,'Site Level Financials - ''23 ''24'!$C$2:$C$1577,'Site Level Financials - ''23 ''24'!AD$2:AD$1577)</f>
        <v>-18.41370993577813</v>
      </c>
      <c r="S1405" s="155">
        <f>S1406*S1399</f>
        <v>-29.859328138292966</v>
      </c>
      <c r="T1405" s="154">
        <f t="shared" ref="T1405" si="4106">T1406*T1399</f>
        <v>-49.057056029144732</v>
      </c>
      <c r="U1405" s="154">
        <f t="shared" ref="U1405" si="4107">U1406*U1399</f>
        <v>-51.622343051138749</v>
      </c>
      <c r="V1405" s="154">
        <f t="shared" ref="V1405" si="4108">V1406*V1399</f>
        <v>-53.88947978603845</v>
      </c>
      <c r="W1405" s="154">
        <f t="shared" ref="W1405" si="4109">W1406*W1399</f>
        <v>-62.700433580633138</v>
      </c>
      <c r="X1405" s="154">
        <f t="shared" ref="X1405" si="4110">X1406*X1399</f>
        <v>-55.360070080413216</v>
      </c>
      <c r="Y1405" s="154">
        <f t="shared" ref="Y1405" si="4111">Y1406*Y1399</f>
        <v>-62.66779049596979</v>
      </c>
      <c r="Z1405" s="154">
        <f t="shared" ref="Z1405" si="4112">Z1406*Z1399</f>
        <v>-56.207496715873845</v>
      </c>
      <c r="AA1405" s="154">
        <f t="shared" ref="AA1405" si="4113">AA1406*AA1399</f>
        <v>-51.257864413659014</v>
      </c>
      <c r="AB1405" s="154">
        <f t="shared" ref="AB1405" si="4114">AB1406*AB1399</f>
        <v>-57.21010741330403</v>
      </c>
      <c r="AC1405" s="154">
        <f t="shared" ref="AC1405" si="4115">AC1406*AC1399</f>
        <v>-44.819655872049246</v>
      </c>
      <c r="AD1405" s="156">
        <f t="shared" ref="AD1405" si="4116">AD1406*AD1399</f>
        <v>-36.716763939924554</v>
      </c>
      <c r="AE1405" s="15"/>
      <c r="AF1405" s="115">
        <f>_xlfn.XLOOKUP($C1405,'Site Level Financials - ''23 ''24'!$C$2:$C$1577,'Site Level Financials - ''23 ''24'!$AF$2:$AF$1577)</f>
        <v>-399.94266976756614</v>
      </c>
      <c r="AG1405" s="93">
        <f>SUM(G1405:R1405)</f>
        <v>-342.27767817184349</v>
      </c>
      <c r="AH1405" s="93">
        <f t="shared" ref="AH1405" si="4117">SUM(S1405:AD1405)</f>
        <v>-611.36838951644177</v>
      </c>
    </row>
    <row r="1406" spans="2:34" x14ac:dyDescent="0.2">
      <c r="B1406" s="9">
        <f>G1387</f>
        <v>29</v>
      </c>
      <c r="C1406" s="9" t="str">
        <f t="shared" si="4072"/>
        <v>29 - % of Revenue - Administrative Staff Compensation</v>
      </c>
      <c r="D1406" s="9" t="s">
        <v>56</v>
      </c>
      <c r="F1406" s="16" t="str">
        <f>"% of Revenue - "&amp;F1405</f>
        <v>% of Revenue - Administrative Staff Compensation</v>
      </c>
      <c r="G1406" s="148">
        <f>G1405/G1399</f>
        <v>-0.20791174052552458</v>
      </c>
      <c r="H1406" s="149">
        <f t="shared" ref="H1406:R1406" si="4118">H1405/H1399</f>
        <v>-0.2023197400044732</v>
      </c>
      <c r="I1406" s="149">
        <f t="shared" si="4118"/>
        <v>-0.19826928627753007</v>
      </c>
      <c r="J1406" s="149">
        <f t="shared" si="4118"/>
        <v>-0.19322652788003986</v>
      </c>
      <c r="K1406" s="149">
        <f t="shared" si="4118"/>
        <v>-0.18916023568209922</v>
      </c>
      <c r="L1406" s="149">
        <f t="shared" si="4118"/>
        <v>-0.19888707908061454</v>
      </c>
      <c r="M1406" s="149">
        <f t="shared" si="4118"/>
        <v>-0.19038039004272631</v>
      </c>
      <c r="N1406" s="149">
        <f t="shared" si="4118"/>
        <v>-0.19913270271935762</v>
      </c>
      <c r="O1406" s="149">
        <f t="shared" si="4118"/>
        <v>-0.19806908870467779</v>
      </c>
      <c r="P1406" s="149">
        <f t="shared" si="4118"/>
        <v>-0.19248668980100997</v>
      </c>
      <c r="Q1406" s="149">
        <f t="shared" si="4118"/>
        <v>-0.19077068425610885</v>
      </c>
      <c r="R1406" s="149">
        <f t="shared" si="4118"/>
        <v>-0.19147154758265611</v>
      </c>
      <c r="S1406" s="245">
        <f>_xlfn.XLOOKUP($F1406,'Budget Assumption Driver'!$A$33:$A$39,'Budget Assumption Driver'!E$33:E$39)+G1406</f>
        <v>-0.20791174052552458</v>
      </c>
      <c r="T1406" s="246">
        <f>_xlfn.XLOOKUP($F1406,'Budget Assumption Driver'!$A$33:$A$39,'Budget Assumption Driver'!F$33:F$39)+H1406</f>
        <v>-0.2023197400044732</v>
      </c>
      <c r="U1406" s="246">
        <f>_xlfn.XLOOKUP($F1406,'Budget Assumption Driver'!$A$33:$A$39,'Budget Assumption Driver'!G$33:G$39)+I1406</f>
        <v>-0.19826928627753007</v>
      </c>
      <c r="V1406" s="246">
        <f>_xlfn.XLOOKUP($F1406,'Budget Assumption Driver'!$A$33:$A$39,'Budget Assumption Driver'!H$33:H$39)+J1406</f>
        <v>-0.19322652788003986</v>
      </c>
      <c r="W1406" s="246">
        <f>_xlfn.XLOOKUP($F1406,'Budget Assumption Driver'!$A$33:$A$39,'Budget Assumption Driver'!I$33:I$39)+K1406</f>
        <v>-0.18916023568209922</v>
      </c>
      <c r="X1406" s="246">
        <f>_xlfn.XLOOKUP($F1406,'Budget Assumption Driver'!$A$33:$A$39,'Budget Assumption Driver'!J$33:J$39)+L1406</f>
        <v>-0.19888707908061454</v>
      </c>
      <c r="Y1406" s="246">
        <f>_xlfn.XLOOKUP($F1406,'Budget Assumption Driver'!$A$33:$A$39,'Budget Assumption Driver'!K$33:K$39)+M1406</f>
        <v>-0.19038039004272631</v>
      </c>
      <c r="Z1406" s="246">
        <f>_xlfn.XLOOKUP($F1406,'Budget Assumption Driver'!$A$33:$A$39,'Budget Assumption Driver'!L$33:L$39)+N1406</f>
        <v>-0.19913270271935762</v>
      </c>
      <c r="AA1406" s="246">
        <f>_xlfn.XLOOKUP($F1406,'Budget Assumption Driver'!$A$33:$A$39,'Budget Assumption Driver'!M$33:M$39)+O1406</f>
        <v>-0.19806908870467779</v>
      </c>
      <c r="AB1406" s="246">
        <f>_xlfn.XLOOKUP($F1406,'Budget Assumption Driver'!$A$33:$A$39,'Budget Assumption Driver'!N$33:N$39)+P1406</f>
        <v>-0.19248668980100997</v>
      </c>
      <c r="AC1406" s="246">
        <f>_xlfn.XLOOKUP($F1406,'Budget Assumption Driver'!$A$33:$A$39,'Budget Assumption Driver'!O$33:O$39)+Q1406</f>
        <v>-0.19077068425610885</v>
      </c>
      <c r="AD1406" s="296">
        <f>_xlfn.XLOOKUP($F1406,'Budget Assumption Driver'!$A$33:$A$39,'Budget Assumption Driver'!P$33:P$39)+R1406</f>
        <v>-0.19147154758265611</v>
      </c>
      <c r="AE1406" s="15"/>
      <c r="AF1406" s="232">
        <f>_xlfn.XLOOKUP($C1406,'Site Level Financials - ''23 ''24'!$C$2:$C$1577,'Site Level Financials - ''23 ''24'!$AF$2:$AF$1577)</f>
        <v>-0.21226118376605865</v>
      </c>
      <c r="AG1406" s="97">
        <f t="shared" ref="AG1406:AH1406" si="4119">AG1405/AG1399</f>
        <v>-0.19599329353542702</v>
      </c>
      <c r="AH1406" s="97">
        <f t="shared" si="4119"/>
        <v>-0.1953690563700117</v>
      </c>
    </row>
    <row r="1407" spans="2:34" ht="3" customHeight="1" x14ac:dyDescent="0.2">
      <c r="B1407" s="9">
        <f>G1387</f>
        <v>29</v>
      </c>
      <c r="C1407" s="9" t="str">
        <f t="shared" si="4072"/>
        <v xml:space="preserve">29 - </v>
      </c>
      <c r="D1407" s="9" t="s">
        <v>56</v>
      </c>
      <c r="F1407" s="16"/>
      <c r="G1407" s="84"/>
      <c r="H1407" s="85"/>
      <c r="I1407" s="85"/>
      <c r="J1407" s="85"/>
      <c r="K1407" s="85"/>
      <c r="L1407" s="85"/>
      <c r="M1407" s="85"/>
      <c r="N1407" s="85"/>
      <c r="O1407" s="85"/>
      <c r="P1407" s="85"/>
      <c r="Q1407" s="85"/>
      <c r="R1407" s="85"/>
      <c r="S1407" s="84"/>
      <c r="T1407" s="85"/>
      <c r="U1407" s="85"/>
      <c r="V1407" s="85"/>
      <c r="W1407" s="85"/>
      <c r="X1407" s="85"/>
      <c r="Y1407" s="85"/>
      <c r="Z1407" s="85"/>
      <c r="AA1407" s="85"/>
      <c r="AB1407" s="85"/>
      <c r="AC1407" s="85"/>
      <c r="AD1407" s="86"/>
      <c r="AE1407" s="15"/>
      <c r="AF1407" s="36"/>
      <c r="AG1407" s="38"/>
      <c r="AH1407" s="38"/>
    </row>
    <row r="1408" spans="2:34" x14ac:dyDescent="0.2">
      <c r="B1408" s="9">
        <f>G1387</f>
        <v>29</v>
      </c>
      <c r="C1408" s="9" t="str">
        <f t="shared" si="4072"/>
        <v>29 - Office Supplies</v>
      </c>
      <c r="D1408" s="9" t="s">
        <v>56</v>
      </c>
      <c r="F1408" t="s">
        <v>6</v>
      </c>
      <c r="G1408" s="178">
        <f>_xlfn.XLOOKUP($C1408,'Site Level Financials - ''23 ''24'!$C$2:$C$1577,'Site Level Financials - ''23 ''24'!S$2:S$1577)</f>
        <v>-8.2429107803224753</v>
      </c>
      <c r="H1408" s="179">
        <f>_xlfn.XLOOKUP($C1408,'Site Level Financials - ''23 ''24'!$C$2:$C$1577,'Site Level Financials - ''23 ''24'!T$2:T$1577)</f>
        <v>-7.2294310817986398</v>
      </c>
      <c r="I1408" s="179">
        <f>_xlfn.XLOOKUP($C1408,'Site Level Financials - ''23 ''24'!$C$2:$C$1577,'Site Level Financials - ''23 ''24'!U$2:U$1577)</f>
        <v>-7.5170064958646279</v>
      </c>
      <c r="J1408" s="179">
        <f>_xlfn.XLOOKUP($C1408,'Site Level Financials - ''23 ''24'!$C$2:$C$1577,'Site Level Financials - ''23 ''24'!V$2:V$1577)</f>
        <v>-7.8878957644633809</v>
      </c>
      <c r="K1408" s="179">
        <f>_xlfn.XLOOKUP($C1408,'Site Level Financials - ''23 ''24'!$C$2:$C$1577,'Site Level Financials - ''23 ''24'!W$2:W$1577)</f>
        <v>-11.732792817318936</v>
      </c>
      <c r="L1408" s="179">
        <f>_xlfn.XLOOKUP($C1408,'Site Level Financials - ''23 ''24'!$C$2:$C$1577,'Site Level Financials - ''23 ''24'!X$2:X$1577)</f>
        <v>-9.3655548870728573</v>
      </c>
      <c r="M1408" s="179">
        <f>_xlfn.XLOOKUP($C1408,'Site Level Financials - ''23 ''24'!$C$2:$C$1577,'Site Level Financials - ''23 ''24'!Y$2:Y$1577)</f>
        <v>-9.0814472848471244</v>
      </c>
      <c r="N1408" s="179">
        <f>_xlfn.XLOOKUP($C1408,'Site Level Financials - ''23 ''24'!$C$2:$C$1577,'Site Level Financials - ''23 ''24'!Z$2:Z$1577)</f>
        <v>-6.9794442253839222</v>
      </c>
      <c r="O1408" s="179">
        <f>_xlfn.XLOOKUP($C1408,'Site Level Financials - ''23 ''24'!$C$2:$C$1577,'Site Level Financials - ''23 ''24'!AA$2:AA$1577)</f>
        <v>-7.3648618406645703</v>
      </c>
      <c r="P1408" s="179">
        <f>_xlfn.XLOOKUP($C1408,'Site Level Financials - ''23 ''24'!$C$2:$C$1577,'Site Level Financials - ''23 ''24'!AB$2:AB$1577)</f>
        <v>-6.9579243242983937</v>
      </c>
      <c r="Q1408" s="179">
        <f>_xlfn.XLOOKUP($C1408,'Site Level Financials - ''23 ''24'!$C$2:$C$1577,'Site Level Financials - ''23 ''24'!AC$2:AC$1577)</f>
        <v>-6.7288328608389216</v>
      </c>
      <c r="R1408" s="179">
        <f>_xlfn.XLOOKUP($C1408,'Site Level Financials - ''23 ''24'!$C$2:$C$1577,'Site Level Financials - ''23 ''24'!AD$2:AD$1577)</f>
        <v>-6.2806625373120095</v>
      </c>
      <c r="S1408" s="155">
        <f>S1409*S1399</f>
        <v>-7.7728800967780218</v>
      </c>
      <c r="T1408" s="154">
        <f t="shared" ref="T1408" si="4120">T1409*T1399</f>
        <v>-12.733500814880802</v>
      </c>
      <c r="U1408" s="154">
        <f t="shared" ref="U1408" si="4121">U1409*U1399</f>
        <v>-13.221959026830907</v>
      </c>
      <c r="V1408" s="154">
        <f t="shared" ref="V1408" si="4122">V1409*V1399</f>
        <v>-14.897999931634901</v>
      </c>
      <c r="W1408" s="154">
        <f t="shared" ref="W1408" si="4123">W1409*W1399</f>
        <v>-18.825376721345389</v>
      </c>
      <c r="X1408" s="154">
        <f t="shared" ref="X1408" si="4124">X1409*X1399</f>
        <v>-15.052641103892258</v>
      </c>
      <c r="Y1408" s="154">
        <f t="shared" ref="Y1408" si="4125">Y1409*Y1399</f>
        <v>-17.188143863780564</v>
      </c>
      <c r="Z1408" s="154">
        <f t="shared" ref="Z1408" si="4126">Z1409*Z1399</f>
        <v>-14.456374021730491</v>
      </c>
      <c r="AA1408" s="154">
        <f t="shared" ref="AA1408" si="4127">AA1409*AA1399</f>
        <v>-13.601129793734728</v>
      </c>
      <c r="AB1408" s="154">
        <f t="shared" ref="AB1408" si="4128">AB1409*AB1399</f>
        <v>-16.673728913817971</v>
      </c>
      <c r="AC1408" s="154">
        <f t="shared" ref="AC1408" si="4129">AC1409*AC1399</f>
        <v>-14.315221444021464</v>
      </c>
      <c r="AD1408" s="156">
        <f t="shared" ref="AD1408" si="4130">AD1409*AD1399</f>
        <v>-12.52358186227004</v>
      </c>
      <c r="AE1408" s="15"/>
      <c r="AF1408" s="115">
        <f>_xlfn.XLOOKUP($C1408,'Site Level Financials - ''23 ''24'!$C$2:$C$1577,'Site Level Financials - ''23 ''24'!$AF$2:$AF$1577)</f>
        <v>-99.323200679933279</v>
      </c>
      <c r="AG1408" s="93">
        <f>SUM(G1408:R1408)</f>
        <v>-95.368764900185852</v>
      </c>
      <c r="AH1408" s="93">
        <f t="shared" ref="AH1408" si="4131">SUM(S1408:AD1408)</f>
        <v>-171.26253759471754</v>
      </c>
    </row>
    <row r="1409" spans="2:34" x14ac:dyDescent="0.2">
      <c r="B1409" s="9">
        <f>G1387</f>
        <v>29</v>
      </c>
      <c r="C1409" s="9" t="str">
        <f t="shared" si="4072"/>
        <v>29 - % of Revenue - Office Supplies</v>
      </c>
      <c r="D1409" s="9" t="s">
        <v>56</v>
      </c>
      <c r="F1409" s="16" t="str">
        <f>"% of Revenue - "&amp;F1408</f>
        <v>% of Revenue - Office Supplies</v>
      </c>
      <c r="G1409" s="148">
        <f>G1408/G1399</f>
        <v>-5.4122886567725563E-2</v>
      </c>
      <c r="H1409" s="149">
        <f t="shared" ref="H1409:R1409" si="4132">H1408/H1399</f>
        <v>-5.2515148334276146E-2</v>
      </c>
      <c r="I1409" s="149">
        <f t="shared" si="4132"/>
        <v>-5.0782436915805231E-2</v>
      </c>
      <c r="J1409" s="149">
        <f t="shared" si="4132"/>
        <v>-5.3418381668859358E-2</v>
      </c>
      <c r="K1409" s="149">
        <f t="shared" si="4132"/>
        <v>-5.6794068143635947E-2</v>
      </c>
      <c r="L1409" s="149">
        <f t="shared" si="4132"/>
        <v>-5.4078252019069378E-2</v>
      </c>
      <c r="M1409" s="149">
        <f t="shared" si="4132"/>
        <v>-5.2216385913709203E-2</v>
      </c>
      <c r="N1409" s="149">
        <f t="shared" si="4132"/>
        <v>-5.1216243360222513E-2</v>
      </c>
      <c r="O1409" s="149">
        <f t="shared" si="4132"/>
        <v>-5.2557074205401386E-2</v>
      </c>
      <c r="P1409" s="149">
        <f t="shared" si="4132"/>
        <v>-5.6099717871074269E-2</v>
      </c>
      <c r="Q1409" s="149">
        <f t="shared" si="4132"/>
        <v>-6.0931404693287179E-2</v>
      </c>
      <c r="R1409" s="149">
        <f t="shared" si="4132"/>
        <v>-6.5308304521889585E-2</v>
      </c>
      <c r="S1409" s="245">
        <f>_xlfn.XLOOKUP($F1409,'Budget Assumption Driver'!$A$33:$A$39,'Budget Assumption Driver'!E$33:E$39)+G1409</f>
        <v>-5.4122886567725563E-2</v>
      </c>
      <c r="T1409" s="246">
        <f>_xlfn.XLOOKUP($F1409,'Budget Assumption Driver'!$A$33:$A$39,'Budget Assumption Driver'!F$33:F$39)+H1409</f>
        <v>-5.2515148334276146E-2</v>
      </c>
      <c r="U1409" s="246">
        <f>_xlfn.XLOOKUP($F1409,'Budget Assumption Driver'!$A$33:$A$39,'Budget Assumption Driver'!G$33:G$39)+I1409</f>
        <v>-5.0782436915805231E-2</v>
      </c>
      <c r="V1409" s="246">
        <f>_xlfn.XLOOKUP($F1409,'Budget Assumption Driver'!$A$33:$A$39,'Budget Assumption Driver'!H$33:H$39)+J1409</f>
        <v>-5.3418381668859358E-2</v>
      </c>
      <c r="W1409" s="246">
        <f>_xlfn.XLOOKUP($F1409,'Budget Assumption Driver'!$A$33:$A$39,'Budget Assumption Driver'!I$33:I$39)+K1409</f>
        <v>-5.6794068143635947E-2</v>
      </c>
      <c r="X1409" s="246">
        <f>_xlfn.XLOOKUP($F1409,'Budget Assumption Driver'!$A$33:$A$39,'Budget Assumption Driver'!J$33:J$39)+L1409</f>
        <v>-5.4078252019069378E-2</v>
      </c>
      <c r="Y1409" s="246">
        <f>_xlfn.XLOOKUP($F1409,'Budget Assumption Driver'!$A$33:$A$39,'Budget Assumption Driver'!K$33:K$39)+M1409</f>
        <v>-5.2216385913709203E-2</v>
      </c>
      <c r="Z1409" s="246">
        <f>_xlfn.XLOOKUP($F1409,'Budget Assumption Driver'!$A$33:$A$39,'Budget Assumption Driver'!L$33:L$39)+N1409</f>
        <v>-5.1216243360222513E-2</v>
      </c>
      <c r="AA1409" s="246">
        <f>_xlfn.XLOOKUP($F1409,'Budget Assumption Driver'!$A$33:$A$39,'Budget Assumption Driver'!M$33:M$39)+O1409</f>
        <v>-5.2557074205401386E-2</v>
      </c>
      <c r="AB1409" s="246">
        <f>_xlfn.XLOOKUP($F1409,'Budget Assumption Driver'!$A$33:$A$39,'Budget Assumption Driver'!N$33:N$39)+P1409</f>
        <v>-5.6099717871074269E-2</v>
      </c>
      <c r="AC1409" s="246">
        <f>_xlfn.XLOOKUP($F1409,'Budget Assumption Driver'!$A$33:$A$39,'Budget Assumption Driver'!O$33:O$39)+Q1409</f>
        <v>-6.0931404693287179E-2</v>
      </c>
      <c r="AD1409" s="296">
        <f>_xlfn.XLOOKUP($F1409,'Budget Assumption Driver'!$A$33:$A$39,'Budget Assumption Driver'!P$33:P$39)+R1409</f>
        <v>-6.5308304521889585E-2</v>
      </c>
      <c r="AE1409" s="15"/>
      <c r="AF1409" s="232">
        <f>_xlfn.XLOOKUP($C1409,'Site Level Financials - ''23 ''24'!$C$2:$C$1577,'Site Level Financials - ''23 ''24'!$AF$2:$AF$1577)</f>
        <v>-5.271370560187761E-2</v>
      </c>
      <c r="AG1409" s="97">
        <f t="shared" ref="AG1409:AH1409" si="4133">AG1408/AG1399</f>
        <v>-5.4609574404700018E-2</v>
      </c>
      <c r="AH1409" s="97">
        <f t="shared" si="4133"/>
        <v>-5.4728705204857148E-2</v>
      </c>
    </row>
    <row r="1410" spans="2:34" ht="6" customHeight="1" x14ac:dyDescent="0.2">
      <c r="B1410" s="9">
        <f>G1387</f>
        <v>29</v>
      </c>
      <c r="C1410" s="9" t="str">
        <f t="shared" si="4072"/>
        <v xml:space="preserve">29 - </v>
      </c>
      <c r="D1410" s="9" t="s">
        <v>56</v>
      </c>
      <c r="F1410" s="16"/>
      <c r="G1410" s="80"/>
      <c r="H1410" s="63"/>
      <c r="I1410" s="63"/>
      <c r="J1410" s="63"/>
      <c r="K1410" s="63"/>
      <c r="L1410" s="63"/>
      <c r="M1410" s="63"/>
      <c r="N1410" s="63"/>
      <c r="O1410" s="63"/>
      <c r="P1410" s="63"/>
      <c r="Q1410" s="63"/>
      <c r="R1410" s="63"/>
      <c r="S1410" s="80"/>
      <c r="T1410" s="63"/>
      <c r="U1410" s="63"/>
      <c r="V1410" s="63"/>
      <c r="W1410" s="63"/>
      <c r="X1410" s="63"/>
      <c r="Y1410" s="63"/>
      <c r="Z1410" s="63"/>
      <c r="AA1410" s="63"/>
      <c r="AB1410" s="63"/>
      <c r="AC1410" s="63"/>
      <c r="AD1410" s="81"/>
      <c r="AE1410" s="15"/>
      <c r="AF1410" s="11"/>
      <c r="AG1410" s="15"/>
      <c r="AH1410" s="15"/>
    </row>
    <row r="1411" spans="2:34" x14ac:dyDescent="0.2">
      <c r="B1411" s="9">
        <f>G1387</f>
        <v>29</v>
      </c>
      <c r="C1411" s="9" t="str">
        <f t="shared" si="4072"/>
        <v>29 - Office Gross Profit</v>
      </c>
      <c r="D1411" s="9" t="s">
        <v>56</v>
      </c>
      <c r="F1411" s="8" t="s">
        <v>11</v>
      </c>
      <c r="G1411" s="241">
        <f>_xlfn.XLOOKUP($C1411,'Site Level Financials - ''23 ''24'!$C$2:$C$1577,'Site Level Financials - ''23 ''24'!S$2:S$1577)</f>
        <v>58.978314361258683</v>
      </c>
      <c r="H1411" s="242">
        <f>_xlfn.XLOOKUP($C1411,'Site Level Financials - ''23 ''24'!$C$2:$C$1577,'Site Level Financials - ''23 ''24'!T$2:T$1577)</f>
        <v>54.621534289272624</v>
      </c>
      <c r="I1411" s="242">
        <f>_xlfn.XLOOKUP($C1411,'Site Level Financials - ''23 ''24'!$C$2:$C$1577,'Site Level Financials - ''23 ''24'!U$2:U$1577)</f>
        <v>58.603134634186596</v>
      </c>
      <c r="J1411" s="242">
        <f>_xlfn.XLOOKUP($C1411,'Site Level Financials - ''23 ''24'!$C$2:$C$1577,'Site Level Financials - ''23 ''24'!V$2:V$1577)</f>
        <v>58.321100097775428</v>
      </c>
      <c r="K1411" s="242">
        <f>_xlfn.XLOOKUP($C1411,'Site Level Financials - ''23 ''24'!$C$2:$C$1577,'Site Level Financials - ''23 ''24'!W$2:W$1577)</f>
        <v>83.234485819408206</v>
      </c>
      <c r="L1411" s="242">
        <f>_xlfn.XLOOKUP($C1411,'Site Level Financials - ''23 ''24'!$C$2:$C$1577,'Site Level Financials - ''23 ''24'!X$2:X$1577)</f>
        <v>68.135383272639402</v>
      </c>
      <c r="M1411" s="242">
        <f>_xlfn.XLOOKUP($C1411,'Site Level Financials - ''23 ''24'!$C$2:$C$1577,'Site Level Financials - ''23 ''24'!Y$2:Y$1577)</f>
        <v>68.758889472301647</v>
      </c>
      <c r="N1411" s="242">
        <f>_xlfn.XLOOKUP($C1411,'Site Level Financials - ''23 ''24'!$C$2:$C$1577,'Site Level Financials - ''23 ''24'!Z$2:Z$1577)</f>
        <v>53.731814622898675</v>
      </c>
      <c r="O1411" s="242">
        <f>_xlfn.XLOOKUP($C1411,'Site Level Financials - ''23 ''24'!$C$2:$C$1577,'Site Level Financials - ''23 ''24'!AA$2:AA$1577)</f>
        <v>56.224936542559306</v>
      </c>
      <c r="P1411" s="242">
        <f>_xlfn.XLOOKUP($C1411,'Site Level Financials - ''23 ''24'!$C$2:$C$1577,'Site Level Financials - ''23 ''24'!AB$2:AB$1577)</f>
        <v>51.247198392970041</v>
      </c>
      <c r="Q1411" s="242">
        <f>_xlfn.XLOOKUP($C1411,'Site Level Financials - ''23 ''24'!$C$2:$C$1577,'Site Level Financials - ''23 ''24'!AC$2:AC$1577)</f>
        <v>44.991311864648893</v>
      </c>
      <c r="R1411" s="242">
        <f>_xlfn.XLOOKUP($C1411,'Site Level Financials - ''23 ''24'!$C$2:$C$1577,'Site Level Financials - ''23 ''24'!AD$2:AD$1577)</f>
        <v>39.425759954977423</v>
      </c>
      <c r="S1411" s="134">
        <f t="shared" ref="S1411:AD1411" si="4134">S1399+S1402+S1405+S1408</f>
        <v>55.615228413549616</v>
      </c>
      <c r="T1411" s="135">
        <f t="shared" si="4134"/>
        <v>96.207204068048242</v>
      </c>
      <c r="U1411" s="135">
        <f t="shared" si="4134"/>
        <v>103.07936349440989</v>
      </c>
      <c r="V1411" s="135">
        <f t="shared" si="4134"/>
        <v>110.15203182374206</v>
      </c>
      <c r="W1411" s="135">
        <f t="shared" si="4134"/>
        <v>133.55051743902675</v>
      </c>
      <c r="X1411" s="135">
        <f t="shared" si="4134"/>
        <v>109.50952540941597</v>
      </c>
      <c r="Y1411" s="135">
        <f t="shared" si="4134"/>
        <v>130.13759229056654</v>
      </c>
      <c r="Z1411" s="135">
        <f t="shared" si="4134"/>
        <v>111.29356206183921</v>
      </c>
      <c r="AA1411" s="135">
        <f t="shared" si="4134"/>
        <v>103.83394503580301</v>
      </c>
      <c r="AB1411" s="135">
        <f t="shared" si="4134"/>
        <v>122.80701165619431</v>
      </c>
      <c r="AC1411" s="135">
        <f t="shared" si="4134"/>
        <v>95.716538918337818</v>
      </c>
      <c r="AD1411" s="136">
        <f t="shared" si="4134"/>
        <v>78.614593499507308</v>
      </c>
      <c r="AE1411" s="15"/>
      <c r="AF1411" s="114">
        <f>_xlfn.XLOOKUP($C1411,'Site Level Financials - ''23 ''24'!$C$2:$C$1577,'Site Level Financials - ''23 ''24'!$AF$2:$AF$1577)</f>
        <v>727.12508525177998</v>
      </c>
      <c r="AG1411" s="95">
        <f>SUM(G1411:R1411)</f>
        <v>696.27386332489687</v>
      </c>
      <c r="AH1411" s="95">
        <f t="shared" ref="AH1411" si="4135">SUM(S1411:AD1411)</f>
        <v>1250.5171141104406</v>
      </c>
    </row>
    <row r="1412" spans="2:34" x14ac:dyDescent="0.2">
      <c r="B1412" s="9">
        <f>G1387</f>
        <v>29</v>
      </c>
      <c r="C1412" s="9" t="str">
        <f t="shared" si="4072"/>
        <v>29 - % of Revenue - Office Gross Profit</v>
      </c>
      <c r="D1412" s="9" t="s">
        <v>56</v>
      </c>
      <c r="F1412" s="16" t="str">
        <f>"% of Revenue - "&amp;F1411</f>
        <v>% of Revenue - Office Gross Profit</v>
      </c>
      <c r="G1412" s="148">
        <f>G1411/G1399</f>
        <v>0.38725114261217131</v>
      </c>
      <c r="H1412" s="149">
        <f t="shared" ref="H1412:AD1412" si="4136">H1411/H1399</f>
        <v>0.39677506334748086</v>
      </c>
      <c r="I1412" s="149">
        <f t="shared" si="4136"/>
        <v>0.39590360727587903</v>
      </c>
      <c r="J1412" s="149">
        <f t="shared" si="4136"/>
        <v>0.39496196164334874</v>
      </c>
      <c r="K1412" s="149">
        <f t="shared" si="4136"/>
        <v>0.40290705999257465</v>
      </c>
      <c r="L1412" s="149">
        <f t="shared" si="4136"/>
        <v>0.39342489286134419</v>
      </c>
      <c r="M1412" s="149">
        <f t="shared" si="4136"/>
        <v>0.3953489565120808</v>
      </c>
      <c r="N1412" s="149">
        <f t="shared" si="4136"/>
        <v>0.39429238275220457</v>
      </c>
      <c r="O1412" s="149">
        <f t="shared" si="4136"/>
        <v>0.40123198859554254</v>
      </c>
      <c r="P1412" s="149">
        <f t="shared" si="4136"/>
        <v>0.41319123887115394</v>
      </c>
      <c r="Q1412" s="149">
        <f t="shared" si="4136"/>
        <v>0.40740851907042774</v>
      </c>
      <c r="R1412" s="149">
        <f t="shared" si="4136"/>
        <v>0.40996145260951372</v>
      </c>
      <c r="S1412" s="148">
        <f t="shared" si="4136"/>
        <v>0.38725114261217131</v>
      </c>
      <c r="T1412" s="149">
        <f t="shared" si="4136"/>
        <v>0.39677506334748081</v>
      </c>
      <c r="U1412" s="149">
        <f t="shared" si="4136"/>
        <v>0.39590360727587903</v>
      </c>
      <c r="V1412" s="149">
        <f t="shared" si="4136"/>
        <v>0.39496196164334868</v>
      </c>
      <c r="W1412" s="149">
        <f t="shared" si="4136"/>
        <v>0.4029070599925747</v>
      </c>
      <c r="X1412" s="149">
        <f t="shared" si="4136"/>
        <v>0.3934248928613443</v>
      </c>
      <c r="Y1412" s="149">
        <f t="shared" si="4136"/>
        <v>0.3953489565120808</v>
      </c>
      <c r="Z1412" s="149">
        <f t="shared" si="4136"/>
        <v>0.39429238275220446</v>
      </c>
      <c r="AA1412" s="149">
        <f t="shared" si="4136"/>
        <v>0.40123198859554265</v>
      </c>
      <c r="AB1412" s="149">
        <f t="shared" si="4136"/>
        <v>0.41319123887115405</v>
      </c>
      <c r="AC1412" s="149">
        <f t="shared" si="4136"/>
        <v>0.40740851907042763</v>
      </c>
      <c r="AD1412" s="150">
        <f t="shared" si="4136"/>
        <v>0.40996145260951367</v>
      </c>
      <c r="AE1412" s="15"/>
      <c r="AF1412" s="233">
        <f>_xlfn.XLOOKUP($C1412,'Site Level Financials - ''23 ''24'!$C$2:$C$1577,'Site Level Financials - ''23 ''24'!$AF$2:$AF$1577)</f>
        <v>0.38590638861123983</v>
      </c>
      <c r="AG1412" s="97">
        <f t="shared" ref="AG1412:AH1412" si="4137">AG1411/AG1399</f>
        <v>0.39869677860549485</v>
      </c>
      <c r="AH1412" s="97">
        <f t="shared" si="4137"/>
        <v>0.39961560451554329</v>
      </c>
    </row>
    <row r="1413" spans="2:34" ht="6" customHeight="1" x14ac:dyDescent="0.2">
      <c r="B1413" s="9">
        <f>G1387</f>
        <v>29</v>
      </c>
      <c r="C1413" s="9" t="str">
        <f t="shared" si="4072"/>
        <v xml:space="preserve">29 - </v>
      </c>
      <c r="D1413" s="9" t="s">
        <v>56</v>
      </c>
      <c r="F1413" s="16"/>
      <c r="G1413" s="80"/>
      <c r="H1413" s="63"/>
      <c r="I1413" s="63"/>
      <c r="J1413" s="63"/>
      <c r="K1413" s="63"/>
      <c r="L1413" s="63"/>
      <c r="M1413" s="63"/>
      <c r="N1413" s="63"/>
      <c r="O1413" s="63"/>
      <c r="P1413" s="63"/>
      <c r="Q1413" s="63"/>
      <c r="R1413" s="63"/>
      <c r="S1413" s="80"/>
      <c r="T1413" s="63"/>
      <c r="U1413" s="63"/>
      <c r="V1413" s="63"/>
      <c r="W1413" s="63"/>
      <c r="X1413" s="63"/>
      <c r="Y1413" s="63"/>
      <c r="Z1413" s="63"/>
      <c r="AA1413" s="63"/>
      <c r="AB1413" s="63"/>
      <c r="AC1413" s="63"/>
      <c r="AD1413" s="81"/>
      <c r="AE1413" s="15"/>
      <c r="AF1413" s="11"/>
      <c r="AG1413" s="15"/>
      <c r="AH1413" s="15"/>
    </row>
    <row r="1414" spans="2:34" x14ac:dyDescent="0.2">
      <c r="B1414" s="9">
        <f>G1387</f>
        <v>29</v>
      </c>
      <c r="C1414" s="9" t="str">
        <f t="shared" si="4072"/>
        <v>29 - General and Administrative Expense</v>
      </c>
      <c r="D1414" s="9" t="s">
        <v>56</v>
      </c>
      <c r="F1414" t="s">
        <v>10</v>
      </c>
      <c r="G1414" s="178">
        <f>_xlfn.XLOOKUP($C1414,'Site Level Financials - ''23 ''24'!$C$2:$C$1577,'Site Level Financials - ''23 ''24'!S$2:S$1577)</f>
        <v>-10.013368564637988</v>
      </c>
      <c r="H1414" s="179">
        <f>_xlfn.XLOOKUP($C1414,'Site Level Financials - ''23 ''24'!$C$2:$C$1577,'Site Level Financials - ''23 ''24'!T$2:T$1577)</f>
        <v>-8.517056567327641</v>
      </c>
      <c r="I1414" s="179">
        <f>_xlfn.XLOOKUP($C1414,'Site Level Financials - ''23 ''24'!$C$2:$C$1577,'Site Level Financials - ''23 ''24'!U$2:U$1577)</f>
        <v>-9.4207261072673223</v>
      </c>
      <c r="J1414" s="179">
        <f>_xlfn.XLOOKUP($C1414,'Site Level Financials - ''23 ''24'!$C$2:$C$1577,'Site Level Financials - ''23 ''24'!V$2:V$1577)</f>
        <v>-9.8969327859452427</v>
      </c>
      <c r="K1414" s="179">
        <f>_xlfn.XLOOKUP($C1414,'Site Level Financials - ''23 ''24'!$C$2:$C$1577,'Site Level Financials - ''23 ''24'!W$2:W$1577)</f>
        <v>-14.874543799516191</v>
      </c>
      <c r="L1414" s="179">
        <f>_xlfn.XLOOKUP($C1414,'Site Level Financials - ''23 ''24'!$C$2:$C$1577,'Site Level Financials - ''23 ''24'!X$2:X$1577)</f>
        <v>-12.818481530387194</v>
      </c>
      <c r="M1414" s="179">
        <f>_xlfn.XLOOKUP($C1414,'Site Level Financials - ''23 ''24'!$C$2:$C$1577,'Site Level Financials - ''23 ''24'!Y$2:Y$1577)</f>
        <v>-13.481321816679728</v>
      </c>
      <c r="N1414" s="179">
        <f>_xlfn.XLOOKUP($C1414,'Site Level Financials - ''23 ''24'!$C$2:$C$1577,'Site Level Financials - ''23 ''24'!Z$2:Z$1577)</f>
        <v>-10.826334019893123</v>
      </c>
      <c r="O1414" s="179">
        <f>_xlfn.XLOOKUP($C1414,'Site Level Financials - ''23 ''24'!$C$2:$C$1577,'Site Level Financials - ''23 ''24'!AA$2:AA$1577)</f>
        <v>-10.756441109470561</v>
      </c>
      <c r="P1414" s="179">
        <f>_xlfn.XLOOKUP($C1414,'Site Level Financials - ''23 ''24'!$C$2:$C$1577,'Site Level Financials - ''23 ''24'!AB$2:AB$1577)</f>
        <v>-9.9667832844017692</v>
      </c>
      <c r="Q1414" s="179">
        <f>_xlfn.XLOOKUP($C1414,'Site Level Financials - ''23 ''24'!$C$2:$C$1577,'Site Level Financials - ''23 ''24'!AC$2:AC$1577)</f>
        <v>-9.3625763465057563</v>
      </c>
      <c r="R1414" s="179">
        <f>_xlfn.XLOOKUP($C1414,'Site Level Financials - ''23 ''24'!$C$2:$C$1577,'Site Level Financials - ''23 ''24'!AD$2:AD$1577)</f>
        <v>-7.9181113164952075</v>
      </c>
      <c r="S1414" s="155">
        <f>S1415*S1399</f>
        <v>-9.44238210166972</v>
      </c>
      <c r="T1414" s="154">
        <f t="shared" ref="T1414" si="4138">T1415*T1399</f>
        <v>-15.001449701000565</v>
      </c>
      <c r="U1414" s="154">
        <f t="shared" ref="U1414" si="4139">U1415*U1399</f>
        <v>-16.570486491106518</v>
      </c>
      <c r="V1414" s="154">
        <f t="shared" ref="V1414" si="4140">V1415*V1399</f>
        <v>-18.692501570910171</v>
      </c>
      <c r="W1414" s="154">
        <f t="shared" ref="W1414" si="4141">W1415*W1399</f>
        <v>-23.866345800524559</v>
      </c>
      <c r="X1414" s="154">
        <f t="shared" ref="X1414" si="4142">X1415*X1399</f>
        <v>-20.602303259160749</v>
      </c>
      <c r="Y1414" s="154">
        <f t="shared" ref="Y1414" si="4143">Y1415*Y1399</f>
        <v>-25.515635513917474</v>
      </c>
      <c r="Z1414" s="154">
        <f t="shared" ref="Z1414" si="4144">Z1415*Z1399</f>
        <v>-22.424354837100342</v>
      </c>
      <c r="AA1414" s="154">
        <f t="shared" ref="AA1414" si="4145">AA1415*AA1399</f>
        <v>-19.864561591744902</v>
      </c>
      <c r="AB1414" s="154">
        <f t="shared" ref="AB1414" si="4146">AB1415*AB1399</f>
        <v>-23.884054335937986</v>
      </c>
      <c r="AC1414" s="154">
        <f t="shared" ref="AC1414" si="4147">AC1415*AC1399</f>
        <v>-19.918365704520916</v>
      </c>
      <c r="AD1414" s="156">
        <f t="shared" ref="AD1414" si="4148">AD1415*AD1399</f>
        <v>-15.788639284086461</v>
      </c>
      <c r="AE1414" s="15"/>
      <c r="AF1414" s="115">
        <f>_xlfn.XLOOKUP($C1414,'Site Level Financials - ''23 ''24'!$C$2:$C$1577,'Site Level Financials - ''23 ''24'!$AF$2:$AF$1577)</f>
        <v>-121.77769632371172</v>
      </c>
      <c r="AG1414" s="93">
        <f>SUM(G1414:R1414)</f>
        <v>-127.85267724852773</v>
      </c>
      <c r="AH1414" s="93">
        <f t="shared" ref="AH1414" si="4149">SUM(S1414:AD1414)</f>
        <v>-231.57108019168035</v>
      </c>
    </row>
    <row r="1415" spans="2:34" x14ac:dyDescent="0.2">
      <c r="B1415" s="9">
        <f>G1387</f>
        <v>29</v>
      </c>
      <c r="C1415" s="9" t="str">
        <f t="shared" si="4072"/>
        <v>29 - % of Revenue - General and Administrative Expense</v>
      </c>
      <c r="D1415" s="9" t="s">
        <v>56</v>
      </c>
      <c r="F1415" s="16" t="str">
        <f>"% of Revenue - "&amp;F1414</f>
        <v>% of Revenue - General and Administrative Expense</v>
      </c>
      <c r="G1415" s="148">
        <f>G1414/G1399</f>
        <v>-6.5747698286202819E-2</v>
      </c>
      <c r="H1415" s="149">
        <f t="shared" ref="H1415:R1415" si="4150">H1414/H1399</f>
        <v>-6.1868559772389808E-2</v>
      </c>
      <c r="I1415" s="149">
        <f t="shared" si="4150"/>
        <v>-6.3643343863886648E-2</v>
      </c>
      <c r="J1415" s="149">
        <f t="shared" si="4150"/>
        <v>-6.7023975556634002E-2</v>
      </c>
      <c r="K1415" s="149">
        <f t="shared" si="4150"/>
        <v>-7.2002111288304707E-2</v>
      </c>
      <c r="L1415" s="149">
        <f t="shared" si="4150"/>
        <v>-7.4016017530245906E-2</v>
      </c>
      <c r="M1415" s="149">
        <f t="shared" si="4150"/>
        <v>-7.7514726510743162E-2</v>
      </c>
      <c r="N1415" s="149">
        <f t="shared" si="4150"/>
        <v>-7.9445316841313604E-2</v>
      </c>
      <c r="O1415" s="149">
        <f t="shared" si="4150"/>
        <v>-7.6760037840093664E-2</v>
      </c>
      <c r="P1415" s="149">
        <f t="shared" si="4150"/>
        <v>-8.0359271569608343E-2</v>
      </c>
      <c r="Q1415" s="149">
        <f t="shared" si="4150"/>
        <v>-8.4780665553582504E-2</v>
      </c>
      <c r="R1415" s="149">
        <f t="shared" si="4150"/>
        <v>-8.2335011955156689E-2</v>
      </c>
      <c r="S1415" s="245">
        <f>_xlfn.XLOOKUP($F1415,'Budget Assumption Driver'!$A$33:$A$39,'Budget Assumption Driver'!E$33:E$39)+G1415</f>
        <v>-6.5747698286202819E-2</v>
      </c>
      <c r="T1415" s="246">
        <f>_xlfn.XLOOKUP($F1415,'Budget Assumption Driver'!$A$33:$A$39,'Budget Assumption Driver'!F$33:F$39)+H1415</f>
        <v>-6.1868559772389808E-2</v>
      </c>
      <c r="U1415" s="246">
        <f>_xlfn.XLOOKUP($F1415,'Budget Assumption Driver'!$A$33:$A$39,'Budget Assumption Driver'!G$33:G$39)+I1415</f>
        <v>-6.3643343863886648E-2</v>
      </c>
      <c r="V1415" s="246">
        <f>_xlfn.XLOOKUP($F1415,'Budget Assumption Driver'!$A$33:$A$39,'Budget Assumption Driver'!H$33:H$39)+J1415</f>
        <v>-6.7023975556634002E-2</v>
      </c>
      <c r="W1415" s="246">
        <f>_xlfn.XLOOKUP($F1415,'Budget Assumption Driver'!$A$33:$A$39,'Budget Assumption Driver'!I$33:I$39)+K1415</f>
        <v>-7.2002111288304707E-2</v>
      </c>
      <c r="X1415" s="246">
        <f>_xlfn.XLOOKUP($F1415,'Budget Assumption Driver'!$A$33:$A$39,'Budget Assumption Driver'!J$33:J$39)+L1415</f>
        <v>-7.4016017530245906E-2</v>
      </c>
      <c r="Y1415" s="246">
        <f>_xlfn.XLOOKUP($F1415,'Budget Assumption Driver'!$A$33:$A$39,'Budget Assumption Driver'!K$33:K$39)+M1415</f>
        <v>-7.7514726510743162E-2</v>
      </c>
      <c r="Z1415" s="246">
        <f>_xlfn.XLOOKUP($F1415,'Budget Assumption Driver'!$A$33:$A$39,'Budget Assumption Driver'!L$33:L$39)+N1415</f>
        <v>-7.9445316841313604E-2</v>
      </c>
      <c r="AA1415" s="246">
        <f>_xlfn.XLOOKUP($F1415,'Budget Assumption Driver'!$A$33:$A$39,'Budget Assumption Driver'!M$33:M$39)+O1415</f>
        <v>-7.6760037840093664E-2</v>
      </c>
      <c r="AB1415" s="246">
        <f>_xlfn.XLOOKUP($F1415,'Budget Assumption Driver'!$A$33:$A$39,'Budget Assumption Driver'!N$33:N$39)+P1415</f>
        <v>-8.0359271569608343E-2</v>
      </c>
      <c r="AC1415" s="246">
        <f>_xlfn.XLOOKUP($F1415,'Budget Assumption Driver'!$A$33:$A$39,'Budget Assumption Driver'!O$33:O$39)+Q1415</f>
        <v>-8.4780665553582504E-2</v>
      </c>
      <c r="AD1415" s="296">
        <f>_xlfn.XLOOKUP($F1415,'Budget Assumption Driver'!$A$33:$A$39,'Budget Assumption Driver'!P$33:P$39)+R1415</f>
        <v>-8.2335011955156689E-2</v>
      </c>
      <c r="AE1415" s="15"/>
      <c r="AF1415" s="232">
        <f>_xlfn.XLOOKUP($C1415,'Site Level Financials - ''23 ''24'!$C$2:$C$1577,'Site Level Financials - ''23 ''24'!$AF$2:$AF$1577)</f>
        <v>-6.4630958214578815E-2</v>
      </c>
      <c r="AG1415" s="97">
        <f t="shared" ref="AG1415:AH1415" si="4151">AG1414/AG1399</f>
        <v>-7.3210346158419912E-2</v>
      </c>
      <c r="AH1415" s="97">
        <f t="shared" si="4151"/>
        <v>-7.4000920223266126E-2</v>
      </c>
    </row>
    <row r="1416" spans="2:34" ht="3" customHeight="1" x14ac:dyDescent="0.2">
      <c r="B1416" s="9">
        <f>G1387</f>
        <v>29</v>
      </c>
      <c r="C1416" s="9" t="str">
        <f t="shared" si="4072"/>
        <v xml:space="preserve">29 - </v>
      </c>
      <c r="D1416" s="9" t="s">
        <v>56</v>
      </c>
      <c r="F1416" s="16"/>
      <c r="G1416" s="84"/>
      <c r="H1416" s="85"/>
      <c r="I1416" s="85"/>
      <c r="J1416" s="85"/>
      <c r="K1416" s="85"/>
      <c r="L1416" s="85"/>
      <c r="M1416" s="85"/>
      <c r="N1416" s="85"/>
      <c r="O1416" s="85"/>
      <c r="P1416" s="85"/>
      <c r="Q1416" s="85"/>
      <c r="R1416" s="85"/>
      <c r="S1416" s="84"/>
      <c r="T1416" s="85"/>
      <c r="U1416" s="85"/>
      <c r="V1416" s="85"/>
      <c r="W1416" s="85"/>
      <c r="X1416" s="85"/>
      <c r="Y1416" s="85"/>
      <c r="Z1416" s="85"/>
      <c r="AA1416" s="85"/>
      <c r="AB1416" s="85"/>
      <c r="AC1416" s="85"/>
      <c r="AD1416" s="86"/>
      <c r="AE1416" s="15"/>
      <c r="AF1416" s="36"/>
      <c r="AG1416" s="38"/>
      <c r="AH1416" s="38"/>
    </row>
    <row r="1417" spans="2:34" x14ac:dyDescent="0.2">
      <c r="B1417" s="9">
        <f>G1387</f>
        <v>29</v>
      </c>
      <c r="C1417" s="9" t="str">
        <f t="shared" si="4072"/>
        <v>29 - Marketing</v>
      </c>
      <c r="D1417" s="9" t="s">
        <v>56</v>
      </c>
      <c r="F1417" t="s">
        <v>7</v>
      </c>
      <c r="G1417" s="178">
        <f>_xlfn.XLOOKUP($C1417,'Site Level Financials - ''23 ''24'!$C$2:$C$1577,'Site Level Financials - ''23 ''24'!S$2:S$1577)</f>
        <v>-5.9724843106490173</v>
      </c>
      <c r="H1417" s="179">
        <f>_xlfn.XLOOKUP($C1417,'Site Level Financials - ''23 ''24'!$C$2:$C$1577,'Site Level Financials - ''23 ''24'!T$2:T$1577)</f>
        <v>-5.7951715471055048</v>
      </c>
      <c r="I1417" s="179">
        <f>_xlfn.XLOOKUP($C1417,'Site Level Financials - ''23 ''24'!$C$2:$C$1577,'Site Level Financials - ''23 ''24'!U$2:U$1577)</f>
        <v>-6.4692042116524346</v>
      </c>
      <c r="J1417" s="179">
        <f>_xlfn.XLOOKUP($C1417,'Site Level Financials - ''23 ''24'!$C$2:$C$1577,'Site Level Financials - ''23 ''24'!V$2:V$1577)</f>
        <v>-5.8845689734150319</v>
      </c>
      <c r="K1417" s="179">
        <f>_xlfn.XLOOKUP($C1417,'Site Level Financials - ''23 ''24'!$C$2:$C$1577,'Site Level Financials - ''23 ''24'!W$2:W$1577)</f>
        <v>-7.5815646007148594</v>
      </c>
      <c r="L1417" s="179">
        <f>_xlfn.XLOOKUP($C1417,'Site Level Financials - ''23 ''24'!$C$2:$C$1577,'Site Level Financials - ''23 ''24'!X$2:X$1577)</f>
        <v>-6.397104722506203</v>
      </c>
      <c r="M1417" s="179">
        <f>_xlfn.XLOOKUP($C1417,'Site Level Financials - ''23 ''24'!$C$2:$C$1577,'Site Level Financials - ''23 ''24'!Y$2:Y$1577)</f>
        <v>-6.3808956965178991</v>
      </c>
      <c r="N1417" s="179">
        <f>_xlfn.XLOOKUP($C1417,'Site Level Financials - ''23 ''24'!$C$2:$C$1577,'Site Level Financials - ''23 ''24'!Z$2:Z$1577)</f>
        <v>-4.3666391806672511</v>
      </c>
      <c r="O1417" s="179">
        <f>_xlfn.XLOOKUP($C1417,'Site Level Financials - ''23 ''24'!$C$2:$C$1577,'Site Level Financials - ''23 ''24'!AA$2:AA$1577)</f>
        <v>-4.3900380428675323</v>
      </c>
      <c r="P1417" s="179">
        <f>_xlfn.XLOOKUP($C1417,'Site Level Financials - ''23 ''24'!$C$2:$C$1577,'Site Level Financials - ''23 ''24'!AB$2:AB$1577)</f>
        <v>-3.9386114472193201</v>
      </c>
      <c r="Q1417" s="179">
        <f>_xlfn.XLOOKUP($C1417,'Site Level Financials - ''23 ''24'!$C$2:$C$1577,'Site Level Financials - ''23 ''24'!AC$2:AC$1577)</f>
        <v>-3.9787205141394444</v>
      </c>
      <c r="R1417" s="179">
        <f>_xlfn.XLOOKUP($C1417,'Site Level Financials - ''23 ''24'!$C$2:$C$1577,'Site Level Financials - ''23 ''24'!AD$2:AD$1577)</f>
        <v>-3.6932124950296741</v>
      </c>
      <c r="S1417" s="155">
        <f>S1418*S1399</f>
        <v>-5.6319188286478816</v>
      </c>
      <c r="T1417" s="154">
        <f t="shared" ref="T1417" si="4152">T1418*T1399</f>
        <v>-10.207279214989455</v>
      </c>
      <c r="U1417" s="154">
        <f t="shared" ref="U1417" si="4153">U1418*U1399</f>
        <v>-11.378938287432181</v>
      </c>
      <c r="V1417" s="154">
        <f t="shared" ref="V1417" si="4154">V1418*V1399</f>
        <v>-11.114283299559061</v>
      </c>
      <c r="W1417" s="154">
        <f t="shared" ref="W1417" si="4155">W1418*W1399</f>
        <v>-12.164691899697933</v>
      </c>
      <c r="X1417" s="154">
        <f t="shared" ref="X1417" si="4156">X1418*X1399</f>
        <v>-10.28164616544103</v>
      </c>
      <c r="Y1417" s="154">
        <f t="shared" ref="Y1417" si="4157">Y1418*Y1399</f>
        <v>-12.076902477265683</v>
      </c>
      <c r="Z1417" s="154">
        <f t="shared" ref="Z1417" si="4158">Z1418*Z1399</f>
        <v>-9.0445266378206757</v>
      </c>
      <c r="AA1417" s="154">
        <f t="shared" ref="AA1417" si="4159">AA1418*AA1399</f>
        <v>-8.107345190210193</v>
      </c>
      <c r="AB1417" s="154">
        <f t="shared" ref="AB1417" si="4160">AB1418*AB1399</f>
        <v>-9.4383520870525182</v>
      </c>
      <c r="AC1417" s="154">
        <f t="shared" ref="AC1417" si="4161">AC1418*AC1399</f>
        <v>-8.4645088385619403</v>
      </c>
      <c r="AD1417" s="156">
        <f t="shared" ref="AD1417" si="4162">AD1418*AD1399</f>
        <v>-7.3642308819313982</v>
      </c>
      <c r="AE1417" s="15"/>
      <c r="AF1417" s="115">
        <f>_xlfn.XLOOKUP($C1417,'Site Level Financials - ''23 ''24'!$C$2:$C$1577,'Site Level Financials - ''23 ''24'!$AF$2:$AF$1577)</f>
        <v>-77.599166407698974</v>
      </c>
      <c r="AG1417" s="93">
        <f>SUM(G1417:R1417)</f>
        <v>-64.848215742484172</v>
      </c>
      <c r="AH1417" s="93">
        <f t="shared" ref="AH1417" si="4163">SUM(S1417:AD1417)</f>
        <v>-115.27462380860996</v>
      </c>
    </row>
    <row r="1418" spans="2:34" x14ac:dyDescent="0.2">
      <c r="B1418" s="9">
        <f>G1387</f>
        <v>29</v>
      </c>
      <c r="C1418" s="9" t="str">
        <f t="shared" si="4072"/>
        <v>29 - % of Revenue - Marketing</v>
      </c>
      <c r="D1418" s="9" t="s">
        <v>56</v>
      </c>
      <c r="F1418" s="16" t="str">
        <f>"% of Revenue - "&amp;F1417</f>
        <v>% of Revenue - Marketing</v>
      </c>
      <c r="G1418" s="148">
        <f>G1417/G1399</f>
        <v>-3.9215284441078399E-2</v>
      </c>
      <c r="H1418" s="149">
        <f t="shared" ref="H1418:R1418" si="4164">H1417/H1399</f>
        <v>-4.2096575785200735E-2</v>
      </c>
      <c r="I1418" s="149">
        <f t="shared" si="4164"/>
        <v>-4.3703827441739319E-2</v>
      </c>
      <c r="J1418" s="149">
        <f t="shared" si="4164"/>
        <v>-3.9851458584784824E-2</v>
      </c>
      <c r="K1418" s="149">
        <f t="shared" si="4164"/>
        <v>-3.6699522720010966E-2</v>
      </c>
      <c r="L1418" s="149">
        <f t="shared" si="4164"/>
        <v>-3.6937933261548789E-2</v>
      </c>
      <c r="M1418" s="149">
        <f t="shared" si="4164"/>
        <v>-3.66887899817957E-2</v>
      </c>
      <c r="N1418" s="149">
        <f t="shared" si="4164"/>
        <v>-3.204307502450663E-2</v>
      </c>
      <c r="O1418" s="149">
        <f t="shared" si="4164"/>
        <v>-3.1328157971623839E-2</v>
      </c>
      <c r="P1418" s="149">
        <f t="shared" si="4164"/>
        <v>-3.1755877283857571E-2</v>
      </c>
      <c r="Q1418" s="149">
        <f t="shared" si="4164"/>
        <v>-3.602839226687065E-2</v>
      </c>
      <c r="R1418" s="149">
        <f t="shared" si="4164"/>
        <v>-3.8403185150697967E-2</v>
      </c>
      <c r="S1418" s="245">
        <f>_xlfn.XLOOKUP($F1418,'Budget Assumption Driver'!$A$33:$A$39,'Budget Assumption Driver'!E$33:E$39)+G1418</f>
        <v>-3.9215284441078399E-2</v>
      </c>
      <c r="T1418" s="246">
        <f>_xlfn.XLOOKUP($F1418,'Budget Assumption Driver'!$A$33:$A$39,'Budget Assumption Driver'!F$33:F$39)+H1418</f>
        <v>-4.2096575785200735E-2</v>
      </c>
      <c r="U1418" s="246">
        <f>_xlfn.XLOOKUP($F1418,'Budget Assumption Driver'!$A$33:$A$39,'Budget Assumption Driver'!G$33:G$39)+I1418</f>
        <v>-4.3703827441739319E-2</v>
      </c>
      <c r="V1418" s="246">
        <f>_xlfn.XLOOKUP($F1418,'Budget Assumption Driver'!$A$33:$A$39,'Budget Assumption Driver'!H$33:H$39)+J1418</f>
        <v>-3.9851458584784824E-2</v>
      </c>
      <c r="W1418" s="246">
        <f>_xlfn.XLOOKUP($F1418,'Budget Assumption Driver'!$A$33:$A$39,'Budget Assumption Driver'!I$33:I$39)+K1418</f>
        <v>-3.6699522720010966E-2</v>
      </c>
      <c r="X1418" s="246">
        <f>_xlfn.XLOOKUP($F1418,'Budget Assumption Driver'!$A$33:$A$39,'Budget Assumption Driver'!J$33:J$39)+L1418</f>
        <v>-3.6937933261548789E-2</v>
      </c>
      <c r="Y1418" s="246">
        <f>_xlfn.XLOOKUP($F1418,'Budget Assumption Driver'!$A$33:$A$39,'Budget Assumption Driver'!K$33:K$39)+M1418</f>
        <v>-3.66887899817957E-2</v>
      </c>
      <c r="Z1418" s="246">
        <f>_xlfn.XLOOKUP($F1418,'Budget Assumption Driver'!$A$33:$A$39,'Budget Assumption Driver'!L$33:L$39)+N1418</f>
        <v>-3.204307502450663E-2</v>
      </c>
      <c r="AA1418" s="246">
        <f>_xlfn.XLOOKUP($F1418,'Budget Assumption Driver'!$A$33:$A$39,'Budget Assumption Driver'!M$33:M$39)+O1418</f>
        <v>-3.1328157971623839E-2</v>
      </c>
      <c r="AB1418" s="246">
        <f>_xlfn.XLOOKUP($F1418,'Budget Assumption Driver'!$A$33:$A$39,'Budget Assumption Driver'!N$33:N$39)+P1418</f>
        <v>-3.1755877283857571E-2</v>
      </c>
      <c r="AC1418" s="246">
        <f>_xlfn.XLOOKUP($F1418,'Budget Assumption Driver'!$A$33:$A$39,'Budget Assumption Driver'!O$33:O$39)+Q1418</f>
        <v>-3.602839226687065E-2</v>
      </c>
      <c r="AD1418" s="296">
        <f>_xlfn.XLOOKUP($F1418,'Budget Assumption Driver'!$A$33:$A$39,'Budget Assumption Driver'!P$33:P$39)+R1418</f>
        <v>-3.8403185150697967E-2</v>
      </c>
      <c r="AE1418" s="15"/>
      <c r="AF1418" s="232">
        <f>_xlfn.XLOOKUP($C1418,'Site Level Financials - ''23 ''24'!$C$2:$C$1577,'Site Level Financials - ''23 ''24'!$AF$2:$AF$1577)</f>
        <v>-4.1184130041763592E-2</v>
      </c>
      <c r="AG1418" s="97">
        <f t="shared" ref="AG1418:AH1418" si="4165">AG1417/AG1399</f>
        <v>-3.7133053639812078E-2</v>
      </c>
      <c r="AH1418" s="97">
        <f t="shared" si="4165"/>
        <v>-3.6837191557628844E-2</v>
      </c>
    </row>
    <row r="1419" spans="2:34" ht="3" customHeight="1" x14ac:dyDescent="0.2">
      <c r="B1419" s="9">
        <f>G1387</f>
        <v>29</v>
      </c>
      <c r="C1419" s="9" t="str">
        <f t="shared" si="4072"/>
        <v xml:space="preserve">29 - </v>
      </c>
      <c r="D1419" s="9" t="s">
        <v>56</v>
      </c>
      <c r="F1419" s="16"/>
      <c r="G1419" s="84"/>
      <c r="H1419" s="85"/>
      <c r="I1419" s="85"/>
      <c r="J1419" s="85"/>
      <c r="K1419" s="85"/>
      <c r="L1419" s="85"/>
      <c r="M1419" s="85"/>
      <c r="N1419" s="85"/>
      <c r="O1419" s="85"/>
      <c r="P1419" s="85"/>
      <c r="Q1419" s="85"/>
      <c r="R1419" s="85"/>
      <c r="S1419" s="84"/>
      <c r="T1419" s="85"/>
      <c r="U1419" s="85"/>
      <c r="V1419" s="85"/>
      <c r="W1419" s="85"/>
      <c r="X1419" s="85"/>
      <c r="Y1419" s="85"/>
      <c r="Z1419" s="85"/>
      <c r="AA1419" s="85"/>
      <c r="AB1419" s="85"/>
      <c r="AC1419" s="85"/>
      <c r="AD1419" s="86"/>
      <c r="AE1419" s="15"/>
      <c r="AF1419" s="36"/>
      <c r="AG1419" s="38"/>
      <c r="AH1419" s="38"/>
    </row>
    <row r="1420" spans="2:34" x14ac:dyDescent="0.2">
      <c r="B1420" s="9">
        <f>G1387</f>
        <v>29</v>
      </c>
      <c r="C1420" s="9" t="str">
        <f t="shared" si="4072"/>
        <v>29 - Office Rent</v>
      </c>
      <c r="D1420" s="9" t="s">
        <v>56</v>
      </c>
      <c r="F1420" t="s">
        <v>162</v>
      </c>
      <c r="G1420" s="178">
        <f>_xlfn.XLOOKUP($C1420,'Site Level Financials - ''23 ''24'!$C$2:$C$1577,'Site Level Financials - ''23 ''24'!S$2:S$1577)</f>
        <v>-16.081900492945213</v>
      </c>
      <c r="H1420" s="179">
        <f>_xlfn.XLOOKUP($C1420,'Site Level Financials - ''23 ''24'!$C$2:$C$1577,'Site Level Financials - ''23 ''24'!T$2:T$1577)</f>
        <v>-16.081900492945213</v>
      </c>
      <c r="I1420" s="179">
        <f>_xlfn.XLOOKUP($C1420,'Site Level Financials - ''23 ''24'!$C$2:$C$1577,'Site Level Financials - ''23 ''24'!U$2:U$1577)</f>
        <v>-16.081900492945213</v>
      </c>
      <c r="J1420" s="179">
        <f>_xlfn.XLOOKUP($C1420,'Site Level Financials - ''23 ''24'!$C$2:$C$1577,'Site Level Financials - ''23 ''24'!V$2:V$1577)</f>
        <v>-16.081900492945213</v>
      </c>
      <c r="K1420" s="179">
        <f>_xlfn.XLOOKUP($C1420,'Site Level Financials - ''23 ''24'!$C$2:$C$1577,'Site Level Financials - ''23 ''24'!W$2:W$1577)</f>
        <v>-16.081900492945213</v>
      </c>
      <c r="L1420" s="179">
        <f>_xlfn.XLOOKUP($C1420,'Site Level Financials - ''23 ''24'!$C$2:$C$1577,'Site Level Financials - ''23 ''24'!X$2:X$1577)</f>
        <v>-16.564357507733568</v>
      </c>
      <c r="M1420" s="179">
        <f>_xlfn.XLOOKUP($C1420,'Site Level Financials - ''23 ''24'!$C$2:$C$1577,'Site Level Financials - ''23 ''24'!Y$2:Y$1577)</f>
        <v>-16.564357507733568</v>
      </c>
      <c r="N1420" s="179">
        <f>_xlfn.XLOOKUP($C1420,'Site Level Financials - ''23 ''24'!$C$2:$C$1577,'Site Level Financials - ''23 ''24'!Z$2:Z$1577)</f>
        <v>-16.564357507733568</v>
      </c>
      <c r="O1420" s="179">
        <f>_xlfn.XLOOKUP($C1420,'Site Level Financials - ''23 ''24'!$C$2:$C$1577,'Site Level Financials - ''23 ''24'!AA$2:AA$1577)</f>
        <v>-16.564357507733568</v>
      </c>
      <c r="P1420" s="179">
        <f>_xlfn.XLOOKUP($C1420,'Site Level Financials - ''23 ''24'!$C$2:$C$1577,'Site Level Financials - ''23 ''24'!AB$2:AB$1577)</f>
        <v>-16.564357507733568</v>
      </c>
      <c r="Q1420" s="179">
        <f>_xlfn.XLOOKUP($C1420,'Site Level Financials - ''23 ''24'!$C$2:$C$1577,'Site Level Financials - ''23 ''24'!AC$2:AC$1577)</f>
        <v>-16.564357507733568</v>
      </c>
      <c r="R1420" s="179">
        <f>_xlfn.XLOOKUP($C1420,'Site Level Financials - ''23 ''24'!$C$2:$C$1577,'Site Level Financials - ''23 ''24'!AD$2:AD$1577)</f>
        <v>-16.564357507733568</v>
      </c>
      <c r="S1420" s="155">
        <f>G1420*(1+S1421)</f>
        <v>-16.564357507733568</v>
      </c>
      <c r="T1420" s="154">
        <f t="shared" ref="T1420" si="4166">H1420*(1+T1421)</f>
        <v>-16.564357507733568</v>
      </c>
      <c r="U1420" s="154">
        <f t="shared" ref="U1420" si="4167">I1420*(1+U1421)</f>
        <v>-16.564357507733568</v>
      </c>
      <c r="V1420" s="154">
        <f t="shared" ref="V1420" si="4168">J1420*(1+V1421)</f>
        <v>-16.564357507733568</v>
      </c>
      <c r="W1420" s="154">
        <f t="shared" ref="W1420" si="4169">K1420*(1+W1421)</f>
        <v>-16.564357507733568</v>
      </c>
      <c r="X1420" s="154">
        <f t="shared" ref="X1420" si="4170">L1420*(1+X1421)</f>
        <v>-17.061288232965577</v>
      </c>
      <c r="Y1420" s="154">
        <f t="shared" ref="Y1420" si="4171">M1420*(1+Y1421)</f>
        <v>-17.061288232965577</v>
      </c>
      <c r="Z1420" s="154">
        <f t="shared" ref="Z1420" si="4172">N1420*(1+Z1421)</f>
        <v>-17.061288232965577</v>
      </c>
      <c r="AA1420" s="154">
        <f t="shared" ref="AA1420" si="4173">O1420*(1+AA1421)</f>
        <v>-17.061288232965577</v>
      </c>
      <c r="AB1420" s="154">
        <f t="shared" ref="AB1420" si="4174">P1420*(1+AB1421)</f>
        <v>-17.061288232965577</v>
      </c>
      <c r="AC1420" s="154">
        <f t="shared" ref="AC1420" si="4175">Q1420*(1+AC1421)</f>
        <v>-17.061288232965577</v>
      </c>
      <c r="AD1420" s="156">
        <f t="shared" ref="AD1420" si="4176">R1420*(1+AD1421)</f>
        <v>-17.061288232965577</v>
      </c>
      <c r="AE1420" s="15"/>
      <c r="AF1420" s="115">
        <f>_xlfn.XLOOKUP($C1420,'Site Level Financials - ''23 ''24'!$C$2:$C$1577,'Site Level Financials - ''23 ''24'!$AF$2:$AF$1577)</f>
        <v>-190.63833077467112</v>
      </c>
      <c r="AG1420" s="93">
        <f>SUM(G1420:R1420)</f>
        <v>-196.36000501886107</v>
      </c>
      <c r="AH1420" s="93">
        <f t="shared" ref="AH1420" si="4177">SUM(S1420:AD1420)</f>
        <v>-202.25080516942691</v>
      </c>
    </row>
    <row r="1421" spans="2:34" x14ac:dyDescent="0.2">
      <c r="B1421" s="9">
        <f>G1387</f>
        <v>29</v>
      </c>
      <c r="C1421" s="9" t="str">
        <f t="shared" si="4072"/>
        <v>29 - % YoY Growth</v>
      </c>
      <c r="D1421" s="9" t="s">
        <v>56</v>
      </c>
      <c r="F1421" s="16" t="s">
        <v>8</v>
      </c>
      <c r="G1421" s="245">
        <f>_xlfn.XLOOKUP($C1421,'Site Level Financials - ''23 ''24'!$C$2:$C$1577,'Site Level Financials - ''23 ''24'!S$2:S$1577)</f>
        <v>3.0013241413410885E-2</v>
      </c>
      <c r="H1421" s="246">
        <f>_xlfn.XLOOKUP($C1421,'Site Level Financials - ''23 ''24'!$C$2:$C$1577,'Site Level Financials - ''23 ''24'!T$2:T$1577)</f>
        <v>3.0013241413410885E-2</v>
      </c>
      <c r="I1421" s="246">
        <f>_xlfn.XLOOKUP($C1421,'Site Level Financials - ''23 ''24'!$C$2:$C$1577,'Site Level Financials - ''23 ''24'!U$2:U$1577)</f>
        <v>3.0013241413410885E-2</v>
      </c>
      <c r="J1421" s="246">
        <f>_xlfn.XLOOKUP($C1421,'Site Level Financials - ''23 ''24'!$C$2:$C$1577,'Site Level Financials - ''23 ''24'!V$2:V$1577)</f>
        <v>3.0013241413410885E-2</v>
      </c>
      <c r="K1421" s="246">
        <f>_xlfn.XLOOKUP($C1421,'Site Level Financials - ''23 ''24'!$C$2:$C$1577,'Site Level Financials - ''23 ''24'!W$2:W$1577)</f>
        <v>3.0013241413410885E-2</v>
      </c>
      <c r="L1421" s="246">
        <f>_xlfn.XLOOKUP($C1421,'Site Level Financials - ''23 ''24'!$C$2:$C$1577,'Site Level Financials - ''23 ''24'!X$2:X$1577)</f>
        <v>3.0013241413410885E-2</v>
      </c>
      <c r="M1421" s="246">
        <f>_xlfn.XLOOKUP($C1421,'Site Level Financials - ''23 ''24'!$C$2:$C$1577,'Site Level Financials - ''23 ''24'!Y$2:Y$1577)</f>
        <v>3.0013241413410885E-2</v>
      </c>
      <c r="N1421" s="246">
        <f>_xlfn.XLOOKUP($C1421,'Site Level Financials - ''23 ''24'!$C$2:$C$1577,'Site Level Financials - ''23 ''24'!Z$2:Z$1577)</f>
        <v>3.0013241413410885E-2</v>
      </c>
      <c r="O1421" s="246">
        <f>_xlfn.XLOOKUP($C1421,'Site Level Financials - ''23 ''24'!$C$2:$C$1577,'Site Level Financials - ''23 ''24'!AA$2:AA$1577)</f>
        <v>3.0013241413410885E-2</v>
      </c>
      <c r="P1421" s="246">
        <f>_xlfn.XLOOKUP($C1421,'Site Level Financials - ''23 ''24'!$C$2:$C$1577,'Site Level Financials - ''23 ''24'!AB$2:AB$1577)</f>
        <v>3.0013241413410885E-2</v>
      </c>
      <c r="Q1421" s="246">
        <f>_xlfn.XLOOKUP($C1421,'Site Level Financials - ''23 ''24'!$C$2:$C$1577,'Site Level Financials - ''23 ''24'!AC$2:AC$1577)</f>
        <v>3.0013241413410885E-2</v>
      </c>
      <c r="R1421" s="246">
        <f>_xlfn.XLOOKUP($C1421,'Site Level Financials - ''23 ''24'!$C$2:$C$1577,'Site Level Financials - ''23 ''24'!AD$2:AD$1577)</f>
        <v>3.0013241413410885E-2</v>
      </c>
      <c r="S1421" s="245">
        <f>_xlfn.XLOOKUP($F1421,'Budget Assumption Driver'!$A$33:$A$39,'Budget Assumption Driver'!E$33:E$39)</f>
        <v>0.03</v>
      </c>
      <c r="T1421" s="246">
        <f>_xlfn.XLOOKUP($F1421,'Budget Assumption Driver'!$A$33:$A$39,'Budget Assumption Driver'!F$33:F$39)</f>
        <v>0.03</v>
      </c>
      <c r="U1421" s="246">
        <f>_xlfn.XLOOKUP($F1421,'Budget Assumption Driver'!$A$33:$A$39,'Budget Assumption Driver'!G$33:G$39)</f>
        <v>0.03</v>
      </c>
      <c r="V1421" s="246">
        <f>_xlfn.XLOOKUP($F1421,'Budget Assumption Driver'!$A$33:$A$39,'Budget Assumption Driver'!H$33:H$39)</f>
        <v>0.03</v>
      </c>
      <c r="W1421" s="246">
        <f>_xlfn.XLOOKUP($F1421,'Budget Assumption Driver'!$A$33:$A$39,'Budget Assumption Driver'!I$33:I$39)</f>
        <v>0.03</v>
      </c>
      <c r="X1421" s="246">
        <f>_xlfn.XLOOKUP($F1421,'Budget Assumption Driver'!$A$33:$A$39,'Budget Assumption Driver'!J$33:J$39)</f>
        <v>0.03</v>
      </c>
      <c r="Y1421" s="246">
        <f>_xlfn.XLOOKUP($F1421,'Budget Assumption Driver'!$A$33:$A$39,'Budget Assumption Driver'!K$33:K$39)</f>
        <v>0.03</v>
      </c>
      <c r="Z1421" s="246">
        <f>_xlfn.XLOOKUP($F1421,'Budget Assumption Driver'!$A$33:$A$39,'Budget Assumption Driver'!L$33:L$39)</f>
        <v>0.03</v>
      </c>
      <c r="AA1421" s="246">
        <f>_xlfn.XLOOKUP($F1421,'Budget Assumption Driver'!$A$33:$A$39,'Budget Assumption Driver'!M$33:M$39)</f>
        <v>0.03</v>
      </c>
      <c r="AB1421" s="246">
        <f>_xlfn.XLOOKUP($F1421,'Budget Assumption Driver'!$A$33:$A$39,'Budget Assumption Driver'!N$33:N$39)</f>
        <v>0.03</v>
      </c>
      <c r="AC1421" s="246">
        <f>_xlfn.XLOOKUP($F1421,'Budget Assumption Driver'!$A$33:$A$39,'Budget Assumption Driver'!O$33:O$39)</f>
        <v>0.03</v>
      </c>
      <c r="AD1421" s="296">
        <f>_xlfn.XLOOKUP($F1421,'Budget Assumption Driver'!$A$33:$A$39,'Budget Assumption Driver'!P$33:P$39)</f>
        <v>0.03</v>
      </c>
      <c r="AE1421" s="15"/>
      <c r="AF1421" s="11"/>
      <c r="AG1421" s="97">
        <f>AG1420/AF1420-1</f>
        <v>3.0013241413411329E-2</v>
      </c>
      <c r="AH1421" s="97">
        <f>AH1420/AG1420-1</f>
        <v>3.0000000000000027E-2</v>
      </c>
    </row>
    <row r="1422" spans="2:34" ht="6" customHeight="1" x14ac:dyDescent="0.2">
      <c r="B1422" s="9">
        <f>G1387</f>
        <v>29</v>
      </c>
      <c r="C1422" s="9" t="str">
        <f t="shared" si="4072"/>
        <v xml:space="preserve">29 - </v>
      </c>
      <c r="D1422" s="9" t="s">
        <v>56</v>
      </c>
      <c r="F1422" s="16"/>
      <c r="G1422" s="80"/>
      <c r="H1422" s="63"/>
      <c r="I1422" s="63"/>
      <c r="J1422" s="63"/>
      <c r="K1422" s="63"/>
      <c r="L1422" s="63"/>
      <c r="M1422" s="63"/>
      <c r="N1422" s="63"/>
      <c r="O1422" s="63"/>
      <c r="P1422" s="63"/>
      <c r="Q1422" s="63"/>
      <c r="R1422" s="63"/>
      <c r="S1422" s="80"/>
      <c r="T1422" s="63"/>
      <c r="U1422" s="63"/>
      <c r="V1422" s="63"/>
      <c r="W1422" s="63"/>
      <c r="X1422" s="63"/>
      <c r="Y1422" s="63"/>
      <c r="Z1422" s="63"/>
      <c r="AA1422" s="63"/>
      <c r="AB1422" s="63"/>
      <c r="AC1422" s="63"/>
      <c r="AD1422" s="81"/>
      <c r="AE1422" s="15"/>
      <c r="AF1422" s="11"/>
      <c r="AG1422" s="15"/>
      <c r="AH1422" s="15"/>
    </row>
    <row r="1423" spans="2:34" x14ac:dyDescent="0.2">
      <c r="B1423" s="9">
        <f>G1387</f>
        <v>29</v>
      </c>
      <c r="C1423" s="9" t="str">
        <f t="shared" si="4072"/>
        <v>29 - Office EBITDA</v>
      </c>
      <c r="D1423" s="9" t="s">
        <v>56</v>
      </c>
      <c r="F1423" s="8" t="s">
        <v>12</v>
      </c>
      <c r="G1423" s="241">
        <f>_xlfn.XLOOKUP($C1423,'Site Level Financials - ''23 ''24'!$C$2:$C$1577,'Site Level Financials - ''23 ''24'!S$2:S$1577)</f>
        <v>26.910560993026468</v>
      </c>
      <c r="H1423" s="242">
        <f>_xlfn.XLOOKUP($C1423,'Site Level Financials - ''23 ''24'!$C$2:$C$1577,'Site Level Financials - ''23 ''24'!T$2:T$1577)</f>
        <v>24.227405681894265</v>
      </c>
      <c r="I1423" s="242">
        <f>_xlfn.XLOOKUP($C1423,'Site Level Financials - ''23 ''24'!$C$2:$C$1577,'Site Level Financials - ''23 ''24'!U$2:U$1577)</f>
        <v>26.63130382232163</v>
      </c>
      <c r="J1423" s="242">
        <f>_xlfn.XLOOKUP($C1423,'Site Level Financials - ''23 ''24'!$C$2:$C$1577,'Site Level Financials - ''23 ''24'!V$2:V$1577)</f>
        <v>26.457697845469948</v>
      </c>
      <c r="K1423" s="242">
        <f>_xlfn.XLOOKUP($C1423,'Site Level Financials - ''23 ''24'!$C$2:$C$1577,'Site Level Financials - ''23 ''24'!W$2:W$1577)</f>
        <v>44.696476926231952</v>
      </c>
      <c r="L1423" s="242">
        <f>_xlfn.XLOOKUP($C1423,'Site Level Financials - ''23 ''24'!$C$2:$C$1577,'Site Level Financials - ''23 ''24'!X$2:X$1577)</f>
        <v>32.355439512012431</v>
      </c>
      <c r="M1423" s="242">
        <f>_xlfn.XLOOKUP($C1423,'Site Level Financials - ''23 ''24'!$C$2:$C$1577,'Site Level Financials - ''23 ''24'!Y$2:Y$1577)</f>
        <v>32.332314451370458</v>
      </c>
      <c r="N1423" s="242">
        <f>_xlfn.XLOOKUP($C1423,'Site Level Financials - ''23 ''24'!$C$2:$C$1577,'Site Level Financials - ''23 ''24'!Z$2:Z$1577)</f>
        <v>21.974483914604733</v>
      </c>
      <c r="O1423" s="242">
        <f>_xlfn.XLOOKUP($C1423,'Site Level Financials - ''23 ''24'!$C$2:$C$1577,'Site Level Financials - ''23 ''24'!AA$2:AA$1577)</f>
        <v>24.514099882487649</v>
      </c>
      <c r="P1423" s="242">
        <f>_xlfn.XLOOKUP($C1423,'Site Level Financials - ''23 ''24'!$C$2:$C$1577,'Site Level Financials - ''23 ''24'!AB$2:AB$1577)</f>
        <v>20.777446153615379</v>
      </c>
      <c r="Q1423" s="242">
        <f>_xlfn.XLOOKUP($C1423,'Site Level Financials - ''23 ''24'!$C$2:$C$1577,'Site Level Financials - ''23 ''24'!AC$2:AC$1577)</f>
        <v>15.085657496270127</v>
      </c>
      <c r="R1423" s="242">
        <f>_xlfn.XLOOKUP($C1423,'Site Level Financials - ''23 ''24'!$C$2:$C$1577,'Site Level Financials - ''23 ''24'!AD$2:AD$1577)</f>
        <v>11.250078635718975</v>
      </c>
      <c r="S1423" s="134">
        <f t="shared" ref="S1423:AD1423" si="4178">S1411+S1414+S1417+S1420</f>
        <v>23.976569975498442</v>
      </c>
      <c r="T1423" s="135">
        <f t="shared" si="4178"/>
        <v>54.434117644324651</v>
      </c>
      <c r="U1423" s="135">
        <f t="shared" si="4178"/>
        <v>58.565581208137623</v>
      </c>
      <c r="V1423" s="135">
        <f t="shared" si="4178"/>
        <v>63.780889445539266</v>
      </c>
      <c r="W1423" s="135">
        <f t="shared" si="4178"/>
        <v>80.955122231070703</v>
      </c>
      <c r="X1423" s="135">
        <f t="shared" si="4178"/>
        <v>61.56428775184861</v>
      </c>
      <c r="Y1423" s="135">
        <f t="shared" si="4178"/>
        <v>75.483766066417814</v>
      </c>
      <c r="Z1423" s="135">
        <f t="shared" si="4178"/>
        <v>62.763392353952611</v>
      </c>
      <c r="AA1423" s="135">
        <f t="shared" si="4178"/>
        <v>58.800750020882333</v>
      </c>
      <c r="AB1423" s="135">
        <f t="shared" si="4178"/>
        <v>72.423317000238214</v>
      </c>
      <c r="AC1423" s="135">
        <f t="shared" si="4178"/>
        <v>50.272376142289389</v>
      </c>
      <c r="AD1423" s="136">
        <f t="shared" si="4178"/>
        <v>38.400435100523879</v>
      </c>
      <c r="AE1423" s="15"/>
      <c r="AF1423" s="113">
        <f>_xlfn.XLOOKUP($C1423,'Site Level Financials - ''23 ''24'!$C$2:$C$1577,'Site Level Financials - ''23 ''24'!$AF$2:$AF$1577)</f>
        <v>337.10989174569818</v>
      </c>
      <c r="AG1423" s="95">
        <f>SUM(G1423:R1423)</f>
        <v>307.21296531502395</v>
      </c>
      <c r="AH1423" s="95">
        <f t="shared" ref="AH1423" si="4179">SUM(S1423:AD1423)</f>
        <v>701.42060494072348</v>
      </c>
    </row>
    <row r="1424" spans="2:34" x14ac:dyDescent="0.2">
      <c r="B1424" s="9">
        <f>G1387</f>
        <v>29</v>
      </c>
      <c r="C1424" s="9" t="str">
        <f t="shared" si="4072"/>
        <v>29 - % of Revenue - Office EBITDA</v>
      </c>
      <c r="D1424" s="9" t="s">
        <v>56</v>
      </c>
      <c r="F1424" s="16" t="str">
        <f>"% of Revenue - "&amp;F1423</f>
        <v>% of Revenue - Office EBITDA</v>
      </c>
      <c r="G1424" s="148">
        <f>G1423/G1399</f>
        <v>0.17669452926463097</v>
      </c>
      <c r="H1424" s="149">
        <f t="shared" ref="H1424:AD1424" si="4180">H1423/H1399</f>
        <v>0.17598975475990289</v>
      </c>
      <c r="I1424" s="149">
        <f t="shared" si="4180"/>
        <v>0.17991237696637558</v>
      </c>
      <c r="J1424" s="149">
        <f t="shared" si="4180"/>
        <v>0.17917673404813575</v>
      </c>
      <c r="K1424" s="149">
        <f t="shared" si="4180"/>
        <v>0.21635895185856879</v>
      </c>
      <c r="L1424" s="149">
        <f t="shared" si="4180"/>
        <v>0.18682562146248108</v>
      </c>
      <c r="M1424" s="149">
        <f t="shared" si="4180"/>
        <v>0.18590391552381039</v>
      </c>
      <c r="N1424" s="149">
        <f t="shared" si="4180"/>
        <v>0.1612521684452293</v>
      </c>
      <c r="O1424" s="149">
        <f t="shared" si="4180"/>
        <v>0.17493734362928207</v>
      </c>
      <c r="P1424" s="149">
        <f t="shared" si="4180"/>
        <v>0.16752249851708395</v>
      </c>
      <c r="Q1424" s="149">
        <f t="shared" si="4180"/>
        <v>0.1366047160004738</v>
      </c>
      <c r="R1424" s="149">
        <f t="shared" si="4180"/>
        <v>0.11698185614525709</v>
      </c>
      <c r="S1424" s="148">
        <f t="shared" si="4180"/>
        <v>0.16694985139484469</v>
      </c>
      <c r="T1424" s="149">
        <f t="shared" si="4180"/>
        <v>0.22449566730277912</v>
      </c>
      <c r="U1424" s="149">
        <f t="shared" si="4180"/>
        <v>0.22493663209093775</v>
      </c>
      <c r="V1424" s="149">
        <f t="shared" si="4180"/>
        <v>0.22869324145628783</v>
      </c>
      <c r="W1424" s="149">
        <f t="shared" si="4180"/>
        <v>0.24423260137761638</v>
      </c>
      <c r="X1424" s="149">
        <f t="shared" si="4180"/>
        <v>0.2211764065482236</v>
      </c>
      <c r="Y1424" s="149">
        <f t="shared" si="4180"/>
        <v>0.22931443269158686</v>
      </c>
      <c r="Z1424" s="149">
        <f t="shared" si="4180"/>
        <v>0.22235902115434997</v>
      </c>
      <c r="AA1424" s="149">
        <f t="shared" si="4180"/>
        <v>0.22721607903516516</v>
      </c>
      <c r="AB1424" s="149">
        <f t="shared" si="4180"/>
        <v>0.24367240657449352</v>
      </c>
      <c r="AC1424" s="149">
        <f t="shared" si="4180"/>
        <v>0.21397967943403873</v>
      </c>
      <c r="AD1424" s="150">
        <f t="shared" si="4180"/>
        <v>0.2002516002928488</v>
      </c>
      <c r="AE1424" s="15"/>
      <c r="AF1424" s="232">
        <f>_xlfn.XLOOKUP($C1424,'Site Level Financials - ''23 ''24'!$C$2:$C$1577,'Site Level Financials - ''23 ''24'!$AF$2:$AF$1577)</f>
        <v>0.17891400465665605</v>
      </c>
      <c r="AG1424" s="97">
        <f t="shared" ref="AG1424:AH1424" si="4181">AG1423/AG1399</f>
        <v>0.17591471699374639</v>
      </c>
      <c r="AH1424" s="97">
        <f t="shared" si="4181"/>
        <v>0.22414616793344458</v>
      </c>
    </row>
    <row r="1425" spans="2:35" ht="6" customHeight="1" x14ac:dyDescent="0.2">
      <c r="B1425" s="9">
        <f>G1387</f>
        <v>29</v>
      </c>
      <c r="C1425" s="9" t="str">
        <f t="shared" si="4072"/>
        <v xml:space="preserve">29 - </v>
      </c>
      <c r="D1425" s="9" t="s">
        <v>56</v>
      </c>
      <c r="G1425" s="80"/>
      <c r="H1425" s="63"/>
      <c r="I1425" s="63"/>
      <c r="J1425" s="63"/>
      <c r="K1425" s="63"/>
      <c r="L1425" s="63"/>
      <c r="M1425" s="63"/>
      <c r="N1425" s="63"/>
      <c r="O1425" s="63"/>
      <c r="P1425" s="63"/>
      <c r="Q1425" s="63"/>
      <c r="R1425" s="63"/>
      <c r="S1425" s="80"/>
      <c r="T1425" s="63"/>
      <c r="U1425" s="63"/>
      <c r="V1425" s="63"/>
      <c r="W1425" s="63"/>
      <c r="X1425" s="63"/>
      <c r="Y1425" s="63"/>
      <c r="Z1425" s="63"/>
      <c r="AA1425" s="63"/>
      <c r="AB1425" s="63"/>
      <c r="AC1425" s="63"/>
      <c r="AD1425" s="81"/>
      <c r="AE1425" s="15"/>
      <c r="AF1425" s="11"/>
      <c r="AG1425" s="15"/>
      <c r="AH1425" s="15"/>
    </row>
    <row r="1426" spans="2:35" x14ac:dyDescent="0.2">
      <c r="B1426" s="9">
        <f>G1387</f>
        <v>29</v>
      </c>
      <c r="C1426" s="9" t="str">
        <f t="shared" si="4072"/>
        <v>29 - Memo:</v>
      </c>
      <c r="D1426" s="9" t="s">
        <v>56</v>
      </c>
      <c r="F1426" s="6" t="s">
        <v>13</v>
      </c>
      <c r="G1426" s="80"/>
      <c r="H1426" s="63"/>
      <c r="I1426" s="63"/>
      <c r="J1426" s="63"/>
      <c r="K1426" s="63"/>
      <c r="L1426" s="63"/>
      <c r="M1426" s="63"/>
      <c r="N1426" s="63"/>
      <c r="O1426" s="63"/>
      <c r="P1426" s="63"/>
      <c r="Q1426" s="63"/>
      <c r="R1426" s="63"/>
      <c r="S1426" s="80"/>
      <c r="T1426" s="63"/>
      <c r="U1426" s="63"/>
      <c r="V1426" s="63"/>
      <c r="W1426" s="63"/>
      <c r="X1426" s="63"/>
      <c r="Y1426" s="63"/>
      <c r="Z1426" s="63"/>
      <c r="AA1426" s="63"/>
      <c r="AB1426" s="63"/>
      <c r="AC1426" s="63"/>
      <c r="AD1426" s="81"/>
      <c r="AE1426" s="15"/>
      <c r="AF1426" s="11"/>
      <c r="AG1426" s="15"/>
      <c r="AH1426" s="15"/>
    </row>
    <row r="1427" spans="2:35" s="24" customFormat="1" x14ac:dyDescent="0.2">
      <c r="B1427" s="9">
        <f>G1387</f>
        <v>29</v>
      </c>
      <c r="C1427" s="9" t="str">
        <f t="shared" si="4072"/>
        <v>29 - Collections</v>
      </c>
      <c r="D1427" s="9" t="s">
        <v>56</v>
      </c>
      <c r="E1427" s="49"/>
      <c r="F1427" s="24" t="s">
        <v>15</v>
      </c>
      <c r="G1427" s="247">
        <f>_xlfn.XLOOKUP($C1427,'Site Level Financials - ''23 ''24'!$C$2:$C$1577,'Site Level Financials - ''23 ''24'!S$2:S$1577)</f>
        <v>156.2265742826626</v>
      </c>
      <c r="H1427" s="248">
        <f>_xlfn.XLOOKUP($C1427,'Site Level Financials - ''23 ''24'!$C$2:$C$1577,'Site Level Financials - ''23 ''24'!T$2:T$1577)</f>
        <v>141.10693655568363</v>
      </c>
      <c r="I1427" s="248">
        <f>_xlfn.XLOOKUP($C1427,'Site Level Financials - ''23 ''24'!$C$2:$C$1577,'Site Level Financials - ''23 ''24'!U$2:U$1577)</f>
        <v>151.81216235661012</v>
      </c>
      <c r="J1427" s="248">
        <f>_xlfn.XLOOKUP($C1427,'Site Level Financials - ''23 ''24'!$C$2:$C$1577,'Site Level Financials - ''23 ''24'!V$2:V$1577)</f>
        <v>147.66116281937195</v>
      </c>
      <c r="K1427" s="248">
        <f>_xlfn.XLOOKUP($C1427,'Site Level Financials - ''23 ''24'!$C$2:$C$1577,'Site Level Financials - ''23 ''24'!W$2:W$1577)</f>
        <v>207.37800115831001</v>
      </c>
      <c r="L1427" s="248">
        <f>_xlfn.XLOOKUP($C1427,'Site Level Financials - ''23 ''24'!$C$2:$C$1577,'Site Level Financials - ''23 ''24'!X$2:X$1577)</f>
        <v>175.34932263926197</v>
      </c>
      <c r="M1427" s="248">
        <f>_xlfn.XLOOKUP($C1427,'Site Level Financials - ''23 ''24'!$C$2:$C$1577,'Site Level Financials - ''23 ''24'!Y$2:Y$1577)</f>
        <v>179.00043333971604</v>
      </c>
      <c r="N1427" s="248">
        <f>_xlfn.XLOOKUP($C1427,'Site Level Financials - ''23 ''24'!$C$2:$C$1577,'Site Level Financials - ''23 ''24'!Z$2:Z$1577)</f>
        <v>134.8919947463454</v>
      </c>
      <c r="O1427" s="248">
        <f>_xlfn.XLOOKUP($C1427,'Site Level Financials - ''23 ''24'!$C$2:$C$1577,'Site Level Financials - ''23 ''24'!AA$2:AA$1577)</f>
        <v>140.92474822552774</v>
      </c>
      <c r="P1427" s="248">
        <f>_xlfn.XLOOKUP($C1427,'Site Level Financials - ''23 ''24'!$C$2:$C$1577,'Site Level Financials - ''23 ''24'!AB$2:AB$1577)</f>
        <v>123.21607470899227</v>
      </c>
      <c r="Q1427" s="248">
        <f>_xlfn.XLOOKUP($C1427,'Site Level Financials - ''23 ''24'!$C$2:$C$1577,'Site Level Financials - ''23 ''24'!AC$2:AC$1577)</f>
        <v>109.39792872238533</v>
      </c>
      <c r="R1427" s="248">
        <f>_xlfn.XLOOKUP($C1427,'Site Level Financials - ''23 ''24'!$C$2:$C$1577,'Site Level Financials - ''23 ''24'!AD$2:AD$1577)</f>
        <v>96.221930580628182</v>
      </c>
      <c r="S1427" s="169">
        <f t="shared" ref="S1427:AD1427" si="4182">S1428*S1397</f>
        <v>143.61540172199773</v>
      </c>
      <c r="T1427" s="170">
        <f t="shared" si="4182"/>
        <v>242.47290960368031</v>
      </c>
      <c r="U1427" s="170">
        <f t="shared" si="4182"/>
        <v>260.3647999160076</v>
      </c>
      <c r="V1427" s="170">
        <f t="shared" si="4182"/>
        <v>278.89276062288127</v>
      </c>
      <c r="W1427" s="170">
        <f t="shared" si="4182"/>
        <v>331.46730524277234</v>
      </c>
      <c r="X1427" s="170">
        <f t="shared" si="4182"/>
        <v>278.34925394009241</v>
      </c>
      <c r="Y1427" s="170">
        <f t="shared" si="4182"/>
        <v>329.17145763755138</v>
      </c>
      <c r="Z1427" s="170">
        <f t="shared" si="4182"/>
        <v>282.26150676560837</v>
      </c>
      <c r="AA1427" s="170">
        <f t="shared" si="4182"/>
        <v>258.78780353296219</v>
      </c>
      <c r="AB1427" s="170">
        <f t="shared" si="4182"/>
        <v>297.21591385070332</v>
      </c>
      <c r="AC1427" s="170">
        <f t="shared" si="4182"/>
        <v>234.93995446322896</v>
      </c>
      <c r="AD1427" s="171">
        <f t="shared" si="4182"/>
        <v>191.76093995936571</v>
      </c>
      <c r="AE1427" s="26"/>
      <c r="AF1427" s="234">
        <f>_xlfn.XLOOKUP($C1427,'Site Level Financials - ''23 ''24'!$C$2:$C$1577,'Site Level Financials - ''23 ''24'!$AF$2:$AF$1577)</f>
        <v>1889.9959913122646</v>
      </c>
      <c r="AG1427" s="99">
        <f>SUM(G1427:R1427)</f>
        <v>1763.1872701354953</v>
      </c>
      <c r="AH1427" s="99">
        <f t="shared" ref="AH1427" si="4183">SUM(S1427:AD1427)</f>
        <v>3129.3000072568511</v>
      </c>
    </row>
    <row r="1428" spans="2:35" x14ac:dyDescent="0.2">
      <c r="B1428" s="9">
        <f>G1387</f>
        <v>29</v>
      </c>
      <c r="C1428" s="9" t="str">
        <f t="shared" si="4072"/>
        <v>29 - Collections as a % of Production</v>
      </c>
      <c r="D1428" s="9" t="s">
        <v>56</v>
      </c>
      <c r="F1428" s="16" t="s">
        <v>17</v>
      </c>
      <c r="G1428" s="245">
        <f>_xlfn.XLOOKUP($C1428,'Site Level Financials - ''23 ''24'!$C$2:$C$1577,'Site Level Financials - ''23 ''24'!S$2:S$1577)</f>
        <v>0.99597549160046805</v>
      </c>
      <c r="H1428" s="246">
        <f>_xlfn.XLOOKUP($C1428,'Site Level Financials - ''23 ''24'!$C$2:$C$1577,'Site Level Financials - ''23 ''24'!T$2:T$1577)</f>
        <v>0.9952271796026384</v>
      </c>
      <c r="I1428" s="246">
        <f>_xlfn.XLOOKUP($C1428,'Site Level Financials - ''23 ''24'!$C$2:$C$1577,'Site Level Financials - ''23 ''24'!U$2:U$1577)</f>
        <v>0.99579185225821631</v>
      </c>
      <c r="J1428" s="246">
        <f>_xlfn.XLOOKUP($C1428,'Site Level Financials - ''23 ''24'!$C$2:$C$1577,'Site Level Financials - ''23 ''24'!V$2:V$1577)</f>
        <v>0.97093294622084758</v>
      </c>
      <c r="K1428" s="246">
        <f>_xlfn.XLOOKUP($C1428,'Site Level Financials - ''23 ''24'!$C$2:$C$1577,'Site Level Financials - ''23 ''24'!W$2:W$1577)</f>
        <v>0.97467011629927702</v>
      </c>
      <c r="L1428" s="246">
        <f>_xlfn.XLOOKUP($C1428,'Site Level Financials - ''23 ''24'!$C$2:$C$1577,'Site Level Financials - ''23 ''24'!X$2:X$1577)</f>
        <v>0.98307491556119997</v>
      </c>
      <c r="M1428" s="246">
        <f>_xlfn.XLOOKUP($C1428,'Site Level Financials - ''23 ''24'!$C$2:$C$1577,'Site Level Financials - ''23 ''24'!Y$2:Y$1577)</f>
        <v>0.9993076579736565</v>
      </c>
      <c r="N1428" s="246">
        <f>_xlfn.XLOOKUP($C1428,'Site Level Financials - ''23 ''24'!$C$2:$C$1577,'Site Level Financials - ''23 ''24'!Z$2:Z$1577)</f>
        <v>0.96109528442948777</v>
      </c>
      <c r="O1428" s="246">
        <f>_xlfn.XLOOKUP($C1428,'Site Level Financials - ''23 ''24'!$C$2:$C$1577,'Site Level Financials - ''23 ''24'!AA$2:AA$1577)</f>
        <v>0.97644375911964398</v>
      </c>
      <c r="P1428" s="246">
        <f>_xlfn.XLOOKUP($C1428,'Site Level Financials - ''23 ''24'!$C$2:$C$1577,'Site Level Financials - ''23 ''24'!AB$2:AB$1577)</f>
        <v>0.96458773548456056</v>
      </c>
      <c r="Q1428" s="246">
        <f>_xlfn.XLOOKUP($C1428,'Site Level Financials - ''23 ''24'!$C$2:$C$1577,'Site Level Financials - ''23 ''24'!AC$2:AC$1577)</f>
        <v>0.96184244688323284</v>
      </c>
      <c r="R1428" s="246">
        <f>_xlfn.XLOOKUP($C1428,'Site Level Financials - ''23 ''24'!$C$2:$C$1577,'Site Level Financials - ''23 ''24'!AD$2:AD$1577)</f>
        <v>0.97147226508986262</v>
      </c>
      <c r="S1428" s="148">
        <f>S1398</f>
        <v>0.9802897585975513</v>
      </c>
      <c r="T1428" s="149">
        <f t="shared" ref="T1428:AD1428" si="4184">T1398</f>
        <v>0.9802897585975513</v>
      </c>
      <c r="U1428" s="149">
        <f t="shared" si="4184"/>
        <v>0.9802897585975513</v>
      </c>
      <c r="V1428" s="149">
        <f t="shared" si="4184"/>
        <v>0.9802897585975513</v>
      </c>
      <c r="W1428" s="149">
        <f t="shared" si="4184"/>
        <v>0.9802897585975513</v>
      </c>
      <c r="X1428" s="149">
        <f t="shared" si="4184"/>
        <v>0.9802897585975513</v>
      </c>
      <c r="Y1428" s="149">
        <f t="shared" si="4184"/>
        <v>0.9802897585975513</v>
      </c>
      <c r="Z1428" s="149">
        <f t="shared" si="4184"/>
        <v>0.9802897585975513</v>
      </c>
      <c r="AA1428" s="149">
        <f t="shared" si="4184"/>
        <v>0.9802897585975513</v>
      </c>
      <c r="AB1428" s="149">
        <f t="shared" si="4184"/>
        <v>0.9802897585975513</v>
      </c>
      <c r="AC1428" s="149">
        <f t="shared" si="4184"/>
        <v>0.9802897585975513</v>
      </c>
      <c r="AD1428" s="150">
        <f t="shared" si="4184"/>
        <v>0.9802897585975513</v>
      </c>
      <c r="AE1428" s="15"/>
      <c r="AF1428" s="232">
        <f>_xlfn.XLOOKUP($C1428,'Site Level Financials - ''23 ''24'!$C$2:$C$1577,'Site Level Financials - ''23 ''24'!$AF$2:$AF$1577)</f>
        <v>0.97848901105075581</v>
      </c>
      <c r="AG1428" s="97">
        <f t="shared" ref="AG1428:AH1428" si="4185">AG1427/AG1397</f>
        <v>0.9802897585975513</v>
      </c>
      <c r="AH1428" s="97">
        <f t="shared" si="4185"/>
        <v>0.98028975859755108</v>
      </c>
    </row>
    <row r="1429" spans="2:35" ht="6" customHeight="1" x14ac:dyDescent="0.2">
      <c r="B1429" s="9">
        <f>G1387</f>
        <v>29</v>
      </c>
      <c r="C1429" s="9" t="str">
        <f t="shared" si="4072"/>
        <v xml:space="preserve">29 - </v>
      </c>
      <c r="D1429" s="9" t="s">
        <v>56</v>
      </c>
      <c r="F1429" s="27"/>
      <c r="G1429" s="63"/>
      <c r="H1429" s="63"/>
      <c r="I1429" s="63"/>
      <c r="J1429" s="63"/>
      <c r="K1429" s="63"/>
      <c r="L1429" s="63"/>
      <c r="M1429" s="63"/>
      <c r="N1429" s="63"/>
      <c r="O1429" s="63"/>
      <c r="P1429" s="63"/>
      <c r="Q1429" s="63"/>
      <c r="R1429" s="81"/>
      <c r="S1429" s="63"/>
      <c r="T1429" s="63"/>
      <c r="U1429" s="63"/>
      <c r="V1429" s="63"/>
      <c r="W1429" s="63"/>
      <c r="X1429" s="63"/>
      <c r="Y1429" s="63"/>
      <c r="Z1429" s="63"/>
      <c r="AA1429" s="63"/>
      <c r="AB1429" s="63"/>
      <c r="AC1429" s="63"/>
      <c r="AD1429" s="81"/>
      <c r="AE1429" s="15"/>
      <c r="AF1429" s="11"/>
      <c r="AH1429" s="224"/>
    </row>
    <row r="1430" spans="2:35" s="24" customFormat="1" x14ac:dyDescent="0.2">
      <c r="B1430" s="9">
        <f>G1387</f>
        <v>29</v>
      </c>
      <c r="C1430" s="9" t="str">
        <f t="shared" si="4072"/>
        <v>29 - Production per Vet Workday - YoY Change</v>
      </c>
      <c r="D1430" s="9" t="s">
        <v>56</v>
      </c>
      <c r="E1430" s="49"/>
      <c r="F1430" s="24" t="s">
        <v>55</v>
      </c>
      <c r="G1430" s="249">
        <f>_xlfn.XLOOKUP($C1430,'Site Level Financials - ''23 ''24'!$C$2:$C$1577,'Site Level Financials - ''23 ''24'!S$2:S$1577)</f>
        <v>3.1420192226542909E-2</v>
      </c>
      <c r="H1430" s="250">
        <f>_xlfn.XLOOKUP($C1430,'Site Level Financials - ''23 ''24'!$C$2:$C$1577,'Site Level Financials - ''23 ''24'!T$2:T$1577)</f>
        <v>-3.576534942678089E-2</v>
      </c>
      <c r="I1430" s="250">
        <f>_xlfn.XLOOKUP($C1430,'Site Level Financials - ''23 ''24'!$C$2:$C$1577,'Site Level Financials - ''23 ''24'!U$2:U$1577)</f>
        <v>-2.4825950165803246E-2</v>
      </c>
      <c r="J1430" s="250">
        <f>_xlfn.XLOOKUP($C1430,'Site Level Financials - ''23 ''24'!$C$2:$C$1577,'Site Level Financials - ''23 ''24'!V$2:V$1577)</f>
        <v>-0.10375761569901809</v>
      </c>
      <c r="K1430" s="250">
        <f>_xlfn.XLOOKUP($C1430,'Site Level Financials - ''23 ''24'!$C$2:$C$1577,'Site Level Financials - ''23 ''24'!W$2:W$1577)</f>
        <v>-1.5292066585285147E-3</v>
      </c>
      <c r="L1430" s="250">
        <f>_xlfn.XLOOKUP($C1430,'Site Level Financials - ''23 ''24'!$C$2:$C$1577,'Site Level Financials - ''23 ''24'!X$2:X$1577)</f>
        <v>-3.966186161671259E-2</v>
      </c>
      <c r="M1430" s="250">
        <f>_xlfn.XLOOKUP($C1430,'Site Level Financials - ''23 ''24'!$C$2:$C$1577,'Site Level Financials - ''23 ''24'!Y$2:Y$1577)</f>
        <v>-4.78266745494067E-2</v>
      </c>
      <c r="N1430" s="250">
        <f>_xlfn.XLOOKUP($C1430,'Site Level Financials - ''23 ''24'!$C$2:$C$1577,'Site Level Financials - ''23 ''24'!Z$2:Z$1577)</f>
        <v>-0.11761047119045631</v>
      </c>
      <c r="O1430" s="250">
        <f>_xlfn.XLOOKUP($C1430,'Site Level Financials - ''23 ''24'!$C$2:$C$1577,'Site Level Financials - ''23 ''24'!AA$2:AA$1577)</f>
        <v>-5.4097056226059759E-2</v>
      </c>
      <c r="P1430" s="250">
        <f>_xlfn.XLOOKUP($C1430,'Site Level Financials - ''23 ''24'!$C$2:$C$1577,'Site Level Financials - ''23 ''24'!AB$2:AB$1577)</f>
        <v>-0.25521341233280825</v>
      </c>
      <c r="Q1430" s="250">
        <f>_xlfn.XLOOKUP($C1430,'Site Level Financials - ''23 ''24'!$C$2:$C$1577,'Site Level Financials - ''23 ''24'!AC$2:AC$1577)</f>
        <v>-0.11711285906319269</v>
      </c>
      <c r="R1430" s="251">
        <f>_xlfn.XLOOKUP($C1430,'Site Level Financials - ''23 ''24'!$C$2:$C$1577,'Site Level Financials - ''23 ''24'!AD$2:AD$1577)</f>
        <v>-8.2021082885041841E-2</v>
      </c>
      <c r="S1430" s="151">
        <f>S1396/G1396-1</f>
        <v>-6.6014155955153919E-2</v>
      </c>
      <c r="T1430" s="152">
        <f t="shared" ref="T1430" si="4186">T1396/H1396-1</f>
        <v>-0.12772660279395398</v>
      </c>
      <c r="U1430" s="152">
        <f t="shared" ref="U1430" si="4187">U1396/I1396-1</f>
        <v>-0.12891645386977024</v>
      </c>
      <c r="V1430" s="152">
        <f t="shared" ref="V1430" si="4188">V1396/J1396-1</f>
        <v>-6.4646589759802198E-2</v>
      </c>
      <c r="W1430" s="152">
        <f t="shared" ref="W1430" si="4189">W1396/K1396-1</f>
        <v>-0.20539516560955251</v>
      </c>
      <c r="X1430" s="152">
        <f t="shared" ref="X1430" si="4190">X1396/L1396-1</f>
        <v>-0.20404571962855667</v>
      </c>
      <c r="Y1430" s="152">
        <f t="shared" ref="Y1430" si="4191">Y1396/M1396-1</f>
        <v>-0.37512725337298092</v>
      </c>
      <c r="Z1430" s="152">
        <f t="shared" ref="Z1430" si="4192">Z1396/N1396-1</f>
        <v>-0.31615731630638655</v>
      </c>
      <c r="AA1430" s="152">
        <f t="shared" ref="AA1430" si="4193">AA1396/O1396-1</f>
        <v>-0.39028335566549066</v>
      </c>
      <c r="AB1430" s="152">
        <f t="shared" ref="AB1430" si="4194">AB1396/P1396-1</f>
        <v>-0.20882837100138052</v>
      </c>
      <c r="AC1430" s="152">
        <f t="shared" ref="AC1430" si="4195">AC1396/Q1396-1</f>
        <v>-0.2976137525422613</v>
      </c>
      <c r="AD1430" s="153">
        <f t="shared" ref="AD1430" si="4196">AD1396/R1396-1</f>
        <v>-0.34167436051641986</v>
      </c>
      <c r="AF1430" s="43"/>
      <c r="AG1430" s="177">
        <f>AG1396/AF1396-1</f>
        <v>-6.8808408228984042E-2</v>
      </c>
      <c r="AH1430" s="225">
        <f>AH1396/AG1396-1</f>
        <v>-0.26550696334458612</v>
      </c>
    </row>
    <row r="1431" spans="2:35" s="24" customFormat="1" ht="6" customHeight="1" x14ac:dyDescent="0.2">
      <c r="D1431" s="9" t="s">
        <v>56</v>
      </c>
      <c r="E1431" s="49"/>
      <c r="G1431" s="28"/>
      <c r="H1431" s="30"/>
      <c r="I1431" s="30"/>
      <c r="J1431" s="30"/>
      <c r="K1431" s="30"/>
      <c r="L1431" s="30"/>
      <c r="M1431" s="30"/>
      <c r="N1431" s="30"/>
      <c r="O1431" s="30"/>
      <c r="P1431" s="30"/>
      <c r="Q1431" s="30"/>
      <c r="R1431" s="29"/>
      <c r="S1431" s="30"/>
      <c r="T1431" s="30"/>
      <c r="U1431" s="30"/>
      <c r="V1431" s="30"/>
      <c r="W1431" s="30"/>
      <c r="X1431" s="30"/>
      <c r="Y1431" s="30"/>
      <c r="Z1431" s="30"/>
      <c r="AA1431" s="30"/>
      <c r="AB1431" s="30"/>
      <c r="AC1431" s="30"/>
      <c r="AD1431" s="29"/>
      <c r="AE1431" s="25"/>
      <c r="AF1431" s="28"/>
      <c r="AG1431" s="30"/>
      <c r="AH1431" s="226"/>
    </row>
    <row r="1432" spans="2:35" s="24" customFormat="1" ht="6" customHeight="1" x14ac:dyDescent="0.2">
      <c r="D1432" s="9" t="s">
        <v>56</v>
      </c>
      <c r="E1432" s="49"/>
    </row>
    <row r="1433" spans="2:35" x14ac:dyDescent="0.2">
      <c r="D1433" s="9" t="s">
        <v>56</v>
      </c>
      <c r="F1433" s="16"/>
    </row>
    <row r="1434" spans="2:35" ht="15.75" thickBot="1" x14ac:dyDescent="0.4">
      <c r="B1434" s="35" t="s">
        <v>52</v>
      </c>
      <c r="C1434" s="35"/>
      <c r="D1434" s="9" t="s">
        <v>56</v>
      </c>
      <c r="E1434" s="48" t="s">
        <v>0</v>
      </c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74"/>
      <c r="AH1434" s="3">
        <f ca="1">TODAY()</f>
        <v>45999</v>
      </c>
      <c r="AI1434" s="1"/>
    </row>
    <row r="1435" spans="2:35" x14ac:dyDescent="0.2">
      <c r="B1435" s="9">
        <f>G1436</f>
        <v>30</v>
      </c>
      <c r="C1435" s="9"/>
      <c r="D1435" s="9" t="s">
        <v>56</v>
      </c>
      <c r="F1435" t="s">
        <v>159</v>
      </c>
      <c r="AG1435" s="6"/>
      <c r="AH1435" s="6" t="s">
        <v>16</v>
      </c>
    </row>
    <row r="1436" spans="2:35" x14ac:dyDescent="0.2">
      <c r="B1436" s="9">
        <f>G1436</f>
        <v>30</v>
      </c>
      <c r="C1436" s="9"/>
      <c r="D1436" s="9" t="s">
        <v>56</v>
      </c>
      <c r="F1436" s="40" t="s">
        <v>53</v>
      </c>
      <c r="G1436" s="42">
        <v>30</v>
      </c>
    </row>
    <row r="1437" spans="2:35" x14ac:dyDescent="0.2">
      <c r="B1437" s="9">
        <f>G1436</f>
        <v>30</v>
      </c>
      <c r="C1437" s="9"/>
      <c r="D1437" s="9" t="s">
        <v>56</v>
      </c>
      <c r="F1437" s="39" t="s">
        <v>47</v>
      </c>
      <c r="G1437" s="41"/>
      <c r="H1437" s="11"/>
    </row>
    <row r="1438" spans="2:35" x14ac:dyDescent="0.2">
      <c r="B1438" s="9">
        <f>G1436</f>
        <v>30</v>
      </c>
      <c r="C1438" s="9"/>
      <c r="D1438" s="9" t="s">
        <v>56</v>
      </c>
      <c r="G1438" s="23"/>
    </row>
    <row r="1439" spans="2:35" x14ac:dyDescent="0.2">
      <c r="B1439" s="9">
        <f>G1436</f>
        <v>30</v>
      </c>
      <c r="C1439" s="9"/>
      <c r="D1439" s="9" t="s">
        <v>56</v>
      </c>
      <c r="G1439" s="208" t="s">
        <v>229</v>
      </c>
      <c r="H1439" s="209"/>
      <c r="I1439" s="209"/>
      <c r="J1439" s="209"/>
      <c r="K1439" s="209"/>
      <c r="L1439" s="209"/>
      <c r="M1439" s="209"/>
      <c r="N1439" s="209"/>
      <c r="O1439" s="209"/>
      <c r="P1439" s="209"/>
      <c r="Q1439" s="209"/>
      <c r="R1439" s="210"/>
      <c r="S1439" s="266" t="s">
        <v>230</v>
      </c>
      <c r="T1439" s="267"/>
      <c r="U1439" s="267"/>
      <c r="V1439" s="267"/>
      <c r="W1439" s="267"/>
      <c r="X1439" s="267"/>
      <c r="Y1439" s="267"/>
      <c r="Z1439" s="267"/>
      <c r="AA1439" s="267"/>
      <c r="AB1439" s="267"/>
      <c r="AC1439" s="267"/>
      <c r="AD1439" s="268"/>
      <c r="AF1439" s="17" t="s">
        <v>231</v>
      </c>
      <c r="AG1439" s="50"/>
      <c r="AH1439" s="269" t="s">
        <v>232</v>
      </c>
    </row>
    <row r="1440" spans="2:35" ht="15" customHeight="1" x14ac:dyDescent="0.35">
      <c r="B1440" s="9">
        <f>G1436</f>
        <v>30</v>
      </c>
      <c r="C1440" s="9"/>
      <c r="D1440" s="9" t="s">
        <v>56</v>
      </c>
      <c r="G1440" s="211">
        <v>44957</v>
      </c>
      <c r="H1440" s="212">
        <f>EOMONTH(G1440,1)</f>
        <v>44985</v>
      </c>
      <c r="I1440" s="212">
        <f t="shared" ref="I1440" si="4197">EOMONTH(H1440,1)</f>
        <v>45016</v>
      </c>
      <c r="J1440" s="212">
        <f t="shared" ref="J1440" si="4198">EOMONTH(I1440,1)</f>
        <v>45046</v>
      </c>
      <c r="K1440" s="212">
        <f t="shared" ref="K1440" si="4199">EOMONTH(J1440,1)</f>
        <v>45077</v>
      </c>
      <c r="L1440" s="212">
        <f t="shared" ref="L1440" si="4200">EOMONTH(K1440,1)</f>
        <v>45107</v>
      </c>
      <c r="M1440" s="212">
        <f t="shared" ref="M1440" si="4201">EOMONTH(L1440,1)</f>
        <v>45138</v>
      </c>
      <c r="N1440" s="212">
        <f t="shared" ref="N1440" si="4202">EOMONTH(M1440,1)</f>
        <v>45169</v>
      </c>
      <c r="O1440" s="212">
        <f t="shared" ref="O1440" si="4203">EOMONTH(N1440,1)</f>
        <v>45199</v>
      </c>
      <c r="P1440" s="212">
        <f t="shared" ref="P1440" si="4204">EOMONTH(O1440,1)</f>
        <v>45230</v>
      </c>
      <c r="Q1440" s="212">
        <f t="shared" ref="Q1440" si="4205">EOMONTH(P1440,1)</f>
        <v>45260</v>
      </c>
      <c r="R1440" s="213">
        <f t="shared" ref="R1440" si="4206">EOMONTH(Q1440,1)</f>
        <v>45291</v>
      </c>
      <c r="S1440" s="4">
        <f t="shared" ref="S1440" si="4207">EOMONTH(R1440,1)</f>
        <v>45322</v>
      </c>
      <c r="T1440" s="19">
        <f t="shared" ref="T1440" si="4208">EOMONTH(S1440,1)</f>
        <v>45351</v>
      </c>
      <c r="U1440" s="19">
        <f t="shared" ref="U1440" si="4209">EOMONTH(T1440,1)</f>
        <v>45382</v>
      </c>
      <c r="V1440" s="19">
        <f t="shared" ref="V1440" si="4210">EOMONTH(U1440,1)</f>
        <v>45412</v>
      </c>
      <c r="W1440" s="19">
        <f t="shared" ref="W1440" si="4211">EOMONTH(V1440,1)</f>
        <v>45443</v>
      </c>
      <c r="X1440" s="19">
        <f t="shared" ref="X1440" si="4212">EOMONTH(W1440,1)</f>
        <v>45473</v>
      </c>
      <c r="Y1440" s="19">
        <f t="shared" ref="Y1440" si="4213">EOMONTH(X1440,1)</f>
        <v>45504</v>
      </c>
      <c r="Z1440" s="19">
        <f t="shared" ref="Z1440" si="4214">EOMONTH(Y1440,1)</f>
        <v>45535</v>
      </c>
      <c r="AA1440" s="19">
        <f t="shared" ref="AA1440" si="4215">EOMONTH(Z1440,1)</f>
        <v>45565</v>
      </c>
      <c r="AB1440" s="19">
        <f t="shared" ref="AB1440" si="4216">EOMONTH(AA1440,1)</f>
        <v>45596</v>
      </c>
      <c r="AC1440" s="19">
        <f t="shared" ref="AC1440" si="4217">EOMONTH(AB1440,1)</f>
        <v>45626</v>
      </c>
      <c r="AD1440" s="5">
        <f t="shared" ref="AD1440" si="4218">EOMONTH(AC1440,1)</f>
        <v>45657</v>
      </c>
      <c r="AE1440" s="168"/>
      <c r="AF1440" s="13">
        <v>45291</v>
      </c>
      <c r="AG1440" s="14">
        <v>45657</v>
      </c>
      <c r="AH1440" s="14">
        <v>46022</v>
      </c>
    </row>
    <row r="1441" spans="2:34" ht="0.95" customHeight="1" x14ac:dyDescent="0.2">
      <c r="B1441" s="9">
        <f>G1436</f>
        <v>30</v>
      </c>
      <c r="C1441" s="9"/>
      <c r="D1441" s="9" t="s">
        <v>56</v>
      </c>
      <c r="G1441" s="11"/>
      <c r="S1441" s="11"/>
      <c r="AD1441" s="15"/>
      <c r="AE1441" s="15"/>
      <c r="AF1441" s="11"/>
      <c r="AG1441" s="15"/>
      <c r="AH1441" s="15"/>
    </row>
    <row r="1442" spans="2:34" x14ac:dyDescent="0.2">
      <c r="B1442" s="9">
        <f>G1436</f>
        <v>30</v>
      </c>
      <c r="C1442" s="9" t="str">
        <f>B1442&amp;" - "&amp;F1442</f>
        <v>30 - Employed Vets</v>
      </c>
      <c r="D1442" s="9" t="s">
        <v>56</v>
      </c>
      <c r="F1442" s="7" t="s">
        <v>160</v>
      </c>
      <c r="G1442" s="178">
        <f>_xlfn.XLOOKUP($C1442,'Site Level Financials - ''23 ''24'!$C$2:$C$1577,'Site Level Financials - ''23 ''24'!S$2:S$1577)</f>
        <v>4</v>
      </c>
      <c r="H1442" s="179">
        <f>_xlfn.XLOOKUP($C1442,'Site Level Financials - ''23 ''24'!$C$2:$C$1577,'Site Level Financials - ''23 ''24'!T$2:T$1577)</f>
        <v>4</v>
      </c>
      <c r="I1442" s="179">
        <f>_xlfn.XLOOKUP($C1442,'Site Level Financials - ''23 ''24'!$C$2:$C$1577,'Site Level Financials - ''23 ''24'!U$2:U$1577)</f>
        <v>5</v>
      </c>
      <c r="J1442" s="179">
        <f>_xlfn.XLOOKUP($C1442,'Site Level Financials - ''23 ''24'!$C$2:$C$1577,'Site Level Financials - ''23 ''24'!V$2:V$1577)</f>
        <v>4</v>
      </c>
      <c r="K1442" s="179">
        <f>_xlfn.XLOOKUP($C1442,'Site Level Financials - ''23 ''24'!$C$2:$C$1577,'Site Level Financials - ''23 ''24'!W$2:W$1577)</f>
        <v>3</v>
      </c>
      <c r="L1442" s="179">
        <f>_xlfn.XLOOKUP($C1442,'Site Level Financials - ''23 ''24'!$C$2:$C$1577,'Site Level Financials - ''23 ''24'!X$2:X$1577)</f>
        <v>4</v>
      </c>
      <c r="M1442" s="179">
        <f>_xlfn.XLOOKUP($C1442,'Site Level Financials - ''23 ''24'!$C$2:$C$1577,'Site Level Financials - ''23 ''24'!Y$2:Y$1577)</f>
        <v>4</v>
      </c>
      <c r="N1442" s="179">
        <f>_xlfn.XLOOKUP($C1442,'Site Level Financials - ''23 ''24'!$C$2:$C$1577,'Site Level Financials - ''23 ''24'!Z$2:Z$1577)</f>
        <v>5</v>
      </c>
      <c r="O1442" s="179">
        <f>_xlfn.XLOOKUP($C1442,'Site Level Financials - ''23 ''24'!$C$2:$C$1577,'Site Level Financials - ''23 ''24'!AA$2:AA$1577)</f>
        <v>5</v>
      </c>
      <c r="P1442" s="179">
        <f>_xlfn.XLOOKUP($C1442,'Site Level Financials - ''23 ''24'!$C$2:$C$1577,'Site Level Financials - ''23 ''24'!AB$2:AB$1577)</f>
        <v>4</v>
      </c>
      <c r="Q1442" s="179">
        <f>_xlfn.XLOOKUP($C1442,'Site Level Financials - ''23 ''24'!$C$2:$C$1577,'Site Level Financials - ''23 ''24'!AC$2:AC$1577)</f>
        <v>5</v>
      </c>
      <c r="R1442" s="179">
        <f>_xlfn.XLOOKUP($C1442,'Site Level Financials - ''23 ''24'!$C$2:$C$1577,'Site Level Financials - ''23 ''24'!AD$2:AD$1577)</f>
        <v>4</v>
      </c>
      <c r="S1442" s="178">
        <f>R1442+_xlfn.XLOOKUP($R1442,'Budget Assumption Driver'!$A$7:$A$11,'Budget Assumption Driver'!E$7:E$11)</f>
        <v>4</v>
      </c>
      <c r="T1442" s="179">
        <f>S1442+_xlfn.XLOOKUP($R1442,'Budget Assumption Driver'!$A$7:$A$11,'Budget Assumption Driver'!F$7:F$11)</f>
        <v>4</v>
      </c>
      <c r="U1442" s="179">
        <f>T1442+_xlfn.XLOOKUP($R1442,'Budget Assumption Driver'!$A$7:$A$11,'Budget Assumption Driver'!G$7:G$11)</f>
        <v>4</v>
      </c>
      <c r="V1442" s="179">
        <f>U1442+_xlfn.XLOOKUP($R1442,'Budget Assumption Driver'!$A$7:$A$11,'Budget Assumption Driver'!H$7:H$11)</f>
        <v>4</v>
      </c>
      <c r="W1442" s="179">
        <f>V1442+_xlfn.XLOOKUP($R1442,'Budget Assumption Driver'!$A$7:$A$11,'Budget Assumption Driver'!I$7:I$11)</f>
        <v>4</v>
      </c>
      <c r="X1442" s="179">
        <f>W1442+_xlfn.XLOOKUP($R1442,'Budget Assumption Driver'!$A$7:$A$11,'Budget Assumption Driver'!J$7:J$11)</f>
        <v>4</v>
      </c>
      <c r="Y1442" s="179">
        <f>X1442+_xlfn.XLOOKUP($R1442,'Budget Assumption Driver'!$A$7:$A$11,'Budget Assumption Driver'!K$7:K$11)</f>
        <v>4</v>
      </c>
      <c r="Z1442" s="179">
        <f>Y1442+_xlfn.XLOOKUP($R1442,'Budget Assumption Driver'!$A$7:$A$11,'Budget Assumption Driver'!L$7:L$11)</f>
        <v>4</v>
      </c>
      <c r="AA1442" s="179">
        <f>Z1442+_xlfn.XLOOKUP($R1442,'Budget Assumption Driver'!$A$7:$A$11,'Budget Assumption Driver'!M$7:M$11)</f>
        <v>4</v>
      </c>
      <c r="AB1442" s="179">
        <f>AA1442+_xlfn.XLOOKUP($R1442,'Budget Assumption Driver'!$A$7:$A$11,'Budget Assumption Driver'!N$7:N$11)</f>
        <v>4</v>
      </c>
      <c r="AC1442" s="179">
        <f>AB1442+_xlfn.XLOOKUP($R1442,'Budget Assumption Driver'!$A$7:$A$11,'Budget Assumption Driver'!O$7:O$11)</f>
        <v>4</v>
      </c>
      <c r="AD1442" s="290">
        <f>AC1442+_xlfn.XLOOKUP($R1442,'Budget Assumption Driver'!$A$7:$A$11,'Budget Assumption Driver'!P$7:P$11)</f>
        <v>4</v>
      </c>
      <c r="AE1442" s="15"/>
      <c r="AF1442" s="229">
        <f>_xlfn.XLOOKUP($C1442,'Site Level Financials - ''23 ''24'!$C$2:$C$1577,'Site Level Financials - ''23 ''24'!$AF$2:$AF$1577)</f>
        <v>2.6666666666666665</v>
      </c>
      <c r="AG1442" s="91">
        <f t="shared" ref="AG1442:AH1442" si="4219">AG1444/AG1443</f>
        <v>4.2379182156133828</v>
      </c>
      <c r="AH1442" s="91">
        <f t="shared" si="4219"/>
        <v>4</v>
      </c>
    </row>
    <row r="1443" spans="2:34" x14ac:dyDescent="0.2">
      <c r="B1443" s="9">
        <f>G1436</f>
        <v>30</v>
      </c>
      <c r="C1443" s="9" t="str">
        <f t="shared" ref="C1443:C1479" si="4220">B1443&amp;" - "&amp;F1443</f>
        <v>30 - Workdays in Month / Year</v>
      </c>
      <c r="D1443" s="9" t="s">
        <v>56</v>
      </c>
      <c r="F1443" s="7" t="s">
        <v>54</v>
      </c>
      <c r="G1443" s="178">
        <f>_xlfn.XLOOKUP($C1443,'Site Level Financials - ''23 ''24'!$C$2:$C$1577,'Site Level Financials - ''23 ''24'!S$2:S$1577)</f>
        <v>23</v>
      </c>
      <c r="H1443" s="235">
        <f>_xlfn.XLOOKUP($C1443,'Site Level Financials - ''23 ''24'!$C$2:$C$1577,'Site Level Financials - ''23 ''24'!T$2:T$1577)</f>
        <v>22</v>
      </c>
      <c r="I1443" s="235">
        <f>_xlfn.XLOOKUP($C1443,'Site Level Financials - ''23 ''24'!$C$2:$C$1577,'Site Level Financials - ''23 ''24'!U$2:U$1577)</f>
        <v>22</v>
      </c>
      <c r="J1443" s="179">
        <f>_xlfn.XLOOKUP($C1443,'Site Level Financials - ''23 ''24'!$C$2:$C$1577,'Site Level Financials - ''23 ''24'!V$2:V$1577)</f>
        <v>22</v>
      </c>
      <c r="K1443" s="179">
        <f>_xlfn.XLOOKUP($C1443,'Site Level Financials - ''23 ''24'!$C$2:$C$1577,'Site Level Financials - ''23 ''24'!W$2:W$1577)</f>
        <v>24</v>
      </c>
      <c r="L1443" s="179">
        <f>_xlfn.XLOOKUP($C1443,'Site Level Financials - ''23 ''24'!$C$2:$C$1577,'Site Level Financials - ''23 ''24'!X$2:X$1577)</f>
        <v>21</v>
      </c>
      <c r="M1443" s="179">
        <f>_xlfn.XLOOKUP($C1443,'Site Level Financials - ''23 ''24'!$C$2:$C$1577,'Site Level Financials - ''23 ''24'!Y$2:Y$1577)</f>
        <v>23</v>
      </c>
      <c r="N1443" s="179">
        <f>_xlfn.XLOOKUP($C1443,'Site Level Financials - ''23 ''24'!$C$2:$C$1577,'Site Level Financials - ''23 ''24'!Z$2:Z$1577)</f>
        <v>23</v>
      </c>
      <c r="O1443" s="179">
        <f>_xlfn.XLOOKUP($C1443,'Site Level Financials - ''23 ''24'!$C$2:$C$1577,'Site Level Financials - ''23 ''24'!AA$2:AA$1577)</f>
        <v>21</v>
      </c>
      <c r="P1443" s="179">
        <f>_xlfn.XLOOKUP($C1443,'Site Level Financials - ''23 ''24'!$C$2:$C$1577,'Site Level Financials - ''23 ''24'!AB$2:AB$1577)</f>
        <v>24</v>
      </c>
      <c r="Q1443" s="179">
        <f>_xlfn.XLOOKUP($C1443,'Site Level Financials - ''23 ''24'!$C$2:$C$1577,'Site Level Financials - ''23 ''24'!AC$2:AC$1577)</f>
        <v>22</v>
      </c>
      <c r="R1443" s="179">
        <f>_xlfn.XLOOKUP($C1443,'Site Level Financials - ''23 ''24'!$C$2:$C$1577,'Site Level Financials - ''23 ''24'!AD$2:AD$1577)</f>
        <v>22</v>
      </c>
      <c r="S1443" s="155">
        <f>NETWORKDAYS(R1440,S1440)</f>
        <v>23</v>
      </c>
      <c r="T1443" s="154">
        <f t="shared" ref="T1443:AD1443" si="4221">NETWORKDAYS(S1440,T1440)</f>
        <v>22</v>
      </c>
      <c r="U1443" s="154">
        <f t="shared" si="4221"/>
        <v>22</v>
      </c>
      <c r="V1443" s="154">
        <f t="shared" si="4221"/>
        <v>22</v>
      </c>
      <c r="W1443" s="154">
        <f t="shared" si="4221"/>
        <v>24</v>
      </c>
      <c r="X1443" s="154">
        <f t="shared" si="4221"/>
        <v>21</v>
      </c>
      <c r="Y1443" s="154">
        <f t="shared" si="4221"/>
        <v>23</v>
      </c>
      <c r="Z1443" s="154">
        <f t="shared" si="4221"/>
        <v>23</v>
      </c>
      <c r="AA1443" s="154">
        <f t="shared" si="4221"/>
        <v>21</v>
      </c>
      <c r="AB1443" s="154">
        <f t="shared" si="4221"/>
        <v>24</v>
      </c>
      <c r="AC1443" s="154">
        <f t="shared" si="4221"/>
        <v>22</v>
      </c>
      <c r="AD1443" s="156">
        <f t="shared" si="4221"/>
        <v>22</v>
      </c>
      <c r="AE1443" s="15"/>
      <c r="AF1443" s="115">
        <f>_xlfn.XLOOKUP($C1443,'Site Level Financials - ''23 ''24'!$C$2:$C$1577,'Site Level Financials - ''23 ''24'!$AF$2:$AF$1577)</f>
        <v>269</v>
      </c>
      <c r="AG1443" s="93">
        <f>SUM(G1443:R1443)</f>
        <v>269</v>
      </c>
      <c r="AH1443" s="93">
        <f>SUM(S1443:AD1443)</f>
        <v>269</v>
      </c>
    </row>
    <row r="1444" spans="2:34" x14ac:dyDescent="0.2">
      <c r="B1444" s="9">
        <f>G1436</f>
        <v>30</v>
      </c>
      <c r="C1444" s="9" t="str">
        <f t="shared" si="4220"/>
        <v>30 - Total Vet Days</v>
      </c>
      <c r="D1444" s="9" t="s">
        <v>56</v>
      </c>
      <c r="F1444" s="8" t="s">
        <v>51</v>
      </c>
      <c r="G1444" s="236">
        <f>_xlfn.XLOOKUP($C1444,'Site Level Financials - ''23 ''24'!$C$2:$C$1577,'Site Level Financials - ''23 ''24'!S$2:S$1577)</f>
        <v>92</v>
      </c>
      <c r="H1444" s="237">
        <f>_xlfn.XLOOKUP($C1444,'Site Level Financials - ''23 ''24'!$C$2:$C$1577,'Site Level Financials - ''23 ''24'!T$2:T$1577)</f>
        <v>88</v>
      </c>
      <c r="I1444" s="237">
        <f>_xlfn.XLOOKUP($C1444,'Site Level Financials - ''23 ''24'!$C$2:$C$1577,'Site Level Financials - ''23 ''24'!U$2:U$1577)</f>
        <v>110</v>
      </c>
      <c r="J1444" s="238">
        <f>_xlfn.XLOOKUP($C1444,'Site Level Financials - ''23 ''24'!$C$2:$C$1577,'Site Level Financials - ''23 ''24'!V$2:V$1577)</f>
        <v>88</v>
      </c>
      <c r="K1444" s="238">
        <f>_xlfn.XLOOKUP($C1444,'Site Level Financials - ''23 ''24'!$C$2:$C$1577,'Site Level Financials - ''23 ''24'!W$2:W$1577)</f>
        <v>72</v>
      </c>
      <c r="L1444" s="238">
        <f>_xlfn.XLOOKUP($C1444,'Site Level Financials - ''23 ''24'!$C$2:$C$1577,'Site Level Financials - ''23 ''24'!X$2:X$1577)</f>
        <v>84</v>
      </c>
      <c r="M1444" s="238">
        <f>_xlfn.XLOOKUP($C1444,'Site Level Financials - ''23 ''24'!$C$2:$C$1577,'Site Level Financials - ''23 ''24'!Y$2:Y$1577)</f>
        <v>92</v>
      </c>
      <c r="N1444" s="238">
        <f>_xlfn.XLOOKUP($C1444,'Site Level Financials - ''23 ''24'!$C$2:$C$1577,'Site Level Financials - ''23 ''24'!Z$2:Z$1577)</f>
        <v>115</v>
      </c>
      <c r="O1444" s="238">
        <f>_xlfn.XLOOKUP($C1444,'Site Level Financials - ''23 ''24'!$C$2:$C$1577,'Site Level Financials - ''23 ''24'!AA$2:AA$1577)</f>
        <v>105</v>
      </c>
      <c r="P1444" s="238">
        <f>_xlfn.XLOOKUP($C1444,'Site Level Financials - ''23 ''24'!$C$2:$C$1577,'Site Level Financials - ''23 ''24'!AB$2:AB$1577)</f>
        <v>96</v>
      </c>
      <c r="Q1444" s="238">
        <f>_xlfn.XLOOKUP($C1444,'Site Level Financials - ''23 ''24'!$C$2:$C$1577,'Site Level Financials - ''23 ''24'!AC$2:AC$1577)</f>
        <v>110</v>
      </c>
      <c r="R1444" s="238">
        <f>_xlfn.XLOOKUP($C1444,'Site Level Financials - ''23 ''24'!$C$2:$C$1577,'Site Level Financials - ''23 ''24'!AD$2:AD$1577)</f>
        <v>88</v>
      </c>
      <c r="S1444" s="125">
        <f t="shared" ref="S1444:AD1444" si="4222">S1442*S1443</f>
        <v>92</v>
      </c>
      <c r="T1444" s="127">
        <f t="shared" si="4222"/>
        <v>88</v>
      </c>
      <c r="U1444" s="127">
        <f t="shared" si="4222"/>
        <v>88</v>
      </c>
      <c r="V1444" s="127">
        <f t="shared" si="4222"/>
        <v>88</v>
      </c>
      <c r="W1444" s="127">
        <f t="shared" si="4222"/>
        <v>96</v>
      </c>
      <c r="X1444" s="127">
        <f t="shared" si="4222"/>
        <v>84</v>
      </c>
      <c r="Y1444" s="127">
        <f t="shared" si="4222"/>
        <v>92</v>
      </c>
      <c r="Z1444" s="127">
        <f t="shared" si="4222"/>
        <v>92</v>
      </c>
      <c r="AA1444" s="127">
        <f t="shared" si="4222"/>
        <v>84</v>
      </c>
      <c r="AB1444" s="127">
        <f t="shared" si="4222"/>
        <v>96</v>
      </c>
      <c r="AC1444" s="127">
        <f t="shared" si="4222"/>
        <v>88</v>
      </c>
      <c r="AD1444" s="128">
        <f t="shared" si="4222"/>
        <v>88</v>
      </c>
      <c r="AF1444" s="112">
        <f>_xlfn.XLOOKUP($C1444,'Site Level Financials - ''23 ''24'!$C$2:$C$1577,'Site Level Financials - ''23 ''24'!$AF$2:$AF$1577)</f>
        <v>718</v>
      </c>
      <c r="AG1444" s="120">
        <f>SUM(G1444:R1444)</f>
        <v>1140</v>
      </c>
      <c r="AH1444" s="120">
        <f t="shared" ref="AH1444" si="4223">SUM(S1444:AD1444)</f>
        <v>1076</v>
      </c>
    </row>
    <row r="1445" spans="2:34" x14ac:dyDescent="0.2">
      <c r="B1445" s="9">
        <f>G1436</f>
        <v>30</v>
      </c>
      <c r="C1445" s="9" t="str">
        <f t="shared" si="4220"/>
        <v>30 - Production per Vet Workday</v>
      </c>
      <c r="D1445" s="9" t="s">
        <v>56</v>
      </c>
      <c r="F1445" s="7" t="s">
        <v>50</v>
      </c>
      <c r="G1445" s="239">
        <f>_xlfn.XLOOKUP($C1445,'Site Level Financials - ''23 ''24'!$C$2:$C$1577,'Site Level Financials - ''23 ''24'!S$2:S$1577)</f>
        <v>5.8774317376252423</v>
      </c>
      <c r="H1445" s="240">
        <f>_xlfn.XLOOKUP($C1445,'Site Level Financials - ''23 ''24'!$C$2:$C$1577,'Site Level Financials - ''23 ''24'!T$2:T$1577)</f>
        <v>6.3653388117829692</v>
      </c>
      <c r="I1445" s="240">
        <f>_xlfn.XLOOKUP($C1445,'Site Level Financials - ''23 ''24'!$C$2:$C$1577,'Site Level Financials - ''23 ''24'!U$2:U$1577)</f>
        <v>5.725229365303206</v>
      </c>
      <c r="J1445" s="240">
        <f>_xlfn.XLOOKUP($C1445,'Site Level Financials - ''23 ''24'!$C$2:$C$1577,'Site Level Financials - ''23 ''24'!V$2:V$1577)</f>
        <v>6.3707638044111565</v>
      </c>
      <c r="K1445" s="240">
        <f>_xlfn.XLOOKUP($C1445,'Site Level Financials - ''23 ''24'!$C$2:$C$1577,'Site Level Financials - ''23 ''24'!W$2:W$1577)</f>
        <v>7.34872243507328</v>
      </c>
      <c r="L1445" s="240">
        <f>_xlfn.XLOOKUP($C1445,'Site Level Financials - ''23 ''24'!$C$2:$C$1577,'Site Level Financials - ''23 ''24'!X$2:X$1577)</f>
        <v>6.5711819715435835</v>
      </c>
      <c r="M1445" s="240">
        <f>_xlfn.XLOOKUP($C1445,'Site Level Financials - ''23 ''24'!$C$2:$C$1577,'Site Level Financials - ''23 ''24'!Y$2:Y$1577)</f>
        <v>6.932476524603346</v>
      </c>
      <c r="N1445" s="240">
        <f>_xlfn.XLOOKUP($C1445,'Site Level Financials - ''23 ''24'!$C$2:$C$1577,'Site Level Financials - ''23 ''24'!Z$2:Z$1577)</f>
        <v>5.2872198639158965</v>
      </c>
      <c r="O1445" s="240">
        <f>_xlfn.XLOOKUP($C1445,'Site Level Financials - ''23 ''24'!$C$2:$C$1577,'Site Level Financials - ''23 ''24'!AA$2:AA$1577)</f>
        <v>5.0050725133340084</v>
      </c>
      <c r="P1445" s="240">
        <f>_xlfn.XLOOKUP($C1445,'Site Level Financials - ''23 ''24'!$C$2:$C$1577,'Site Level Financials - ''23 ''24'!AB$2:AB$1577)</f>
        <v>5.5901982882384811</v>
      </c>
      <c r="Q1445" s="240">
        <f>_xlfn.XLOOKUP($C1445,'Site Level Financials - ''23 ''24'!$C$2:$C$1577,'Site Level Financials - ''23 ''24'!AC$2:AC$1577)</f>
        <v>4.5705294729113435</v>
      </c>
      <c r="R1445" s="240">
        <f>_xlfn.XLOOKUP($C1445,'Site Level Financials - ''23 ''24'!$C$2:$C$1577,'Site Level Financials - ''23 ''24'!AD$2:AD$1577)</f>
        <v>3.427125524536232</v>
      </c>
      <c r="S1445" s="239">
        <f>R1445*(1+_xlfn.XLOOKUP($R1442,'Budget Assumption Driver'!$A$15:$A$19,'Budget Assumption Driver'!E$15:E$19))</f>
        <v>4.8487271757530639</v>
      </c>
      <c r="T1445" s="240">
        <f>S1445*(1+_xlfn.XLOOKUP($R1442,'Budget Assumption Driver'!$A$15:$A$19,'Budget Assumption Driver'!F$15:F$19))</f>
        <v>5.2489703584045344</v>
      </c>
      <c r="U1445" s="240">
        <f>T1445*(1+_xlfn.XLOOKUP($R1442,'Budget Assumption Driver'!$A$15:$A$19,'Budget Assumption Driver'!G$15:G$19))</f>
        <v>5.6362878614556298</v>
      </c>
      <c r="V1445" s="240">
        <f>U1445*(1+_xlfn.XLOOKUP($R1442,'Budget Assumption Driver'!$A$15:$A$19,'Budget Assumption Driver'!H$15:H$19))</f>
        <v>6.0373747981819736</v>
      </c>
      <c r="W1445" s="240">
        <f>V1445*(1+_xlfn.XLOOKUP($R1442,'Budget Assumption Driver'!$A$15:$A$19,'Budget Assumption Driver'!I$15:I$19))</f>
        <v>6.577532960718723</v>
      </c>
      <c r="X1445" s="240">
        <f>W1445*(1+_xlfn.XLOOKUP($R1442,'Budget Assumption Driver'!$A$15:$A$19,'Budget Assumption Driver'!J$15:J$19))</f>
        <v>6.3125429211236614</v>
      </c>
      <c r="Y1445" s="240">
        <f>X1445*(1+_xlfn.XLOOKUP($R1442,'Budget Assumption Driver'!$A$15:$A$19,'Budget Assumption Driver'!K$15:K$19))</f>
        <v>5.8064911114395441</v>
      </c>
      <c r="Z1445" s="240">
        <f>Y1445*(1+_xlfn.XLOOKUP($R1442,'Budget Assumption Driver'!$A$15:$A$19,'Budget Assumption Driver'!L$15:L$19))</f>
        <v>4.9790128885982394</v>
      </c>
      <c r="AA1445" s="240">
        <f>Z1445*(1+_xlfn.XLOOKUP($R1442,'Budget Assumption Driver'!$A$15:$A$19,'Budget Assumption Driver'!M$15:M$19))</f>
        <v>4.9996999407446889</v>
      </c>
      <c r="AB1445" s="240">
        <f>AA1445*(1+_xlfn.XLOOKUP($R1442,'Budget Assumption Driver'!$A$15:$A$19,'Budget Assumption Driver'!N$15:N$19))</f>
        <v>5.0243542035537194</v>
      </c>
      <c r="AC1445" s="240">
        <f>AB1445*(1+_xlfn.XLOOKUP($R1442,'Budget Assumption Driver'!$A$15:$A$19,'Budget Assumption Driver'!O$15:O$19))</f>
        <v>4.3326502302833925</v>
      </c>
      <c r="AD1445" s="291">
        <f>AC1445*(1+_xlfn.XLOOKUP($R1442,'Budget Assumption Driver'!$A$15:$A$19,'Budget Assumption Driver'!P$15:P$19))</f>
        <v>3.5363635043367703</v>
      </c>
      <c r="AE1445" s="15"/>
      <c r="AF1445" s="230">
        <f>_xlfn.XLOOKUP($C1445,'Site Level Financials - ''23 ''24'!$C$2:$C$1577,'Site Level Financials - ''23 ''24'!$AF$2:$AF$1577)</f>
        <v>6.0518851754478131</v>
      </c>
      <c r="AG1445" s="101">
        <f>AG1446/AG1444</f>
        <v>5.6883494241834489</v>
      </c>
      <c r="AH1445" s="101">
        <f>AH1446/AH1444</f>
        <v>5.2825499540651828</v>
      </c>
    </row>
    <row r="1446" spans="2:34" x14ac:dyDescent="0.2">
      <c r="B1446" s="9">
        <f>G1436</f>
        <v>30</v>
      </c>
      <c r="C1446" s="9" t="str">
        <f t="shared" si="4220"/>
        <v>30 - Total Production</v>
      </c>
      <c r="D1446" s="9" t="s">
        <v>56</v>
      </c>
      <c r="F1446" s="8" t="s">
        <v>1</v>
      </c>
      <c r="G1446" s="241">
        <f>_xlfn.XLOOKUP($C1446,'Site Level Financials - ''23 ''24'!$C$2:$C$1577,'Site Level Financials - ''23 ''24'!S$2:S$1577)</f>
        <v>540.72371986152234</v>
      </c>
      <c r="H1446" s="242">
        <f>_xlfn.XLOOKUP($C1446,'Site Level Financials - ''23 ''24'!$C$2:$C$1577,'Site Level Financials - ''23 ''24'!T$2:T$1577)</f>
        <v>560.14981543690124</v>
      </c>
      <c r="I1446" s="242">
        <f>_xlfn.XLOOKUP($C1446,'Site Level Financials - ''23 ''24'!$C$2:$C$1577,'Site Level Financials - ''23 ''24'!U$2:U$1577)</f>
        <v>629.77523018335262</v>
      </c>
      <c r="J1446" s="242">
        <f>_xlfn.XLOOKUP($C1446,'Site Level Financials - ''23 ''24'!$C$2:$C$1577,'Site Level Financials - ''23 ''24'!V$2:V$1577)</f>
        <v>560.62721478818173</v>
      </c>
      <c r="K1446" s="242">
        <f>_xlfn.XLOOKUP($C1446,'Site Level Financials - ''23 ''24'!$C$2:$C$1577,'Site Level Financials - ''23 ''24'!W$2:W$1577)</f>
        <v>529.10801532527614</v>
      </c>
      <c r="L1446" s="242">
        <f>_xlfn.XLOOKUP($C1446,'Site Level Financials - ''23 ''24'!$C$2:$C$1577,'Site Level Financials - ''23 ''24'!X$2:X$1577)</f>
        <v>551.97928560966102</v>
      </c>
      <c r="M1446" s="242">
        <f>_xlfn.XLOOKUP($C1446,'Site Level Financials - ''23 ''24'!$C$2:$C$1577,'Site Level Financials - ''23 ''24'!Y$2:Y$1577)</f>
        <v>637.78784026350786</v>
      </c>
      <c r="N1446" s="242">
        <f>_xlfn.XLOOKUP($C1446,'Site Level Financials - ''23 ''24'!$C$2:$C$1577,'Site Level Financials - ''23 ''24'!Z$2:Z$1577)</f>
        <v>608.03028435032809</v>
      </c>
      <c r="O1446" s="242">
        <f>_xlfn.XLOOKUP($C1446,'Site Level Financials - ''23 ''24'!$C$2:$C$1577,'Site Level Financials - ''23 ''24'!AA$2:AA$1577)</f>
        <v>525.53261390007083</v>
      </c>
      <c r="P1446" s="242">
        <f>_xlfn.XLOOKUP($C1446,'Site Level Financials - ''23 ''24'!$C$2:$C$1577,'Site Level Financials - ''23 ''24'!AB$2:AB$1577)</f>
        <v>536.65903567089413</v>
      </c>
      <c r="Q1446" s="242">
        <f>_xlfn.XLOOKUP($C1446,'Site Level Financials - ''23 ''24'!$C$2:$C$1577,'Site Level Financials - ''23 ''24'!AC$2:AC$1577)</f>
        <v>502.75824202024779</v>
      </c>
      <c r="R1446" s="242">
        <f>_xlfn.XLOOKUP($C1446,'Site Level Financials - ''23 ''24'!$C$2:$C$1577,'Site Level Financials - ''23 ''24'!AD$2:AD$1577)</f>
        <v>301.58704615918839</v>
      </c>
      <c r="S1446" s="134">
        <f t="shared" ref="S1446:AD1446" si="4224">S1445*S1444</f>
        <v>446.08290016928186</v>
      </c>
      <c r="T1446" s="135">
        <f t="shared" si="4224"/>
        <v>461.90939153959903</v>
      </c>
      <c r="U1446" s="135">
        <f t="shared" si="4224"/>
        <v>495.99333180809543</v>
      </c>
      <c r="V1446" s="135">
        <f t="shared" si="4224"/>
        <v>531.28898224001364</v>
      </c>
      <c r="W1446" s="135">
        <f t="shared" si="4224"/>
        <v>631.44316422899738</v>
      </c>
      <c r="X1446" s="135">
        <f t="shared" si="4224"/>
        <v>530.25360537438758</v>
      </c>
      <c r="Y1446" s="135">
        <f t="shared" si="4224"/>
        <v>534.1971822524381</v>
      </c>
      <c r="Z1446" s="135">
        <f t="shared" si="4224"/>
        <v>458.06918575103805</v>
      </c>
      <c r="AA1446" s="135">
        <f t="shared" si="4224"/>
        <v>419.97479502255385</v>
      </c>
      <c r="AB1446" s="135">
        <f t="shared" si="4224"/>
        <v>482.33800354115704</v>
      </c>
      <c r="AC1446" s="135">
        <f t="shared" si="4224"/>
        <v>381.27322026493852</v>
      </c>
      <c r="AD1446" s="136">
        <f t="shared" si="4224"/>
        <v>311.19998838163576</v>
      </c>
      <c r="AE1446" s="15"/>
      <c r="AF1446" s="113">
        <f>_xlfn.XLOOKUP($C1446,'Site Level Financials - ''23 ''24'!$C$2:$C$1577,'Site Level Financials - ''23 ''24'!$AF$2:$AF$1577)</f>
        <v>4108.9159543953065</v>
      </c>
      <c r="AG1446" s="95">
        <f>SUM(G1446:R1446)</f>
        <v>6484.7183435691322</v>
      </c>
      <c r="AH1446" s="95">
        <f t="shared" ref="AH1446" si="4225">SUM(S1446:AD1446)</f>
        <v>5684.023750574137</v>
      </c>
    </row>
    <row r="1447" spans="2:34" x14ac:dyDescent="0.2">
      <c r="B1447" s="9">
        <f>G1436</f>
        <v>30</v>
      </c>
      <c r="C1447" s="9" t="str">
        <f t="shared" si="4220"/>
        <v>30 - Revenue as a % of Production</v>
      </c>
      <c r="D1447" s="9" t="s">
        <v>56</v>
      </c>
      <c r="F1447" s="7" t="s">
        <v>2</v>
      </c>
      <c r="G1447" s="243">
        <f>_xlfn.XLOOKUP($C1447,'Site Level Financials - ''23 ''24'!$C$2:$C$1577,'Site Level Financials - ''23 ''24'!S$2:S$1577)</f>
        <v>0.97026176111122286</v>
      </c>
      <c r="H1447" s="244">
        <f>_xlfn.XLOOKUP($C1447,'Site Level Financials - ''23 ''24'!$C$2:$C$1577,'Site Level Financials - ''23 ''24'!T$2:T$1577)</f>
        <v>0.97026176111122286</v>
      </c>
      <c r="I1447" s="244">
        <f>_xlfn.XLOOKUP($C1447,'Site Level Financials - ''23 ''24'!$C$2:$C$1577,'Site Level Financials - ''23 ''24'!U$2:U$1577)</f>
        <v>0.97026176111122286</v>
      </c>
      <c r="J1447" s="244">
        <f>_xlfn.XLOOKUP($C1447,'Site Level Financials - ''23 ''24'!$C$2:$C$1577,'Site Level Financials - ''23 ''24'!V$2:V$1577)</f>
        <v>0.97026176111122286</v>
      </c>
      <c r="K1447" s="244">
        <f>_xlfn.XLOOKUP($C1447,'Site Level Financials - ''23 ''24'!$C$2:$C$1577,'Site Level Financials - ''23 ''24'!W$2:W$1577)</f>
        <v>0.97026176111122286</v>
      </c>
      <c r="L1447" s="244">
        <f>_xlfn.XLOOKUP($C1447,'Site Level Financials - ''23 ''24'!$C$2:$C$1577,'Site Level Financials - ''23 ''24'!X$2:X$1577)</f>
        <v>0.97026176111122286</v>
      </c>
      <c r="M1447" s="244">
        <f>_xlfn.XLOOKUP($C1447,'Site Level Financials - ''23 ''24'!$C$2:$C$1577,'Site Level Financials - ''23 ''24'!Y$2:Y$1577)</f>
        <v>0.97026176111122286</v>
      </c>
      <c r="N1447" s="244">
        <f>_xlfn.XLOOKUP($C1447,'Site Level Financials - ''23 ''24'!$C$2:$C$1577,'Site Level Financials - ''23 ''24'!Z$2:Z$1577)</f>
        <v>0.97026176111122286</v>
      </c>
      <c r="O1447" s="244">
        <f>_xlfn.XLOOKUP($C1447,'Site Level Financials - ''23 ''24'!$C$2:$C$1577,'Site Level Financials - ''23 ''24'!AA$2:AA$1577)</f>
        <v>0.97026176111122286</v>
      </c>
      <c r="P1447" s="244">
        <f>_xlfn.XLOOKUP($C1447,'Site Level Financials - ''23 ''24'!$C$2:$C$1577,'Site Level Financials - ''23 ''24'!AB$2:AB$1577)</f>
        <v>0.97026176111122286</v>
      </c>
      <c r="Q1447" s="244">
        <f>_xlfn.XLOOKUP($C1447,'Site Level Financials - ''23 ''24'!$C$2:$C$1577,'Site Level Financials - ''23 ''24'!AC$2:AC$1577)</f>
        <v>0.97026176111122286</v>
      </c>
      <c r="R1447" s="244">
        <f>_xlfn.XLOOKUP($C1447,'Site Level Financials - ''23 ''24'!$C$2:$C$1577,'Site Level Financials - ''23 ''24'!AD$2:AD$1577)</f>
        <v>0.97026176111122286</v>
      </c>
      <c r="S1447" s="292">
        <f>SUM(G1476:R1476)/SUM(G1446:R1446)</f>
        <v>0.97642780346741676</v>
      </c>
      <c r="T1447" s="203">
        <f>S1447</f>
        <v>0.97642780346741676</v>
      </c>
      <c r="U1447" s="203">
        <f t="shared" ref="U1447:AD1447" si="4226">T1447</f>
        <v>0.97642780346741676</v>
      </c>
      <c r="V1447" s="203">
        <f t="shared" si="4226"/>
        <v>0.97642780346741676</v>
      </c>
      <c r="W1447" s="203">
        <f t="shared" si="4226"/>
        <v>0.97642780346741676</v>
      </c>
      <c r="X1447" s="203">
        <f t="shared" si="4226"/>
        <v>0.97642780346741676</v>
      </c>
      <c r="Y1447" s="203">
        <f t="shared" si="4226"/>
        <v>0.97642780346741676</v>
      </c>
      <c r="Z1447" s="203">
        <f t="shared" si="4226"/>
        <v>0.97642780346741676</v>
      </c>
      <c r="AA1447" s="203">
        <f t="shared" si="4226"/>
        <v>0.97642780346741676</v>
      </c>
      <c r="AB1447" s="203">
        <f t="shared" si="4226"/>
        <v>0.97642780346741676</v>
      </c>
      <c r="AC1447" s="203">
        <f t="shared" si="4226"/>
        <v>0.97642780346741676</v>
      </c>
      <c r="AD1447" s="204">
        <f t="shared" si="4226"/>
        <v>0.97642780346741676</v>
      </c>
      <c r="AE1447" s="15"/>
      <c r="AF1447" s="231">
        <f>_xlfn.XLOOKUP($C1447,'Site Level Financials - ''23 ''24'!$C$2:$C$1577,'Site Level Financials - ''23 ''24'!$AF$2:$AF$1577)</f>
        <v>0.97670932757459128</v>
      </c>
      <c r="AG1447" s="103">
        <f>AG1448/AG1446</f>
        <v>0.97026176111122286</v>
      </c>
      <c r="AH1447" s="103">
        <f>AH1448/AH1446</f>
        <v>0.97642780346741664</v>
      </c>
    </row>
    <row r="1448" spans="2:34" x14ac:dyDescent="0.2">
      <c r="B1448" s="9">
        <f>G1436</f>
        <v>30</v>
      </c>
      <c r="C1448" s="9" t="str">
        <f t="shared" si="4220"/>
        <v>30 - Total Revenue</v>
      </c>
      <c r="D1448" s="9" t="s">
        <v>56</v>
      </c>
      <c r="F1448" s="8" t="s">
        <v>3</v>
      </c>
      <c r="G1448" s="241">
        <f>_xlfn.XLOOKUP($C1448,'Site Level Financials - ''23 ''24'!$C$2:$C$1577,'Site Level Financials - ''23 ''24'!S$2:S$1577)</f>
        <v>524.64354870745217</v>
      </c>
      <c r="H1448" s="242">
        <f>_xlfn.XLOOKUP($C1448,'Site Level Financials - ''23 ''24'!$C$2:$C$1577,'Site Level Financials - ''23 ''24'!T$2:T$1577)</f>
        <v>543.49194641193424</v>
      </c>
      <c r="I1448" s="242">
        <f>_xlfn.XLOOKUP($C1448,'Site Level Financials - ''23 ''24'!$C$2:$C$1577,'Site Level Financials - ''23 ''24'!U$2:U$1577)</f>
        <v>611.04682394192548</v>
      </c>
      <c r="J1448" s="242">
        <f>_xlfn.XLOOKUP($C1448,'Site Level Financials - ''23 ''24'!$C$2:$C$1577,'Site Level Financials - ''23 ''24'!V$2:V$1577)</f>
        <v>543.95514874726098</v>
      </c>
      <c r="K1448" s="242">
        <f>_xlfn.XLOOKUP($C1448,'Site Level Financials - ''23 ''24'!$C$2:$C$1577,'Site Level Financials - ''23 ''24'!W$2:W$1577)</f>
        <v>513.37327476756627</v>
      </c>
      <c r="L1448" s="242">
        <f>_xlfn.XLOOKUP($C1448,'Site Level Financials - ''23 ''24'!$C$2:$C$1577,'Site Level Financials - ''23 ''24'!X$2:X$1577)</f>
        <v>535.56439375254433</v>
      </c>
      <c r="M1448" s="242">
        <f>_xlfn.XLOOKUP($C1448,'Site Level Financials - ''23 ''24'!$C$2:$C$1577,'Site Level Financials - ''23 ''24'!Y$2:Y$1577)</f>
        <v>618.82115310939446</v>
      </c>
      <c r="N1448" s="242">
        <f>_xlfn.XLOOKUP($C1448,'Site Level Financials - ''23 ''24'!$C$2:$C$1577,'Site Level Financials - ''23 ''24'!Z$2:Z$1577)</f>
        <v>589.94853450270693</v>
      </c>
      <c r="O1448" s="242">
        <f>_xlfn.XLOOKUP($C1448,'Site Level Financials - ''23 ''24'!$C$2:$C$1577,'Site Level Financials - ''23 ''24'!AA$2:AA$1577)</f>
        <v>509.90419948406702</v>
      </c>
      <c r="P1448" s="242">
        <f>_xlfn.XLOOKUP($C1448,'Site Level Financials - ''23 ''24'!$C$2:$C$1577,'Site Level Financials - ''23 ''24'!AB$2:AB$1577)</f>
        <v>520.69974106629229</v>
      </c>
      <c r="Q1448" s="242">
        <f>_xlfn.XLOOKUP($C1448,'Site Level Financials - ''23 ''24'!$C$2:$C$1577,'Site Level Financials - ''23 ''24'!AC$2:AC$1577)</f>
        <v>487.80709731574802</v>
      </c>
      <c r="R1448" s="242">
        <f>_xlfn.XLOOKUP($C1448,'Site Level Financials - ''23 ''24'!$C$2:$C$1577,'Site Level Financials - ''23 ''24'!AD$2:AD$1577)</f>
        <v>292.61837853474577</v>
      </c>
      <c r="S1448" s="134">
        <f t="shared" ref="S1448:AD1448" si="4227">S1447*S1446</f>
        <v>435.56774637666683</v>
      </c>
      <c r="T1448" s="135">
        <f t="shared" si="4227"/>
        <v>451.02117258198166</v>
      </c>
      <c r="U1448" s="135">
        <f t="shared" si="4227"/>
        <v>484.30167951186422</v>
      </c>
      <c r="V1448" s="135">
        <f t="shared" si="4227"/>
        <v>518.76533393505588</v>
      </c>
      <c r="W1448" s="135">
        <f t="shared" si="4227"/>
        <v>616.55866186263518</v>
      </c>
      <c r="X1448" s="135">
        <f t="shared" si="4227"/>
        <v>517.75436317639162</v>
      </c>
      <c r="Y1448" s="135">
        <f t="shared" si="4227"/>
        <v>521.60498128523147</v>
      </c>
      <c r="Z1448" s="135">
        <f t="shared" si="4227"/>
        <v>447.27148887899421</v>
      </c>
      <c r="AA1448" s="135">
        <f t="shared" si="4227"/>
        <v>410.07506661555084</v>
      </c>
      <c r="AB1448" s="135">
        <f t="shared" si="4227"/>
        <v>470.96823732655105</v>
      </c>
      <c r="AC1448" s="135">
        <f t="shared" si="4227"/>
        <v>372.2857729842425</v>
      </c>
      <c r="AD1448" s="136">
        <f t="shared" si="4227"/>
        <v>303.86432109456621</v>
      </c>
      <c r="AE1448" s="15"/>
      <c r="AF1448" s="113">
        <f>_xlfn.XLOOKUP($C1448,'Site Level Financials - ''23 ''24'!$C$2:$C$1577,'Site Level Financials - ''23 ''24'!$AF$2:$AF$1577)</f>
        <v>4013.2165388779499</v>
      </c>
      <c r="AG1448" s="95">
        <f>SUM(G1448:R1448)</f>
        <v>6291.8742403416381</v>
      </c>
      <c r="AH1448" s="95">
        <f t="shared" ref="AH1448" si="4228">SUM(S1448:AD1448)</f>
        <v>5550.0388256297319</v>
      </c>
    </row>
    <row r="1449" spans="2:34" x14ac:dyDescent="0.2">
      <c r="B1449" s="9">
        <f>G1436</f>
        <v>30</v>
      </c>
      <c r="C1449" s="9" t="str">
        <f t="shared" si="4220"/>
        <v>30 - % YoY Revenue Growth</v>
      </c>
      <c r="D1449" s="9" t="s">
        <v>56</v>
      </c>
      <c r="F1449" s="16" t="s">
        <v>174</v>
      </c>
      <c r="G1449" s="245">
        <f>_xlfn.XLOOKUP($C1449,'Site Level Financials - ''23 ''24'!$C$2:$C$1577,'Site Level Financials - ''23 ''24'!S$2:S$1577)</f>
        <v>1.1544257366061079</v>
      </c>
      <c r="H1449" s="246">
        <f>_xlfn.XLOOKUP($C1449,'Site Level Financials - ''23 ''24'!$C$2:$C$1577,'Site Level Financials - ''23 ''24'!T$2:T$1577)</f>
        <v>1.1657920132709294</v>
      </c>
      <c r="I1449" s="246">
        <f>_xlfn.XLOOKUP($C1449,'Site Level Financials - ''23 ''24'!$C$2:$C$1577,'Site Level Financials - ''23 ''24'!U$2:U$1577)</f>
        <v>0.96406143649956277</v>
      </c>
      <c r="J1449" s="246">
        <f>_xlfn.XLOOKUP($C1449,'Site Level Financials - ''23 ''24'!$C$2:$C$1577,'Site Level Financials - ''23 ''24'!V$2:V$1577)</f>
        <v>0.9061410744563021</v>
      </c>
      <c r="K1449" s="246">
        <f>_xlfn.XLOOKUP($C1449,'Site Level Financials - ''23 ''24'!$C$2:$C$1577,'Site Level Financials - ''23 ''24'!W$2:W$1577)</f>
        <v>0.51400497028907788</v>
      </c>
      <c r="L1449" s="246">
        <f>_xlfn.XLOOKUP($C1449,'Site Level Financials - ''23 ''24'!$C$2:$C$1577,'Site Level Financials - ''23 ''24'!X$2:X$1577)</f>
        <v>0.62772788567746374</v>
      </c>
      <c r="M1449" s="246">
        <f>_xlfn.XLOOKUP($C1449,'Site Level Financials - ''23 ''24'!$C$2:$C$1577,'Site Level Financials - ''23 ''24'!Y$2:Y$1577)</f>
        <v>1.1111741472046601</v>
      </c>
      <c r="N1449" s="246">
        <f>_xlfn.XLOOKUP($C1449,'Site Level Financials - ''23 ''24'!$C$2:$C$1577,'Site Level Financials - ''23 ''24'!Z$2:Z$1577)</f>
        <v>0.50509672579185927</v>
      </c>
      <c r="O1449" s="246">
        <f>_xlfn.XLOOKUP($C1449,'Site Level Financials - ''23 ''24'!$C$2:$C$1577,'Site Level Financials - ''23 ''24'!AA$2:AA$1577)</f>
        <v>0.414689871832993</v>
      </c>
      <c r="P1449" s="246">
        <f>_xlfn.XLOOKUP($C1449,'Site Level Financials - ''23 ''24'!$C$2:$C$1577,'Site Level Financials - ''23 ''24'!AB$2:AB$1577)</f>
        <v>0.38595111217698852</v>
      </c>
      <c r="Q1449" s="246">
        <f>_xlfn.XLOOKUP($C1449,'Site Level Financials - ''23 ''24'!$C$2:$C$1577,'Site Level Financials - ''23 ''24'!AC$2:AC$1577)</f>
        <v>0.1433447679877311</v>
      </c>
      <c r="R1449" s="246">
        <f>_xlfn.XLOOKUP($C1449,'Site Level Financials - ''23 ''24'!$C$2:$C$1577,'Site Level Financials - ''23 ''24'!AD$2:AD$1577)</f>
        <v>-0.27978688626649839</v>
      </c>
      <c r="S1449" s="148">
        <f>S1448/G1448-1</f>
        <v>-0.16978347022514351</v>
      </c>
      <c r="T1449" s="149">
        <f t="shared" ref="T1449" si="4229">T1448/H1448-1</f>
        <v>-0.17014193943522626</v>
      </c>
      <c r="U1449" s="149">
        <f t="shared" ref="U1449" si="4230">U1448/I1448-1</f>
        <v>-0.20742296574330488</v>
      </c>
      <c r="V1449" s="149">
        <f t="shared" ref="V1449" si="4231">V1448/J1448-1</f>
        <v>-4.6308624654473274E-2</v>
      </c>
      <c r="W1449" s="149">
        <f t="shared" ref="W1449" si="4232">W1448/K1448-1</f>
        <v>0.20099485533559736</v>
      </c>
      <c r="X1449" s="149">
        <f t="shared" ref="X1449" si="4233">X1448/L1448-1</f>
        <v>-3.3254695016901703E-2</v>
      </c>
      <c r="Y1449" s="149">
        <f t="shared" ref="Y1449" si="4234">Y1448/M1448-1</f>
        <v>-0.15709897978710052</v>
      </c>
      <c r="Z1449" s="149">
        <f t="shared" ref="Z1449" si="4235">Z1448/N1448-1</f>
        <v>-0.24184659725272706</v>
      </c>
      <c r="AA1449" s="149">
        <f t="shared" ref="AA1449" si="4236">AA1448/O1448-1</f>
        <v>-0.19578017394154756</v>
      </c>
      <c r="AB1449" s="149">
        <f t="shared" ref="AB1449" si="4237">AB1448/P1448-1</f>
        <v>-9.5508984963005306E-2</v>
      </c>
      <c r="AC1449" s="149">
        <f t="shared" ref="AC1449" si="4238">AC1448/Q1448-1</f>
        <v>-0.23681763747838791</v>
      </c>
      <c r="AD1449" s="150">
        <f t="shared" ref="AD1449" si="4239">AD1448/R1448-1</f>
        <v>3.8432112897806459E-2</v>
      </c>
      <c r="AE1449" s="15"/>
      <c r="AF1449" s="11"/>
      <c r="AG1449" s="97">
        <f>AG1448/AF1448-1</f>
        <v>0.5677883760791973</v>
      </c>
      <c r="AH1449" s="97">
        <f>AH1448/AG1448-1</f>
        <v>-0.1179037257222143</v>
      </c>
    </row>
    <row r="1450" spans="2:34" ht="6" customHeight="1" x14ac:dyDescent="0.2">
      <c r="B1450" s="9">
        <f>G1436</f>
        <v>30</v>
      </c>
      <c r="C1450" s="9" t="str">
        <f t="shared" si="4220"/>
        <v xml:space="preserve">30 - </v>
      </c>
      <c r="D1450" s="9" t="s">
        <v>56</v>
      </c>
      <c r="G1450" s="80"/>
      <c r="H1450" s="63"/>
      <c r="I1450" s="63"/>
      <c r="J1450" s="63"/>
      <c r="K1450" s="63"/>
      <c r="L1450" s="63"/>
      <c r="M1450" s="63"/>
      <c r="N1450" s="63"/>
      <c r="O1450" s="63"/>
      <c r="P1450" s="63"/>
      <c r="Q1450" s="63"/>
      <c r="R1450" s="63"/>
      <c r="S1450" s="80"/>
      <c r="T1450" s="63"/>
      <c r="U1450" s="63"/>
      <c r="V1450" s="63"/>
      <c r="W1450" s="63"/>
      <c r="X1450" s="63"/>
      <c r="Y1450" s="63"/>
      <c r="Z1450" s="63"/>
      <c r="AA1450" s="63"/>
      <c r="AB1450" s="63"/>
      <c r="AC1450" s="63"/>
      <c r="AD1450" s="81"/>
      <c r="AE1450" s="15"/>
      <c r="AF1450" s="11"/>
      <c r="AG1450" s="15"/>
      <c r="AH1450" s="15"/>
    </row>
    <row r="1451" spans="2:34" x14ac:dyDescent="0.2">
      <c r="B1451" s="9">
        <f>G1436</f>
        <v>30</v>
      </c>
      <c r="C1451" s="9" t="str">
        <f t="shared" si="4220"/>
        <v>30 - Doctor Compensation</v>
      </c>
      <c r="D1451" s="9" t="s">
        <v>56</v>
      </c>
      <c r="F1451" t="s">
        <v>4</v>
      </c>
      <c r="G1451" s="178">
        <f>_xlfn.XLOOKUP($C1451,'Site Level Financials - ''23 ''24'!$C$2:$C$1577,'Site Level Financials - ''23 ''24'!S$2:S$1577)</f>
        <v>-171.26110515421362</v>
      </c>
      <c r="H1451" s="179">
        <f>_xlfn.XLOOKUP($C1451,'Site Level Financials - ''23 ''24'!$C$2:$C$1577,'Site Level Financials - ''23 ''24'!T$2:T$1577)</f>
        <v>-174.49405531685267</v>
      </c>
      <c r="I1451" s="179">
        <f>_xlfn.XLOOKUP($C1451,'Site Level Financials - ''23 ''24'!$C$2:$C$1577,'Site Level Financials - ''23 ''24'!U$2:U$1577)</f>
        <v>-159.58710045283573</v>
      </c>
      <c r="J1451" s="179">
        <f>_xlfn.XLOOKUP($C1451,'Site Level Financials - ''23 ''24'!$C$2:$C$1577,'Site Level Financials - ''23 ''24'!V$2:V$1577)</f>
        <v>-175.69582650936121</v>
      </c>
      <c r="K1451" s="179">
        <f>_xlfn.XLOOKUP($C1451,'Site Level Financials - ''23 ''24'!$C$2:$C$1577,'Site Level Financials - ''23 ''24'!W$2:W$1577)</f>
        <v>-226.41104946402342</v>
      </c>
      <c r="L1451" s="179">
        <f>_xlfn.XLOOKUP($C1451,'Site Level Financials - ''23 ''24'!$C$2:$C$1577,'Site Level Financials - ''23 ''24'!X$2:X$1577)</f>
        <v>-180.07681463556031</v>
      </c>
      <c r="M1451" s="179">
        <f>_xlfn.XLOOKUP($C1451,'Site Level Financials - ''23 ''24'!$C$2:$C$1577,'Site Level Financials - ''23 ''24'!Y$2:Y$1577)</f>
        <v>-202.93516740057979</v>
      </c>
      <c r="N1451" s="179">
        <f>_xlfn.XLOOKUP($C1451,'Site Level Financials - ''23 ''24'!$C$2:$C$1577,'Site Level Financials - ''23 ''24'!Z$2:Z$1577)</f>
        <v>-158.07067113753885</v>
      </c>
      <c r="O1451" s="179">
        <f>_xlfn.XLOOKUP($C1451,'Site Level Financials - ''23 ''24'!$C$2:$C$1577,'Site Level Financials - ''23 ''24'!AA$2:AA$1577)</f>
        <v>-137.58787675721996</v>
      </c>
      <c r="P1451" s="179">
        <f>_xlfn.XLOOKUP($C1451,'Site Level Financials - ''23 ''24'!$C$2:$C$1577,'Site Level Financials - ''23 ''24'!AB$2:AB$1577)</f>
        <v>-173.59604786284626</v>
      </c>
      <c r="Q1451" s="179">
        <f>_xlfn.XLOOKUP($C1451,'Site Level Financials - ''23 ''24'!$C$2:$C$1577,'Site Level Financials - ''23 ''24'!AC$2:AC$1577)</f>
        <v>-129.66340933802027</v>
      </c>
      <c r="R1451" s="179">
        <f>_xlfn.XLOOKUP($C1451,'Site Level Financials - ''23 ''24'!$C$2:$C$1577,'Site Level Financials - ''23 ''24'!AD$2:AD$1577)</f>
        <v>-98.482533641838799</v>
      </c>
      <c r="S1451" s="155">
        <f>S1452*S1448</f>
        <v>-142.18380040653801</v>
      </c>
      <c r="T1451" s="154">
        <f t="shared" ref="T1451" si="4240">T1452*T1448</f>
        <v>-144.80529832532571</v>
      </c>
      <c r="U1451" s="154">
        <f t="shared" ref="U1451" si="4241">U1452*U1448</f>
        <v>-126.48507078253384</v>
      </c>
      <c r="V1451" s="154">
        <f t="shared" ref="V1451" si="4242">V1452*V1448</f>
        <v>-167.55959442618175</v>
      </c>
      <c r="W1451" s="154">
        <f t="shared" ref="W1451" si="4243">W1452*W1448</f>
        <v>-271.91850559742562</v>
      </c>
      <c r="X1451" s="154">
        <f t="shared" ref="X1451" si="4244">X1452*X1448</f>
        <v>-174.0884150852396</v>
      </c>
      <c r="Y1451" s="154">
        <f t="shared" ref="Y1451" si="4245">Y1452*Y1448</f>
        <v>-171.05425963902425</v>
      </c>
      <c r="Z1451" s="154">
        <f t="shared" ref="Z1451" si="4246">Z1452*Z1448</f>
        <v>-119.84181719747022</v>
      </c>
      <c r="AA1451" s="154">
        <f t="shared" ref="AA1451" si="4247">AA1452*AA1448</f>
        <v>-110.65089831344324</v>
      </c>
      <c r="AB1451" s="154">
        <f t="shared" ref="AB1451" si="4248">AB1452*AB1448</f>
        <v>-157.01606553787653</v>
      </c>
      <c r="AC1451" s="154">
        <f t="shared" ref="AC1451" si="4249">AC1452*AC1448</f>
        <v>-98.956827071197154</v>
      </c>
      <c r="AD1451" s="156">
        <f t="shared" ref="AD1451" si="4250">AD1452*AD1448</f>
        <v>-102.26742549322398</v>
      </c>
      <c r="AE1451" s="15"/>
      <c r="AF1451" s="115">
        <f>_xlfn.XLOOKUP($C1451,'Site Level Financials - ''23 ''24'!$C$2:$C$1577,'Site Level Financials - ''23 ''24'!$AF$2:$AF$1577)</f>
        <v>-1197.1567371769218</v>
      </c>
      <c r="AG1451" s="93">
        <f>SUM(G1451:R1451)</f>
        <v>-1987.8616576708907</v>
      </c>
      <c r="AH1451" s="93">
        <f t="shared" ref="AH1451" si="4251">SUM(S1451:AD1451)</f>
        <v>-1786.82797787548</v>
      </c>
    </row>
    <row r="1452" spans="2:34" x14ac:dyDescent="0.2">
      <c r="B1452" s="9">
        <f>G1436</f>
        <v>30</v>
      </c>
      <c r="C1452" s="9" t="str">
        <f t="shared" si="4220"/>
        <v>30 - % of Revenue - Doctor Compensation</v>
      </c>
      <c r="D1452" s="9" t="s">
        <v>56</v>
      </c>
      <c r="F1452" s="16" t="str">
        <f>"% of Revenue - "&amp;F1451</f>
        <v>% of Revenue - Doctor Compensation</v>
      </c>
      <c r="G1452" s="148">
        <f>G1451/G1448</f>
        <v>-0.32643326230951325</v>
      </c>
      <c r="H1452" s="149">
        <f t="shared" ref="H1452:R1452" si="4252">H1451/H1448</f>
        <v>-0.3210609770187775</v>
      </c>
      <c r="I1452" s="149">
        <f t="shared" si="4252"/>
        <v>-0.26117000236303178</v>
      </c>
      <c r="J1452" s="149">
        <f t="shared" si="4252"/>
        <v>-0.32299689949436461</v>
      </c>
      <c r="K1452" s="149">
        <f t="shared" si="4252"/>
        <v>-0.44102617060954874</v>
      </c>
      <c r="L1452" s="149">
        <f t="shared" si="4252"/>
        <v>-0.33623746600070686</v>
      </c>
      <c r="M1452" s="149">
        <f t="shared" si="4252"/>
        <v>-0.32793831688023301</v>
      </c>
      <c r="N1452" s="149">
        <f t="shared" si="4252"/>
        <v>-0.26793976405210235</v>
      </c>
      <c r="O1452" s="149">
        <f t="shared" si="4252"/>
        <v>-0.26983083664820684</v>
      </c>
      <c r="P1452" s="149">
        <f t="shared" si="4252"/>
        <v>-0.33338992546329127</v>
      </c>
      <c r="Q1452" s="149">
        <f t="shared" si="4252"/>
        <v>-0.26580877984661971</v>
      </c>
      <c r="R1452" s="149">
        <f t="shared" si="4252"/>
        <v>-0.33655621405251174</v>
      </c>
      <c r="S1452" s="245">
        <f>_xlfn.XLOOKUP($F1452,'Budget Assumption Driver'!$A$33:$A$39,'Budget Assumption Driver'!E$33:E$39)+G1452</f>
        <v>-0.32643326230951325</v>
      </c>
      <c r="T1452" s="246">
        <f>_xlfn.XLOOKUP($F1452,'Budget Assumption Driver'!$A$33:$A$39,'Budget Assumption Driver'!F$33:F$39)+H1452</f>
        <v>-0.3210609770187775</v>
      </c>
      <c r="U1452" s="246">
        <f>_xlfn.XLOOKUP($F1452,'Budget Assumption Driver'!$A$33:$A$39,'Budget Assumption Driver'!G$33:G$39)+I1452</f>
        <v>-0.26117000236303178</v>
      </c>
      <c r="V1452" s="246">
        <f>_xlfn.XLOOKUP($F1452,'Budget Assumption Driver'!$A$33:$A$39,'Budget Assumption Driver'!H$33:H$39)+J1452</f>
        <v>-0.32299689949436461</v>
      </c>
      <c r="W1452" s="246">
        <f>_xlfn.XLOOKUP($F1452,'Budget Assumption Driver'!$A$33:$A$39,'Budget Assumption Driver'!I$33:I$39)+K1452</f>
        <v>-0.44102617060954874</v>
      </c>
      <c r="X1452" s="246">
        <f>_xlfn.XLOOKUP($F1452,'Budget Assumption Driver'!$A$33:$A$39,'Budget Assumption Driver'!J$33:J$39)+L1452</f>
        <v>-0.33623746600070686</v>
      </c>
      <c r="Y1452" s="246">
        <f>_xlfn.XLOOKUP($F1452,'Budget Assumption Driver'!$A$33:$A$39,'Budget Assumption Driver'!K$33:K$39)+M1452</f>
        <v>-0.32793831688023301</v>
      </c>
      <c r="Z1452" s="246">
        <f>_xlfn.XLOOKUP($F1452,'Budget Assumption Driver'!$A$33:$A$39,'Budget Assumption Driver'!L$33:L$39)+N1452</f>
        <v>-0.26793976405210235</v>
      </c>
      <c r="AA1452" s="246">
        <f>_xlfn.XLOOKUP($F1452,'Budget Assumption Driver'!$A$33:$A$39,'Budget Assumption Driver'!M$33:M$39)+O1452</f>
        <v>-0.26983083664820684</v>
      </c>
      <c r="AB1452" s="246">
        <f>_xlfn.XLOOKUP($F1452,'Budget Assumption Driver'!$A$33:$A$39,'Budget Assumption Driver'!N$33:N$39)+P1452</f>
        <v>-0.33338992546329127</v>
      </c>
      <c r="AC1452" s="246">
        <f>_xlfn.XLOOKUP($F1452,'Budget Assumption Driver'!$A$33:$A$39,'Budget Assumption Driver'!O$33:O$39)+Q1452</f>
        <v>-0.26580877984661971</v>
      </c>
      <c r="AD1452" s="296">
        <f>_xlfn.XLOOKUP($F1452,'Budget Assumption Driver'!$A$33:$A$39,'Budget Assumption Driver'!P$33:P$39)+R1452</f>
        <v>-0.33655621405251174</v>
      </c>
      <c r="AE1452" s="15"/>
      <c r="AF1452" s="232">
        <f>_xlfn.XLOOKUP($C1452,'Site Level Financials - ''23 ''24'!$C$2:$C$1577,'Site Level Financials - ''23 ''24'!$AF$2:$AF$1577)</f>
        <v>-0.298303549180437</v>
      </c>
      <c r="AG1452" s="97">
        <f t="shared" ref="AG1452:AH1452" si="4253">AG1451/AG1448</f>
        <v>-0.31594109827010036</v>
      </c>
      <c r="AH1452" s="97">
        <f t="shared" si="4253"/>
        <v>-0.32194873477713709</v>
      </c>
    </row>
    <row r="1453" spans="2:34" ht="3" customHeight="1" x14ac:dyDescent="0.2">
      <c r="B1453" s="9">
        <f>G1436</f>
        <v>30</v>
      </c>
      <c r="C1453" s="9" t="str">
        <f t="shared" si="4220"/>
        <v xml:space="preserve">30 - </v>
      </c>
      <c r="D1453" s="9" t="s">
        <v>56</v>
      </c>
      <c r="F1453" s="16"/>
      <c r="G1453" s="84"/>
      <c r="H1453" s="85"/>
      <c r="I1453" s="85"/>
      <c r="J1453" s="85"/>
      <c r="K1453" s="85"/>
      <c r="L1453" s="85"/>
      <c r="M1453" s="85"/>
      <c r="N1453" s="85"/>
      <c r="O1453" s="85"/>
      <c r="P1453" s="85"/>
      <c r="Q1453" s="85"/>
      <c r="R1453" s="85"/>
      <c r="S1453" s="84"/>
      <c r="T1453" s="85"/>
      <c r="U1453" s="85"/>
      <c r="V1453" s="85"/>
      <c r="W1453" s="85"/>
      <c r="X1453" s="85"/>
      <c r="Y1453" s="85"/>
      <c r="Z1453" s="85"/>
      <c r="AA1453" s="85"/>
      <c r="AB1453" s="85"/>
      <c r="AC1453" s="85"/>
      <c r="AD1453" s="86"/>
      <c r="AE1453" s="15"/>
      <c r="AF1453" s="36"/>
      <c r="AG1453" s="38"/>
      <c r="AH1453" s="38"/>
    </row>
    <row r="1454" spans="2:34" x14ac:dyDescent="0.2">
      <c r="B1454" s="9">
        <f>G1436</f>
        <v>30</v>
      </c>
      <c r="C1454" s="9" t="str">
        <f t="shared" si="4220"/>
        <v>30 - Administrative Staff Compensation</v>
      </c>
      <c r="D1454" s="9" t="s">
        <v>56</v>
      </c>
      <c r="F1454" t="s">
        <v>5</v>
      </c>
      <c r="G1454" s="178">
        <f>_xlfn.XLOOKUP($C1454,'Site Level Financials - ''23 ''24'!$C$2:$C$1577,'Site Level Financials - ''23 ''24'!S$2:S$1577)</f>
        <v>-84.636569352430428</v>
      </c>
      <c r="H1454" s="179">
        <f>_xlfn.XLOOKUP($C1454,'Site Level Financials - ''23 ''24'!$C$2:$C$1577,'Site Level Financials - ''23 ''24'!T$2:T$1577)</f>
        <v>-88.802146771550554</v>
      </c>
      <c r="I1454" s="179">
        <f>_xlfn.XLOOKUP($C1454,'Site Level Financials - ''23 ''24'!$C$2:$C$1577,'Site Level Financials - ''23 ''24'!U$2:U$1577)</f>
        <v>-81.719517855089009</v>
      </c>
      <c r="J1454" s="179">
        <f>_xlfn.XLOOKUP($C1454,'Site Level Financials - ''23 ''24'!$C$2:$C$1577,'Site Level Financials - ''23 ''24'!V$2:V$1577)</f>
        <v>-88.402228875527825</v>
      </c>
      <c r="K1454" s="179">
        <f>_xlfn.XLOOKUP($C1454,'Site Level Financials - ''23 ''24'!$C$2:$C$1577,'Site Level Financials - ''23 ''24'!W$2:W$1577)</f>
        <v>-111.61056059332934</v>
      </c>
      <c r="L1454" s="179">
        <f>_xlfn.XLOOKUP($C1454,'Site Level Financials - ''23 ''24'!$C$2:$C$1577,'Site Level Financials - ''23 ''24'!X$2:X$1577)</f>
        <v>-87.801331529444539</v>
      </c>
      <c r="M1454" s="179">
        <f>_xlfn.XLOOKUP($C1454,'Site Level Financials - ''23 ''24'!$C$2:$C$1577,'Site Level Financials - ''23 ''24'!Y$2:Y$1577)</f>
        <v>-106.57163754829371</v>
      </c>
      <c r="N1454" s="179">
        <f>_xlfn.XLOOKUP($C1454,'Site Level Financials - ''23 ''24'!$C$2:$C$1577,'Site Level Financials - ''23 ''24'!Z$2:Z$1577)</f>
        <v>-85.10161104602868</v>
      </c>
      <c r="O1454" s="179">
        <f>_xlfn.XLOOKUP($C1454,'Site Level Financials - ''23 ''24'!$C$2:$C$1577,'Site Level Financials - ''23 ''24'!AA$2:AA$1577)</f>
        <v>-72.355864525440481</v>
      </c>
      <c r="P1454" s="179">
        <f>_xlfn.XLOOKUP($C1454,'Site Level Financials - ''23 ''24'!$C$2:$C$1577,'Site Level Financials - ''23 ''24'!AB$2:AB$1577)</f>
        <v>-87.92022449528487</v>
      </c>
      <c r="Q1454" s="179">
        <f>_xlfn.XLOOKUP($C1454,'Site Level Financials - ''23 ''24'!$C$2:$C$1577,'Site Level Financials - ''23 ''24'!AC$2:AC$1577)</f>
        <v>-65.015545842509951</v>
      </c>
      <c r="R1454" s="179">
        <f>_xlfn.XLOOKUP($C1454,'Site Level Financials - ''23 ''24'!$C$2:$C$1577,'Site Level Financials - ''23 ''24'!AD$2:AD$1577)</f>
        <v>-46.454570336771106</v>
      </c>
      <c r="S1454" s="155">
        <f>S1455*S1448</f>
        <v>-70.266678899823759</v>
      </c>
      <c r="T1454" s="154">
        <f t="shared" ref="T1454" si="4254">T1455*T1448</f>
        <v>-73.693177293827318</v>
      </c>
      <c r="U1454" s="154">
        <f t="shared" ref="U1454" si="4255">U1455*U1448</f>
        <v>-64.769013102473494</v>
      </c>
      <c r="V1454" s="154">
        <f t="shared" ref="V1454" si="4256">V1455*V1448</f>
        <v>-84.308443239912165</v>
      </c>
      <c r="W1454" s="154">
        <f t="shared" ref="W1454" si="4257">W1455*W1448</f>
        <v>-134.04370907371049</v>
      </c>
      <c r="X1454" s="154">
        <f t="shared" ref="X1454" si="4258">X1455*X1448</f>
        <v>-84.881525027354982</v>
      </c>
      <c r="Y1454" s="154">
        <f t="shared" ref="Y1454" si="4259">Y1455*Y1448</f>
        <v>-89.829342015216113</v>
      </c>
      <c r="Z1454" s="154">
        <f t="shared" ref="Z1454" si="4260">Z1455*Z1448</f>
        <v>-64.52007599382155</v>
      </c>
      <c r="AA1454" s="154">
        <f t="shared" ref="AA1454" si="4261">AA1455*AA1448</f>
        <v>-58.19002078295869</v>
      </c>
      <c r="AB1454" s="154">
        <f t="shared" ref="AB1454" si="4262">AB1455*AB1448</f>
        <v>-79.523053096020661</v>
      </c>
      <c r="AC1454" s="154">
        <f t="shared" ref="AC1454" si="4263">AC1455*AC1448</f>
        <v>-49.618717876718918</v>
      </c>
      <c r="AD1454" s="156">
        <f t="shared" ref="AD1454" si="4264">AD1455*AD1448</f>
        <v>-48.239917628572989</v>
      </c>
      <c r="AE1454" s="15"/>
      <c r="AF1454" s="115">
        <f>_xlfn.XLOOKUP($C1454,'Site Level Financials - ''23 ''24'!$C$2:$C$1577,'Site Level Financials - ''23 ''24'!$AF$2:$AF$1577)</f>
        <v>-652.10896294966449</v>
      </c>
      <c r="AG1454" s="93">
        <f>SUM(G1454:R1454)</f>
        <v>-1006.3918087717003</v>
      </c>
      <c r="AH1454" s="93">
        <f t="shared" ref="AH1454" si="4265">SUM(S1454:AD1454)</f>
        <v>-901.88367403041127</v>
      </c>
    </row>
    <row r="1455" spans="2:34" x14ac:dyDescent="0.2">
      <c r="B1455" s="9">
        <f>G1436</f>
        <v>30</v>
      </c>
      <c r="C1455" s="9" t="str">
        <f t="shared" si="4220"/>
        <v>30 - % of Revenue - Administrative Staff Compensation</v>
      </c>
      <c r="D1455" s="9" t="s">
        <v>56</v>
      </c>
      <c r="F1455" s="16" t="str">
        <f>"% of Revenue - "&amp;F1454</f>
        <v>% of Revenue - Administrative Staff Compensation</v>
      </c>
      <c r="G1455" s="148">
        <f>G1454/G1448</f>
        <v>-0.16132204343491288</v>
      </c>
      <c r="H1455" s="149">
        <f t="shared" ref="H1455:R1455" si="4266">H1454/H1448</f>
        <v>-0.16339183562481691</v>
      </c>
      <c r="I1455" s="149">
        <f t="shared" si="4266"/>
        <v>-0.13373691614647149</v>
      </c>
      <c r="J1455" s="149">
        <f t="shared" si="4266"/>
        <v>-0.16251749630299453</v>
      </c>
      <c r="K1455" s="149">
        <f t="shared" si="4266"/>
        <v>-0.21740625404363303</v>
      </c>
      <c r="L1455" s="149">
        <f t="shared" si="4266"/>
        <v>-0.16394168946566084</v>
      </c>
      <c r="M1455" s="149">
        <f t="shared" si="4266"/>
        <v>-0.17221718587479201</v>
      </c>
      <c r="N1455" s="149">
        <f t="shared" si="4266"/>
        <v>-0.14425260182697885</v>
      </c>
      <c r="O1455" s="149">
        <f t="shared" si="4266"/>
        <v>-0.14190089942120859</v>
      </c>
      <c r="P1455" s="149">
        <f t="shared" si="4266"/>
        <v>-0.16885014061124989</v>
      </c>
      <c r="Q1455" s="149">
        <f t="shared" si="4266"/>
        <v>-0.13328126261440321</v>
      </c>
      <c r="R1455" s="149">
        <f t="shared" si="4266"/>
        <v>-0.15875479376718318</v>
      </c>
      <c r="S1455" s="245">
        <f>_xlfn.XLOOKUP($F1455,'Budget Assumption Driver'!$A$33:$A$39,'Budget Assumption Driver'!E$33:E$39)+G1455</f>
        <v>-0.16132204343491288</v>
      </c>
      <c r="T1455" s="246">
        <f>_xlfn.XLOOKUP($F1455,'Budget Assumption Driver'!$A$33:$A$39,'Budget Assumption Driver'!F$33:F$39)+H1455</f>
        <v>-0.16339183562481691</v>
      </c>
      <c r="U1455" s="246">
        <f>_xlfn.XLOOKUP($F1455,'Budget Assumption Driver'!$A$33:$A$39,'Budget Assumption Driver'!G$33:G$39)+I1455</f>
        <v>-0.13373691614647149</v>
      </c>
      <c r="V1455" s="246">
        <f>_xlfn.XLOOKUP($F1455,'Budget Assumption Driver'!$A$33:$A$39,'Budget Assumption Driver'!H$33:H$39)+J1455</f>
        <v>-0.16251749630299453</v>
      </c>
      <c r="W1455" s="246">
        <f>_xlfn.XLOOKUP($F1455,'Budget Assumption Driver'!$A$33:$A$39,'Budget Assumption Driver'!I$33:I$39)+K1455</f>
        <v>-0.21740625404363303</v>
      </c>
      <c r="X1455" s="246">
        <f>_xlfn.XLOOKUP($F1455,'Budget Assumption Driver'!$A$33:$A$39,'Budget Assumption Driver'!J$33:J$39)+L1455</f>
        <v>-0.16394168946566084</v>
      </c>
      <c r="Y1455" s="246">
        <f>_xlfn.XLOOKUP($F1455,'Budget Assumption Driver'!$A$33:$A$39,'Budget Assumption Driver'!K$33:K$39)+M1455</f>
        <v>-0.17221718587479201</v>
      </c>
      <c r="Z1455" s="246">
        <f>_xlfn.XLOOKUP($F1455,'Budget Assumption Driver'!$A$33:$A$39,'Budget Assumption Driver'!L$33:L$39)+N1455</f>
        <v>-0.14425260182697885</v>
      </c>
      <c r="AA1455" s="246">
        <f>_xlfn.XLOOKUP($F1455,'Budget Assumption Driver'!$A$33:$A$39,'Budget Assumption Driver'!M$33:M$39)+O1455</f>
        <v>-0.14190089942120859</v>
      </c>
      <c r="AB1455" s="246">
        <f>_xlfn.XLOOKUP($F1455,'Budget Assumption Driver'!$A$33:$A$39,'Budget Assumption Driver'!N$33:N$39)+P1455</f>
        <v>-0.16885014061124989</v>
      </c>
      <c r="AC1455" s="246">
        <f>_xlfn.XLOOKUP($F1455,'Budget Assumption Driver'!$A$33:$A$39,'Budget Assumption Driver'!O$33:O$39)+Q1455</f>
        <v>-0.13328126261440321</v>
      </c>
      <c r="AD1455" s="296">
        <f>_xlfn.XLOOKUP($F1455,'Budget Assumption Driver'!$A$33:$A$39,'Budget Assumption Driver'!P$33:P$39)+R1455</f>
        <v>-0.15875479376718318</v>
      </c>
      <c r="AE1455" s="15"/>
      <c r="AF1455" s="232">
        <f>_xlfn.XLOOKUP($C1455,'Site Level Financials - ''23 ''24'!$C$2:$C$1577,'Site Level Financials - ''23 ''24'!$AF$2:$AF$1577)</f>
        <v>-0.16249035072799406</v>
      </c>
      <c r="AG1455" s="97">
        <f t="shared" ref="AG1455:AH1455" si="4267">AG1454/AG1448</f>
        <v>-0.15995103689756121</v>
      </c>
      <c r="AH1455" s="97">
        <f t="shared" si="4267"/>
        <v>-0.16250042609892545</v>
      </c>
    </row>
    <row r="1456" spans="2:34" ht="3" customHeight="1" x14ac:dyDescent="0.2">
      <c r="B1456" s="9">
        <f>G1436</f>
        <v>30</v>
      </c>
      <c r="C1456" s="9" t="str">
        <f t="shared" si="4220"/>
        <v xml:space="preserve">30 - </v>
      </c>
      <c r="D1456" s="9" t="s">
        <v>56</v>
      </c>
      <c r="F1456" s="16"/>
      <c r="G1456" s="84"/>
      <c r="H1456" s="85"/>
      <c r="I1456" s="85"/>
      <c r="J1456" s="85"/>
      <c r="K1456" s="85"/>
      <c r="L1456" s="85"/>
      <c r="M1456" s="85"/>
      <c r="N1456" s="85"/>
      <c r="O1456" s="85"/>
      <c r="P1456" s="85"/>
      <c r="Q1456" s="85"/>
      <c r="R1456" s="85"/>
      <c r="S1456" s="84"/>
      <c r="T1456" s="85"/>
      <c r="U1456" s="85"/>
      <c r="V1456" s="85"/>
      <c r="W1456" s="85"/>
      <c r="X1456" s="85"/>
      <c r="Y1456" s="85"/>
      <c r="Z1456" s="85"/>
      <c r="AA1456" s="85"/>
      <c r="AB1456" s="85"/>
      <c r="AC1456" s="85"/>
      <c r="AD1456" s="86"/>
      <c r="AE1456" s="15"/>
      <c r="AF1456" s="36"/>
      <c r="AG1456" s="38"/>
      <c r="AH1456" s="38"/>
    </row>
    <row r="1457" spans="2:34" x14ac:dyDescent="0.2">
      <c r="B1457" s="9">
        <f>G1436</f>
        <v>30</v>
      </c>
      <c r="C1457" s="9" t="str">
        <f t="shared" si="4220"/>
        <v>30 - Office Supplies</v>
      </c>
      <c r="D1457" s="9" t="s">
        <v>56</v>
      </c>
      <c r="F1457" t="s">
        <v>6</v>
      </c>
      <c r="G1457" s="178">
        <f>_xlfn.XLOOKUP($C1457,'Site Level Financials - ''23 ''24'!$C$2:$C$1577,'Site Level Financials - ''23 ''24'!S$2:S$1577)</f>
        <v>-47.079132153659195</v>
      </c>
      <c r="H1457" s="179">
        <f>_xlfn.XLOOKUP($C1457,'Site Level Financials - ''23 ''24'!$C$2:$C$1577,'Site Level Financials - ''23 ''24'!T$2:T$1577)</f>
        <v>-48.507324458582197</v>
      </c>
      <c r="I1457" s="179">
        <f>_xlfn.XLOOKUP($C1457,'Site Level Financials - ''23 ''24'!$C$2:$C$1577,'Site Level Financials - ''23 ''24'!U$2:U$1577)</f>
        <v>-41.84697940398663</v>
      </c>
      <c r="J1457" s="179">
        <f>_xlfn.XLOOKUP($C1457,'Site Level Financials - ''23 ''24'!$C$2:$C$1577,'Site Level Financials - ''23 ''24'!V$2:V$1577)</f>
        <v>-48.066220326733934</v>
      </c>
      <c r="K1457" s="179">
        <f>_xlfn.XLOOKUP($C1457,'Site Level Financials - ''23 ''24'!$C$2:$C$1577,'Site Level Financials - ''23 ''24'!W$2:W$1577)</f>
        <v>-60.51228449367575</v>
      </c>
      <c r="L1457" s="179">
        <f>_xlfn.XLOOKUP($C1457,'Site Level Financials - ''23 ''24'!$C$2:$C$1577,'Site Level Financials - ''23 ''24'!X$2:X$1577)</f>
        <v>-46.934214371646696</v>
      </c>
      <c r="M1457" s="179">
        <f>_xlfn.XLOOKUP($C1457,'Site Level Financials - ''23 ''24'!$C$2:$C$1577,'Site Level Financials - ''23 ''24'!Y$2:Y$1577)</f>
        <v>-55.311910188327452</v>
      </c>
      <c r="N1457" s="179">
        <f>_xlfn.XLOOKUP($C1457,'Site Level Financials - ''23 ''24'!$C$2:$C$1577,'Site Level Financials - ''23 ''24'!Z$2:Z$1577)</f>
        <v>-42.155037475932296</v>
      </c>
      <c r="O1457" s="179">
        <f>_xlfn.XLOOKUP($C1457,'Site Level Financials - ''23 ''24'!$C$2:$C$1577,'Site Level Financials - ''23 ''24'!AA$2:AA$1577)</f>
        <v>-35.8432654032326</v>
      </c>
      <c r="P1457" s="179">
        <f>_xlfn.XLOOKUP($C1457,'Site Level Financials - ''23 ''24'!$C$2:$C$1577,'Site Level Financials - ''23 ''24'!AB$2:AB$1577)</f>
        <v>-46.118669514597748</v>
      </c>
      <c r="Q1457" s="179">
        <f>_xlfn.XLOOKUP($C1457,'Site Level Financials - ''23 ''24'!$C$2:$C$1577,'Site Level Financials - ''23 ''24'!AC$2:AC$1577)</f>
        <v>-34.40100123529286</v>
      </c>
      <c r="R1457" s="179">
        <f>_xlfn.XLOOKUP($C1457,'Site Level Financials - ''23 ''24'!$C$2:$C$1577,'Site Level Financials - ''23 ''24'!AD$2:AD$1577)</f>
        <v>-24.594085321385272</v>
      </c>
      <c r="S1457" s="155">
        <f>S1458*S1448</f>
        <v>-39.085873721422807</v>
      </c>
      <c r="T1457" s="154">
        <f t="shared" ref="T1457" si="4268">T1458*T1448</f>
        <v>-40.254194198385235</v>
      </c>
      <c r="U1457" s="154">
        <f t="shared" ref="U1457" si="4269">U1458*U1448</f>
        <v>-33.166954828612724</v>
      </c>
      <c r="V1457" s="154">
        <f t="shared" ref="V1457" si="4270">V1458*V1448</f>
        <v>-45.840339771063995</v>
      </c>
      <c r="W1457" s="154">
        <f t="shared" ref="W1457" si="4271">W1458*W1448</f>
        <v>-72.674942361508627</v>
      </c>
      <c r="X1457" s="154">
        <f t="shared" ref="X1457" si="4272">X1458*X1448</f>
        <v>-45.3734313868597</v>
      </c>
      <c r="Y1457" s="154">
        <f t="shared" ref="Y1457" si="4273">Y1458*Y1448</f>
        <v>-46.622465527665483</v>
      </c>
      <c r="Z1457" s="154">
        <f t="shared" ref="Z1457" si="4274">Z1458*Z1448</f>
        <v>-31.959985105316882</v>
      </c>
      <c r="AA1457" s="154">
        <f t="shared" ref="AA1457" si="4275">AA1458*AA1448</f>
        <v>-28.825864667954669</v>
      </c>
      <c r="AB1457" s="154">
        <f t="shared" ref="AB1457" si="4276">AB1458*AB1448</f>
        <v>-41.713922201414221</v>
      </c>
      <c r="AC1457" s="154">
        <f t="shared" ref="AC1457" si="4277">AC1458*AC1448</f>
        <v>-26.2542373958597</v>
      </c>
      <c r="AD1457" s="156">
        <f t="shared" ref="AD1457" si="4278">AD1458*AD1448</f>
        <v>-25.539287985075038</v>
      </c>
      <c r="AE1457" s="15"/>
      <c r="AF1457" s="115">
        <f>_xlfn.XLOOKUP($C1457,'Site Level Financials - ''23 ''24'!$C$2:$C$1577,'Site Level Financials - ''23 ''24'!$AF$2:$AF$1577)</f>
        <v>-321.7735896488237</v>
      </c>
      <c r="AG1457" s="93">
        <f>SUM(G1457:R1457)</f>
        <v>-531.37012434705264</v>
      </c>
      <c r="AH1457" s="93">
        <f t="shared" ref="AH1457" si="4279">SUM(S1457:AD1457)</f>
        <v>-477.31149915113906</v>
      </c>
    </row>
    <row r="1458" spans="2:34" x14ac:dyDescent="0.2">
      <c r="B1458" s="9">
        <f>G1436</f>
        <v>30</v>
      </c>
      <c r="C1458" s="9" t="str">
        <f t="shared" si="4220"/>
        <v>30 - % of Revenue - Office Supplies</v>
      </c>
      <c r="D1458" s="9" t="s">
        <v>56</v>
      </c>
      <c r="F1458" s="16" t="str">
        <f>"% of Revenue - "&amp;F1457</f>
        <v>% of Revenue - Office Supplies</v>
      </c>
      <c r="G1458" s="148">
        <f>G1457/G1448</f>
        <v>-8.9735463763247592E-2</v>
      </c>
      <c r="H1458" s="149">
        <f t="shared" ref="H1458:R1458" si="4280">H1457/H1448</f>
        <v>-8.925122953306204E-2</v>
      </c>
      <c r="I1458" s="149">
        <f t="shared" si="4280"/>
        <v>-6.8484079720810082E-2</v>
      </c>
      <c r="J1458" s="149">
        <f t="shared" si="4280"/>
        <v>-8.8364308045307316E-2</v>
      </c>
      <c r="K1458" s="149">
        <f t="shared" si="4280"/>
        <v>-0.11787190231332778</v>
      </c>
      <c r="L1458" s="149">
        <f t="shared" si="4280"/>
        <v>-8.7635053635273005E-2</v>
      </c>
      <c r="M1458" s="149">
        <f t="shared" si="4280"/>
        <v>-8.9382707605261E-2</v>
      </c>
      <c r="N1458" s="149">
        <f t="shared" si="4280"/>
        <v>-7.1455449095176746E-2</v>
      </c>
      <c r="O1458" s="149">
        <f t="shared" si="4280"/>
        <v>-7.0294116893917818E-2</v>
      </c>
      <c r="P1458" s="149">
        <f t="shared" si="4280"/>
        <v>-8.8570563565396901E-2</v>
      </c>
      <c r="Q1458" s="149">
        <f t="shared" si="4280"/>
        <v>-7.0521731693923603E-2</v>
      </c>
      <c r="R1458" s="149">
        <f t="shared" si="4280"/>
        <v>-8.4048327533415498E-2</v>
      </c>
      <c r="S1458" s="245">
        <f>_xlfn.XLOOKUP($F1458,'Budget Assumption Driver'!$A$33:$A$39,'Budget Assumption Driver'!E$33:E$39)+G1458</f>
        <v>-8.9735463763247592E-2</v>
      </c>
      <c r="T1458" s="246">
        <f>_xlfn.XLOOKUP($F1458,'Budget Assumption Driver'!$A$33:$A$39,'Budget Assumption Driver'!F$33:F$39)+H1458</f>
        <v>-8.925122953306204E-2</v>
      </c>
      <c r="U1458" s="246">
        <f>_xlfn.XLOOKUP($F1458,'Budget Assumption Driver'!$A$33:$A$39,'Budget Assumption Driver'!G$33:G$39)+I1458</f>
        <v>-6.8484079720810082E-2</v>
      </c>
      <c r="V1458" s="246">
        <f>_xlfn.XLOOKUP($F1458,'Budget Assumption Driver'!$A$33:$A$39,'Budget Assumption Driver'!H$33:H$39)+J1458</f>
        <v>-8.8364308045307316E-2</v>
      </c>
      <c r="W1458" s="246">
        <f>_xlfn.XLOOKUP($F1458,'Budget Assumption Driver'!$A$33:$A$39,'Budget Assumption Driver'!I$33:I$39)+K1458</f>
        <v>-0.11787190231332778</v>
      </c>
      <c r="X1458" s="246">
        <f>_xlfn.XLOOKUP($F1458,'Budget Assumption Driver'!$A$33:$A$39,'Budget Assumption Driver'!J$33:J$39)+L1458</f>
        <v>-8.7635053635273005E-2</v>
      </c>
      <c r="Y1458" s="246">
        <f>_xlfn.XLOOKUP($F1458,'Budget Assumption Driver'!$A$33:$A$39,'Budget Assumption Driver'!K$33:K$39)+M1458</f>
        <v>-8.9382707605261E-2</v>
      </c>
      <c r="Z1458" s="246">
        <f>_xlfn.XLOOKUP($F1458,'Budget Assumption Driver'!$A$33:$A$39,'Budget Assumption Driver'!L$33:L$39)+N1458</f>
        <v>-7.1455449095176746E-2</v>
      </c>
      <c r="AA1458" s="246">
        <f>_xlfn.XLOOKUP($F1458,'Budget Assumption Driver'!$A$33:$A$39,'Budget Assumption Driver'!M$33:M$39)+O1458</f>
        <v>-7.0294116893917818E-2</v>
      </c>
      <c r="AB1458" s="246">
        <f>_xlfn.XLOOKUP($F1458,'Budget Assumption Driver'!$A$33:$A$39,'Budget Assumption Driver'!N$33:N$39)+P1458</f>
        <v>-8.8570563565396901E-2</v>
      </c>
      <c r="AC1458" s="246">
        <f>_xlfn.XLOOKUP($F1458,'Budget Assumption Driver'!$A$33:$A$39,'Budget Assumption Driver'!O$33:O$39)+Q1458</f>
        <v>-7.0521731693923603E-2</v>
      </c>
      <c r="AD1458" s="296">
        <f>_xlfn.XLOOKUP($F1458,'Budget Assumption Driver'!$A$33:$A$39,'Budget Assumption Driver'!P$33:P$39)+R1458</f>
        <v>-8.4048327533415498E-2</v>
      </c>
      <c r="AE1458" s="15"/>
      <c r="AF1458" s="232">
        <f>_xlfn.XLOOKUP($C1458,'Site Level Financials - ''23 ''24'!$C$2:$C$1577,'Site Level Financials - ''23 ''24'!$AF$2:$AF$1577)</f>
        <v>-8.0178476922849518E-2</v>
      </c>
      <c r="AG1458" s="97">
        <f t="shared" ref="AG1458:AH1458" si="4281">AG1457/AG1448</f>
        <v>-8.4453392431155794E-2</v>
      </c>
      <c r="AH1458" s="97">
        <f t="shared" si="4281"/>
        <v>-8.6001470286467985E-2</v>
      </c>
    </row>
    <row r="1459" spans="2:34" ht="6" customHeight="1" x14ac:dyDescent="0.2">
      <c r="B1459" s="9">
        <f>G1436</f>
        <v>30</v>
      </c>
      <c r="C1459" s="9" t="str">
        <f t="shared" si="4220"/>
        <v xml:space="preserve">30 - </v>
      </c>
      <c r="D1459" s="9" t="s">
        <v>56</v>
      </c>
      <c r="F1459" s="16"/>
      <c r="G1459" s="80"/>
      <c r="H1459" s="63"/>
      <c r="I1459" s="63"/>
      <c r="J1459" s="63"/>
      <c r="K1459" s="63"/>
      <c r="L1459" s="63"/>
      <c r="M1459" s="63"/>
      <c r="N1459" s="63"/>
      <c r="O1459" s="63"/>
      <c r="P1459" s="63"/>
      <c r="Q1459" s="63"/>
      <c r="R1459" s="63"/>
      <c r="S1459" s="80"/>
      <c r="T1459" s="63"/>
      <c r="U1459" s="63"/>
      <c r="V1459" s="63"/>
      <c r="W1459" s="63"/>
      <c r="X1459" s="63"/>
      <c r="Y1459" s="63"/>
      <c r="Z1459" s="63"/>
      <c r="AA1459" s="63"/>
      <c r="AB1459" s="63"/>
      <c r="AC1459" s="63"/>
      <c r="AD1459" s="81"/>
      <c r="AE1459" s="15"/>
      <c r="AF1459" s="11"/>
      <c r="AG1459" s="15"/>
      <c r="AH1459" s="15"/>
    </row>
    <row r="1460" spans="2:34" x14ac:dyDescent="0.2">
      <c r="B1460" s="9">
        <f>G1436</f>
        <v>30</v>
      </c>
      <c r="C1460" s="9" t="str">
        <f t="shared" si="4220"/>
        <v>30 - Office Gross Profit</v>
      </c>
      <c r="D1460" s="9" t="s">
        <v>56</v>
      </c>
      <c r="F1460" s="8" t="s">
        <v>11</v>
      </c>
      <c r="G1460" s="241">
        <f>_xlfn.XLOOKUP($C1460,'Site Level Financials - ''23 ''24'!$C$2:$C$1577,'Site Level Financials - ''23 ''24'!S$2:S$1577)</f>
        <v>221.66674204714889</v>
      </c>
      <c r="H1460" s="242">
        <f>_xlfn.XLOOKUP($C1460,'Site Level Financials - ''23 ''24'!$C$2:$C$1577,'Site Level Financials - ''23 ''24'!T$2:T$1577)</f>
        <v>231.68841986494883</v>
      </c>
      <c r="I1460" s="242">
        <f>_xlfn.XLOOKUP($C1460,'Site Level Financials - ''23 ''24'!$C$2:$C$1577,'Site Level Financials - ''23 ''24'!U$2:U$1577)</f>
        <v>327.89322623001414</v>
      </c>
      <c r="J1460" s="242">
        <f>_xlfn.XLOOKUP($C1460,'Site Level Financials - ''23 ''24'!$C$2:$C$1577,'Site Level Financials - ''23 ''24'!V$2:V$1577)</f>
        <v>231.79087303563799</v>
      </c>
      <c r="K1460" s="242">
        <f>_xlfn.XLOOKUP($C1460,'Site Level Financials - ''23 ''24'!$C$2:$C$1577,'Site Level Financials - ''23 ''24'!W$2:W$1577)</f>
        <v>114.83938021653772</v>
      </c>
      <c r="L1460" s="242">
        <f>_xlfn.XLOOKUP($C1460,'Site Level Financials - ''23 ''24'!$C$2:$C$1577,'Site Level Financials - ''23 ''24'!X$2:X$1577)</f>
        <v>220.75203321589277</v>
      </c>
      <c r="M1460" s="242">
        <f>_xlfn.XLOOKUP($C1460,'Site Level Financials - ''23 ''24'!$C$2:$C$1577,'Site Level Financials - ''23 ''24'!Y$2:Y$1577)</f>
        <v>254.00243797219352</v>
      </c>
      <c r="N1460" s="242">
        <f>_xlfn.XLOOKUP($C1460,'Site Level Financials - ''23 ''24'!$C$2:$C$1577,'Site Level Financials - ''23 ''24'!Z$2:Z$1577)</f>
        <v>304.6212148432071</v>
      </c>
      <c r="O1460" s="242">
        <f>_xlfn.XLOOKUP($C1460,'Site Level Financials - ''23 ''24'!$C$2:$C$1577,'Site Level Financials - ''23 ''24'!AA$2:AA$1577)</f>
        <v>264.11719279817396</v>
      </c>
      <c r="P1460" s="242">
        <f>_xlfn.XLOOKUP($C1460,'Site Level Financials - ''23 ''24'!$C$2:$C$1577,'Site Level Financials - ''23 ''24'!AB$2:AB$1577)</f>
        <v>213.06479919356343</v>
      </c>
      <c r="Q1460" s="242">
        <f>_xlfn.XLOOKUP($C1460,'Site Level Financials - ''23 ''24'!$C$2:$C$1577,'Site Level Financials - ''23 ''24'!AC$2:AC$1577)</f>
        <v>258.7271408999249</v>
      </c>
      <c r="R1460" s="242">
        <f>_xlfn.XLOOKUP($C1460,'Site Level Financials - ''23 ''24'!$C$2:$C$1577,'Site Level Financials - ''23 ''24'!AD$2:AD$1577)</f>
        <v>123.08718923475058</v>
      </c>
      <c r="S1460" s="134">
        <f t="shared" ref="S1460:AD1460" si="4282">S1448+S1451+S1454+S1457</f>
        <v>184.03139334888223</v>
      </c>
      <c r="T1460" s="135">
        <f t="shared" si="4282"/>
        <v>192.26850276444344</v>
      </c>
      <c r="U1460" s="135">
        <f t="shared" si="4282"/>
        <v>259.88064079824414</v>
      </c>
      <c r="V1460" s="135">
        <f t="shared" si="4282"/>
        <v>221.05695649789794</v>
      </c>
      <c r="W1460" s="135">
        <f t="shared" si="4282"/>
        <v>137.92150482999045</v>
      </c>
      <c r="X1460" s="135">
        <f t="shared" si="4282"/>
        <v>213.41099167693733</v>
      </c>
      <c r="Y1460" s="135">
        <f t="shared" si="4282"/>
        <v>214.09891410332557</v>
      </c>
      <c r="Z1460" s="135">
        <f t="shared" si="4282"/>
        <v>230.94961058238556</v>
      </c>
      <c r="AA1460" s="135">
        <f t="shared" si="4282"/>
        <v>212.40828285119423</v>
      </c>
      <c r="AB1460" s="135">
        <f t="shared" si="4282"/>
        <v>192.71519649123962</v>
      </c>
      <c r="AC1460" s="135">
        <f t="shared" si="4282"/>
        <v>197.45599064046675</v>
      </c>
      <c r="AD1460" s="136">
        <f t="shared" si="4282"/>
        <v>127.81768998769421</v>
      </c>
      <c r="AE1460" s="15"/>
      <c r="AF1460" s="114">
        <f>_xlfn.XLOOKUP($C1460,'Site Level Financials - ''23 ''24'!$C$2:$C$1577,'Site Level Financials - ''23 ''24'!$AF$2:$AF$1577)</f>
        <v>1842.1772491025404</v>
      </c>
      <c r="AG1460" s="95">
        <f>SUM(G1460:R1460)</f>
        <v>2766.2506495519938</v>
      </c>
      <c r="AH1460" s="95">
        <f t="shared" ref="AH1460" si="4283">SUM(S1460:AD1460)</f>
        <v>2384.0156745727013</v>
      </c>
    </row>
    <row r="1461" spans="2:34" x14ac:dyDescent="0.2">
      <c r="B1461" s="9">
        <f>G1436</f>
        <v>30</v>
      </c>
      <c r="C1461" s="9" t="str">
        <f t="shared" si="4220"/>
        <v>30 - % of Revenue - Office Gross Profit</v>
      </c>
      <c r="D1461" s="9" t="s">
        <v>56</v>
      </c>
      <c r="F1461" s="16" t="str">
        <f>"% of Revenue - "&amp;F1460</f>
        <v>% of Revenue - Office Gross Profit</v>
      </c>
      <c r="G1461" s="148">
        <f>G1460/G1448</f>
        <v>0.42250923049232619</v>
      </c>
      <c r="H1461" s="149">
        <f t="shared" ref="H1461:AD1461" si="4284">H1460/H1448</f>
        <v>0.42629595782334356</v>
      </c>
      <c r="I1461" s="149">
        <f t="shared" si="4284"/>
        <v>0.53660900176968673</v>
      </c>
      <c r="J1461" s="149">
        <f t="shared" si="4284"/>
        <v>0.42612129615733346</v>
      </c>
      <c r="K1461" s="149">
        <f t="shared" si="4284"/>
        <v>0.22369567303349039</v>
      </c>
      <c r="L1461" s="149">
        <f t="shared" si="4284"/>
        <v>0.41218579089835922</v>
      </c>
      <c r="M1461" s="149">
        <f t="shared" si="4284"/>
        <v>0.41046178963971403</v>
      </c>
      <c r="N1461" s="149">
        <f t="shared" si="4284"/>
        <v>0.51635218502574209</v>
      </c>
      <c r="O1461" s="149">
        <f t="shared" si="4284"/>
        <v>0.51797414703666667</v>
      </c>
      <c r="P1461" s="149">
        <f t="shared" si="4284"/>
        <v>0.40918937036006192</v>
      </c>
      <c r="Q1461" s="149">
        <f t="shared" si="4284"/>
        <v>0.53038822584505341</v>
      </c>
      <c r="R1461" s="149">
        <f t="shared" si="4284"/>
        <v>0.42064066464688954</v>
      </c>
      <c r="S1461" s="148">
        <f t="shared" si="4284"/>
        <v>0.42250923049232625</v>
      </c>
      <c r="T1461" s="149">
        <f t="shared" si="4284"/>
        <v>0.42629595782334362</v>
      </c>
      <c r="U1461" s="149">
        <f t="shared" si="4284"/>
        <v>0.53660900176968662</v>
      </c>
      <c r="V1461" s="149">
        <f t="shared" si="4284"/>
        <v>0.42612129615733346</v>
      </c>
      <c r="W1461" s="149">
        <f t="shared" si="4284"/>
        <v>0.22369567303349047</v>
      </c>
      <c r="X1461" s="149">
        <f t="shared" si="4284"/>
        <v>0.41218579089835927</v>
      </c>
      <c r="Y1461" s="149">
        <f t="shared" si="4284"/>
        <v>0.41046178963971386</v>
      </c>
      <c r="Z1461" s="149">
        <f t="shared" si="4284"/>
        <v>0.51635218502574209</v>
      </c>
      <c r="AA1461" s="149">
        <f t="shared" si="4284"/>
        <v>0.51797414703666667</v>
      </c>
      <c r="AB1461" s="149">
        <f t="shared" si="4284"/>
        <v>0.40918937036006192</v>
      </c>
      <c r="AC1461" s="149">
        <f t="shared" si="4284"/>
        <v>0.53038822584505352</v>
      </c>
      <c r="AD1461" s="150">
        <f t="shared" si="4284"/>
        <v>0.42064066464688959</v>
      </c>
      <c r="AE1461" s="15"/>
      <c r="AF1461" s="233">
        <f>_xlfn.XLOOKUP($C1461,'Site Level Financials - ''23 ''24'!$C$2:$C$1577,'Site Level Financials - ''23 ''24'!$AF$2:$AF$1577)</f>
        <v>0.45902762316871953</v>
      </c>
      <c r="AG1461" s="97">
        <f t="shared" ref="AG1461:AH1461" si="4285">AG1460/AG1448</f>
        <v>0.43965447240118249</v>
      </c>
      <c r="AH1461" s="97">
        <f t="shared" si="4285"/>
        <v>0.42954936883746941</v>
      </c>
    </row>
    <row r="1462" spans="2:34" ht="6" customHeight="1" x14ac:dyDescent="0.2">
      <c r="B1462" s="9">
        <f>G1436</f>
        <v>30</v>
      </c>
      <c r="C1462" s="9" t="str">
        <f t="shared" si="4220"/>
        <v xml:space="preserve">30 - </v>
      </c>
      <c r="D1462" s="9" t="s">
        <v>56</v>
      </c>
      <c r="F1462" s="16"/>
      <c r="G1462" s="80"/>
      <c r="H1462" s="63"/>
      <c r="I1462" s="63"/>
      <c r="J1462" s="63"/>
      <c r="K1462" s="63"/>
      <c r="L1462" s="63"/>
      <c r="M1462" s="63"/>
      <c r="N1462" s="63"/>
      <c r="O1462" s="63"/>
      <c r="P1462" s="63"/>
      <c r="Q1462" s="63"/>
      <c r="R1462" s="63"/>
      <c r="S1462" s="80"/>
      <c r="T1462" s="63"/>
      <c r="U1462" s="63"/>
      <c r="V1462" s="63"/>
      <c r="W1462" s="63"/>
      <c r="X1462" s="63"/>
      <c r="Y1462" s="63"/>
      <c r="Z1462" s="63"/>
      <c r="AA1462" s="63"/>
      <c r="AB1462" s="63"/>
      <c r="AC1462" s="63"/>
      <c r="AD1462" s="81"/>
      <c r="AE1462" s="15"/>
      <c r="AF1462" s="11"/>
      <c r="AG1462" s="15"/>
      <c r="AH1462" s="15"/>
    </row>
    <row r="1463" spans="2:34" x14ac:dyDescent="0.2">
      <c r="B1463" s="9">
        <f>G1436</f>
        <v>30</v>
      </c>
      <c r="C1463" s="9" t="str">
        <f t="shared" si="4220"/>
        <v>30 - General and Administrative Expense</v>
      </c>
      <c r="D1463" s="9" t="s">
        <v>56</v>
      </c>
      <c r="F1463" t="s">
        <v>10</v>
      </c>
      <c r="G1463" s="178">
        <f>_xlfn.XLOOKUP($C1463,'Site Level Financials - ''23 ''24'!$C$2:$C$1577,'Site Level Financials - ''23 ''24'!S$2:S$1577)</f>
        <v>-11.424285649727134</v>
      </c>
      <c r="H1463" s="179">
        <f>_xlfn.XLOOKUP($C1463,'Site Level Financials - ''23 ''24'!$C$2:$C$1577,'Site Level Financials - ''23 ''24'!T$2:T$1577)</f>
        <v>-10.964601625642354</v>
      </c>
      <c r="I1463" s="179">
        <f>_xlfn.XLOOKUP($C1463,'Site Level Financials - ''23 ''24'!$C$2:$C$1577,'Site Level Financials - ''23 ''24'!U$2:U$1577)</f>
        <v>-9.884787961800134</v>
      </c>
      <c r="J1463" s="179">
        <f>_xlfn.XLOOKUP($C1463,'Site Level Financials - ''23 ''24'!$C$2:$C$1577,'Site Level Financials - ''23 ''24'!V$2:V$1577)</f>
        <v>-10.934033128360785</v>
      </c>
      <c r="K1463" s="179">
        <f>_xlfn.XLOOKUP($C1463,'Site Level Financials - ''23 ''24'!$C$2:$C$1577,'Site Level Financials - ''23 ''24'!W$2:W$1577)</f>
        <v>-15.163764515963432</v>
      </c>
      <c r="L1463" s="179">
        <f>_xlfn.XLOOKUP($C1463,'Site Level Financials - ''23 ''24'!$C$2:$C$1577,'Site Level Financials - ''23 ''24'!X$2:X$1577)</f>
        <v>-11.820261069879459</v>
      </c>
      <c r="M1463" s="179">
        <f>_xlfn.XLOOKUP($C1463,'Site Level Financials - ''23 ''24'!$C$2:$C$1577,'Site Level Financials - ''23 ''24'!Y$2:Y$1577)</f>
        <v>-12.198723516539845</v>
      </c>
      <c r="N1463" s="179">
        <f>_xlfn.XLOOKUP($C1463,'Site Level Financials - ''23 ''24'!$C$2:$C$1577,'Site Level Financials - ''23 ''24'!Z$2:Z$1577)</f>
        <v>-9.3413604649650761</v>
      </c>
      <c r="O1463" s="179">
        <f>_xlfn.XLOOKUP($C1463,'Site Level Financials - ''23 ''24'!$C$2:$C$1577,'Site Level Financials - ''23 ''24'!AA$2:AA$1577)</f>
        <v>-7.3790080161378135</v>
      </c>
      <c r="P1463" s="179">
        <f>_xlfn.XLOOKUP($C1463,'Site Level Financials - ''23 ''24'!$C$2:$C$1577,'Site Level Financials - ''23 ''24'!AB$2:AB$1577)</f>
        <v>-9.7170426657516007</v>
      </c>
      <c r="Q1463" s="179">
        <f>_xlfn.XLOOKUP($C1463,'Site Level Financials - ''23 ''24'!$C$2:$C$1577,'Site Level Financials - ''23 ''24'!AC$2:AC$1577)</f>
        <v>-7.4410828119855159</v>
      </c>
      <c r="R1463" s="179">
        <f>_xlfn.XLOOKUP($C1463,'Site Level Financials - ''23 ''24'!$C$2:$C$1577,'Site Level Financials - ''23 ''24'!AD$2:AD$1577)</f>
        <v>-5.4681356077611634</v>
      </c>
      <c r="S1463" s="155">
        <f>S1464*S1448</f>
        <v>-9.4846307872731526</v>
      </c>
      <c r="T1463" s="154">
        <f t="shared" ref="T1463" si="4286">T1464*T1448</f>
        <v>-9.099063039920928</v>
      </c>
      <c r="U1463" s="154">
        <f t="shared" ref="U1463" si="4287">U1464*U1448</f>
        <v>-7.8344559270198317</v>
      </c>
      <c r="V1463" s="154">
        <f t="shared" ref="V1463" si="4288">V1464*V1448</f>
        <v>-10.427693092259949</v>
      </c>
      <c r="W1463" s="154">
        <f t="shared" ref="W1463" si="4289">W1464*W1448</f>
        <v>-18.211603171192568</v>
      </c>
      <c r="X1463" s="154">
        <f t="shared" ref="X1463" si="4290">X1464*X1448</f>
        <v>-11.42718189298046</v>
      </c>
      <c r="Y1463" s="154">
        <f t="shared" ref="Y1463" si="4291">Y1464*Y1448</f>
        <v>-10.282316497386523</v>
      </c>
      <c r="Z1463" s="154">
        <f t="shared" ref="Z1463" si="4292">Z1464*Z1448</f>
        <v>-7.0821842228021206</v>
      </c>
      <c r="AA1463" s="154">
        <f t="shared" ref="AA1463" si="4293">AA1464*AA1448</f>
        <v>-5.934344543222279</v>
      </c>
      <c r="AB1463" s="154">
        <f t="shared" ref="AB1463" si="4294">AB1464*AB1448</f>
        <v>-8.7889777839034515</v>
      </c>
      <c r="AC1463" s="154">
        <f t="shared" ref="AC1463" si="4295">AC1464*AC1448</f>
        <v>-5.6789031601700666</v>
      </c>
      <c r="AD1463" s="156">
        <f t="shared" ref="AD1463" si="4296">AD1464*AD1448</f>
        <v>-5.6782876127791564</v>
      </c>
      <c r="AE1463" s="15"/>
      <c r="AF1463" s="115">
        <f>_xlfn.XLOOKUP($C1463,'Site Level Financials - ''23 ''24'!$C$2:$C$1577,'Site Level Financials - ''23 ''24'!$AF$2:$AF$1577)</f>
        <v>-137.66515863246173</v>
      </c>
      <c r="AG1463" s="93">
        <f>SUM(G1463:R1463)</f>
        <v>-121.73708703451433</v>
      </c>
      <c r="AH1463" s="93">
        <f t="shared" ref="AH1463" si="4297">SUM(S1463:AD1463)</f>
        <v>-109.92964173091049</v>
      </c>
    </row>
    <row r="1464" spans="2:34" x14ac:dyDescent="0.2">
      <c r="B1464" s="9">
        <f>G1436</f>
        <v>30</v>
      </c>
      <c r="C1464" s="9" t="str">
        <f t="shared" si="4220"/>
        <v>30 - % of Revenue - General and Administrative Expense</v>
      </c>
      <c r="D1464" s="9" t="s">
        <v>56</v>
      </c>
      <c r="F1464" s="16" t="str">
        <f>"% of Revenue - "&amp;F1463</f>
        <v>% of Revenue - General and Administrative Expense</v>
      </c>
      <c r="G1464" s="148">
        <f>G1463/G1448</f>
        <v>-2.1775328559500613E-2</v>
      </c>
      <c r="H1464" s="149">
        <f t="shared" ref="H1464:R1464" si="4298">H1463/H1448</f>
        <v>-2.0174358972620075E-2</v>
      </c>
      <c r="I1464" s="149">
        <f t="shared" si="4298"/>
        <v>-1.617680932867363E-2</v>
      </c>
      <c r="J1464" s="149">
        <f t="shared" si="4298"/>
        <v>-2.0100982872470405E-2</v>
      </c>
      <c r="K1464" s="149">
        <f t="shared" si="4298"/>
        <v>-2.9537502751441326E-2</v>
      </c>
      <c r="L1464" s="149">
        <f t="shared" si="4298"/>
        <v>-2.2070662664966052E-2</v>
      </c>
      <c r="M1464" s="149">
        <f t="shared" si="4298"/>
        <v>-1.9712841836845497E-2</v>
      </c>
      <c r="N1464" s="149">
        <f t="shared" si="4298"/>
        <v>-1.5834195558836861E-2</v>
      </c>
      <c r="O1464" s="149">
        <f t="shared" si="4298"/>
        <v>-1.4471361529487433E-2</v>
      </c>
      <c r="P1464" s="149">
        <f t="shared" si="4298"/>
        <v>-1.8661508542049548E-2</v>
      </c>
      <c r="Q1464" s="149">
        <f t="shared" si="4298"/>
        <v>-1.5254150365854657E-2</v>
      </c>
      <c r="R1464" s="149">
        <f t="shared" si="4298"/>
        <v>-1.868691787283577E-2</v>
      </c>
      <c r="S1464" s="245">
        <f>_xlfn.XLOOKUP($F1464,'Budget Assumption Driver'!$A$33:$A$39,'Budget Assumption Driver'!E$33:E$39)+G1464</f>
        <v>-2.1775328559500613E-2</v>
      </c>
      <c r="T1464" s="246">
        <f>_xlfn.XLOOKUP($F1464,'Budget Assumption Driver'!$A$33:$A$39,'Budget Assumption Driver'!F$33:F$39)+H1464</f>
        <v>-2.0174358972620075E-2</v>
      </c>
      <c r="U1464" s="246">
        <f>_xlfn.XLOOKUP($F1464,'Budget Assumption Driver'!$A$33:$A$39,'Budget Assumption Driver'!G$33:G$39)+I1464</f>
        <v>-1.617680932867363E-2</v>
      </c>
      <c r="V1464" s="246">
        <f>_xlfn.XLOOKUP($F1464,'Budget Assumption Driver'!$A$33:$A$39,'Budget Assumption Driver'!H$33:H$39)+J1464</f>
        <v>-2.0100982872470405E-2</v>
      </c>
      <c r="W1464" s="246">
        <f>_xlfn.XLOOKUP($F1464,'Budget Assumption Driver'!$A$33:$A$39,'Budget Assumption Driver'!I$33:I$39)+K1464</f>
        <v>-2.9537502751441326E-2</v>
      </c>
      <c r="X1464" s="246">
        <f>_xlfn.XLOOKUP($F1464,'Budget Assumption Driver'!$A$33:$A$39,'Budget Assumption Driver'!J$33:J$39)+L1464</f>
        <v>-2.2070662664966052E-2</v>
      </c>
      <c r="Y1464" s="246">
        <f>_xlfn.XLOOKUP($F1464,'Budget Assumption Driver'!$A$33:$A$39,'Budget Assumption Driver'!K$33:K$39)+M1464</f>
        <v>-1.9712841836845497E-2</v>
      </c>
      <c r="Z1464" s="246">
        <f>_xlfn.XLOOKUP($F1464,'Budget Assumption Driver'!$A$33:$A$39,'Budget Assumption Driver'!L$33:L$39)+N1464</f>
        <v>-1.5834195558836861E-2</v>
      </c>
      <c r="AA1464" s="246">
        <f>_xlfn.XLOOKUP($F1464,'Budget Assumption Driver'!$A$33:$A$39,'Budget Assumption Driver'!M$33:M$39)+O1464</f>
        <v>-1.4471361529487433E-2</v>
      </c>
      <c r="AB1464" s="246">
        <f>_xlfn.XLOOKUP($F1464,'Budget Assumption Driver'!$A$33:$A$39,'Budget Assumption Driver'!N$33:N$39)+P1464</f>
        <v>-1.8661508542049548E-2</v>
      </c>
      <c r="AC1464" s="246">
        <f>_xlfn.XLOOKUP($F1464,'Budget Assumption Driver'!$A$33:$A$39,'Budget Assumption Driver'!O$33:O$39)+Q1464</f>
        <v>-1.5254150365854657E-2</v>
      </c>
      <c r="AD1464" s="296">
        <f>_xlfn.XLOOKUP($F1464,'Budget Assumption Driver'!$A$33:$A$39,'Budget Assumption Driver'!P$33:P$39)+R1464</f>
        <v>-1.868691787283577E-2</v>
      </c>
      <c r="AE1464" s="15"/>
      <c r="AF1464" s="232">
        <f>_xlfn.XLOOKUP($C1464,'Site Level Financials - ''23 ''24'!$C$2:$C$1577,'Site Level Financials - ''23 ''24'!$AF$2:$AF$1577)</f>
        <v>-3.4302948096329569E-2</v>
      </c>
      <c r="AG1464" s="97">
        <f t="shared" ref="AG1464:AH1464" si="4299">AG1463/AG1448</f>
        <v>-1.934830264946685E-2</v>
      </c>
      <c r="AH1464" s="97">
        <f t="shared" si="4299"/>
        <v>-1.9807004092162794E-2</v>
      </c>
    </row>
    <row r="1465" spans="2:34" ht="3" customHeight="1" x14ac:dyDescent="0.2">
      <c r="B1465" s="9">
        <f>G1436</f>
        <v>30</v>
      </c>
      <c r="C1465" s="9" t="str">
        <f t="shared" si="4220"/>
        <v xml:space="preserve">30 - </v>
      </c>
      <c r="D1465" s="9" t="s">
        <v>56</v>
      </c>
      <c r="F1465" s="16"/>
      <c r="G1465" s="84"/>
      <c r="H1465" s="85"/>
      <c r="I1465" s="85"/>
      <c r="J1465" s="85"/>
      <c r="K1465" s="85"/>
      <c r="L1465" s="85"/>
      <c r="M1465" s="85"/>
      <c r="N1465" s="85"/>
      <c r="O1465" s="85"/>
      <c r="P1465" s="85"/>
      <c r="Q1465" s="85"/>
      <c r="R1465" s="85"/>
      <c r="S1465" s="84"/>
      <c r="T1465" s="85"/>
      <c r="U1465" s="85"/>
      <c r="V1465" s="85"/>
      <c r="W1465" s="85"/>
      <c r="X1465" s="85"/>
      <c r="Y1465" s="85"/>
      <c r="Z1465" s="85"/>
      <c r="AA1465" s="85"/>
      <c r="AB1465" s="85"/>
      <c r="AC1465" s="85"/>
      <c r="AD1465" s="86"/>
      <c r="AE1465" s="15"/>
      <c r="AF1465" s="36"/>
      <c r="AG1465" s="38"/>
      <c r="AH1465" s="38"/>
    </row>
    <row r="1466" spans="2:34" x14ac:dyDescent="0.2">
      <c r="B1466" s="9">
        <f>G1436</f>
        <v>30</v>
      </c>
      <c r="C1466" s="9" t="str">
        <f t="shared" si="4220"/>
        <v>30 - Marketing</v>
      </c>
      <c r="D1466" s="9" t="s">
        <v>56</v>
      </c>
      <c r="F1466" t="s">
        <v>7</v>
      </c>
      <c r="G1466" s="178">
        <f>_xlfn.XLOOKUP($C1466,'Site Level Financials - ''23 ''24'!$C$2:$C$1577,'Site Level Financials - ''23 ''24'!S$2:S$1577)</f>
        <v>-4.7504115060073433</v>
      </c>
      <c r="H1466" s="179">
        <f>_xlfn.XLOOKUP($C1466,'Site Level Financials - ''23 ''24'!$C$2:$C$1577,'Site Level Financials - ''23 ''24'!T$2:T$1577)</f>
        <v>-3.957913463105605</v>
      </c>
      <c r="I1466" s="179">
        <f>_xlfn.XLOOKUP($C1466,'Site Level Financials - ''23 ''24'!$C$2:$C$1577,'Site Level Financials - ''23 ''24'!U$2:U$1577)</f>
        <v>-2.4441872957677022</v>
      </c>
      <c r="J1466" s="179">
        <f>_xlfn.XLOOKUP($C1466,'Site Level Financials - ''23 ''24'!$C$2:$C$1577,'Site Level Financials - ''23 ''24'!V$2:V$1577)</f>
        <v>-3.8643083849360922</v>
      </c>
      <c r="K1466" s="179">
        <f>_xlfn.XLOOKUP($C1466,'Site Level Financials - ''23 ''24'!$C$2:$C$1577,'Site Level Financials - ''23 ''24'!W$2:W$1577)</f>
        <v>-6.181862382529606</v>
      </c>
      <c r="L1466" s="179">
        <f>_xlfn.XLOOKUP($C1466,'Site Level Financials - ''23 ''24'!$C$2:$C$1577,'Site Level Financials - ''23 ''24'!X$2:X$1577)</f>
        <v>-4.2939919946034726</v>
      </c>
      <c r="M1466" s="179">
        <f>_xlfn.XLOOKUP($C1466,'Site Level Financials - ''23 ''24'!$C$2:$C$1577,'Site Level Financials - ''23 ''24'!Y$2:Y$1577)</f>
        <v>-6.3109873113011528</v>
      </c>
      <c r="N1466" s="179">
        <f>_xlfn.XLOOKUP($C1466,'Site Level Financials - ''23 ''24'!$C$2:$C$1577,'Site Level Financials - ''23 ''24'!Z$2:Z$1577)</f>
        <v>-4.173252270287386</v>
      </c>
      <c r="O1466" s="179">
        <f>_xlfn.XLOOKUP($C1466,'Site Level Financials - ''23 ''24'!$C$2:$C$1577,'Site Level Financials - ''23 ''24'!AA$2:AA$1577)</f>
        <v>-2.981605631726636</v>
      </c>
      <c r="P1466" s="179">
        <f>_xlfn.XLOOKUP($C1466,'Site Level Financials - ''23 ''24'!$C$2:$C$1577,'Site Level Financials - ''23 ''24'!AB$2:AB$1577)</f>
        <v>-3.9833267196057767</v>
      </c>
      <c r="Q1466" s="179">
        <f>_xlfn.XLOOKUP($C1466,'Site Level Financials - ''23 ''24'!$C$2:$C$1577,'Site Level Financials - ''23 ''24'!AC$2:AC$1577)</f>
        <v>-3.475027787177253</v>
      </c>
      <c r="R1466" s="179">
        <f>_xlfn.XLOOKUP($C1466,'Site Level Financials - ''23 ''24'!$C$2:$C$1577,'Site Level Financials - ''23 ''24'!AD$2:AD$1577)</f>
        <v>-2.6918917489362739</v>
      </c>
      <c r="S1466" s="155">
        <f>S1467*S1448</f>
        <v>-3.9438701555199662</v>
      </c>
      <c r="T1466" s="154">
        <f t="shared" ref="T1466" si="4300">T1467*T1448</f>
        <v>-3.2845063903760243</v>
      </c>
      <c r="U1466" s="154">
        <f t="shared" ref="U1466" si="4301">U1467*U1448</f>
        <v>-1.937206718047457</v>
      </c>
      <c r="V1466" s="154">
        <f t="shared" ref="V1466" si="4302">V1467*V1448</f>
        <v>-3.6853575783889525</v>
      </c>
      <c r="W1466" s="154">
        <f t="shared" ref="W1466" si="4303">W1467*W1448</f>
        <v>-7.4243849178107153</v>
      </c>
      <c r="X1466" s="154">
        <f t="shared" ref="X1466" si="4304">X1467*X1448</f>
        <v>-4.1511966004179159</v>
      </c>
      <c r="Y1466" s="154">
        <f t="shared" ref="Y1466" si="4305">Y1467*Y1448</f>
        <v>-5.319537643246405</v>
      </c>
      <c r="Z1466" s="154">
        <f t="shared" ref="Z1466" si="4306">Z1467*Z1448</f>
        <v>-3.1639654092411638</v>
      </c>
      <c r="AA1466" s="154">
        <f t="shared" ref="AA1466" si="4307">AA1467*AA1448</f>
        <v>-2.3978663625220977</v>
      </c>
      <c r="AB1466" s="154">
        <f t="shared" ref="AB1466" si="4308">AB1467*AB1448</f>
        <v>-3.6028832278402114</v>
      </c>
      <c r="AC1466" s="154">
        <f t="shared" ref="AC1466" si="4309">AC1467*AC1448</f>
        <v>-2.6520799164461857</v>
      </c>
      <c r="AD1466" s="156">
        <f t="shared" ref="AD1466" si="4310">AD1467*AD1448</f>
        <v>-2.7953468365400669</v>
      </c>
      <c r="AE1466" s="15"/>
      <c r="AF1466" s="115">
        <f>_xlfn.XLOOKUP($C1466,'Site Level Financials - ''23 ''24'!$C$2:$C$1577,'Site Level Financials - ''23 ''24'!$AF$2:$AF$1577)</f>
        <v>-48.373993905082031</v>
      </c>
      <c r="AG1466" s="93">
        <f>SUM(G1466:R1466)</f>
        <v>-49.108766495984298</v>
      </c>
      <c r="AH1466" s="93">
        <f t="shared" ref="AH1466" si="4311">SUM(S1466:AD1466)</f>
        <v>-44.358201756397158</v>
      </c>
    </row>
    <row r="1467" spans="2:34" x14ac:dyDescent="0.2">
      <c r="B1467" s="9">
        <f>G1436</f>
        <v>30</v>
      </c>
      <c r="C1467" s="9" t="str">
        <f t="shared" si="4220"/>
        <v>30 - % of Revenue - Marketing</v>
      </c>
      <c r="D1467" s="9" t="s">
        <v>56</v>
      </c>
      <c r="F1467" s="16" t="str">
        <f>"% of Revenue - "&amp;F1466</f>
        <v>% of Revenue - Marketing</v>
      </c>
      <c r="G1467" s="148">
        <f>G1466/G1448</f>
        <v>-9.0545504994977693E-3</v>
      </c>
      <c r="H1467" s="149">
        <f t="shared" ref="H1467:R1467" si="4312">H1466/H1448</f>
        <v>-7.2823773916711257E-3</v>
      </c>
      <c r="I1467" s="149">
        <f t="shared" si="4312"/>
        <v>-4.0000000000000001E-3</v>
      </c>
      <c r="J1467" s="149">
        <f t="shared" si="4312"/>
        <v>-7.1040937728701851E-3</v>
      </c>
      <c r="K1467" s="149">
        <f t="shared" si="4312"/>
        <v>-1.2041652120142974E-2</v>
      </c>
      <c r="L1467" s="149">
        <f t="shared" si="4312"/>
        <v>-8.0176950609369604E-3</v>
      </c>
      <c r="M1467" s="149">
        <f t="shared" si="4312"/>
        <v>-1.0198402688063095E-2</v>
      </c>
      <c r="N1467" s="149">
        <f t="shared" si="4312"/>
        <v>-7.0739259888240938E-3</v>
      </c>
      <c r="O1467" s="149">
        <f t="shared" si="4312"/>
        <v>-5.8473839492663411E-3</v>
      </c>
      <c r="P1467" s="149">
        <f t="shared" si="4312"/>
        <v>-7.6499494919062081E-3</v>
      </c>
      <c r="Q1467" s="149">
        <f t="shared" si="4312"/>
        <v>-7.123774554120387E-3</v>
      </c>
      <c r="R1467" s="149">
        <f t="shared" si="4312"/>
        <v>-9.1993256281974658E-3</v>
      </c>
      <c r="S1467" s="245">
        <f>_xlfn.XLOOKUP($F1467,'Budget Assumption Driver'!$A$33:$A$39,'Budget Assumption Driver'!E$33:E$39)+G1467</f>
        <v>-9.0545504994977693E-3</v>
      </c>
      <c r="T1467" s="246">
        <f>_xlfn.XLOOKUP($F1467,'Budget Assumption Driver'!$A$33:$A$39,'Budget Assumption Driver'!F$33:F$39)+H1467</f>
        <v>-7.2823773916711257E-3</v>
      </c>
      <c r="U1467" s="246">
        <f>_xlfn.XLOOKUP($F1467,'Budget Assumption Driver'!$A$33:$A$39,'Budget Assumption Driver'!G$33:G$39)+I1467</f>
        <v>-4.0000000000000001E-3</v>
      </c>
      <c r="V1467" s="246">
        <f>_xlfn.XLOOKUP($F1467,'Budget Assumption Driver'!$A$33:$A$39,'Budget Assumption Driver'!H$33:H$39)+J1467</f>
        <v>-7.1040937728701851E-3</v>
      </c>
      <c r="W1467" s="246">
        <f>_xlfn.XLOOKUP($F1467,'Budget Assumption Driver'!$A$33:$A$39,'Budget Assumption Driver'!I$33:I$39)+K1467</f>
        <v>-1.2041652120142974E-2</v>
      </c>
      <c r="X1467" s="246">
        <f>_xlfn.XLOOKUP($F1467,'Budget Assumption Driver'!$A$33:$A$39,'Budget Assumption Driver'!J$33:J$39)+L1467</f>
        <v>-8.0176950609369604E-3</v>
      </c>
      <c r="Y1467" s="246">
        <f>_xlfn.XLOOKUP($F1467,'Budget Assumption Driver'!$A$33:$A$39,'Budget Assumption Driver'!K$33:K$39)+M1467</f>
        <v>-1.0198402688063095E-2</v>
      </c>
      <c r="Z1467" s="246">
        <f>_xlfn.XLOOKUP($F1467,'Budget Assumption Driver'!$A$33:$A$39,'Budget Assumption Driver'!L$33:L$39)+N1467</f>
        <v>-7.0739259888240938E-3</v>
      </c>
      <c r="AA1467" s="246">
        <f>_xlfn.XLOOKUP($F1467,'Budget Assumption Driver'!$A$33:$A$39,'Budget Assumption Driver'!M$33:M$39)+O1467</f>
        <v>-5.8473839492663411E-3</v>
      </c>
      <c r="AB1467" s="246">
        <f>_xlfn.XLOOKUP($F1467,'Budget Assumption Driver'!$A$33:$A$39,'Budget Assumption Driver'!N$33:N$39)+P1467</f>
        <v>-7.6499494919062081E-3</v>
      </c>
      <c r="AC1467" s="246">
        <f>_xlfn.XLOOKUP($F1467,'Budget Assumption Driver'!$A$33:$A$39,'Budget Assumption Driver'!O$33:O$39)+Q1467</f>
        <v>-7.123774554120387E-3</v>
      </c>
      <c r="AD1467" s="296">
        <f>_xlfn.XLOOKUP($F1467,'Budget Assumption Driver'!$A$33:$A$39,'Budget Assumption Driver'!P$33:P$39)+R1467</f>
        <v>-9.1993256281974658E-3</v>
      </c>
      <c r="AE1467" s="15"/>
      <c r="AF1467" s="232">
        <f>_xlfn.XLOOKUP($C1467,'Site Level Financials - ''23 ''24'!$C$2:$C$1577,'Site Level Financials - ''23 ''24'!$AF$2:$AF$1577)</f>
        <v>-1.2053671521698367E-2</v>
      </c>
      <c r="AG1467" s="97">
        <f t="shared" ref="AG1467:AH1467" si="4313">AG1466/AG1448</f>
        <v>-7.8051093553512876E-3</v>
      </c>
      <c r="AH1467" s="97">
        <f t="shared" si="4313"/>
        <v>-7.9924128731413118E-3</v>
      </c>
    </row>
    <row r="1468" spans="2:34" ht="3" customHeight="1" x14ac:dyDescent="0.2">
      <c r="B1468" s="9">
        <f>G1436</f>
        <v>30</v>
      </c>
      <c r="C1468" s="9" t="str">
        <f t="shared" si="4220"/>
        <v xml:space="preserve">30 - </v>
      </c>
      <c r="D1468" s="9" t="s">
        <v>56</v>
      </c>
      <c r="F1468" s="16"/>
      <c r="G1468" s="84"/>
      <c r="H1468" s="85"/>
      <c r="I1468" s="85"/>
      <c r="J1468" s="85"/>
      <c r="K1468" s="85"/>
      <c r="L1468" s="85"/>
      <c r="M1468" s="85"/>
      <c r="N1468" s="85"/>
      <c r="O1468" s="85"/>
      <c r="P1468" s="85"/>
      <c r="Q1468" s="85"/>
      <c r="R1468" s="85"/>
      <c r="S1468" s="84"/>
      <c r="T1468" s="85"/>
      <c r="U1468" s="85"/>
      <c r="V1468" s="85"/>
      <c r="W1468" s="85"/>
      <c r="X1468" s="85"/>
      <c r="Y1468" s="85"/>
      <c r="Z1468" s="85"/>
      <c r="AA1468" s="85"/>
      <c r="AB1468" s="85"/>
      <c r="AC1468" s="85"/>
      <c r="AD1468" s="86"/>
      <c r="AE1468" s="15"/>
      <c r="AF1468" s="36"/>
      <c r="AG1468" s="38"/>
      <c r="AH1468" s="38"/>
    </row>
    <row r="1469" spans="2:34" x14ac:dyDescent="0.2">
      <c r="B1469" s="9">
        <f>G1436</f>
        <v>30</v>
      </c>
      <c r="C1469" s="9" t="str">
        <f t="shared" si="4220"/>
        <v>30 - Office Rent</v>
      </c>
      <c r="D1469" s="9" t="s">
        <v>56</v>
      </c>
      <c r="F1469" t="s">
        <v>162</v>
      </c>
      <c r="G1469" s="178">
        <f>_xlfn.XLOOKUP($C1469,'Site Level Financials - ''23 ''24'!$C$2:$C$1577,'Site Level Financials - ''23 ''24'!S$2:S$1577)</f>
        <v>-21.209173466040049</v>
      </c>
      <c r="H1469" s="179">
        <f>_xlfn.XLOOKUP($C1469,'Site Level Financials - ''23 ''24'!$C$2:$C$1577,'Site Level Financials - ''23 ''24'!T$2:T$1577)</f>
        <v>-21.209173466040049</v>
      </c>
      <c r="I1469" s="179">
        <f>_xlfn.XLOOKUP($C1469,'Site Level Financials - ''23 ''24'!$C$2:$C$1577,'Site Level Financials - ''23 ''24'!U$2:U$1577)</f>
        <v>-21.209173466040049</v>
      </c>
      <c r="J1469" s="179">
        <f>_xlfn.XLOOKUP($C1469,'Site Level Financials - ''23 ''24'!$C$2:$C$1577,'Site Level Financials - ''23 ''24'!V$2:V$1577)</f>
        <v>-21.209173466040049</v>
      </c>
      <c r="K1469" s="179">
        <f>_xlfn.XLOOKUP($C1469,'Site Level Financials - ''23 ''24'!$C$2:$C$1577,'Site Level Financials - ''23 ''24'!W$2:W$1577)</f>
        <v>-21.209173466040049</v>
      </c>
      <c r="L1469" s="179">
        <f>_xlfn.XLOOKUP($C1469,'Site Level Financials - ''23 ''24'!$C$2:$C$1577,'Site Level Financials - ''23 ''24'!X$2:X$1577)</f>
        <v>-21.845448670021248</v>
      </c>
      <c r="M1469" s="179">
        <f>_xlfn.XLOOKUP($C1469,'Site Level Financials - ''23 ''24'!$C$2:$C$1577,'Site Level Financials - ''23 ''24'!Y$2:Y$1577)</f>
        <v>-21.845448670021248</v>
      </c>
      <c r="N1469" s="179">
        <f>_xlfn.XLOOKUP($C1469,'Site Level Financials - ''23 ''24'!$C$2:$C$1577,'Site Level Financials - ''23 ''24'!Z$2:Z$1577)</f>
        <v>-21.845448670021248</v>
      </c>
      <c r="O1469" s="179">
        <f>_xlfn.XLOOKUP($C1469,'Site Level Financials - ''23 ''24'!$C$2:$C$1577,'Site Level Financials - ''23 ''24'!AA$2:AA$1577)</f>
        <v>-21.845448670021248</v>
      </c>
      <c r="P1469" s="179">
        <f>_xlfn.XLOOKUP($C1469,'Site Level Financials - ''23 ''24'!$C$2:$C$1577,'Site Level Financials - ''23 ''24'!AB$2:AB$1577)</f>
        <v>-21.845448670021248</v>
      </c>
      <c r="Q1469" s="179">
        <f>_xlfn.XLOOKUP($C1469,'Site Level Financials - ''23 ''24'!$C$2:$C$1577,'Site Level Financials - ''23 ''24'!AC$2:AC$1577)</f>
        <v>-21.845448670021248</v>
      </c>
      <c r="R1469" s="179">
        <f>_xlfn.XLOOKUP($C1469,'Site Level Financials - ''23 ''24'!$C$2:$C$1577,'Site Level Financials - ''23 ''24'!AD$2:AD$1577)</f>
        <v>-21.845448670021248</v>
      </c>
      <c r="S1469" s="155">
        <f>G1469*(1+S1470)</f>
        <v>-21.845448670021252</v>
      </c>
      <c r="T1469" s="154">
        <f t="shared" ref="T1469" si="4314">H1469*(1+T1470)</f>
        <v>-21.845448670021252</v>
      </c>
      <c r="U1469" s="154">
        <f t="shared" ref="U1469" si="4315">I1469*(1+U1470)</f>
        <v>-21.845448670021252</v>
      </c>
      <c r="V1469" s="154">
        <f t="shared" ref="V1469" si="4316">J1469*(1+V1470)</f>
        <v>-21.845448670021252</v>
      </c>
      <c r="W1469" s="154">
        <f t="shared" ref="W1469" si="4317">K1469*(1+W1470)</f>
        <v>-21.845448670021252</v>
      </c>
      <c r="X1469" s="154">
        <f t="shared" ref="X1469" si="4318">L1469*(1+X1470)</f>
        <v>-22.500812130121886</v>
      </c>
      <c r="Y1469" s="154">
        <f t="shared" ref="Y1469" si="4319">M1469*(1+Y1470)</f>
        <v>-22.500812130121886</v>
      </c>
      <c r="Z1469" s="154">
        <f t="shared" ref="Z1469" si="4320">N1469*(1+Z1470)</f>
        <v>-22.500812130121886</v>
      </c>
      <c r="AA1469" s="154">
        <f t="shared" ref="AA1469" si="4321">O1469*(1+AA1470)</f>
        <v>-22.500812130121886</v>
      </c>
      <c r="AB1469" s="154">
        <f t="shared" ref="AB1469" si="4322">P1469*(1+AB1470)</f>
        <v>-22.500812130121886</v>
      </c>
      <c r="AC1469" s="154">
        <f t="shared" ref="AC1469" si="4323">Q1469*(1+AC1470)</f>
        <v>-22.500812130121886</v>
      </c>
      <c r="AD1469" s="156">
        <f t="shared" ref="AD1469" si="4324">R1469*(1+AD1470)</f>
        <v>-22.500812130121886</v>
      </c>
      <c r="AE1469" s="15"/>
      <c r="AF1469" s="115">
        <f>_xlfn.XLOOKUP($C1469,'Site Level Financials - ''23 ''24'!$C$2:$C$1577,'Site Level Financials - ''23 ''24'!$AF$2:$AF$1577)</f>
        <v>-251.41642856388171</v>
      </c>
      <c r="AG1469" s="93">
        <f>SUM(G1469:R1469)</f>
        <v>-258.96400802034901</v>
      </c>
      <c r="AH1469" s="93">
        <f t="shared" ref="AH1469" si="4325">SUM(S1469:AD1469)</f>
        <v>-266.73292826095945</v>
      </c>
    </row>
    <row r="1470" spans="2:34" x14ac:dyDescent="0.2">
      <c r="B1470" s="9">
        <f>G1436</f>
        <v>30</v>
      </c>
      <c r="C1470" s="9" t="str">
        <f t="shared" si="4220"/>
        <v>30 - % YoY Growth</v>
      </c>
      <c r="D1470" s="9" t="s">
        <v>56</v>
      </c>
      <c r="F1470" s="16" t="s">
        <v>8</v>
      </c>
      <c r="G1470" s="245">
        <f>_xlfn.XLOOKUP($C1470,'Site Level Financials - ''23 ''24'!$C$2:$C$1577,'Site Level Financials - ''23 ''24'!S$2:S$1577)</f>
        <v>3.0020231770771622E-2</v>
      </c>
      <c r="H1470" s="246">
        <f>_xlfn.XLOOKUP($C1470,'Site Level Financials - ''23 ''24'!$C$2:$C$1577,'Site Level Financials - ''23 ''24'!T$2:T$1577)</f>
        <v>3.0020231770771622E-2</v>
      </c>
      <c r="I1470" s="246">
        <f>_xlfn.XLOOKUP($C1470,'Site Level Financials - ''23 ''24'!$C$2:$C$1577,'Site Level Financials - ''23 ''24'!U$2:U$1577)</f>
        <v>3.0020231770771622E-2</v>
      </c>
      <c r="J1470" s="246">
        <f>_xlfn.XLOOKUP($C1470,'Site Level Financials - ''23 ''24'!$C$2:$C$1577,'Site Level Financials - ''23 ''24'!V$2:V$1577)</f>
        <v>3.0020231770771622E-2</v>
      </c>
      <c r="K1470" s="246">
        <f>_xlfn.XLOOKUP($C1470,'Site Level Financials - ''23 ''24'!$C$2:$C$1577,'Site Level Financials - ''23 ''24'!W$2:W$1577)</f>
        <v>3.0020231770771622E-2</v>
      </c>
      <c r="L1470" s="246">
        <f>_xlfn.XLOOKUP($C1470,'Site Level Financials - ''23 ''24'!$C$2:$C$1577,'Site Level Financials - ''23 ''24'!X$2:X$1577)</f>
        <v>3.0020231770771399E-2</v>
      </c>
      <c r="M1470" s="246">
        <f>_xlfn.XLOOKUP($C1470,'Site Level Financials - ''23 ''24'!$C$2:$C$1577,'Site Level Financials - ''23 ''24'!Y$2:Y$1577)</f>
        <v>3.0020231770771399E-2</v>
      </c>
      <c r="N1470" s="246">
        <f>_xlfn.XLOOKUP($C1470,'Site Level Financials - ''23 ''24'!$C$2:$C$1577,'Site Level Financials - ''23 ''24'!Z$2:Z$1577)</f>
        <v>3.0020231770771399E-2</v>
      </c>
      <c r="O1470" s="246">
        <f>_xlfn.XLOOKUP($C1470,'Site Level Financials - ''23 ''24'!$C$2:$C$1577,'Site Level Financials - ''23 ''24'!AA$2:AA$1577)</f>
        <v>3.0020231770771399E-2</v>
      </c>
      <c r="P1470" s="246">
        <f>_xlfn.XLOOKUP($C1470,'Site Level Financials - ''23 ''24'!$C$2:$C$1577,'Site Level Financials - ''23 ''24'!AB$2:AB$1577)</f>
        <v>3.0020231770771399E-2</v>
      </c>
      <c r="Q1470" s="246">
        <f>_xlfn.XLOOKUP($C1470,'Site Level Financials - ''23 ''24'!$C$2:$C$1577,'Site Level Financials - ''23 ''24'!AC$2:AC$1577)</f>
        <v>3.0020231770771399E-2</v>
      </c>
      <c r="R1470" s="246">
        <f>_xlfn.XLOOKUP($C1470,'Site Level Financials - ''23 ''24'!$C$2:$C$1577,'Site Level Financials - ''23 ''24'!AD$2:AD$1577)</f>
        <v>3.0020231770771399E-2</v>
      </c>
      <c r="S1470" s="245">
        <f>_xlfn.XLOOKUP($F1470,'Budget Assumption Driver'!$A$33:$A$39,'Budget Assumption Driver'!E$33:E$39)</f>
        <v>0.03</v>
      </c>
      <c r="T1470" s="246">
        <f>_xlfn.XLOOKUP($F1470,'Budget Assumption Driver'!$A$33:$A$39,'Budget Assumption Driver'!F$33:F$39)</f>
        <v>0.03</v>
      </c>
      <c r="U1470" s="246">
        <f>_xlfn.XLOOKUP($F1470,'Budget Assumption Driver'!$A$33:$A$39,'Budget Assumption Driver'!G$33:G$39)</f>
        <v>0.03</v>
      </c>
      <c r="V1470" s="246">
        <f>_xlfn.XLOOKUP($F1470,'Budget Assumption Driver'!$A$33:$A$39,'Budget Assumption Driver'!H$33:H$39)</f>
        <v>0.03</v>
      </c>
      <c r="W1470" s="246">
        <f>_xlfn.XLOOKUP($F1470,'Budget Assumption Driver'!$A$33:$A$39,'Budget Assumption Driver'!I$33:I$39)</f>
        <v>0.03</v>
      </c>
      <c r="X1470" s="246">
        <f>_xlfn.XLOOKUP($F1470,'Budget Assumption Driver'!$A$33:$A$39,'Budget Assumption Driver'!J$33:J$39)</f>
        <v>0.03</v>
      </c>
      <c r="Y1470" s="246">
        <f>_xlfn.XLOOKUP($F1470,'Budget Assumption Driver'!$A$33:$A$39,'Budget Assumption Driver'!K$33:K$39)</f>
        <v>0.03</v>
      </c>
      <c r="Z1470" s="246">
        <f>_xlfn.XLOOKUP($F1470,'Budget Assumption Driver'!$A$33:$A$39,'Budget Assumption Driver'!L$33:L$39)</f>
        <v>0.03</v>
      </c>
      <c r="AA1470" s="246">
        <f>_xlfn.XLOOKUP($F1470,'Budget Assumption Driver'!$A$33:$A$39,'Budget Assumption Driver'!M$33:M$39)</f>
        <v>0.03</v>
      </c>
      <c r="AB1470" s="246">
        <f>_xlfn.XLOOKUP($F1470,'Budget Assumption Driver'!$A$33:$A$39,'Budget Assumption Driver'!N$33:N$39)</f>
        <v>0.03</v>
      </c>
      <c r="AC1470" s="246">
        <f>_xlfn.XLOOKUP($F1470,'Budget Assumption Driver'!$A$33:$A$39,'Budget Assumption Driver'!O$33:O$39)</f>
        <v>0.03</v>
      </c>
      <c r="AD1470" s="296">
        <f>_xlfn.XLOOKUP($F1470,'Budget Assumption Driver'!$A$33:$A$39,'Budget Assumption Driver'!P$33:P$39)</f>
        <v>0.03</v>
      </c>
      <c r="AE1470" s="15"/>
      <c r="AF1470" s="11"/>
      <c r="AG1470" s="97">
        <f>AG1469/AF1469-1</f>
        <v>3.0020231770771399E-2</v>
      </c>
      <c r="AH1470" s="97">
        <f>AH1469/AG1469-1</f>
        <v>2.9999999999999805E-2</v>
      </c>
    </row>
    <row r="1471" spans="2:34" ht="6" customHeight="1" x14ac:dyDescent="0.2">
      <c r="B1471" s="9">
        <f>G1436</f>
        <v>30</v>
      </c>
      <c r="C1471" s="9" t="str">
        <f t="shared" si="4220"/>
        <v xml:space="preserve">30 - </v>
      </c>
      <c r="D1471" s="9" t="s">
        <v>56</v>
      </c>
      <c r="F1471" s="16"/>
      <c r="G1471" s="80"/>
      <c r="H1471" s="63"/>
      <c r="I1471" s="63"/>
      <c r="J1471" s="63"/>
      <c r="K1471" s="63"/>
      <c r="L1471" s="63"/>
      <c r="M1471" s="63"/>
      <c r="N1471" s="63"/>
      <c r="O1471" s="63"/>
      <c r="P1471" s="63"/>
      <c r="Q1471" s="63"/>
      <c r="R1471" s="63"/>
      <c r="S1471" s="80"/>
      <c r="T1471" s="63"/>
      <c r="U1471" s="63"/>
      <c r="V1471" s="63"/>
      <c r="W1471" s="63"/>
      <c r="X1471" s="63"/>
      <c r="Y1471" s="63"/>
      <c r="Z1471" s="63"/>
      <c r="AA1471" s="63"/>
      <c r="AB1471" s="63"/>
      <c r="AC1471" s="63"/>
      <c r="AD1471" s="81"/>
      <c r="AE1471" s="15"/>
      <c r="AF1471" s="11"/>
      <c r="AG1471" s="15"/>
      <c r="AH1471" s="15"/>
    </row>
    <row r="1472" spans="2:34" x14ac:dyDescent="0.2">
      <c r="B1472" s="9">
        <f>G1436</f>
        <v>30</v>
      </c>
      <c r="C1472" s="9" t="str">
        <f t="shared" si="4220"/>
        <v>30 - Office EBITDA</v>
      </c>
      <c r="D1472" s="9" t="s">
        <v>56</v>
      </c>
      <c r="F1472" s="8" t="s">
        <v>12</v>
      </c>
      <c r="G1472" s="241">
        <f>_xlfn.XLOOKUP($C1472,'Site Level Financials - ''23 ''24'!$C$2:$C$1577,'Site Level Financials - ''23 ''24'!S$2:S$1577)</f>
        <v>184.28287142537437</v>
      </c>
      <c r="H1472" s="242">
        <f>_xlfn.XLOOKUP($C1472,'Site Level Financials - ''23 ''24'!$C$2:$C$1577,'Site Level Financials - ''23 ''24'!T$2:T$1577)</f>
        <v>195.55673131016081</v>
      </c>
      <c r="I1472" s="242">
        <f>_xlfn.XLOOKUP($C1472,'Site Level Financials - ''23 ''24'!$C$2:$C$1577,'Site Level Financials - ''23 ''24'!U$2:U$1577)</f>
        <v>294.35507750640625</v>
      </c>
      <c r="J1472" s="242">
        <f>_xlfn.XLOOKUP($C1472,'Site Level Financials - ''23 ''24'!$C$2:$C$1577,'Site Level Financials - ''23 ''24'!V$2:V$1577)</f>
        <v>195.78335805630104</v>
      </c>
      <c r="K1472" s="242">
        <f>_xlfn.XLOOKUP($C1472,'Site Level Financials - ''23 ''24'!$C$2:$C$1577,'Site Level Financials - ''23 ''24'!W$2:W$1577)</f>
        <v>72.28457985200464</v>
      </c>
      <c r="L1472" s="242">
        <f>_xlfn.XLOOKUP($C1472,'Site Level Financials - ''23 ''24'!$C$2:$C$1577,'Site Level Financials - ''23 ''24'!X$2:X$1577)</f>
        <v>182.7923314813886</v>
      </c>
      <c r="M1472" s="242">
        <f>_xlfn.XLOOKUP($C1472,'Site Level Financials - ''23 ''24'!$C$2:$C$1577,'Site Level Financials - ''23 ''24'!Y$2:Y$1577)</f>
        <v>213.64727847433127</v>
      </c>
      <c r="N1472" s="242">
        <f>_xlfn.XLOOKUP($C1472,'Site Level Financials - ''23 ''24'!$C$2:$C$1577,'Site Level Financials - ''23 ''24'!Z$2:Z$1577)</f>
        <v>269.26115343793339</v>
      </c>
      <c r="O1472" s="242">
        <f>_xlfn.XLOOKUP($C1472,'Site Level Financials - ''23 ''24'!$C$2:$C$1577,'Site Level Financials - ''23 ''24'!AA$2:AA$1577)</f>
        <v>231.91113048028828</v>
      </c>
      <c r="P1472" s="242">
        <f>_xlfn.XLOOKUP($C1472,'Site Level Financials - ''23 ''24'!$C$2:$C$1577,'Site Level Financials - ''23 ''24'!AB$2:AB$1577)</f>
        <v>177.51898113818481</v>
      </c>
      <c r="Q1472" s="242">
        <f>_xlfn.XLOOKUP($C1472,'Site Level Financials - ''23 ''24'!$C$2:$C$1577,'Site Level Financials - ''23 ''24'!AC$2:AC$1577)</f>
        <v>225.96558163074087</v>
      </c>
      <c r="R1472" s="242">
        <f>_xlfn.XLOOKUP($C1472,'Site Level Financials - ''23 ''24'!$C$2:$C$1577,'Site Level Financials - ''23 ''24'!AD$2:AD$1577)</f>
        <v>93.081713208031886</v>
      </c>
      <c r="S1472" s="134">
        <f t="shared" ref="S1472:AD1472" si="4326">S1460+S1463+S1466+S1469</f>
        <v>148.75744373606787</v>
      </c>
      <c r="T1472" s="135">
        <f t="shared" si="4326"/>
        <v>158.03948466412521</v>
      </c>
      <c r="U1472" s="135">
        <f t="shared" si="4326"/>
        <v>228.26352948315559</v>
      </c>
      <c r="V1472" s="135">
        <f t="shared" si="4326"/>
        <v>185.09845715722778</v>
      </c>
      <c r="W1472" s="135">
        <f t="shared" si="4326"/>
        <v>90.440068070965921</v>
      </c>
      <c r="X1472" s="135">
        <f t="shared" si="4326"/>
        <v>175.33180105341708</v>
      </c>
      <c r="Y1472" s="135">
        <f t="shared" si="4326"/>
        <v>175.99624783257076</v>
      </c>
      <c r="Z1472" s="135">
        <f t="shared" si="4326"/>
        <v>198.20264882022039</v>
      </c>
      <c r="AA1472" s="135">
        <f t="shared" si="4326"/>
        <v>181.57525981532797</v>
      </c>
      <c r="AB1472" s="135">
        <f t="shared" si="4326"/>
        <v>157.82252334937408</v>
      </c>
      <c r="AC1472" s="135">
        <f t="shared" si="4326"/>
        <v>166.6241954337286</v>
      </c>
      <c r="AD1472" s="136">
        <f t="shared" si="4326"/>
        <v>96.843243408253102</v>
      </c>
      <c r="AE1472" s="15"/>
      <c r="AF1472" s="113">
        <f>_xlfn.XLOOKUP($C1472,'Site Level Financials - ''23 ''24'!$C$2:$C$1577,'Site Level Financials - ''23 ''24'!$AF$2:$AF$1577)</f>
        <v>1404.7216680011149</v>
      </c>
      <c r="AG1472" s="95">
        <f>SUM(G1472:R1472)</f>
        <v>2336.4407880011463</v>
      </c>
      <c r="AH1472" s="95">
        <f t="shared" ref="AH1472" si="4327">SUM(S1472:AD1472)</f>
        <v>1962.9949028244346</v>
      </c>
    </row>
    <row r="1473" spans="2:35" x14ac:dyDescent="0.2">
      <c r="B1473" s="9">
        <f>G1436</f>
        <v>30</v>
      </c>
      <c r="C1473" s="9" t="str">
        <f t="shared" si="4220"/>
        <v>30 - % of Revenue - Office EBITDA</v>
      </c>
      <c r="D1473" s="9" t="s">
        <v>56</v>
      </c>
      <c r="F1473" s="16" t="str">
        <f>"% of Revenue - "&amp;F1472</f>
        <v>% of Revenue - Office EBITDA</v>
      </c>
      <c r="G1473" s="148">
        <f>G1472/G1448</f>
        <v>0.35125347844147953</v>
      </c>
      <c r="H1473" s="149">
        <f t="shared" ref="H1473:AD1473" si="4328">H1472/H1448</f>
        <v>0.35981532495780638</v>
      </c>
      <c r="I1473" s="149">
        <f t="shared" si="4328"/>
        <v>0.48172262087460266</v>
      </c>
      <c r="J1473" s="149">
        <f t="shared" si="4328"/>
        <v>0.35992555361814998</v>
      </c>
      <c r="K1473" s="149">
        <f t="shared" si="4328"/>
        <v>0.14080316098404624</v>
      </c>
      <c r="L1473" s="149">
        <f t="shared" si="4328"/>
        <v>0.34130784946440479</v>
      </c>
      <c r="M1473" s="149">
        <f t="shared" si="4328"/>
        <v>0.34524882900465909</v>
      </c>
      <c r="N1473" s="149">
        <f t="shared" si="4328"/>
        <v>0.45641464922852165</v>
      </c>
      <c r="O1473" s="149">
        <f t="shared" si="4328"/>
        <v>0.45481314081143354</v>
      </c>
      <c r="P1473" s="149">
        <f t="shared" si="4328"/>
        <v>0.3409238897923404</v>
      </c>
      <c r="Q1473" s="149">
        <f t="shared" si="4328"/>
        <v>0.46322733489151707</v>
      </c>
      <c r="R1473" s="149">
        <f t="shared" si="4328"/>
        <v>0.31809934042464555</v>
      </c>
      <c r="S1473" s="148">
        <f t="shared" si="4328"/>
        <v>0.3415253883546891</v>
      </c>
      <c r="T1473" s="149">
        <f t="shared" si="4328"/>
        <v>0.3504036933773847</v>
      </c>
      <c r="U1473" s="149">
        <f t="shared" si="4328"/>
        <v>0.47132508339270313</v>
      </c>
      <c r="V1473" s="149">
        <f t="shared" si="4328"/>
        <v>0.35680575599216935</v>
      </c>
      <c r="W1473" s="149">
        <f t="shared" si="4328"/>
        <v>0.14668526073049529</v>
      </c>
      <c r="X1473" s="149">
        <f t="shared" si="4328"/>
        <v>0.33863896380856573</v>
      </c>
      <c r="Y1473" s="149">
        <f t="shared" si="4328"/>
        <v>0.33741289701435956</v>
      </c>
      <c r="Z1473" s="149">
        <f t="shared" si="4328"/>
        <v>0.44313723040335029</v>
      </c>
      <c r="AA1473" s="149">
        <f t="shared" si="4328"/>
        <v>0.44278541807945726</v>
      </c>
      <c r="AB1473" s="149">
        <f t="shared" si="4328"/>
        <v>0.33510226559067524</v>
      </c>
      <c r="AC1473" s="149">
        <f t="shared" si="4328"/>
        <v>0.44757067695085195</v>
      </c>
      <c r="AD1473" s="150">
        <f t="shared" si="4328"/>
        <v>0.31870554285349717</v>
      </c>
      <c r="AE1473" s="15"/>
      <c r="AF1473" s="232">
        <f>_xlfn.XLOOKUP($C1473,'Site Level Financials - ''23 ''24'!$C$2:$C$1577,'Site Level Financials - ''23 ''24'!$AF$2:$AF$1577)</f>
        <v>0.35002389090967401</v>
      </c>
      <c r="AG1473" s="97">
        <f t="shared" ref="AG1473:AH1473" si="4329">AG1472/AG1448</f>
        <v>0.37134257595623549</v>
      </c>
      <c r="AH1473" s="97">
        <f t="shared" si="4329"/>
        <v>0.35369030100464288</v>
      </c>
    </row>
    <row r="1474" spans="2:35" ht="6" customHeight="1" x14ac:dyDescent="0.2">
      <c r="B1474" s="9">
        <f>G1436</f>
        <v>30</v>
      </c>
      <c r="C1474" s="9" t="str">
        <f t="shared" si="4220"/>
        <v xml:space="preserve">30 - </v>
      </c>
      <c r="D1474" s="9" t="s">
        <v>56</v>
      </c>
      <c r="G1474" s="80"/>
      <c r="H1474" s="63"/>
      <c r="I1474" s="63"/>
      <c r="J1474" s="63"/>
      <c r="K1474" s="63"/>
      <c r="L1474" s="63"/>
      <c r="M1474" s="63"/>
      <c r="N1474" s="63"/>
      <c r="O1474" s="63"/>
      <c r="P1474" s="63"/>
      <c r="Q1474" s="63"/>
      <c r="R1474" s="63"/>
      <c r="S1474" s="80"/>
      <c r="T1474" s="63"/>
      <c r="U1474" s="63"/>
      <c r="V1474" s="63"/>
      <c r="W1474" s="63"/>
      <c r="X1474" s="63"/>
      <c r="Y1474" s="63"/>
      <c r="Z1474" s="63"/>
      <c r="AA1474" s="63"/>
      <c r="AB1474" s="63"/>
      <c r="AC1474" s="63"/>
      <c r="AD1474" s="81"/>
      <c r="AE1474" s="15"/>
      <c r="AF1474" s="11"/>
      <c r="AG1474" s="15"/>
      <c r="AH1474" s="15"/>
    </row>
    <row r="1475" spans="2:35" x14ac:dyDescent="0.2">
      <c r="B1475" s="9">
        <f>G1436</f>
        <v>30</v>
      </c>
      <c r="C1475" s="9" t="str">
        <f t="shared" si="4220"/>
        <v>30 - Memo:</v>
      </c>
      <c r="D1475" s="9" t="s">
        <v>56</v>
      </c>
      <c r="F1475" s="6" t="s">
        <v>13</v>
      </c>
      <c r="G1475" s="80"/>
      <c r="H1475" s="63"/>
      <c r="I1475" s="63"/>
      <c r="J1475" s="63"/>
      <c r="K1475" s="63"/>
      <c r="L1475" s="63"/>
      <c r="M1475" s="63"/>
      <c r="N1475" s="63"/>
      <c r="O1475" s="63"/>
      <c r="P1475" s="63"/>
      <c r="Q1475" s="63"/>
      <c r="R1475" s="63"/>
      <c r="S1475" s="80"/>
      <c r="T1475" s="63"/>
      <c r="U1475" s="63"/>
      <c r="V1475" s="63"/>
      <c r="W1475" s="63"/>
      <c r="X1475" s="63"/>
      <c r="Y1475" s="63"/>
      <c r="Z1475" s="63"/>
      <c r="AA1475" s="63"/>
      <c r="AB1475" s="63"/>
      <c r="AC1475" s="63"/>
      <c r="AD1475" s="81"/>
      <c r="AE1475" s="15"/>
      <c r="AF1475" s="11"/>
      <c r="AG1475" s="15"/>
      <c r="AH1475" s="15"/>
    </row>
    <row r="1476" spans="2:35" s="24" customFormat="1" x14ac:dyDescent="0.2">
      <c r="B1476" s="9">
        <f>G1436</f>
        <v>30</v>
      </c>
      <c r="C1476" s="9" t="str">
        <f t="shared" si="4220"/>
        <v>30 - Collections</v>
      </c>
      <c r="D1476" s="9" t="s">
        <v>56</v>
      </c>
      <c r="E1476" s="49"/>
      <c r="F1476" s="24" t="s">
        <v>15</v>
      </c>
      <c r="G1476" s="247">
        <f>_xlfn.XLOOKUP($C1476,'Site Level Financials - ''23 ''24'!$C$2:$C$1577,'Site Level Financials - ''23 ''24'!S$2:S$1577)</f>
        <v>531.07146151815039</v>
      </c>
      <c r="H1476" s="248">
        <f>_xlfn.XLOOKUP($C1476,'Site Level Financials - ''23 ''24'!$C$2:$C$1577,'Site Level Financials - ''23 ''24'!T$2:T$1577)</f>
        <v>547.94253853159285</v>
      </c>
      <c r="I1476" s="248">
        <f>_xlfn.XLOOKUP($C1476,'Site Level Financials - ''23 ''24'!$C$2:$C$1577,'Site Level Financials - ''23 ''24'!U$2:U$1577)</f>
        <v>609.81987925404178</v>
      </c>
      <c r="J1476" s="248">
        <f>_xlfn.XLOOKUP($C1476,'Site Level Financials - ''23 ''24'!$C$2:$C$1577,'Site Level Financials - ''23 ''24'!V$2:V$1577)</f>
        <v>538.9904826402252</v>
      </c>
      <c r="K1476" s="248">
        <f>_xlfn.XLOOKUP($C1476,'Site Level Financials - ''23 ''24'!$C$2:$C$1577,'Site Level Financials - ''23 ''24'!W$2:W$1577)</f>
        <v>525.86695808440652</v>
      </c>
      <c r="L1476" s="248">
        <f>_xlfn.XLOOKUP($C1476,'Site Level Financials - ''23 ''24'!$C$2:$C$1577,'Site Level Financials - ''23 ''24'!X$2:X$1577)</f>
        <v>536.93818961062175</v>
      </c>
      <c r="M1476" s="248">
        <f>_xlfn.XLOOKUP($C1476,'Site Level Financials - ''23 ''24'!$C$2:$C$1577,'Site Level Financials - ''23 ''24'!Y$2:Y$1577)</f>
        <v>621.9880449184617</v>
      </c>
      <c r="N1476" s="248">
        <f>_xlfn.XLOOKUP($C1476,'Site Level Financials - ''23 ''24'!$C$2:$C$1577,'Site Level Financials - ''23 ''24'!Z$2:Z$1577)</f>
        <v>602.29228947749004</v>
      </c>
      <c r="O1476" s="248">
        <f>_xlfn.XLOOKUP($C1476,'Site Level Financials - ''23 ''24'!$C$2:$C$1577,'Site Level Financials - ''23 ''24'!AA$2:AA$1577)</f>
        <v>511.36804996181888</v>
      </c>
      <c r="P1476" s="248">
        <f>_xlfn.XLOOKUP($C1476,'Site Level Financials - ''23 ''24'!$C$2:$C$1577,'Site Level Financials - ''23 ''24'!AB$2:AB$1577)</f>
        <v>531.5237108578699</v>
      </c>
      <c r="Q1476" s="248">
        <f>_xlfn.XLOOKUP($C1476,'Site Level Financials - ''23 ''24'!$C$2:$C$1577,'Site Level Financials - ''23 ''24'!AC$2:AC$1577)</f>
        <v>484.42017131188601</v>
      </c>
      <c r="R1476" s="248">
        <f>_xlfn.XLOOKUP($C1476,'Site Level Financials - ''23 ''24'!$C$2:$C$1577,'Site Level Financials - ''23 ''24'!AD$2:AD$1577)</f>
        <v>289.6375121495081</v>
      </c>
      <c r="S1476" s="169">
        <f t="shared" ref="S1476:AD1476" si="4330">S1477*S1446</f>
        <v>435.56774637666683</v>
      </c>
      <c r="T1476" s="170">
        <f t="shared" si="4330"/>
        <v>451.02117258198166</v>
      </c>
      <c r="U1476" s="170">
        <f t="shared" si="4330"/>
        <v>484.30167951186422</v>
      </c>
      <c r="V1476" s="170">
        <f t="shared" si="4330"/>
        <v>518.76533393505588</v>
      </c>
      <c r="W1476" s="170">
        <f t="shared" si="4330"/>
        <v>616.55866186263518</v>
      </c>
      <c r="X1476" s="170">
        <f t="shared" si="4330"/>
        <v>517.75436317639162</v>
      </c>
      <c r="Y1476" s="170">
        <f t="shared" si="4330"/>
        <v>521.60498128523147</v>
      </c>
      <c r="Z1476" s="170">
        <f t="shared" si="4330"/>
        <v>447.27148887899421</v>
      </c>
      <c r="AA1476" s="170">
        <f t="shared" si="4330"/>
        <v>410.07506661555084</v>
      </c>
      <c r="AB1476" s="170">
        <f t="shared" si="4330"/>
        <v>470.96823732655105</v>
      </c>
      <c r="AC1476" s="170">
        <f t="shared" si="4330"/>
        <v>372.2857729842425</v>
      </c>
      <c r="AD1476" s="171">
        <f t="shared" si="4330"/>
        <v>303.86432109456621</v>
      </c>
      <c r="AE1476" s="26"/>
      <c r="AF1476" s="234">
        <f>_xlfn.XLOOKUP($C1476,'Site Level Financials - ''23 ''24'!$C$2:$C$1577,'Site Level Financials - ''23 ''24'!$AF$2:$AF$1577)</f>
        <v>4005.6264068812957</v>
      </c>
      <c r="AG1476" s="99">
        <f>SUM(G1476:R1476)</f>
        <v>6331.8592883160727</v>
      </c>
      <c r="AH1476" s="99">
        <f t="shared" ref="AH1476" si="4331">SUM(S1476:AD1476)</f>
        <v>5550.0388256297319</v>
      </c>
    </row>
    <row r="1477" spans="2:35" x14ac:dyDescent="0.2">
      <c r="B1477" s="9">
        <f>G1436</f>
        <v>30</v>
      </c>
      <c r="C1477" s="9" t="str">
        <f t="shared" si="4220"/>
        <v>30 - Collections as a % of Production</v>
      </c>
      <c r="D1477" s="9" t="s">
        <v>56</v>
      </c>
      <c r="F1477" s="16" t="s">
        <v>17</v>
      </c>
      <c r="G1477" s="245">
        <f>_xlfn.XLOOKUP($C1477,'Site Level Financials - ''23 ''24'!$C$2:$C$1577,'Site Level Financials - ''23 ''24'!S$2:S$1577)</f>
        <v>0.98214937131693814</v>
      </c>
      <c r="H1477" s="246">
        <f>_xlfn.XLOOKUP($C1477,'Site Level Financials - ''23 ''24'!$C$2:$C$1577,'Site Level Financials - ''23 ''24'!T$2:T$1577)</f>
        <v>0.97820712143627664</v>
      </c>
      <c r="I1477" s="246">
        <f>_xlfn.XLOOKUP($C1477,'Site Level Financials - ''23 ''24'!$C$2:$C$1577,'Site Level Financials - ''23 ''24'!U$2:U$1577)</f>
        <v>0.96831353477731885</v>
      </c>
      <c r="J1477" s="246">
        <f>_xlfn.XLOOKUP($C1477,'Site Level Financials - ''23 ''24'!$C$2:$C$1577,'Site Level Financials - ''23 ''24'!V$2:V$1577)</f>
        <v>0.96140620437748214</v>
      </c>
      <c r="K1477" s="246">
        <f>_xlfn.XLOOKUP($C1477,'Site Level Financials - ''23 ''24'!$C$2:$C$1577,'Site Level Financials - ''23 ''24'!W$2:W$1577)</f>
        <v>0.99387448848440307</v>
      </c>
      <c r="L1477" s="246">
        <f>_xlfn.XLOOKUP($C1477,'Site Level Financials - ''23 ''24'!$C$2:$C$1577,'Site Level Financials - ''23 ''24'!X$2:X$1577)</f>
        <v>0.97275061512059036</v>
      </c>
      <c r="M1477" s="246">
        <f>_xlfn.XLOOKUP($C1477,'Site Level Financials - ''23 ''24'!$C$2:$C$1577,'Site Level Financials - ''23 ''24'!Y$2:Y$1577)</f>
        <v>0.97522719257469948</v>
      </c>
      <c r="N1477" s="246">
        <f>_xlfn.XLOOKUP($C1477,'Site Level Financials - ''23 ''24'!$C$2:$C$1577,'Site Level Financials - ''23 ''24'!Z$2:Z$1577)</f>
        <v>0.99056297848886099</v>
      </c>
      <c r="O1477" s="246">
        <f>_xlfn.XLOOKUP($C1477,'Site Level Financials - ''23 ''24'!$C$2:$C$1577,'Site Level Financials - ''23 ''24'!AA$2:AA$1577)</f>
        <v>0.97304722187813575</v>
      </c>
      <c r="P1477" s="246">
        <f>_xlfn.XLOOKUP($C1477,'Site Level Financials - ''23 ''24'!$C$2:$C$1577,'Site Level Financials - ''23 ''24'!AB$2:AB$1577)</f>
        <v>0.99043093571208696</v>
      </c>
      <c r="Q1477" s="246">
        <f>_xlfn.XLOOKUP($C1477,'Site Level Financials - ''23 ''24'!$C$2:$C$1577,'Site Level Financials - ''23 ''24'!AC$2:AC$1577)</f>
        <v>0.96352507194178783</v>
      </c>
      <c r="R1477" s="246">
        <f>_xlfn.XLOOKUP($C1477,'Site Level Financials - ''23 ''24'!$C$2:$C$1577,'Site Level Financials - ''23 ''24'!AD$2:AD$1577)</f>
        <v>0.96037782735743593</v>
      </c>
      <c r="S1477" s="148">
        <f>S1447</f>
        <v>0.97642780346741676</v>
      </c>
      <c r="T1477" s="149">
        <f t="shared" ref="T1477:AD1477" si="4332">T1447</f>
        <v>0.97642780346741676</v>
      </c>
      <c r="U1477" s="149">
        <f t="shared" si="4332"/>
        <v>0.97642780346741676</v>
      </c>
      <c r="V1477" s="149">
        <f t="shared" si="4332"/>
        <v>0.97642780346741676</v>
      </c>
      <c r="W1477" s="149">
        <f t="shared" si="4332"/>
        <v>0.97642780346741676</v>
      </c>
      <c r="X1477" s="149">
        <f t="shared" si="4332"/>
        <v>0.97642780346741676</v>
      </c>
      <c r="Y1477" s="149">
        <f t="shared" si="4332"/>
        <v>0.97642780346741676</v>
      </c>
      <c r="Z1477" s="149">
        <f t="shared" si="4332"/>
        <v>0.97642780346741676</v>
      </c>
      <c r="AA1477" s="149">
        <f t="shared" si="4332"/>
        <v>0.97642780346741676</v>
      </c>
      <c r="AB1477" s="149">
        <f t="shared" si="4332"/>
        <v>0.97642780346741676</v>
      </c>
      <c r="AC1477" s="149">
        <f t="shared" si="4332"/>
        <v>0.97642780346741676</v>
      </c>
      <c r="AD1477" s="150">
        <f t="shared" si="4332"/>
        <v>0.97642780346741676</v>
      </c>
      <c r="AE1477" s="15"/>
      <c r="AF1477" s="232">
        <f>_xlfn.XLOOKUP($C1477,'Site Level Financials - ''23 ''24'!$C$2:$C$1577,'Site Level Financials - ''23 ''24'!$AF$2:$AF$1577)</f>
        <v>0.97486209290712744</v>
      </c>
      <c r="AG1477" s="97">
        <f t="shared" ref="AG1477:AH1477" si="4333">AG1476/AG1446</f>
        <v>0.97642780346741676</v>
      </c>
      <c r="AH1477" s="97">
        <f t="shared" si="4333"/>
        <v>0.97642780346741664</v>
      </c>
    </row>
    <row r="1478" spans="2:35" ht="6" customHeight="1" x14ac:dyDescent="0.2">
      <c r="B1478" s="9">
        <f>G1436</f>
        <v>30</v>
      </c>
      <c r="C1478" s="9" t="str">
        <f t="shared" si="4220"/>
        <v xml:space="preserve">30 - </v>
      </c>
      <c r="D1478" s="9" t="s">
        <v>56</v>
      </c>
      <c r="F1478" s="27"/>
      <c r="G1478" s="63"/>
      <c r="H1478" s="63"/>
      <c r="I1478" s="63"/>
      <c r="J1478" s="63"/>
      <c r="K1478" s="63"/>
      <c r="L1478" s="63"/>
      <c r="M1478" s="63"/>
      <c r="N1478" s="63"/>
      <c r="O1478" s="63"/>
      <c r="P1478" s="63"/>
      <c r="Q1478" s="63"/>
      <c r="R1478" s="81"/>
      <c r="S1478" s="63"/>
      <c r="T1478" s="63"/>
      <c r="U1478" s="63"/>
      <c r="V1478" s="63"/>
      <c r="W1478" s="63"/>
      <c r="X1478" s="63"/>
      <c r="Y1478" s="63"/>
      <c r="Z1478" s="63"/>
      <c r="AA1478" s="63"/>
      <c r="AB1478" s="63"/>
      <c r="AC1478" s="63"/>
      <c r="AD1478" s="81"/>
      <c r="AE1478" s="15"/>
      <c r="AF1478" s="11"/>
      <c r="AH1478" s="224"/>
    </row>
    <row r="1479" spans="2:35" s="24" customFormat="1" x14ac:dyDescent="0.2">
      <c r="B1479" s="9">
        <f>G1436</f>
        <v>30</v>
      </c>
      <c r="C1479" s="9" t="str">
        <f t="shared" si="4220"/>
        <v>30 - Production per Vet Workday - YoY Change</v>
      </c>
      <c r="D1479" s="9" t="s">
        <v>56</v>
      </c>
      <c r="E1479" s="49"/>
      <c r="F1479" s="24" t="s">
        <v>55</v>
      </c>
      <c r="G1479" s="249">
        <f>_xlfn.XLOOKUP($C1479,'Site Level Financials - ''23 ''24'!$C$2:$C$1577,'Site Level Financials - ''23 ''24'!S$2:S$1577)</f>
        <v>3.7224572895708352E-2</v>
      </c>
      <c r="H1479" s="250">
        <f>_xlfn.XLOOKUP($C1479,'Site Level Financials - ''23 ''24'!$C$2:$C$1577,'Site Level Financials - ''23 ''24'!T$2:T$1577)</f>
        <v>4.0542409659486411E-2</v>
      </c>
      <c r="I1479" s="250">
        <f>_xlfn.XLOOKUP($C1479,'Site Level Financials - ''23 ''24'!$C$2:$C$1577,'Site Level Financials - ''23 ''24'!U$2:U$1577)</f>
        <v>-0.13725978916565118</v>
      </c>
      <c r="J1479" s="250">
        <f>_xlfn.XLOOKUP($C1479,'Site Level Financials - ''23 ''24'!$C$2:$C$1577,'Site Level Financials - ''23 ''24'!V$2:V$1577)</f>
        <v>-8.4205401713443595E-2</v>
      </c>
      <c r="K1479" s="250">
        <f>_xlfn.XLOOKUP($C1479,'Site Level Financials - ''23 ''24'!$C$2:$C$1577,'Site Level Financials - ''23 ''24'!W$2:W$1577)</f>
        <v>-2.6291288308650573E-2</v>
      </c>
      <c r="L1479" s="250">
        <f>_xlfn.XLOOKUP($C1479,'Site Level Financials - ''23 ''24'!$C$2:$C$1577,'Site Level Financials - ''23 ''24'!X$2:X$1577)</f>
        <v>-0.10270185728775094</v>
      </c>
      <c r="M1479" s="250">
        <f>_xlfn.XLOOKUP($C1479,'Site Level Financials - ''23 ''24'!$C$2:$C$1577,'Site Level Financials - ''23 ''24'!Y$2:Y$1577)</f>
        <v>1.640157093201644E-2</v>
      </c>
      <c r="N1479" s="250">
        <f>_xlfn.XLOOKUP($C1479,'Site Level Financials - ''23 ''24'!$C$2:$C$1577,'Site Level Financials - ''23 ''24'!Z$2:Z$1577)</f>
        <v>-5.1416673824922765E-2</v>
      </c>
      <c r="O1479" s="250">
        <f>_xlfn.XLOOKUP($C1479,'Site Level Financials - ''23 ''24'!$C$2:$C$1577,'Site Level Financials - ''23 ''24'!AA$2:AA$1577)</f>
        <v>-0.1048572465061588</v>
      </c>
      <c r="P1479" s="250">
        <f>_xlfn.XLOOKUP($C1479,'Site Level Financials - ''23 ''24'!$C$2:$C$1577,'Site Level Financials - ''23 ''24'!AB$2:AB$1577)</f>
        <v>-4.0826805462502613E-2</v>
      </c>
      <c r="Q1479" s="250">
        <f>_xlfn.XLOOKUP($C1479,'Site Level Financials - ''23 ''24'!$C$2:$C$1577,'Site Level Financials - ''23 ''24'!AC$2:AC$1577)</f>
        <v>-3.7393543265527351E-2</v>
      </c>
      <c r="R1479" s="251">
        <f>_xlfn.XLOOKUP($C1479,'Site Level Financials - ''23 ''24'!$C$2:$C$1577,'Site Level Financials - ''23 ''24'!AD$2:AD$1577)</f>
        <v>-9.3751173369679752E-2</v>
      </c>
      <c r="S1479" s="151">
        <f>S1445/G1445-1</f>
        <v>-0.1750262032456753</v>
      </c>
      <c r="T1479" s="152">
        <f t="shared" ref="T1479" si="4334">T1445/H1445-1</f>
        <v>-0.17538240875912359</v>
      </c>
      <c r="U1479" s="152">
        <f t="shared" ref="U1479" si="4335">U1445/I1445-1</f>
        <v>-1.5535011468115423E-2</v>
      </c>
      <c r="V1479" s="152">
        <f t="shared" ref="V1479" si="4336">V1445/J1445-1</f>
        <v>-5.2331088777509249E-2</v>
      </c>
      <c r="W1479" s="152">
        <f t="shared" ref="W1479" si="4337">W1445/K1445-1</f>
        <v>-0.10494197884980627</v>
      </c>
      <c r="X1479" s="152">
        <f t="shared" ref="X1479" si="4338">X1445/L1445-1</f>
        <v>-3.9359593379083901E-2</v>
      </c>
      <c r="Y1479" s="152">
        <f t="shared" ref="Y1479" si="4339">Y1445/M1445-1</f>
        <v>-0.16242181407577538</v>
      </c>
      <c r="Z1479" s="152">
        <f t="shared" ref="Z1479" si="4340">Z1445/N1445-1</f>
        <v>-5.8292823686244111E-2</v>
      </c>
      <c r="AA1479" s="152">
        <f t="shared" ref="AA1479" si="4341">AA1445/O1445-1</f>
        <v>-1.0734255248063818E-3</v>
      </c>
      <c r="AB1479" s="152">
        <f t="shared" ref="AB1479" si="4342">AB1445/P1445-1</f>
        <v>-0.10122075381033824</v>
      </c>
      <c r="AC1479" s="152">
        <f t="shared" ref="AC1479" si="4343">AC1445/Q1445-1</f>
        <v>-5.2046320680747327E-2</v>
      </c>
      <c r="AD1479" s="153">
        <f t="shared" ref="AD1479" si="4344">AD1445/R1445-1</f>
        <v>3.1874519628317666E-2</v>
      </c>
      <c r="AF1479" s="43"/>
      <c r="AG1479" s="177">
        <f>AG1445/AF1445-1</f>
        <v>-6.0069836212228611E-2</v>
      </c>
      <c r="AH1479" s="225">
        <f>AH1445/AG1445-1</f>
        <v>-7.133870299757783E-2</v>
      </c>
    </row>
    <row r="1480" spans="2:35" s="24" customFormat="1" ht="6" customHeight="1" x14ac:dyDescent="0.2">
      <c r="D1480" s="9" t="s">
        <v>56</v>
      </c>
      <c r="E1480" s="49"/>
      <c r="G1480" s="28"/>
      <c r="H1480" s="30"/>
      <c r="I1480" s="30"/>
      <c r="J1480" s="30"/>
      <c r="K1480" s="30"/>
      <c r="L1480" s="30"/>
      <c r="M1480" s="30"/>
      <c r="N1480" s="30"/>
      <c r="O1480" s="30"/>
      <c r="P1480" s="30"/>
      <c r="Q1480" s="30"/>
      <c r="R1480" s="29"/>
      <c r="S1480" s="30"/>
      <c r="T1480" s="30"/>
      <c r="U1480" s="30"/>
      <c r="V1480" s="30"/>
      <c r="W1480" s="30"/>
      <c r="X1480" s="30"/>
      <c r="Y1480" s="30"/>
      <c r="Z1480" s="30"/>
      <c r="AA1480" s="30"/>
      <c r="AB1480" s="30"/>
      <c r="AC1480" s="30"/>
      <c r="AD1480" s="29"/>
      <c r="AE1480" s="25"/>
      <c r="AF1480" s="28"/>
      <c r="AG1480" s="30"/>
      <c r="AH1480" s="226"/>
    </row>
    <row r="1481" spans="2:35" s="24" customFormat="1" ht="6" customHeight="1" x14ac:dyDescent="0.2">
      <c r="D1481" s="9" t="s">
        <v>56</v>
      </c>
      <c r="E1481" s="49"/>
    </row>
    <row r="1482" spans="2:35" x14ac:dyDescent="0.2">
      <c r="D1482" s="9" t="s">
        <v>56</v>
      </c>
      <c r="F1482" s="16"/>
    </row>
    <row r="1483" spans="2:35" ht="15.75" thickBot="1" x14ac:dyDescent="0.4">
      <c r="B1483" s="35" t="s">
        <v>52</v>
      </c>
      <c r="C1483" s="35"/>
      <c r="D1483" s="9" t="s">
        <v>56</v>
      </c>
      <c r="E1483" s="48" t="s">
        <v>0</v>
      </c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74"/>
      <c r="AH1483" s="3">
        <f ca="1">TODAY()</f>
        <v>45999</v>
      </c>
      <c r="AI1483" s="1"/>
    </row>
    <row r="1484" spans="2:35" x14ac:dyDescent="0.2">
      <c r="B1484" s="9">
        <f>G1485</f>
        <v>31</v>
      </c>
      <c r="C1484" s="9"/>
      <c r="D1484" s="9" t="s">
        <v>56</v>
      </c>
      <c r="F1484" t="s">
        <v>159</v>
      </c>
      <c r="AG1484" s="6"/>
      <c r="AH1484" s="6" t="s">
        <v>16</v>
      </c>
    </row>
    <row r="1485" spans="2:35" x14ac:dyDescent="0.2">
      <c r="B1485" s="9">
        <f>G1485</f>
        <v>31</v>
      </c>
      <c r="C1485" s="9"/>
      <c r="D1485" s="9" t="s">
        <v>56</v>
      </c>
      <c r="F1485" s="40" t="s">
        <v>53</v>
      </c>
      <c r="G1485" s="42">
        <v>31</v>
      </c>
    </row>
    <row r="1486" spans="2:35" x14ac:dyDescent="0.2">
      <c r="B1486" s="9">
        <f>G1485</f>
        <v>31</v>
      </c>
      <c r="C1486" s="9"/>
      <c r="D1486" s="9" t="s">
        <v>56</v>
      </c>
      <c r="F1486" s="39" t="s">
        <v>48</v>
      </c>
      <c r="G1486" s="41"/>
      <c r="H1486" s="11"/>
    </row>
    <row r="1487" spans="2:35" x14ac:dyDescent="0.2">
      <c r="B1487" s="9">
        <f>G1485</f>
        <v>31</v>
      </c>
      <c r="C1487" s="9"/>
      <c r="D1487" s="9" t="s">
        <v>56</v>
      </c>
      <c r="G1487" s="23"/>
    </row>
    <row r="1488" spans="2:35" x14ac:dyDescent="0.2">
      <c r="B1488" s="9">
        <f>G1485</f>
        <v>31</v>
      </c>
      <c r="C1488" s="9"/>
      <c r="D1488" s="9" t="s">
        <v>56</v>
      </c>
      <c r="G1488" s="208" t="s">
        <v>229</v>
      </c>
      <c r="H1488" s="209"/>
      <c r="I1488" s="209"/>
      <c r="J1488" s="209"/>
      <c r="K1488" s="209"/>
      <c r="L1488" s="209"/>
      <c r="M1488" s="209"/>
      <c r="N1488" s="209"/>
      <c r="O1488" s="209"/>
      <c r="P1488" s="209"/>
      <c r="Q1488" s="209"/>
      <c r="R1488" s="210"/>
      <c r="S1488" s="266" t="s">
        <v>230</v>
      </c>
      <c r="T1488" s="267"/>
      <c r="U1488" s="267"/>
      <c r="V1488" s="267"/>
      <c r="W1488" s="267"/>
      <c r="X1488" s="267"/>
      <c r="Y1488" s="267"/>
      <c r="Z1488" s="267"/>
      <c r="AA1488" s="267"/>
      <c r="AB1488" s="267"/>
      <c r="AC1488" s="267"/>
      <c r="AD1488" s="268"/>
      <c r="AF1488" s="17" t="s">
        <v>231</v>
      </c>
      <c r="AG1488" s="50"/>
      <c r="AH1488" s="269" t="s">
        <v>232</v>
      </c>
    </row>
    <row r="1489" spans="2:34" ht="15" customHeight="1" x14ac:dyDescent="0.35">
      <c r="B1489" s="9">
        <f>G1485</f>
        <v>31</v>
      </c>
      <c r="C1489" s="9"/>
      <c r="D1489" s="9" t="s">
        <v>56</v>
      </c>
      <c r="G1489" s="211">
        <v>44957</v>
      </c>
      <c r="H1489" s="212">
        <f>EOMONTH(G1489,1)</f>
        <v>44985</v>
      </c>
      <c r="I1489" s="212">
        <f t="shared" ref="I1489" si="4345">EOMONTH(H1489,1)</f>
        <v>45016</v>
      </c>
      <c r="J1489" s="212">
        <f t="shared" ref="J1489" si="4346">EOMONTH(I1489,1)</f>
        <v>45046</v>
      </c>
      <c r="K1489" s="212">
        <f t="shared" ref="K1489" si="4347">EOMONTH(J1489,1)</f>
        <v>45077</v>
      </c>
      <c r="L1489" s="212">
        <f t="shared" ref="L1489" si="4348">EOMONTH(K1489,1)</f>
        <v>45107</v>
      </c>
      <c r="M1489" s="212">
        <f t="shared" ref="M1489" si="4349">EOMONTH(L1489,1)</f>
        <v>45138</v>
      </c>
      <c r="N1489" s="212">
        <f t="shared" ref="N1489" si="4350">EOMONTH(M1489,1)</f>
        <v>45169</v>
      </c>
      <c r="O1489" s="212">
        <f t="shared" ref="O1489" si="4351">EOMONTH(N1489,1)</f>
        <v>45199</v>
      </c>
      <c r="P1489" s="212">
        <f t="shared" ref="P1489" si="4352">EOMONTH(O1489,1)</f>
        <v>45230</v>
      </c>
      <c r="Q1489" s="212">
        <f t="shared" ref="Q1489" si="4353">EOMONTH(P1489,1)</f>
        <v>45260</v>
      </c>
      <c r="R1489" s="213">
        <f t="shared" ref="R1489" si="4354">EOMONTH(Q1489,1)</f>
        <v>45291</v>
      </c>
      <c r="S1489" s="4">
        <f t="shared" ref="S1489" si="4355">EOMONTH(R1489,1)</f>
        <v>45322</v>
      </c>
      <c r="T1489" s="19">
        <f t="shared" ref="T1489" si="4356">EOMONTH(S1489,1)</f>
        <v>45351</v>
      </c>
      <c r="U1489" s="19">
        <f t="shared" ref="U1489" si="4357">EOMONTH(T1489,1)</f>
        <v>45382</v>
      </c>
      <c r="V1489" s="19">
        <f t="shared" ref="V1489" si="4358">EOMONTH(U1489,1)</f>
        <v>45412</v>
      </c>
      <c r="W1489" s="19">
        <f t="shared" ref="W1489" si="4359">EOMONTH(V1489,1)</f>
        <v>45443</v>
      </c>
      <c r="X1489" s="19">
        <f t="shared" ref="X1489" si="4360">EOMONTH(W1489,1)</f>
        <v>45473</v>
      </c>
      <c r="Y1489" s="19">
        <f t="shared" ref="Y1489" si="4361">EOMONTH(X1489,1)</f>
        <v>45504</v>
      </c>
      <c r="Z1489" s="19">
        <f t="shared" ref="Z1489" si="4362">EOMONTH(Y1489,1)</f>
        <v>45535</v>
      </c>
      <c r="AA1489" s="19">
        <f t="shared" ref="AA1489" si="4363">EOMONTH(Z1489,1)</f>
        <v>45565</v>
      </c>
      <c r="AB1489" s="19">
        <f t="shared" ref="AB1489" si="4364">EOMONTH(AA1489,1)</f>
        <v>45596</v>
      </c>
      <c r="AC1489" s="19">
        <f t="shared" ref="AC1489" si="4365">EOMONTH(AB1489,1)</f>
        <v>45626</v>
      </c>
      <c r="AD1489" s="5">
        <f t="shared" ref="AD1489" si="4366">EOMONTH(AC1489,1)</f>
        <v>45657</v>
      </c>
      <c r="AE1489" s="168"/>
      <c r="AF1489" s="13">
        <v>45291</v>
      </c>
      <c r="AG1489" s="14">
        <v>45657</v>
      </c>
      <c r="AH1489" s="14">
        <v>46022</v>
      </c>
    </row>
    <row r="1490" spans="2:34" ht="0.95" customHeight="1" x14ac:dyDescent="0.2">
      <c r="B1490" s="9">
        <f>G1485</f>
        <v>31</v>
      </c>
      <c r="C1490" s="9"/>
      <c r="D1490" s="9" t="s">
        <v>56</v>
      </c>
      <c r="G1490" s="11"/>
      <c r="S1490" s="11"/>
      <c r="AD1490" s="15"/>
      <c r="AE1490" s="15"/>
      <c r="AF1490" s="11"/>
      <c r="AG1490" s="15"/>
      <c r="AH1490" s="15"/>
    </row>
    <row r="1491" spans="2:34" x14ac:dyDescent="0.2">
      <c r="B1491" s="9">
        <f>G1485</f>
        <v>31</v>
      </c>
      <c r="C1491" s="9" t="str">
        <f>B1491&amp;" - "&amp;F1491</f>
        <v>31 - Employed Vets</v>
      </c>
      <c r="D1491" s="9" t="s">
        <v>56</v>
      </c>
      <c r="F1491" s="7" t="s">
        <v>160</v>
      </c>
      <c r="G1491" s="178">
        <f>_xlfn.XLOOKUP($C1491,'Site Level Financials - ''23 ''24'!$C$2:$C$1577,'Site Level Financials - ''23 ''24'!S$2:S$1577)</f>
        <v>4</v>
      </c>
      <c r="H1491" s="179">
        <f>_xlfn.XLOOKUP($C1491,'Site Level Financials - ''23 ''24'!$C$2:$C$1577,'Site Level Financials - ''23 ''24'!T$2:T$1577)</f>
        <v>3</v>
      </c>
      <c r="I1491" s="179">
        <f>_xlfn.XLOOKUP($C1491,'Site Level Financials - ''23 ''24'!$C$2:$C$1577,'Site Level Financials - ''23 ''24'!U$2:U$1577)</f>
        <v>3</v>
      </c>
      <c r="J1491" s="179">
        <f>_xlfn.XLOOKUP($C1491,'Site Level Financials - ''23 ''24'!$C$2:$C$1577,'Site Level Financials - ''23 ''24'!V$2:V$1577)</f>
        <v>3</v>
      </c>
      <c r="K1491" s="179">
        <f>_xlfn.XLOOKUP($C1491,'Site Level Financials - ''23 ''24'!$C$2:$C$1577,'Site Level Financials - ''23 ''24'!W$2:W$1577)</f>
        <v>2</v>
      </c>
      <c r="L1491" s="179">
        <f>_xlfn.XLOOKUP($C1491,'Site Level Financials - ''23 ''24'!$C$2:$C$1577,'Site Level Financials - ''23 ''24'!X$2:X$1577)</f>
        <v>2</v>
      </c>
      <c r="M1491" s="179">
        <f>_xlfn.XLOOKUP($C1491,'Site Level Financials - ''23 ''24'!$C$2:$C$1577,'Site Level Financials - ''23 ''24'!Y$2:Y$1577)</f>
        <v>2</v>
      </c>
      <c r="N1491" s="179">
        <f>_xlfn.XLOOKUP($C1491,'Site Level Financials - ''23 ''24'!$C$2:$C$1577,'Site Level Financials - ''23 ''24'!Z$2:Z$1577)</f>
        <v>3</v>
      </c>
      <c r="O1491" s="179">
        <f>_xlfn.XLOOKUP($C1491,'Site Level Financials - ''23 ''24'!$C$2:$C$1577,'Site Level Financials - ''23 ''24'!AA$2:AA$1577)</f>
        <v>3</v>
      </c>
      <c r="P1491" s="179">
        <f>_xlfn.XLOOKUP($C1491,'Site Level Financials - ''23 ''24'!$C$2:$C$1577,'Site Level Financials - ''23 ''24'!AB$2:AB$1577)</f>
        <v>3</v>
      </c>
      <c r="Q1491" s="179">
        <f>_xlfn.XLOOKUP($C1491,'Site Level Financials - ''23 ''24'!$C$2:$C$1577,'Site Level Financials - ''23 ''24'!AC$2:AC$1577)</f>
        <v>4</v>
      </c>
      <c r="R1491" s="179">
        <f>_xlfn.XLOOKUP($C1491,'Site Level Financials - ''23 ''24'!$C$2:$C$1577,'Site Level Financials - ''23 ''24'!AD$2:AD$1577)</f>
        <v>3</v>
      </c>
      <c r="S1491" s="178">
        <f>R1491+_xlfn.XLOOKUP($R1491,'Budget Assumption Driver'!$A$7:$A$11,'Budget Assumption Driver'!E$7:E$11)</f>
        <v>3</v>
      </c>
      <c r="T1491" s="179">
        <f>S1491+_xlfn.XLOOKUP($R1491,'Budget Assumption Driver'!$A$7:$A$11,'Budget Assumption Driver'!F$7:F$11)</f>
        <v>3</v>
      </c>
      <c r="U1491" s="179">
        <f>T1491+_xlfn.XLOOKUP($R1491,'Budget Assumption Driver'!$A$7:$A$11,'Budget Assumption Driver'!G$7:G$11)</f>
        <v>3</v>
      </c>
      <c r="V1491" s="179">
        <f>U1491+_xlfn.XLOOKUP($R1491,'Budget Assumption Driver'!$A$7:$A$11,'Budget Assumption Driver'!H$7:H$11)</f>
        <v>3</v>
      </c>
      <c r="W1491" s="179">
        <f>V1491+_xlfn.XLOOKUP($R1491,'Budget Assumption Driver'!$A$7:$A$11,'Budget Assumption Driver'!I$7:I$11)</f>
        <v>3</v>
      </c>
      <c r="X1491" s="179">
        <f>W1491+_xlfn.XLOOKUP($R1491,'Budget Assumption Driver'!$A$7:$A$11,'Budget Assumption Driver'!J$7:J$11)</f>
        <v>3</v>
      </c>
      <c r="Y1491" s="179">
        <f>X1491+_xlfn.XLOOKUP($R1491,'Budget Assumption Driver'!$A$7:$A$11,'Budget Assumption Driver'!K$7:K$11)</f>
        <v>4</v>
      </c>
      <c r="Z1491" s="179">
        <f>Y1491+_xlfn.XLOOKUP($R1491,'Budget Assumption Driver'!$A$7:$A$11,'Budget Assumption Driver'!L$7:L$11)</f>
        <v>4</v>
      </c>
      <c r="AA1491" s="179">
        <f>Z1491+_xlfn.XLOOKUP($R1491,'Budget Assumption Driver'!$A$7:$A$11,'Budget Assumption Driver'!M$7:M$11)</f>
        <v>4</v>
      </c>
      <c r="AB1491" s="179">
        <f>AA1491+_xlfn.XLOOKUP($R1491,'Budget Assumption Driver'!$A$7:$A$11,'Budget Assumption Driver'!N$7:N$11)</f>
        <v>4</v>
      </c>
      <c r="AC1491" s="179">
        <f>AB1491+_xlfn.XLOOKUP($R1491,'Budget Assumption Driver'!$A$7:$A$11,'Budget Assumption Driver'!O$7:O$11)</f>
        <v>4</v>
      </c>
      <c r="AD1491" s="290">
        <f>AC1491+_xlfn.XLOOKUP($R1491,'Budget Assumption Driver'!$A$7:$A$11,'Budget Assumption Driver'!P$7:P$11)</f>
        <v>4</v>
      </c>
      <c r="AE1491" s="15"/>
      <c r="AF1491" s="229">
        <f>_xlfn.XLOOKUP($C1491,'Site Level Financials - ''23 ''24'!$C$2:$C$1577,'Site Level Financials - ''23 ''24'!$AF$2:$AF$1577)</f>
        <v>3.25</v>
      </c>
      <c r="AG1491" s="91">
        <f t="shared" ref="AG1491:AH1491" si="4367">AG1493/AG1492</f>
        <v>2.9144981412639406</v>
      </c>
      <c r="AH1491" s="91">
        <f t="shared" si="4367"/>
        <v>3.5018587360594795</v>
      </c>
    </row>
    <row r="1492" spans="2:34" x14ac:dyDescent="0.2">
      <c r="B1492" s="9">
        <f>G1485</f>
        <v>31</v>
      </c>
      <c r="C1492" s="9" t="str">
        <f t="shared" ref="C1492:C1528" si="4368">B1492&amp;" - "&amp;F1492</f>
        <v>31 - Workdays in Month / Year</v>
      </c>
      <c r="D1492" s="9" t="s">
        <v>56</v>
      </c>
      <c r="F1492" s="7" t="s">
        <v>54</v>
      </c>
      <c r="G1492" s="178">
        <f>_xlfn.XLOOKUP($C1492,'Site Level Financials - ''23 ''24'!$C$2:$C$1577,'Site Level Financials - ''23 ''24'!S$2:S$1577)</f>
        <v>23</v>
      </c>
      <c r="H1492" s="235">
        <f>_xlfn.XLOOKUP($C1492,'Site Level Financials - ''23 ''24'!$C$2:$C$1577,'Site Level Financials - ''23 ''24'!T$2:T$1577)</f>
        <v>22</v>
      </c>
      <c r="I1492" s="235">
        <f>_xlfn.XLOOKUP($C1492,'Site Level Financials - ''23 ''24'!$C$2:$C$1577,'Site Level Financials - ''23 ''24'!U$2:U$1577)</f>
        <v>22</v>
      </c>
      <c r="J1492" s="179">
        <f>_xlfn.XLOOKUP($C1492,'Site Level Financials - ''23 ''24'!$C$2:$C$1577,'Site Level Financials - ''23 ''24'!V$2:V$1577)</f>
        <v>22</v>
      </c>
      <c r="K1492" s="179">
        <f>_xlfn.XLOOKUP($C1492,'Site Level Financials - ''23 ''24'!$C$2:$C$1577,'Site Level Financials - ''23 ''24'!W$2:W$1577)</f>
        <v>24</v>
      </c>
      <c r="L1492" s="179">
        <f>_xlfn.XLOOKUP($C1492,'Site Level Financials - ''23 ''24'!$C$2:$C$1577,'Site Level Financials - ''23 ''24'!X$2:X$1577)</f>
        <v>21</v>
      </c>
      <c r="M1492" s="179">
        <f>_xlfn.XLOOKUP($C1492,'Site Level Financials - ''23 ''24'!$C$2:$C$1577,'Site Level Financials - ''23 ''24'!Y$2:Y$1577)</f>
        <v>23</v>
      </c>
      <c r="N1492" s="179">
        <f>_xlfn.XLOOKUP($C1492,'Site Level Financials - ''23 ''24'!$C$2:$C$1577,'Site Level Financials - ''23 ''24'!Z$2:Z$1577)</f>
        <v>23</v>
      </c>
      <c r="O1492" s="179">
        <f>_xlfn.XLOOKUP($C1492,'Site Level Financials - ''23 ''24'!$C$2:$C$1577,'Site Level Financials - ''23 ''24'!AA$2:AA$1577)</f>
        <v>21</v>
      </c>
      <c r="P1492" s="179">
        <f>_xlfn.XLOOKUP($C1492,'Site Level Financials - ''23 ''24'!$C$2:$C$1577,'Site Level Financials - ''23 ''24'!AB$2:AB$1577)</f>
        <v>24</v>
      </c>
      <c r="Q1492" s="179">
        <f>_xlfn.XLOOKUP($C1492,'Site Level Financials - ''23 ''24'!$C$2:$C$1577,'Site Level Financials - ''23 ''24'!AC$2:AC$1577)</f>
        <v>22</v>
      </c>
      <c r="R1492" s="179">
        <f>_xlfn.XLOOKUP($C1492,'Site Level Financials - ''23 ''24'!$C$2:$C$1577,'Site Level Financials - ''23 ''24'!AD$2:AD$1577)</f>
        <v>22</v>
      </c>
      <c r="S1492" s="155">
        <f>NETWORKDAYS(R1489,S1489)</f>
        <v>23</v>
      </c>
      <c r="T1492" s="154">
        <f t="shared" ref="T1492:AD1492" si="4369">NETWORKDAYS(S1489,T1489)</f>
        <v>22</v>
      </c>
      <c r="U1492" s="154">
        <f t="shared" si="4369"/>
        <v>22</v>
      </c>
      <c r="V1492" s="154">
        <f t="shared" si="4369"/>
        <v>22</v>
      </c>
      <c r="W1492" s="154">
        <f t="shared" si="4369"/>
        <v>24</v>
      </c>
      <c r="X1492" s="154">
        <f t="shared" si="4369"/>
        <v>21</v>
      </c>
      <c r="Y1492" s="154">
        <f t="shared" si="4369"/>
        <v>23</v>
      </c>
      <c r="Z1492" s="154">
        <f t="shared" si="4369"/>
        <v>23</v>
      </c>
      <c r="AA1492" s="154">
        <f t="shared" si="4369"/>
        <v>21</v>
      </c>
      <c r="AB1492" s="154">
        <f t="shared" si="4369"/>
        <v>24</v>
      </c>
      <c r="AC1492" s="154">
        <f t="shared" si="4369"/>
        <v>22</v>
      </c>
      <c r="AD1492" s="156">
        <f t="shared" si="4369"/>
        <v>22</v>
      </c>
      <c r="AE1492" s="15"/>
      <c r="AF1492" s="115">
        <f>_xlfn.XLOOKUP($C1492,'Site Level Financials - ''23 ''24'!$C$2:$C$1577,'Site Level Financials - ''23 ''24'!$AF$2:$AF$1577)</f>
        <v>269</v>
      </c>
      <c r="AG1492" s="93">
        <f>SUM(G1492:R1492)</f>
        <v>269</v>
      </c>
      <c r="AH1492" s="93">
        <f>SUM(S1492:AD1492)</f>
        <v>269</v>
      </c>
    </row>
    <row r="1493" spans="2:34" x14ac:dyDescent="0.2">
      <c r="B1493" s="9">
        <f>G1485</f>
        <v>31</v>
      </c>
      <c r="C1493" s="9" t="str">
        <f t="shared" si="4368"/>
        <v>31 - Total Vet Days</v>
      </c>
      <c r="D1493" s="9" t="s">
        <v>56</v>
      </c>
      <c r="F1493" s="8" t="s">
        <v>51</v>
      </c>
      <c r="G1493" s="236">
        <f>_xlfn.XLOOKUP($C1493,'Site Level Financials - ''23 ''24'!$C$2:$C$1577,'Site Level Financials - ''23 ''24'!S$2:S$1577)</f>
        <v>92</v>
      </c>
      <c r="H1493" s="237">
        <f>_xlfn.XLOOKUP($C1493,'Site Level Financials - ''23 ''24'!$C$2:$C$1577,'Site Level Financials - ''23 ''24'!T$2:T$1577)</f>
        <v>66</v>
      </c>
      <c r="I1493" s="237">
        <f>_xlfn.XLOOKUP($C1493,'Site Level Financials - ''23 ''24'!$C$2:$C$1577,'Site Level Financials - ''23 ''24'!U$2:U$1577)</f>
        <v>66</v>
      </c>
      <c r="J1493" s="238">
        <f>_xlfn.XLOOKUP($C1493,'Site Level Financials - ''23 ''24'!$C$2:$C$1577,'Site Level Financials - ''23 ''24'!V$2:V$1577)</f>
        <v>66</v>
      </c>
      <c r="K1493" s="238">
        <f>_xlfn.XLOOKUP($C1493,'Site Level Financials - ''23 ''24'!$C$2:$C$1577,'Site Level Financials - ''23 ''24'!W$2:W$1577)</f>
        <v>48</v>
      </c>
      <c r="L1493" s="238">
        <f>_xlfn.XLOOKUP($C1493,'Site Level Financials - ''23 ''24'!$C$2:$C$1577,'Site Level Financials - ''23 ''24'!X$2:X$1577)</f>
        <v>42</v>
      </c>
      <c r="M1493" s="238">
        <f>_xlfn.XLOOKUP($C1493,'Site Level Financials - ''23 ''24'!$C$2:$C$1577,'Site Level Financials - ''23 ''24'!Y$2:Y$1577)</f>
        <v>46</v>
      </c>
      <c r="N1493" s="238">
        <f>_xlfn.XLOOKUP($C1493,'Site Level Financials - ''23 ''24'!$C$2:$C$1577,'Site Level Financials - ''23 ''24'!Z$2:Z$1577)</f>
        <v>69</v>
      </c>
      <c r="O1493" s="238">
        <f>_xlfn.XLOOKUP($C1493,'Site Level Financials - ''23 ''24'!$C$2:$C$1577,'Site Level Financials - ''23 ''24'!AA$2:AA$1577)</f>
        <v>63</v>
      </c>
      <c r="P1493" s="238">
        <f>_xlfn.XLOOKUP($C1493,'Site Level Financials - ''23 ''24'!$C$2:$C$1577,'Site Level Financials - ''23 ''24'!AB$2:AB$1577)</f>
        <v>72</v>
      </c>
      <c r="Q1493" s="238">
        <f>_xlfn.XLOOKUP($C1493,'Site Level Financials - ''23 ''24'!$C$2:$C$1577,'Site Level Financials - ''23 ''24'!AC$2:AC$1577)</f>
        <v>88</v>
      </c>
      <c r="R1493" s="238">
        <f>_xlfn.XLOOKUP($C1493,'Site Level Financials - ''23 ''24'!$C$2:$C$1577,'Site Level Financials - ''23 ''24'!AD$2:AD$1577)</f>
        <v>66</v>
      </c>
      <c r="S1493" s="125">
        <f t="shared" ref="S1493:AD1493" si="4370">S1491*S1492</f>
        <v>69</v>
      </c>
      <c r="T1493" s="127">
        <f t="shared" si="4370"/>
        <v>66</v>
      </c>
      <c r="U1493" s="127">
        <f t="shared" si="4370"/>
        <v>66</v>
      </c>
      <c r="V1493" s="127">
        <f t="shared" si="4370"/>
        <v>66</v>
      </c>
      <c r="W1493" s="127">
        <f t="shared" si="4370"/>
        <v>72</v>
      </c>
      <c r="X1493" s="127">
        <f t="shared" si="4370"/>
        <v>63</v>
      </c>
      <c r="Y1493" s="127">
        <f t="shared" si="4370"/>
        <v>92</v>
      </c>
      <c r="Z1493" s="127">
        <f t="shared" si="4370"/>
        <v>92</v>
      </c>
      <c r="AA1493" s="127">
        <f t="shared" si="4370"/>
        <v>84</v>
      </c>
      <c r="AB1493" s="127">
        <f t="shared" si="4370"/>
        <v>96</v>
      </c>
      <c r="AC1493" s="127">
        <f t="shared" si="4370"/>
        <v>88</v>
      </c>
      <c r="AD1493" s="128">
        <f t="shared" si="4370"/>
        <v>88</v>
      </c>
      <c r="AF1493" s="112">
        <f>_xlfn.XLOOKUP($C1493,'Site Level Financials - ''23 ''24'!$C$2:$C$1577,'Site Level Financials - ''23 ''24'!$AF$2:$AF$1577)</f>
        <v>874</v>
      </c>
      <c r="AG1493" s="120">
        <f>SUM(G1493:R1493)</f>
        <v>784</v>
      </c>
      <c r="AH1493" s="120">
        <f t="shared" ref="AH1493" si="4371">SUM(S1493:AD1493)</f>
        <v>942</v>
      </c>
    </row>
    <row r="1494" spans="2:34" x14ac:dyDescent="0.2">
      <c r="B1494" s="9">
        <f>G1485</f>
        <v>31</v>
      </c>
      <c r="C1494" s="9" t="str">
        <f t="shared" si="4368"/>
        <v>31 - Production per Vet Workday</v>
      </c>
      <c r="D1494" s="9" t="s">
        <v>56</v>
      </c>
      <c r="F1494" s="7" t="s">
        <v>50</v>
      </c>
      <c r="G1494" s="239">
        <f>_xlfn.XLOOKUP($C1494,'Site Level Financials - ''23 ''24'!$C$2:$C$1577,'Site Level Financials - ''23 ''24'!S$2:S$1577)</f>
        <v>3.9797274655041983</v>
      </c>
      <c r="H1494" s="240">
        <f>_xlfn.XLOOKUP($C1494,'Site Level Financials - ''23 ''24'!$C$2:$C$1577,'Site Level Financials - ''23 ''24'!T$2:T$1577)</f>
        <v>4.8044523827786492</v>
      </c>
      <c r="I1494" s="240">
        <f>_xlfn.XLOOKUP($C1494,'Site Level Financials - ''23 ''24'!$C$2:$C$1577,'Site Level Financials - ''23 ''24'!U$2:U$1577)</f>
        <v>5.0645282038061561</v>
      </c>
      <c r="J1494" s="240">
        <f>_xlfn.XLOOKUP($C1494,'Site Level Financials - ''23 ''24'!$C$2:$C$1577,'Site Level Financials - ''23 ''24'!V$2:V$1577)</f>
        <v>4.9166425408583496</v>
      </c>
      <c r="K1494" s="240">
        <f>_xlfn.XLOOKUP($C1494,'Site Level Financials - ''23 ''24'!$C$2:$C$1577,'Site Level Financials - ''23 ''24'!W$2:W$1577)</f>
        <v>5.929230607243543</v>
      </c>
      <c r="L1494" s="240">
        <f>_xlfn.XLOOKUP($C1494,'Site Level Financials - ''23 ''24'!$C$2:$C$1577,'Site Level Financials - ''23 ''24'!X$2:X$1577)</f>
        <v>5.3456693637487671</v>
      </c>
      <c r="M1494" s="240">
        <f>_xlfn.XLOOKUP($C1494,'Site Level Financials - ''23 ''24'!$C$2:$C$1577,'Site Level Financials - ''23 ''24'!Y$2:Y$1577)</f>
        <v>4.9270836861854939</v>
      </c>
      <c r="N1494" s="240">
        <f>_xlfn.XLOOKUP($C1494,'Site Level Financials - ''23 ''24'!$C$2:$C$1577,'Site Level Financials - ''23 ''24'!Z$2:Z$1577)</f>
        <v>4.1709254040458434</v>
      </c>
      <c r="O1494" s="240">
        <f>_xlfn.XLOOKUP($C1494,'Site Level Financials - ''23 ''24'!$C$2:$C$1577,'Site Level Financials - ''23 ''24'!AA$2:AA$1577)</f>
        <v>4.4213537122552884</v>
      </c>
      <c r="P1494" s="240">
        <f>_xlfn.XLOOKUP($C1494,'Site Level Financials - ''23 ''24'!$C$2:$C$1577,'Site Level Financials - ''23 ''24'!AB$2:AB$1577)</f>
        <v>4.3811919551677656</v>
      </c>
      <c r="Q1494" s="240">
        <f>_xlfn.XLOOKUP($C1494,'Site Level Financials - ''23 ''24'!$C$2:$C$1577,'Site Level Financials - ''23 ''24'!AC$2:AC$1577)</f>
        <v>3.5720942855849671</v>
      </c>
      <c r="R1494" s="240">
        <f>_xlfn.XLOOKUP($C1494,'Site Level Financials - ''23 ''24'!$C$2:$C$1577,'Site Level Financials - ''23 ''24'!AD$2:AD$1577)</f>
        <v>2.9796449910065554</v>
      </c>
      <c r="S1494" s="239">
        <f>R1494*(1+_xlfn.XLOOKUP($R1491,'Budget Assumption Driver'!$A$15:$A$19,'Budget Assumption Driver'!E$15:E$19))</f>
        <v>4.2156278019449118</v>
      </c>
      <c r="T1494" s="240">
        <f>S1494*(1+_xlfn.XLOOKUP($R1491,'Budget Assumption Driver'!$A$15:$A$19,'Budget Assumption Driver'!F$15:F$19))</f>
        <v>4.5636111442047076</v>
      </c>
      <c r="U1494" s="240">
        <f>T1494*(1+_xlfn.XLOOKUP($R1491,'Budget Assumption Driver'!$A$15:$A$19,'Budget Assumption Driver'!G$15:G$19))</f>
        <v>4.9003565156925326</v>
      </c>
      <c r="V1494" s="240">
        <f>U1494*(1+_xlfn.XLOOKUP($R1491,'Budget Assumption Driver'!$A$15:$A$19,'Budget Assumption Driver'!H$15:H$19))</f>
        <v>5.2490734428720636</v>
      </c>
      <c r="W1494" s="240">
        <f>V1494*(1+_xlfn.XLOOKUP($R1491,'Budget Assumption Driver'!$A$15:$A$19,'Budget Assumption Driver'!I$15:I$19))</f>
        <v>5.7187030353194332</v>
      </c>
      <c r="X1494" s="240">
        <f>W1494*(1+_xlfn.XLOOKUP($R1491,'Budget Assumption Driver'!$A$15:$A$19,'Budget Assumption Driver'!J$15:J$19))</f>
        <v>5.4883128034784505</v>
      </c>
      <c r="Y1494" s="240">
        <f>X1494*(1+_xlfn.XLOOKUP($R1491,'Budget Assumption Driver'!$A$15:$A$19,'Budget Assumption Driver'!K$15:K$19))</f>
        <v>4.4995050095422595</v>
      </c>
      <c r="Z1494" s="240">
        <f>Y1494*(1+_xlfn.XLOOKUP($R1491,'Budget Assumption Driver'!$A$15:$A$19,'Budget Assumption Driver'!L$15:L$19))</f>
        <v>3.8582842899193013</v>
      </c>
      <c r="AA1494" s="240">
        <f>Z1494*(1+_xlfn.XLOOKUP($R1491,'Budget Assumption Driver'!$A$15:$A$19,'Budget Assumption Driver'!M$15:M$19))</f>
        <v>3.8743148827470812</v>
      </c>
      <c r="AB1494" s="240">
        <f>AA1494*(1+_xlfn.XLOOKUP($R1491,'Budget Assumption Driver'!$A$15:$A$19,'Budget Assumption Driver'!N$15:N$19))</f>
        <v>3.8934197047276493</v>
      </c>
      <c r="AC1494" s="240">
        <f>AB1494*(1+_xlfn.XLOOKUP($R1491,'Budget Assumption Driver'!$A$15:$A$19,'Budget Assumption Driver'!O$15:O$19))</f>
        <v>3.3574117382780955</v>
      </c>
      <c r="AD1494" s="291">
        <f>AC1494*(1+_xlfn.XLOOKUP($R1491,'Budget Assumption Driver'!$A$15:$A$19,'Budget Assumption Driver'!P$15:P$19))</f>
        <v>2.7403616053036286</v>
      </c>
      <c r="AE1494" s="15"/>
      <c r="AF1494" s="230">
        <f>_xlfn.XLOOKUP($C1494,'Site Level Financials - ''23 ''24'!$C$2:$C$1577,'Site Level Financials - ''23 ''24'!$AF$2:$AF$1577)</f>
        <v>4.8126613290369695</v>
      </c>
      <c r="AG1494" s="101">
        <f>AG1495/AG1493</f>
        <v>4.4267077924598732</v>
      </c>
      <c r="AH1494" s="101">
        <f>AH1495/AH1493</f>
        <v>4.2719541060184483</v>
      </c>
    </row>
    <row r="1495" spans="2:34" x14ac:dyDescent="0.2">
      <c r="B1495" s="9">
        <f>G1485</f>
        <v>31</v>
      </c>
      <c r="C1495" s="9" t="str">
        <f t="shared" si="4368"/>
        <v>31 - Total Production</v>
      </c>
      <c r="D1495" s="9" t="s">
        <v>56</v>
      </c>
      <c r="F1495" s="8" t="s">
        <v>1</v>
      </c>
      <c r="G1495" s="241">
        <f>_xlfn.XLOOKUP($C1495,'Site Level Financials - ''23 ''24'!$C$2:$C$1577,'Site Level Financials - ''23 ''24'!S$2:S$1577)</f>
        <v>366.13492682638622</v>
      </c>
      <c r="H1495" s="242">
        <f>_xlfn.XLOOKUP($C1495,'Site Level Financials - ''23 ''24'!$C$2:$C$1577,'Site Level Financials - ''23 ''24'!T$2:T$1577)</f>
        <v>317.09385726339087</v>
      </c>
      <c r="I1495" s="242">
        <f>_xlfn.XLOOKUP($C1495,'Site Level Financials - ''23 ''24'!$C$2:$C$1577,'Site Level Financials - ''23 ''24'!U$2:U$1577)</f>
        <v>334.25886145120631</v>
      </c>
      <c r="J1495" s="242">
        <f>_xlfn.XLOOKUP($C1495,'Site Level Financials - ''23 ''24'!$C$2:$C$1577,'Site Level Financials - ''23 ''24'!V$2:V$1577)</f>
        <v>324.4984076966511</v>
      </c>
      <c r="K1495" s="242">
        <f>_xlfn.XLOOKUP($C1495,'Site Level Financials - ''23 ''24'!$C$2:$C$1577,'Site Level Financials - ''23 ''24'!W$2:W$1577)</f>
        <v>284.60306914769006</v>
      </c>
      <c r="L1495" s="242">
        <f>_xlfn.XLOOKUP($C1495,'Site Level Financials - ''23 ''24'!$C$2:$C$1577,'Site Level Financials - ''23 ''24'!X$2:X$1577)</f>
        <v>224.51811327744821</v>
      </c>
      <c r="M1495" s="242">
        <f>_xlfn.XLOOKUP($C1495,'Site Level Financials - ''23 ''24'!$C$2:$C$1577,'Site Level Financials - ''23 ''24'!Y$2:Y$1577)</f>
        <v>226.64584956453271</v>
      </c>
      <c r="N1495" s="242">
        <f>_xlfn.XLOOKUP($C1495,'Site Level Financials - ''23 ''24'!$C$2:$C$1577,'Site Level Financials - ''23 ''24'!Z$2:Z$1577)</f>
        <v>287.79385287916318</v>
      </c>
      <c r="O1495" s="242">
        <f>_xlfn.XLOOKUP($C1495,'Site Level Financials - ''23 ''24'!$C$2:$C$1577,'Site Level Financials - ''23 ''24'!AA$2:AA$1577)</f>
        <v>278.54528387208319</v>
      </c>
      <c r="P1495" s="242">
        <f>_xlfn.XLOOKUP($C1495,'Site Level Financials - ''23 ''24'!$C$2:$C$1577,'Site Level Financials - ''23 ''24'!AB$2:AB$1577)</f>
        <v>315.44582077207912</v>
      </c>
      <c r="Q1495" s="242">
        <f>_xlfn.XLOOKUP($C1495,'Site Level Financials - ''23 ''24'!$C$2:$C$1577,'Site Level Financials - ''23 ''24'!AC$2:AC$1577)</f>
        <v>314.34429713147711</v>
      </c>
      <c r="R1495" s="242">
        <f>_xlfn.XLOOKUP($C1495,'Site Level Financials - ''23 ''24'!$C$2:$C$1577,'Site Level Financials - ''23 ''24'!AD$2:AD$1577)</f>
        <v>196.65656940643265</v>
      </c>
      <c r="S1495" s="134">
        <f t="shared" ref="S1495:AD1495" si="4372">S1494*S1493</f>
        <v>290.87831833419892</v>
      </c>
      <c r="T1495" s="135">
        <f t="shared" si="4372"/>
        <v>301.19833551751071</v>
      </c>
      <c r="U1495" s="135">
        <f t="shared" si="4372"/>
        <v>323.42353003570713</v>
      </c>
      <c r="V1495" s="135">
        <f t="shared" si="4372"/>
        <v>346.43884722955619</v>
      </c>
      <c r="W1495" s="135">
        <f t="shared" si="4372"/>
        <v>411.74661854299922</v>
      </c>
      <c r="X1495" s="135">
        <f t="shared" si="4372"/>
        <v>345.7637066191424</v>
      </c>
      <c r="Y1495" s="135">
        <f t="shared" si="4372"/>
        <v>413.95446087788787</v>
      </c>
      <c r="Z1495" s="135">
        <f t="shared" si="4372"/>
        <v>354.96215467257571</v>
      </c>
      <c r="AA1495" s="135">
        <f t="shared" si="4372"/>
        <v>325.44245015075484</v>
      </c>
      <c r="AB1495" s="135">
        <f t="shared" si="4372"/>
        <v>373.76829165385436</v>
      </c>
      <c r="AC1495" s="135">
        <f t="shared" si="4372"/>
        <v>295.4522329684724</v>
      </c>
      <c r="AD1495" s="136">
        <f t="shared" si="4372"/>
        <v>241.15182126671931</v>
      </c>
      <c r="AE1495" s="15"/>
      <c r="AF1495" s="113">
        <f>_xlfn.XLOOKUP($C1495,'Site Level Financials - ''23 ''24'!$C$2:$C$1577,'Site Level Financials - ''23 ''24'!$AF$2:$AF$1577)</f>
        <v>3942.7414791007141</v>
      </c>
      <c r="AG1495" s="95">
        <f>SUM(G1495:R1495)</f>
        <v>3470.5389092885407</v>
      </c>
      <c r="AH1495" s="95">
        <f t="shared" ref="AH1495" si="4373">SUM(S1495:AD1495)</f>
        <v>4024.1807678693785</v>
      </c>
    </row>
    <row r="1496" spans="2:34" x14ac:dyDescent="0.2">
      <c r="B1496" s="9">
        <f>G1485</f>
        <v>31</v>
      </c>
      <c r="C1496" s="9" t="str">
        <f t="shared" si="4368"/>
        <v>31 - Revenue as a % of Production</v>
      </c>
      <c r="D1496" s="9" t="s">
        <v>56</v>
      </c>
      <c r="F1496" s="7" t="s">
        <v>2</v>
      </c>
      <c r="G1496" s="243">
        <f>_xlfn.XLOOKUP($C1496,'Site Level Financials - ''23 ''24'!$C$2:$C$1577,'Site Level Financials - ''23 ''24'!S$2:S$1577)</f>
        <v>0.98039042337076621</v>
      </c>
      <c r="H1496" s="244">
        <f>_xlfn.XLOOKUP($C1496,'Site Level Financials - ''23 ''24'!$C$2:$C$1577,'Site Level Financials - ''23 ''24'!T$2:T$1577)</f>
        <v>0.98039042337076621</v>
      </c>
      <c r="I1496" s="244">
        <f>_xlfn.XLOOKUP($C1496,'Site Level Financials - ''23 ''24'!$C$2:$C$1577,'Site Level Financials - ''23 ''24'!U$2:U$1577)</f>
        <v>0.98039042337076621</v>
      </c>
      <c r="J1496" s="244">
        <f>_xlfn.XLOOKUP($C1496,'Site Level Financials - ''23 ''24'!$C$2:$C$1577,'Site Level Financials - ''23 ''24'!V$2:V$1577)</f>
        <v>0.98039042337076621</v>
      </c>
      <c r="K1496" s="244">
        <f>_xlfn.XLOOKUP($C1496,'Site Level Financials - ''23 ''24'!$C$2:$C$1577,'Site Level Financials - ''23 ''24'!W$2:W$1577)</f>
        <v>0.98039042337076621</v>
      </c>
      <c r="L1496" s="244">
        <f>_xlfn.XLOOKUP($C1496,'Site Level Financials - ''23 ''24'!$C$2:$C$1577,'Site Level Financials - ''23 ''24'!X$2:X$1577)</f>
        <v>0.98039042337076621</v>
      </c>
      <c r="M1496" s="244">
        <f>_xlfn.XLOOKUP($C1496,'Site Level Financials - ''23 ''24'!$C$2:$C$1577,'Site Level Financials - ''23 ''24'!Y$2:Y$1577)</f>
        <v>0.98039042337076621</v>
      </c>
      <c r="N1496" s="244">
        <f>_xlfn.XLOOKUP($C1496,'Site Level Financials - ''23 ''24'!$C$2:$C$1577,'Site Level Financials - ''23 ''24'!Z$2:Z$1577)</f>
        <v>0.98039042337076621</v>
      </c>
      <c r="O1496" s="244">
        <f>_xlfn.XLOOKUP($C1496,'Site Level Financials - ''23 ''24'!$C$2:$C$1577,'Site Level Financials - ''23 ''24'!AA$2:AA$1577)</f>
        <v>0.98039042337076621</v>
      </c>
      <c r="P1496" s="244">
        <f>_xlfn.XLOOKUP($C1496,'Site Level Financials - ''23 ''24'!$C$2:$C$1577,'Site Level Financials - ''23 ''24'!AB$2:AB$1577)</f>
        <v>0.98039042337076621</v>
      </c>
      <c r="Q1496" s="244">
        <f>_xlfn.XLOOKUP($C1496,'Site Level Financials - ''23 ''24'!$C$2:$C$1577,'Site Level Financials - ''23 ''24'!AC$2:AC$1577)</f>
        <v>0.98039042337076621</v>
      </c>
      <c r="R1496" s="244">
        <f>_xlfn.XLOOKUP($C1496,'Site Level Financials - ''23 ''24'!$C$2:$C$1577,'Site Level Financials - ''23 ''24'!AD$2:AD$1577)</f>
        <v>0.98039042337076621</v>
      </c>
      <c r="S1496" s="292">
        <f>SUM(G1525:R1525)/SUM(G1495:R1495)</f>
        <v>0.97811810729106108</v>
      </c>
      <c r="T1496" s="203">
        <f>S1496</f>
        <v>0.97811810729106108</v>
      </c>
      <c r="U1496" s="203">
        <f t="shared" ref="U1496:AD1496" si="4374">T1496</f>
        <v>0.97811810729106108</v>
      </c>
      <c r="V1496" s="203">
        <f t="shared" si="4374"/>
        <v>0.97811810729106108</v>
      </c>
      <c r="W1496" s="203">
        <f t="shared" si="4374"/>
        <v>0.97811810729106108</v>
      </c>
      <c r="X1496" s="203">
        <f t="shared" si="4374"/>
        <v>0.97811810729106108</v>
      </c>
      <c r="Y1496" s="203">
        <f t="shared" si="4374"/>
        <v>0.97811810729106108</v>
      </c>
      <c r="Z1496" s="203">
        <f t="shared" si="4374"/>
        <v>0.97811810729106108</v>
      </c>
      <c r="AA1496" s="203">
        <f t="shared" si="4374"/>
        <v>0.97811810729106108</v>
      </c>
      <c r="AB1496" s="203">
        <f t="shared" si="4374"/>
        <v>0.97811810729106108</v>
      </c>
      <c r="AC1496" s="203">
        <f t="shared" si="4374"/>
        <v>0.97811810729106108</v>
      </c>
      <c r="AD1496" s="204">
        <f t="shared" si="4374"/>
        <v>0.97811810729106108</v>
      </c>
      <c r="AE1496" s="15"/>
      <c r="AF1496" s="231">
        <f>_xlfn.XLOOKUP($C1496,'Site Level Financials - ''23 ''24'!$C$2:$C$1577,'Site Level Financials - ''23 ''24'!$AF$2:$AF$1577)</f>
        <v>0.98456030502779324</v>
      </c>
      <c r="AG1496" s="103">
        <f>AG1497/AG1495</f>
        <v>0.9803904233707661</v>
      </c>
      <c r="AH1496" s="103">
        <f>AH1497/AH1495</f>
        <v>0.9781181072910613</v>
      </c>
    </row>
    <row r="1497" spans="2:34" x14ac:dyDescent="0.2">
      <c r="B1497" s="9">
        <f>G1485</f>
        <v>31</v>
      </c>
      <c r="C1497" s="9" t="str">
        <f t="shared" si="4368"/>
        <v>31 - Total Revenue</v>
      </c>
      <c r="D1497" s="9" t="s">
        <v>56</v>
      </c>
      <c r="F1497" s="8" t="s">
        <v>3</v>
      </c>
      <c r="G1497" s="241">
        <f>_xlfn.XLOOKUP($C1497,'Site Level Financials - ''23 ''24'!$C$2:$C$1577,'Site Level Financials - ''23 ''24'!S$2:S$1577)</f>
        <v>358.95517592214532</v>
      </c>
      <c r="H1497" s="242">
        <f>_xlfn.XLOOKUP($C1497,'Site Level Financials - ''23 ''24'!$C$2:$C$1577,'Site Level Financials - ''23 ''24'!T$2:T$1577)</f>
        <v>310.87578097072509</v>
      </c>
      <c r="I1497" s="242">
        <f>_xlfn.XLOOKUP($C1497,'Site Level Financials - ''23 ''24'!$C$2:$C$1577,'Site Level Financials - ''23 ''24'!U$2:U$1577)</f>
        <v>327.70418669357844</v>
      </c>
      <c r="J1497" s="242">
        <f>_xlfn.XLOOKUP($C1497,'Site Level Financials - ''23 ''24'!$C$2:$C$1577,'Site Level Financials - ''23 ''24'!V$2:V$1577)</f>
        <v>318.13513130485927</v>
      </c>
      <c r="K1497" s="242">
        <f>_xlfn.XLOOKUP($C1497,'Site Level Financials - ''23 ''24'!$C$2:$C$1577,'Site Level Financials - ''23 ''24'!W$2:W$1577)</f>
        <v>279.02212345432332</v>
      </c>
      <c r="L1497" s="242">
        <f>_xlfn.XLOOKUP($C1497,'Site Level Financials - ''23 ''24'!$C$2:$C$1577,'Site Level Financials - ''23 ''24'!X$2:X$1577)</f>
        <v>220.1154081304831</v>
      </c>
      <c r="M1497" s="242">
        <f>_xlfn.XLOOKUP($C1497,'Site Level Financials - ''23 ''24'!$C$2:$C$1577,'Site Level Financials - ''23 ''24'!Y$2:Y$1577)</f>
        <v>222.2014204097992</v>
      </c>
      <c r="N1497" s="242">
        <f>_xlfn.XLOOKUP($C1497,'Site Level Financials - ''23 ''24'!$C$2:$C$1577,'Site Level Financials - ''23 ''24'!Z$2:Z$1577)</f>
        <v>282.15033726770679</v>
      </c>
      <c r="O1497" s="242">
        <f>_xlfn.XLOOKUP($C1497,'Site Level Financials - ''23 ''24'!$C$2:$C$1577,'Site Level Financials - ''23 ''24'!AA$2:AA$1577)</f>
        <v>273.08312878328189</v>
      </c>
      <c r="P1497" s="242">
        <f>_xlfn.XLOOKUP($C1497,'Site Level Financials - ''23 ''24'!$C$2:$C$1577,'Site Level Financials - ''23 ''24'!AB$2:AB$1577)</f>
        <v>309.26006177727749</v>
      </c>
      <c r="Q1497" s="242">
        <f>_xlfn.XLOOKUP($C1497,'Site Level Financials - ''23 ''24'!$C$2:$C$1577,'Site Level Financials - ''23 ''24'!AC$2:AC$1577)</f>
        <v>308.18013854891478</v>
      </c>
      <c r="R1497" s="242">
        <f>_xlfn.XLOOKUP($C1497,'Site Level Financials - ''23 ''24'!$C$2:$C$1577,'Site Level Financials - ''23 ''24'!AD$2:AD$1577)</f>
        <v>192.80021733901498</v>
      </c>
      <c r="S1497" s="134">
        <f t="shared" ref="S1497:AD1497" si="4375">S1496*S1495</f>
        <v>284.5133501810534</v>
      </c>
      <c r="T1497" s="135">
        <f t="shared" si="4375"/>
        <v>294.60754585560557</v>
      </c>
      <c r="U1497" s="135">
        <f t="shared" si="4375"/>
        <v>316.34641105191952</v>
      </c>
      <c r="V1497" s="135">
        <f t="shared" si="4375"/>
        <v>338.85810954427058</v>
      </c>
      <c r="W1497" s="135">
        <f t="shared" si="4375"/>
        <v>402.73682321277289</v>
      </c>
      <c r="X1497" s="135">
        <f t="shared" si="4375"/>
        <v>338.1977422882573</v>
      </c>
      <c r="Y1497" s="135">
        <f t="shared" si="4375"/>
        <v>404.89635377857127</v>
      </c>
      <c r="Z1497" s="135">
        <f t="shared" si="4375"/>
        <v>347.19491088829665</v>
      </c>
      <c r="AA1497" s="135">
        <f t="shared" si="4375"/>
        <v>318.32115337362183</v>
      </c>
      <c r="AB1497" s="135">
        <f t="shared" si="4375"/>
        <v>365.58953399788135</v>
      </c>
      <c r="AC1497" s="135">
        <f t="shared" si="4375"/>
        <v>288.98717890603984</v>
      </c>
      <c r="AD1497" s="136">
        <f t="shared" si="4375"/>
        <v>235.87496298719574</v>
      </c>
      <c r="AE1497" s="15"/>
      <c r="AF1497" s="113">
        <f>_xlfn.XLOOKUP($C1497,'Site Level Financials - ''23 ''24'!$C$2:$C$1577,'Site Level Financials - ''23 ''24'!$AF$2:$AF$1577)</f>
        <v>3881.8667533091316</v>
      </c>
      <c r="AG1497" s="95">
        <f>SUM(G1497:R1497)</f>
        <v>3402.4831106021093</v>
      </c>
      <c r="AH1497" s="95">
        <f t="shared" ref="AH1497" si="4376">SUM(S1497:AD1497)</f>
        <v>3936.1240760654864</v>
      </c>
    </row>
    <row r="1498" spans="2:34" x14ac:dyDescent="0.2">
      <c r="B1498" s="9">
        <f>G1485</f>
        <v>31</v>
      </c>
      <c r="C1498" s="9" t="str">
        <f t="shared" si="4368"/>
        <v>31 - % YoY Revenue Growth</v>
      </c>
      <c r="D1498" s="9" t="s">
        <v>56</v>
      </c>
      <c r="F1498" s="16" t="s">
        <v>174</v>
      </c>
      <c r="G1498" s="245">
        <f>_xlfn.XLOOKUP($C1498,'Site Level Financials - ''23 ''24'!$C$2:$C$1577,'Site Level Financials - ''23 ''24'!S$2:S$1577)</f>
        <v>0.19782484478525175</v>
      </c>
      <c r="H1498" s="246">
        <f>_xlfn.XLOOKUP($C1498,'Site Level Financials - ''23 ''24'!$C$2:$C$1577,'Site Level Financials - ''23 ''24'!T$2:T$1577)</f>
        <v>2.8093395218597106E-2</v>
      </c>
      <c r="I1498" s="246">
        <f>_xlfn.XLOOKUP($C1498,'Site Level Financials - ''23 ''24'!$C$2:$C$1577,'Site Level Financials - ''23 ''24'!U$2:U$1577)</f>
        <v>0.24844470324771084</v>
      </c>
      <c r="J1498" s="246">
        <f>_xlfn.XLOOKUP($C1498,'Site Level Financials - ''23 ''24'!$C$2:$C$1577,'Site Level Financials - ''23 ''24'!V$2:V$1577)</f>
        <v>0.3782821201550246</v>
      </c>
      <c r="K1498" s="246">
        <f>_xlfn.XLOOKUP($C1498,'Site Level Financials - ''23 ''24'!$C$2:$C$1577,'Site Level Financials - ''23 ''24'!W$2:W$1577)</f>
        <v>7.6238815703157936E-3</v>
      </c>
      <c r="L1498" s="246">
        <f>_xlfn.XLOOKUP($C1498,'Site Level Financials - ''23 ''24'!$C$2:$C$1577,'Site Level Financials - ''23 ''24'!X$2:X$1577)</f>
        <v>-0.19734862470715153</v>
      </c>
      <c r="M1498" s="246">
        <f>_xlfn.XLOOKUP($C1498,'Site Level Financials - ''23 ''24'!$C$2:$C$1577,'Site Level Financials - ''23 ''24'!Y$2:Y$1577)</f>
        <v>-0.35544541648184447</v>
      </c>
      <c r="N1498" s="246">
        <f>_xlfn.XLOOKUP($C1498,'Site Level Financials - ''23 ''24'!$C$2:$C$1577,'Site Level Financials - ''23 ''24'!Z$2:Z$1577)</f>
        <v>-0.31198871099664494</v>
      </c>
      <c r="O1498" s="246">
        <f>_xlfn.XLOOKUP($C1498,'Site Level Financials - ''23 ''24'!$C$2:$C$1577,'Site Level Financials - ''23 ''24'!AA$2:AA$1577)</f>
        <v>-0.28835243151218093</v>
      </c>
      <c r="P1498" s="246">
        <f>_xlfn.XLOOKUP($C1498,'Site Level Financials - ''23 ''24'!$C$2:$C$1577,'Site Level Financials - ''23 ''24'!AB$2:AB$1577)</f>
        <v>-0.1851809896309371</v>
      </c>
      <c r="Q1498" s="246">
        <f>_xlfn.XLOOKUP($C1498,'Site Level Financials - ''23 ''24'!$C$2:$C$1577,'Site Level Financials - ''23 ''24'!AC$2:AC$1577)</f>
        <v>-0.23129825826667172</v>
      </c>
      <c r="R1498" s="246">
        <f>_xlfn.XLOOKUP($C1498,'Site Level Financials - ''23 ''24'!$C$2:$C$1577,'Site Level Financials - ''23 ''24'!AD$2:AD$1577)</f>
        <v>-0.39052283878918126</v>
      </c>
      <c r="S1498" s="148">
        <f>S1497/G1497-1</f>
        <v>-0.20738473975156657</v>
      </c>
      <c r="T1498" s="149">
        <f t="shared" ref="T1498" si="4377">T1497/H1497-1</f>
        <v>-5.2330339353941158E-2</v>
      </c>
      <c r="U1498" s="149">
        <f t="shared" ref="U1498" si="4378">U1497/I1497-1</f>
        <v>-3.4658622327212063E-2</v>
      </c>
      <c r="V1498" s="149">
        <f t="shared" ref="V1498" si="4379">V1497/J1497-1</f>
        <v>6.5138918026481862E-2</v>
      </c>
      <c r="W1498" s="149">
        <f t="shared" ref="W1498" si="4380">W1497/K1497-1</f>
        <v>0.44338670434748528</v>
      </c>
      <c r="X1498" s="149">
        <f t="shared" ref="X1498" si="4381">X1497/L1497-1</f>
        <v>0.53645646690837601</v>
      </c>
      <c r="Y1498" s="149">
        <f t="shared" ref="Y1498" si="4382">Y1497/M1497-1</f>
        <v>0.8222041651751526</v>
      </c>
      <c r="Z1498" s="149">
        <f t="shared" ref="Z1498" si="4383">Z1497/N1497-1</f>
        <v>0.2305316174719827</v>
      </c>
      <c r="AA1498" s="149">
        <f t="shared" ref="AA1498" si="4384">AA1497/O1497-1</f>
        <v>0.16565660717268527</v>
      </c>
      <c r="AB1498" s="149">
        <f t="shared" ref="AB1498" si="4385">AB1497/P1497-1</f>
        <v>0.18214273093294264</v>
      </c>
      <c r="AC1498" s="149">
        <f t="shared" ref="AC1498" si="4386">AC1497/Q1497-1</f>
        <v>-6.227837956477722E-2</v>
      </c>
      <c r="AD1498" s="150">
        <f t="shared" ref="AD1498" si="4387">AD1497/R1497-1</f>
        <v>0.22341647868808789</v>
      </c>
      <c r="AE1498" s="15"/>
      <c r="AF1498" s="11"/>
      <c r="AG1498" s="97">
        <f>AG1497/AF1497-1</f>
        <v>-0.12349307000256193</v>
      </c>
      <c r="AH1498" s="97">
        <f>AH1497/AG1497-1</f>
        <v>0.15683868166767856</v>
      </c>
    </row>
    <row r="1499" spans="2:34" ht="6" customHeight="1" x14ac:dyDescent="0.2">
      <c r="B1499" s="9">
        <f>G1485</f>
        <v>31</v>
      </c>
      <c r="C1499" s="9" t="str">
        <f t="shared" si="4368"/>
        <v xml:space="preserve">31 - </v>
      </c>
      <c r="D1499" s="9" t="s">
        <v>56</v>
      </c>
      <c r="G1499" s="80"/>
      <c r="H1499" s="63"/>
      <c r="I1499" s="63"/>
      <c r="J1499" s="63"/>
      <c r="K1499" s="63"/>
      <c r="L1499" s="63"/>
      <c r="M1499" s="63"/>
      <c r="N1499" s="63"/>
      <c r="O1499" s="63"/>
      <c r="P1499" s="63"/>
      <c r="Q1499" s="63"/>
      <c r="R1499" s="63"/>
      <c r="S1499" s="80"/>
      <c r="T1499" s="63"/>
      <c r="U1499" s="63"/>
      <c r="V1499" s="63"/>
      <c r="W1499" s="63"/>
      <c r="X1499" s="63"/>
      <c r="Y1499" s="63"/>
      <c r="Z1499" s="63"/>
      <c r="AA1499" s="63"/>
      <c r="AB1499" s="63"/>
      <c r="AC1499" s="63"/>
      <c r="AD1499" s="81"/>
      <c r="AE1499" s="15"/>
      <c r="AF1499" s="11"/>
      <c r="AG1499" s="15"/>
      <c r="AH1499" s="15"/>
    </row>
    <row r="1500" spans="2:34" x14ac:dyDescent="0.2">
      <c r="B1500" s="9">
        <f>G1485</f>
        <v>31</v>
      </c>
      <c r="C1500" s="9" t="str">
        <f t="shared" si="4368"/>
        <v>31 - Doctor Compensation</v>
      </c>
      <c r="D1500" s="9" t="s">
        <v>56</v>
      </c>
      <c r="F1500" t="s">
        <v>4</v>
      </c>
      <c r="G1500" s="178">
        <f>_xlfn.XLOOKUP($C1500,'Site Level Financials - ''23 ''24'!$C$2:$C$1577,'Site Level Financials - ''23 ''24'!S$2:S$1577)</f>
        <v>-95.525799356204757</v>
      </c>
      <c r="H1500" s="179">
        <f>_xlfn.XLOOKUP($C1500,'Site Level Financials - ''23 ''24'!$C$2:$C$1577,'Site Level Financials - ''23 ''24'!T$2:T$1577)</f>
        <v>-108.85820573897419</v>
      </c>
      <c r="I1500" s="179">
        <f>_xlfn.XLOOKUP($C1500,'Site Level Financials - ''23 ''24'!$C$2:$C$1577,'Site Level Financials - ''23 ''24'!U$2:U$1577)</f>
        <v>-115.729451025675</v>
      </c>
      <c r="J1500" s="179">
        <f>_xlfn.XLOOKUP($C1500,'Site Level Financials - ''23 ''24'!$C$2:$C$1577,'Site Level Financials - ''23 ''24'!V$2:V$1577)</f>
        <v>-110.72987464355988</v>
      </c>
      <c r="K1500" s="179">
        <f>_xlfn.XLOOKUP($C1500,'Site Level Financials - ''23 ''24'!$C$2:$C$1577,'Site Level Financials - ''23 ''24'!W$2:W$1577)</f>
        <v>-96.517669760900716</v>
      </c>
      <c r="L1500" s="179">
        <f>_xlfn.XLOOKUP($C1500,'Site Level Financials - ''23 ''24'!$C$2:$C$1577,'Site Level Financials - ''23 ''24'!X$2:X$1577)</f>
        <v>-76.527402817987891</v>
      </c>
      <c r="M1500" s="179">
        <f>_xlfn.XLOOKUP($C1500,'Site Level Financials - ''23 ''24'!$C$2:$C$1577,'Site Level Financials - ''23 ''24'!Y$2:Y$1577)</f>
        <v>-77.470581138578567</v>
      </c>
      <c r="N1500" s="179">
        <f>_xlfn.XLOOKUP($C1500,'Site Level Financials - ''23 ''24'!$C$2:$C$1577,'Site Level Financials - ''23 ''24'!Z$2:Z$1577)</f>
        <v>-99.612693544560713</v>
      </c>
      <c r="O1500" s="179">
        <f>_xlfn.XLOOKUP($C1500,'Site Level Financials - ''23 ''24'!$C$2:$C$1577,'Site Level Financials - ''23 ''24'!AA$2:AA$1577)</f>
        <v>-95.108297475828039</v>
      </c>
      <c r="P1500" s="179">
        <f>_xlfn.XLOOKUP($C1500,'Site Level Financials - ''23 ''24'!$C$2:$C$1577,'Site Level Financials - ''23 ''24'!AB$2:AB$1577)</f>
        <v>-108.87050886260202</v>
      </c>
      <c r="Q1500" s="179">
        <f>_xlfn.XLOOKUP($C1500,'Site Level Financials - ''23 ''24'!$C$2:$C$1577,'Site Level Financials - ''23 ''24'!AC$2:AC$1577)</f>
        <v>-79.707037807537205</v>
      </c>
      <c r="R1500" s="179">
        <f>_xlfn.XLOOKUP($C1500,'Site Level Financials - ''23 ''24'!$C$2:$C$1577,'Site Level Financials - ''23 ''24'!AD$2:AD$1577)</f>
        <v>-66.463619173616735</v>
      </c>
      <c r="S1500" s="155">
        <f>S1501*S1497</f>
        <v>-75.715206317157865</v>
      </c>
      <c r="T1500" s="154">
        <f t="shared" ref="T1500" si="4388">T1501*T1497</f>
        <v>-103.16161889119253</v>
      </c>
      <c r="U1500" s="154">
        <f t="shared" ref="U1500" si="4389">U1501*U1497</f>
        <v>-111.71842769044056</v>
      </c>
      <c r="V1500" s="154">
        <f t="shared" ref="V1500" si="4390">V1501*V1497</f>
        <v>-117.94269887104934</v>
      </c>
      <c r="W1500" s="154">
        <f t="shared" ref="W1500" si="4391">W1501*W1497</f>
        <v>-139.31232126748543</v>
      </c>
      <c r="X1500" s="154">
        <f t="shared" ref="X1500" si="4392">X1501*X1497</f>
        <v>-117.58102295539977</v>
      </c>
      <c r="Y1500" s="154">
        <f t="shared" ref="Y1500" si="4393">Y1501*Y1497</f>
        <v>-141.16721562925747</v>
      </c>
      <c r="Z1500" s="154">
        <f t="shared" ref="Z1500" si="4394">Z1501*Z1497</f>
        <v>-122.57656890812922</v>
      </c>
      <c r="AA1500" s="154">
        <f t="shared" ref="AA1500" si="4395">AA1501*AA1497</f>
        <v>-110.86361534964418</v>
      </c>
      <c r="AB1500" s="154">
        <f t="shared" ref="AB1500" si="4396">AB1501*AB1497</f>
        <v>-128.70048066489548</v>
      </c>
      <c r="AC1500" s="154">
        <f t="shared" ref="AC1500" si="4397">AC1501*AC1497</f>
        <v>-74.743012652975366</v>
      </c>
      <c r="AD1500" s="156">
        <f t="shared" ref="AD1500" si="4398">AD1501*AD1497</f>
        <v>-81.312686930252269</v>
      </c>
      <c r="AE1500" s="15"/>
      <c r="AF1500" s="115">
        <f>_xlfn.XLOOKUP($C1500,'Site Level Financials - ''23 ''24'!$C$2:$C$1577,'Site Level Financials - ''23 ''24'!$AF$2:$AF$1577)</f>
        <v>-1211.4085604285942</v>
      </c>
      <c r="AG1500" s="93">
        <f>SUM(G1500:R1500)</f>
        <v>-1131.1211413460258</v>
      </c>
      <c r="AH1500" s="93">
        <f t="shared" ref="AH1500" si="4399">SUM(S1500:AD1500)</f>
        <v>-1324.7948761278792</v>
      </c>
    </row>
    <row r="1501" spans="2:34" x14ac:dyDescent="0.2">
      <c r="B1501" s="9">
        <f>G1485</f>
        <v>31</v>
      </c>
      <c r="C1501" s="9" t="str">
        <f t="shared" si="4368"/>
        <v>31 - % of Revenue - Doctor Compensation</v>
      </c>
      <c r="D1501" s="9" t="s">
        <v>56</v>
      </c>
      <c r="F1501" s="16" t="str">
        <f>"% of Revenue - "&amp;F1500</f>
        <v>% of Revenue - Doctor Compensation</v>
      </c>
      <c r="G1501" s="148">
        <f>G1500/G1497</f>
        <v>-0.26612180507162708</v>
      </c>
      <c r="H1501" s="149">
        <f t="shared" ref="H1501:R1501" si="4400">H1500/H1497</f>
        <v>-0.35016624775033628</v>
      </c>
      <c r="I1501" s="149">
        <f t="shared" si="4400"/>
        <v>-0.35315218945886845</v>
      </c>
      <c r="J1501" s="149">
        <f t="shared" si="4400"/>
        <v>-0.34805924824898005</v>
      </c>
      <c r="K1501" s="149">
        <f t="shared" si="4400"/>
        <v>-0.34591403923818581</v>
      </c>
      <c r="L1501" s="149">
        <f t="shared" si="4400"/>
        <v>-0.34766944971259306</v>
      </c>
      <c r="M1501" s="149">
        <f t="shared" si="4400"/>
        <v>-0.348650251630714</v>
      </c>
      <c r="N1501" s="149">
        <f t="shared" si="4400"/>
        <v>-0.35304828804810995</v>
      </c>
      <c r="O1501" s="149">
        <f t="shared" si="4400"/>
        <v>-0.34827599163515427</v>
      </c>
      <c r="P1501" s="149">
        <f t="shared" si="4400"/>
        <v>-0.35203546244198919</v>
      </c>
      <c r="Q1501" s="149">
        <f t="shared" si="4400"/>
        <v>-0.25863781547650255</v>
      </c>
      <c r="R1501" s="149">
        <f t="shared" si="4400"/>
        <v>-0.34472792661197471</v>
      </c>
      <c r="S1501" s="245">
        <f>_xlfn.XLOOKUP($F1501,'Budget Assumption Driver'!$A$33:$A$39,'Budget Assumption Driver'!E$33:E$39)+G1501</f>
        <v>-0.26612180507162708</v>
      </c>
      <c r="T1501" s="246">
        <f>_xlfn.XLOOKUP($F1501,'Budget Assumption Driver'!$A$33:$A$39,'Budget Assumption Driver'!F$33:F$39)+H1501</f>
        <v>-0.35016624775033628</v>
      </c>
      <c r="U1501" s="246">
        <f>_xlfn.XLOOKUP($F1501,'Budget Assumption Driver'!$A$33:$A$39,'Budget Assumption Driver'!G$33:G$39)+I1501</f>
        <v>-0.35315218945886845</v>
      </c>
      <c r="V1501" s="246">
        <f>_xlfn.XLOOKUP($F1501,'Budget Assumption Driver'!$A$33:$A$39,'Budget Assumption Driver'!H$33:H$39)+J1501</f>
        <v>-0.34805924824898005</v>
      </c>
      <c r="W1501" s="246">
        <f>_xlfn.XLOOKUP($F1501,'Budget Assumption Driver'!$A$33:$A$39,'Budget Assumption Driver'!I$33:I$39)+K1501</f>
        <v>-0.34591403923818581</v>
      </c>
      <c r="X1501" s="246">
        <f>_xlfn.XLOOKUP($F1501,'Budget Assumption Driver'!$A$33:$A$39,'Budget Assumption Driver'!J$33:J$39)+L1501</f>
        <v>-0.34766944971259306</v>
      </c>
      <c r="Y1501" s="246">
        <f>_xlfn.XLOOKUP($F1501,'Budget Assumption Driver'!$A$33:$A$39,'Budget Assumption Driver'!K$33:K$39)+M1501</f>
        <v>-0.348650251630714</v>
      </c>
      <c r="Z1501" s="246">
        <f>_xlfn.XLOOKUP($F1501,'Budget Assumption Driver'!$A$33:$A$39,'Budget Assumption Driver'!L$33:L$39)+N1501</f>
        <v>-0.35304828804810995</v>
      </c>
      <c r="AA1501" s="246">
        <f>_xlfn.XLOOKUP($F1501,'Budget Assumption Driver'!$A$33:$A$39,'Budget Assumption Driver'!M$33:M$39)+O1501</f>
        <v>-0.34827599163515427</v>
      </c>
      <c r="AB1501" s="246">
        <f>_xlfn.XLOOKUP($F1501,'Budget Assumption Driver'!$A$33:$A$39,'Budget Assumption Driver'!N$33:N$39)+P1501</f>
        <v>-0.35203546244198919</v>
      </c>
      <c r="AC1501" s="246">
        <f>_xlfn.XLOOKUP($F1501,'Budget Assumption Driver'!$A$33:$A$39,'Budget Assumption Driver'!O$33:O$39)+Q1501</f>
        <v>-0.25863781547650255</v>
      </c>
      <c r="AD1501" s="296">
        <f>_xlfn.XLOOKUP($F1501,'Budget Assumption Driver'!$A$33:$A$39,'Budget Assumption Driver'!P$33:P$39)+R1501</f>
        <v>-0.34472792661197471</v>
      </c>
      <c r="AE1501" s="15"/>
      <c r="AF1501" s="232">
        <f>_xlfn.XLOOKUP($C1501,'Site Level Financials - ''23 ''24'!$C$2:$C$1577,'Site Level Financials - ''23 ''24'!$AF$2:$AF$1577)</f>
        <v>-0.312068558096673</v>
      </c>
      <c r="AG1501" s="97">
        <f t="shared" ref="AG1501:AH1501" si="4401">AG1500/AG1497</f>
        <v>-0.33243989891425518</v>
      </c>
      <c r="AH1501" s="97">
        <f t="shared" si="4401"/>
        <v>-0.33657345412041278</v>
      </c>
    </row>
    <row r="1502" spans="2:34" ht="3" customHeight="1" x14ac:dyDescent="0.2">
      <c r="B1502" s="9">
        <f>G1485</f>
        <v>31</v>
      </c>
      <c r="C1502" s="9" t="str">
        <f t="shared" si="4368"/>
        <v xml:space="preserve">31 - </v>
      </c>
      <c r="D1502" s="9" t="s">
        <v>56</v>
      </c>
      <c r="F1502" s="16"/>
      <c r="G1502" s="84"/>
      <c r="H1502" s="85"/>
      <c r="I1502" s="85"/>
      <c r="J1502" s="85"/>
      <c r="K1502" s="85"/>
      <c r="L1502" s="85"/>
      <c r="M1502" s="85"/>
      <c r="N1502" s="85"/>
      <c r="O1502" s="85"/>
      <c r="P1502" s="85"/>
      <c r="Q1502" s="85"/>
      <c r="R1502" s="85"/>
      <c r="S1502" s="84"/>
      <c r="T1502" s="85"/>
      <c r="U1502" s="85"/>
      <c r="V1502" s="85"/>
      <c r="W1502" s="85"/>
      <c r="X1502" s="85"/>
      <c r="Y1502" s="85"/>
      <c r="Z1502" s="85"/>
      <c r="AA1502" s="85"/>
      <c r="AB1502" s="85"/>
      <c r="AC1502" s="85"/>
      <c r="AD1502" s="86"/>
      <c r="AE1502" s="15"/>
      <c r="AF1502" s="36"/>
      <c r="AG1502" s="38"/>
      <c r="AH1502" s="38"/>
    </row>
    <row r="1503" spans="2:34" x14ac:dyDescent="0.2">
      <c r="B1503" s="9">
        <f>G1485</f>
        <v>31</v>
      </c>
      <c r="C1503" s="9" t="str">
        <f t="shared" si="4368"/>
        <v>31 - Administrative Staff Compensation</v>
      </c>
      <c r="D1503" s="9" t="s">
        <v>56</v>
      </c>
      <c r="F1503" t="s">
        <v>5</v>
      </c>
      <c r="G1503" s="178">
        <f>_xlfn.XLOOKUP($C1503,'Site Level Financials - ''23 ''24'!$C$2:$C$1577,'Site Level Financials - ''23 ''24'!S$2:S$1577)</f>
        <v>-49.314524736629131</v>
      </c>
      <c r="H1503" s="179">
        <f>_xlfn.XLOOKUP($C1503,'Site Level Financials - ''23 ''24'!$C$2:$C$1577,'Site Level Financials - ''23 ''24'!T$2:T$1577)</f>
        <v>-54.945823946754565</v>
      </c>
      <c r="I1503" s="179">
        <f>_xlfn.XLOOKUP($C1503,'Site Level Financials - ''23 ''24'!$C$2:$C$1577,'Site Level Financials - ''23 ''24'!U$2:U$1577)</f>
        <v>-59.602809867218951</v>
      </c>
      <c r="J1503" s="179">
        <f>_xlfn.XLOOKUP($C1503,'Site Level Financials - ''23 ''24'!$C$2:$C$1577,'Site Level Financials - ''23 ''24'!V$2:V$1577)</f>
        <v>-57.002326983922607</v>
      </c>
      <c r="K1503" s="179">
        <f>_xlfn.XLOOKUP($C1503,'Site Level Financials - ''23 ''24'!$C$2:$C$1577,'Site Level Financials - ''23 ''24'!W$2:W$1577)</f>
        <v>-72.106139888972322</v>
      </c>
      <c r="L1503" s="179">
        <f>_xlfn.XLOOKUP($C1503,'Site Level Financials - ''23 ''24'!$C$2:$C$1577,'Site Level Financials - ''23 ''24'!X$2:X$1577)</f>
        <v>-59.583803756593909</v>
      </c>
      <c r="M1503" s="179">
        <f>_xlfn.XLOOKUP($C1503,'Site Level Financials - ''23 ''24'!$C$2:$C$1577,'Site Level Financials - ''23 ''24'!Y$2:Y$1577)</f>
        <v>-60.311971482602736</v>
      </c>
      <c r="N1503" s="179">
        <f>_xlfn.XLOOKUP($C1503,'Site Level Financials - ''23 ''24'!$C$2:$C$1577,'Site Level Financials - ''23 ''24'!Z$2:Z$1577)</f>
        <v>-50.267973443988026</v>
      </c>
      <c r="O1503" s="179">
        <f>_xlfn.XLOOKUP($C1503,'Site Level Financials - ''23 ''24'!$C$2:$C$1577,'Site Level Financials - ''23 ''24'!AA$2:AA$1577)</f>
        <v>-49.534200333089331</v>
      </c>
      <c r="P1503" s="179">
        <f>_xlfn.XLOOKUP($C1503,'Site Level Financials - ''23 ''24'!$C$2:$C$1577,'Site Level Financials - ''23 ''24'!AB$2:AB$1577)</f>
        <v>-56.582226933570411</v>
      </c>
      <c r="Q1503" s="179">
        <f>_xlfn.XLOOKUP($C1503,'Site Level Financials - ''23 ''24'!$C$2:$C$1577,'Site Level Financials - ''23 ''24'!AC$2:AC$1577)</f>
        <v>-44.144322758067894</v>
      </c>
      <c r="R1503" s="179">
        <f>_xlfn.XLOOKUP($C1503,'Site Level Financials - ''23 ''24'!$C$2:$C$1577,'Site Level Financials - ''23 ''24'!AD$2:AD$1577)</f>
        <v>-37.656370353679797</v>
      </c>
      <c r="S1503" s="155">
        <f>S1504*S1497</f>
        <v>-39.087444858151102</v>
      </c>
      <c r="T1503" s="154">
        <f t="shared" ref="T1503" si="4402">T1504*T1497</f>
        <v>-52.070490333538991</v>
      </c>
      <c r="U1503" s="154">
        <f t="shared" ref="U1503" si="4403">U1504*U1497</f>
        <v>-57.537058590390387</v>
      </c>
      <c r="V1503" s="154">
        <f t="shared" ref="V1503" si="4404">V1504*V1497</f>
        <v>-60.715396888647064</v>
      </c>
      <c r="W1503" s="154">
        <f t="shared" ref="W1503" si="4405">W1504*W1497</f>
        <v>-104.0770436175625</v>
      </c>
      <c r="X1503" s="154">
        <f t="shared" ref="X1503" si="4406">X1504*X1497</f>
        <v>-91.547920604818302</v>
      </c>
      <c r="Y1503" s="154">
        <f t="shared" ref="Y1503" si="4407">Y1504*Y1497</f>
        <v>-109.90072564552372</v>
      </c>
      <c r="Z1503" s="154">
        <f t="shared" ref="Z1503" si="4408">Z1504*Z1497</f>
        <v>-61.856330669069251</v>
      </c>
      <c r="AA1503" s="154">
        <f t="shared" ref="AA1503" si="4409">AA1504*AA1497</f>
        <v>-57.739867899281002</v>
      </c>
      <c r="AB1503" s="154">
        <f t="shared" ref="AB1503" si="4410">AB1504*AB1497</f>
        <v>-66.88826826951842</v>
      </c>
      <c r="AC1503" s="154">
        <f t="shared" ref="AC1503" si="4411">AC1504*AC1497</f>
        <v>-41.395085869710911</v>
      </c>
      <c r="AD1503" s="156">
        <f t="shared" ref="AD1503" si="4412">AD1504*AD1497</f>
        <v>-46.069424018273445</v>
      </c>
      <c r="AE1503" s="15"/>
      <c r="AF1503" s="115">
        <f>_xlfn.XLOOKUP($C1503,'Site Level Financials - ''23 ''24'!$C$2:$C$1577,'Site Level Financials - ''23 ''24'!$AF$2:$AF$1577)</f>
        <v>-671.79101699147611</v>
      </c>
      <c r="AG1503" s="93">
        <f>SUM(G1503:R1503)</f>
        <v>-651.05249448508971</v>
      </c>
      <c r="AH1503" s="93">
        <f t="shared" ref="AH1503" si="4413">SUM(S1503:AD1503)</f>
        <v>-788.88505726448511</v>
      </c>
    </row>
    <row r="1504" spans="2:34" x14ac:dyDescent="0.2">
      <c r="B1504" s="9">
        <f>G1485</f>
        <v>31</v>
      </c>
      <c r="C1504" s="9" t="str">
        <f t="shared" si="4368"/>
        <v>31 - % of Revenue - Administrative Staff Compensation</v>
      </c>
      <c r="D1504" s="9" t="s">
        <v>56</v>
      </c>
      <c r="F1504" s="16" t="str">
        <f>"% of Revenue - "&amp;F1503</f>
        <v>% of Revenue - Administrative Staff Compensation</v>
      </c>
      <c r="G1504" s="148">
        <f>G1503/G1497</f>
        <v>-0.13738351762150125</v>
      </c>
      <c r="H1504" s="149">
        <f t="shared" ref="H1504:R1504" si="4414">H1503/H1497</f>
        <v>-0.17674527033010901</v>
      </c>
      <c r="I1504" s="149">
        <f t="shared" si="4414"/>
        <v>-0.18187991575143006</v>
      </c>
      <c r="J1504" s="149">
        <f t="shared" si="4414"/>
        <v>-0.17917646111613811</v>
      </c>
      <c r="K1504" s="149">
        <f t="shared" si="4414"/>
        <v>-0.25842445393322472</v>
      </c>
      <c r="L1504" s="149">
        <f t="shared" si="4414"/>
        <v>-0.2706934705873611</v>
      </c>
      <c r="M1504" s="149">
        <f t="shared" si="4414"/>
        <v>-0.27142927966604008</v>
      </c>
      <c r="N1504" s="149">
        <f t="shared" si="4414"/>
        <v>-0.17816024581354059</v>
      </c>
      <c r="O1504" s="149">
        <f t="shared" si="4414"/>
        <v>-0.18138872420932145</v>
      </c>
      <c r="P1504" s="149">
        <f t="shared" si="4414"/>
        <v>-0.18296001950073892</v>
      </c>
      <c r="Q1504" s="149">
        <f t="shared" si="4414"/>
        <v>-0.14324194597979015</v>
      </c>
      <c r="R1504" s="149">
        <f t="shared" si="4414"/>
        <v>-0.19531290406932372</v>
      </c>
      <c r="S1504" s="245">
        <f>_xlfn.XLOOKUP($F1504,'Budget Assumption Driver'!$A$33:$A$39,'Budget Assumption Driver'!E$33:E$39)+G1504</f>
        <v>-0.13738351762150125</v>
      </c>
      <c r="T1504" s="246">
        <f>_xlfn.XLOOKUP($F1504,'Budget Assumption Driver'!$A$33:$A$39,'Budget Assumption Driver'!F$33:F$39)+H1504</f>
        <v>-0.17674527033010901</v>
      </c>
      <c r="U1504" s="246">
        <f>_xlfn.XLOOKUP($F1504,'Budget Assumption Driver'!$A$33:$A$39,'Budget Assumption Driver'!G$33:G$39)+I1504</f>
        <v>-0.18187991575143006</v>
      </c>
      <c r="V1504" s="246">
        <f>_xlfn.XLOOKUP($F1504,'Budget Assumption Driver'!$A$33:$A$39,'Budget Assumption Driver'!H$33:H$39)+J1504</f>
        <v>-0.17917646111613811</v>
      </c>
      <c r="W1504" s="246">
        <f>_xlfn.XLOOKUP($F1504,'Budget Assumption Driver'!$A$33:$A$39,'Budget Assumption Driver'!I$33:I$39)+K1504</f>
        <v>-0.25842445393322472</v>
      </c>
      <c r="X1504" s="246">
        <f>_xlfn.XLOOKUP($F1504,'Budget Assumption Driver'!$A$33:$A$39,'Budget Assumption Driver'!J$33:J$39)+L1504</f>
        <v>-0.2706934705873611</v>
      </c>
      <c r="Y1504" s="246">
        <f>_xlfn.XLOOKUP($F1504,'Budget Assumption Driver'!$A$33:$A$39,'Budget Assumption Driver'!K$33:K$39)+M1504</f>
        <v>-0.27142927966604008</v>
      </c>
      <c r="Z1504" s="246">
        <f>_xlfn.XLOOKUP($F1504,'Budget Assumption Driver'!$A$33:$A$39,'Budget Assumption Driver'!L$33:L$39)+N1504</f>
        <v>-0.17816024581354059</v>
      </c>
      <c r="AA1504" s="246">
        <f>_xlfn.XLOOKUP($F1504,'Budget Assumption Driver'!$A$33:$A$39,'Budget Assumption Driver'!M$33:M$39)+O1504</f>
        <v>-0.18138872420932145</v>
      </c>
      <c r="AB1504" s="246">
        <f>_xlfn.XLOOKUP($F1504,'Budget Assumption Driver'!$A$33:$A$39,'Budget Assumption Driver'!N$33:N$39)+P1504</f>
        <v>-0.18296001950073892</v>
      </c>
      <c r="AC1504" s="246">
        <f>_xlfn.XLOOKUP($F1504,'Budget Assumption Driver'!$A$33:$A$39,'Budget Assumption Driver'!O$33:O$39)+Q1504</f>
        <v>-0.14324194597979015</v>
      </c>
      <c r="AD1504" s="296">
        <f>_xlfn.XLOOKUP($F1504,'Budget Assumption Driver'!$A$33:$A$39,'Budget Assumption Driver'!P$33:P$39)+R1504</f>
        <v>-0.19531290406932372</v>
      </c>
      <c r="AE1504" s="15"/>
      <c r="AF1504" s="232">
        <f>_xlfn.XLOOKUP($C1504,'Site Level Financials - ''23 ''24'!$C$2:$C$1577,'Site Level Financials - ''23 ''24'!$AF$2:$AF$1577)</f>
        <v>-0.17305875231776102</v>
      </c>
      <c r="AG1504" s="97">
        <f t="shared" ref="AG1504:AH1504" si="4415">AG1503/AG1497</f>
        <v>-0.19134628250068766</v>
      </c>
      <c r="AH1504" s="97">
        <f t="shared" si="4415"/>
        <v>-0.20042179616783001</v>
      </c>
    </row>
    <row r="1505" spans="2:34" ht="3" customHeight="1" x14ac:dyDescent="0.2">
      <c r="B1505" s="9">
        <f>G1485</f>
        <v>31</v>
      </c>
      <c r="C1505" s="9" t="str">
        <f t="shared" si="4368"/>
        <v xml:space="preserve">31 - </v>
      </c>
      <c r="D1505" s="9" t="s">
        <v>56</v>
      </c>
      <c r="F1505" s="16"/>
      <c r="G1505" s="84"/>
      <c r="H1505" s="85"/>
      <c r="I1505" s="85"/>
      <c r="J1505" s="85"/>
      <c r="K1505" s="85"/>
      <c r="L1505" s="85"/>
      <c r="M1505" s="85"/>
      <c r="N1505" s="85"/>
      <c r="O1505" s="85"/>
      <c r="P1505" s="85"/>
      <c r="Q1505" s="85"/>
      <c r="R1505" s="85"/>
      <c r="S1505" s="84"/>
      <c r="T1505" s="85"/>
      <c r="U1505" s="85"/>
      <c r="V1505" s="85"/>
      <c r="W1505" s="85"/>
      <c r="X1505" s="85"/>
      <c r="Y1505" s="85"/>
      <c r="Z1505" s="85"/>
      <c r="AA1505" s="85"/>
      <c r="AB1505" s="85"/>
      <c r="AC1505" s="85"/>
      <c r="AD1505" s="86"/>
      <c r="AE1505" s="15"/>
      <c r="AF1505" s="36"/>
      <c r="AG1505" s="38"/>
      <c r="AH1505" s="38"/>
    </row>
    <row r="1506" spans="2:34" x14ac:dyDescent="0.2">
      <c r="B1506" s="9">
        <f>G1485</f>
        <v>31</v>
      </c>
      <c r="C1506" s="9" t="str">
        <f t="shared" si="4368"/>
        <v>31 - Office Supplies</v>
      </c>
      <c r="D1506" s="9" t="s">
        <v>56</v>
      </c>
      <c r="F1506" t="s">
        <v>6</v>
      </c>
      <c r="G1506" s="178">
        <f>_xlfn.XLOOKUP($C1506,'Site Level Financials - ''23 ''24'!$C$2:$C$1577,'Site Level Financials - ''23 ''24'!S$2:S$1577)</f>
        <v>-20.392390453960555</v>
      </c>
      <c r="H1506" s="179">
        <f>_xlfn.XLOOKUP($C1506,'Site Level Financials - ''23 ''24'!$C$2:$C$1577,'Site Level Financials - ''23 ''24'!T$2:T$1577)</f>
        <v>-22.419072462878269</v>
      </c>
      <c r="I1506" s="179">
        <f>_xlfn.XLOOKUP($C1506,'Site Level Financials - ''23 ''24'!$C$2:$C$1577,'Site Level Financials - ''23 ''24'!U$2:U$1577)</f>
        <v>-22.582506660348848</v>
      </c>
      <c r="J1506" s="179">
        <f>_xlfn.XLOOKUP($C1506,'Site Level Financials - ''23 ''24'!$C$2:$C$1577,'Site Level Financials - ''23 ''24'!V$2:V$1577)</f>
        <v>-22.636343546380864</v>
      </c>
      <c r="K1506" s="179">
        <f>_xlfn.XLOOKUP($C1506,'Site Level Financials - ''23 ''24'!$C$2:$C$1577,'Site Level Financials - ''23 ''24'!W$2:W$1577)</f>
        <v>-28.06060478163786</v>
      </c>
      <c r="L1506" s="179">
        <f>_xlfn.XLOOKUP($C1506,'Site Level Financials - ''23 ''24'!$C$2:$C$1577,'Site Level Financials - ''23 ''24'!X$2:X$1577)</f>
        <v>-22.504675133309554</v>
      </c>
      <c r="M1506" s="179">
        <f>_xlfn.XLOOKUP($C1506,'Site Level Financials - ''23 ''24'!$C$2:$C$1577,'Site Level Financials - ''23 ''24'!Y$2:Y$1577)</f>
        <v>-21.09191381526383</v>
      </c>
      <c r="N1506" s="179">
        <f>_xlfn.XLOOKUP($C1506,'Site Level Financials - ''23 ''24'!$C$2:$C$1577,'Site Level Financials - ''23 ''24'!Z$2:Z$1577)</f>
        <v>-18.583885355748262</v>
      </c>
      <c r="O1506" s="179">
        <f>_xlfn.XLOOKUP($C1506,'Site Level Financials - ''23 ''24'!$C$2:$C$1577,'Site Level Financials - ''23 ''24'!AA$2:AA$1577)</f>
        <v>-17.427516772726701</v>
      </c>
      <c r="P1506" s="179">
        <f>_xlfn.XLOOKUP($C1506,'Site Level Financials - ''23 ''24'!$C$2:$C$1577,'Site Level Financials - ''23 ''24'!AB$2:AB$1577)</f>
        <v>-18.853645647969408</v>
      </c>
      <c r="Q1506" s="179">
        <f>_xlfn.XLOOKUP($C1506,'Site Level Financials - ''23 ''24'!$C$2:$C$1577,'Site Level Financials - ''23 ''24'!AC$2:AC$1577)</f>
        <v>-12.942022311393902</v>
      </c>
      <c r="R1506" s="179">
        <f>_xlfn.XLOOKUP($C1506,'Site Level Financials - ''23 ''24'!$C$2:$C$1577,'Site Level Financials - ''23 ''24'!AD$2:AD$1577)</f>
        <v>-9.9091935054713129</v>
      </c>
      <c r="S1506" s="155">
        <f>S1507*S1497</f>
        <v>-16.163319866753614</v>
      </c>
      <c r="T1506" s="154">
        <f t="shared" ref="T1506" si="4416">T1507*T1497</f>
        <v>-21.24587479289525</v>
      </c>
      <c r="U1506" s="154">
        <f t="shared" ref="U1506" si="4417">U1507*U1497</f>
        <v>-21.799828090806066</v>
      </c>
      <c r="V1506" s="154">
        <f t="shared" ref="V1506" si="4418">V1507*V1497</f>
        <v>-24.110850473067853</v>
      </c>
      <c r="W1506" s="154">
        <f t="shared" ref="W1506" si="4419">W1507*W1497</f>
        <v>-40.502303857765554</v>
      </c>
      <c r="X1506" s="154">
        <f t="shared" ref="X1506" si="4420">X1507*X1497</f>
        <v>-34.57745364424558</v>
      </c>
      <c r="Y1506" s="154">
        <f t="shared" ref="Y1506" si="4421">Y1507*Y1497</f>
        <v>-38.433773205689093</v>
      </c>
      <c r="Z1506" s="154">
        <f t="shared" ref="Z1506" si="4422">Z1507*Z1497</f>
        <v>-22.8680585057228</v>
      </c>
      <c r="AA1506" s="154">
        <f t="shared" ref="AA1506" si="4423">AA1507*AA1497</f>
        <v>-20.314500072741669</v>
      </c>
      <c r="AB1506" s="154">
        <f t="shared" ref="AB1506" si="4424">AB1507*AB1497</f>
        <v>-22.287700154332544</v>
      </c>
      <c r="AC1506" s="154">
        <f t="shared" ref="AC1506" si="4425">AC1507*AC1497</f>
        <v>-12.136014133549097</v>
      </c>
      <c r="AD1506" s="156">
        <f t="shared" ref="AD1506" si="4426">AD1507*AD1497</f>
        <v>-12.123070625102585</v>
      </c>
      <c r="AE1506" s="15"/>
      <c r="AF1506" s="115">
        <f>_xlfn.XLOOKUP($C1506,'Site Level Financials - ''23 ''24'!$C$2:$C$1577,'Site Level Financials - ''23 ''24'!$AF$2:$AF$1577)</f>
        <v>-314.56129413204752</v>
      </c>
      <c r="AG1506" s="93">
        <f>SUM(G1506:R1506)</f>
        <v>-237.40377044708939</v>
      </c>
      <c r="AH1506" s="93">
        <f t="shared" ref="AH1506" si="4427">SUM(S1506:AD1506)</f>
        <v>-286.56274742267169</v>
      </c>
    </row>
    <row r="1507" spans="2:34" x14ac:dyDescent="0.2">
      <c r="B1507" s="9">
        <f>G1485</f>
        <v>31</v>
      </c>
      <c r="C1507" s="9" t="str">
        <f t="shared" si="4368"/>
        <v>31 - % of Revenue - Office Supplies</v>
      </c>
      <c r="D1507" s="9" t="s">
        <v>56</v>
      </c>
      <c r="F1507" s="16" t="str">
        <f>"% of Revenue - "&amp;F1506</f>
        <v>% of Revenue - Office Supplies</v>
      </c>
      <c r="G1507" s="148">
        <f>G1506/G1497</f>
        <v>-5.6810409270664788E-2</v>
      </c>
      <c r="H1507" s="149">
        <f t="shared" ref="H1507:R1507" si="4428">H1506/H1497</f>
        <v>-7.2115854097329804E-2</v>
      </c>
      <c r="I1507" s="149">
        <f t="shared" si="4428"/>
        <v>-6.8911254653773291E-2</v>
      </c>
      <c r="J1507" s="149">
        <f t="shared" si="4428"/>
        <v>-7.1153234330128545E-2</v>
      </c>
      <c r="K1507" s="149">
        <f t="shared" si="4428"/>
        <v>-0.1005676698114279</v>
      </c>
      <c r="L1507" s="149">
        <f t="shared" si="4428"/>
        <v>-0.10224034439228769</v>
      </c>
      <c r="M1507" s="149">
        <f t="shared" si="4428"/>
        <v>-9.4922497688649632E-2</v>
      </c>
      <c r="N1507" s="149">
        <f t="shared" si="4428"/>
        <v>-6.5865189231071888E-2</v>
      </c>
      <c r="O1507" s="149">
        <f t="shared" si="4428"/>
        <v>-6.3817625242448189E-2</v>
      </c>
      <c r="P1507" s="149">
        <f t="shared" si="4428"/>
        <v>-6.0963725932213657E-2</v>
      </c>
      <c r="Q1507" s="149">
        <f t="shared" si="4428"/>
        <v>-4.1994991540766427E-2</v>
      </c>
      <c r="R1507" s="149">
        <f t="shared" si="4428"/>
        <v>-5.1396173937123944E-2</v>
      </c>
      <c r="S1507" s="245">
        <f>_xlfn.XLOOKUP($F1507,'Budget Assumption Driver'!$A$33:$A$39,'Budget Assumption Driver'!E$33:E$39)+G1507</f>
        <v>-5.6810409270664788E-2</v>
      </c>
      <c r="T1507" s="246">
        <f>_xlfn.XLOOKUP($F1507,'Budget Assumption Driver'!$A$33:$A$39,'Budget Assumption Driver'!F$33:F$39)+H1507</f>
        <v>-7.2115854097329804E-2</v>
      </c>
      <c r="U1507" s="246">
        <f>_xlfn.XLOOKUP($F1507,'Budget Assumption Driver'!$A$33:$A$39,'Budget Assumption Driver'!G$33:G$39)+I1507</f>
        <v>-6.8911254653773291E-2</v>
      </c>
      <c r="V1507" s="246">
        <f>_xlfn.XLOOKUP($F1507,'Budget Assumption Driver'!$A$33:$A$39,'Budget Assumption Driver'!H$33:H$39)+J1507</f>
        <v>-7.1153234330128545E-2</v>
      </c>
      <c r="W1507" s="246">
        <f>_xlfn.XLOOKUP($F1507,'Budget Assumption Driver'!$A$33:$A$39,'Budget Assumption Driver'!I$33:I$39)+K1507</f>
        <v>-0.1005676698114279</v>
      </c>
      <c r="X1507" s="246">
        <f>_xlfn.XLOOKUP($F1507,'Budget Assumption Driver'!$A$33:$A$39,'Budget Assumption Driver'!J$33:J$39)+L1507</f>
        <v>-0.10224034439228769</v>
      </c>
      <c r="Y1507" s="246">
        <f>_xlfn.XLOOKUP($F1507,'Budget Assumption Driver'!$A$33:$A$39,'Budget Assumption Driver'!K$33:K$39)+M1507</f>
        <v>-9.4922497688649632E-2</v>
      </c>
      <c r="Z1507" s="246">
        <f>_xlfn.XLOOKUP($F1507,'Budget Assumption Driver'!$A$33:$A$39,'Budget Assumption Driver'!L$33:L$39)+N1507</f>
        <v>-6.5865189231071888E-2</v>
      </c>
      <c r="AA1507" s="246">
        <f>_xlfn.XLOOKUP($F1507,'Budget Assumption Driver'!$A$33:$A$39,'Budget Assumption Driver'!M$33:M$39)+O1507</f>
        <v>-6.3817625242448189E-2</v>
      </c>
      <c r="AB1507" s="246">
        <f>_xlfn.XLOOKUP($F1507,'Budget Assumption Driver'!$A$33:$A$39,'Budget Assumption Driver'!N$33:N$39)+P1507</f>
        <v>-6.0963725932213657E-2</v>
      </c>
      <c r="AC1507" s="246">
        <f>_xlfn.XLOOKUP($F1507,'Budget Assumption Driver'!$A$33:$A$39,'Budget Assumption Driver'!O$33:O$39)+Q1507</f>
        <v>-4.1994991540766427E-2</v>
      </c>
      <c r="AD1507" s="296">
        <f>_xlfn.XLOOKUP($F1507,'Budget Assumption Driver'!$A$33:$A$39,'Budget Assumption Driver'!P$33:P$39)+R1507</f>
        <v>-5.1396173937123944E-2</v>
      </c>
      <c r="AE1507" s="15"/>
      <c r="AF1507" s="232">
        <f>_xlfn.XLOOKUP($C1507,'Site Level Financials - ''23 ''24'!$C$2:$C$1577,'Site Level Financials - ''23 ''24'!$AF$2:$AF$1577)</f>
        <v>-8.1033511483591489E-2</v>
      </c>
      <c r="AG1507" s="97">
        <f t="shared" ref="AG1507:AH1507" si="4429">AG1506/AG1497</f>
        <v>-6.9773680788404568E-2</v>
      </c>
      <c r="AH1507" s="97">
        <f t="shared" si="4429"/>
        <v>-7.2803281066565667E-2</v>
      </c>
    </row>
    <row r="1508" spans="2:34" ht="6" customHeight="1" x14ac:dyDescent="0.2">
      <c r="B1508" s="9">
        <f>G1485</f>
        <v>31</v>
      </c>
      <c r="C1508" s="9" t="str">
        <f t="shared" si="4368"/>
        <v xml:space="preserve">31 - </v>
      </c>
      <c r="D1508" s="9" t="s">
        <v>56</v>
      </c>
      <c r="F1508" s="16"/>
      <c r="G1508" s="80"/>
      <c r="H1508" s="63"/>
      <c r="I1508" s="63"/>
      <c r="J1508" s="63"/>
      <c r="K1508" s="63"/>
      <c r="L1508" s="63"/>
      <c r="M1508" s="63"/>
      <c r="N1508" s="63"/>
      <c r="O1508" s="63"/>
      <c r="P1508" s="63"/>
      <c r="Q1508" s="63"/>
      <c r="R1508" s="63"/>
      <c r="S1508" s="80"/>
      <c r="T1508" s="63"/>
      <c r="U1508" s="63"/>
      <c r="V1508" s="63"/>
      <c r="W1508" s="63"/>
      <c r="X1508" s="63"/>
      <c r="Y1508" s="63"/>
      <c r="Z1508" s="63"/>
      <c r="AA1508" s="63"/>
      <c r="AB1508" s="63"/>
      <c r="AC1508" s="63"/>
      <c r="AD1508" s="81"/>
      <c r="AE1508" s="15"/>
      <c r="AF1508" s="11"/>
      <c r="AG1508" s="15"/>
      <c r="AH1508" s="15"/>
    </row>
    <row r="1509" spans="2:34" x14ac:dyDescent="0.2">
      <c r="B1509" s="9">
        <f>G1485</f>
        <v>31</v>
      </c>
      <c r="C1509" s="9" t="str">
        <f t="shared" si="4368"/>
        <v>31 - Office Gross Profit</v>
      </c>
      <c r="D1509" s="9" t="s">
        <v>56</v>
      </c>
      <c r="F1509" s="8" t="s">
        <v>11</v>
      </c>
      <c r="G1509" s="241">
        <f>_xlfn.XLOOKUP($C1509,'Site Level Financials - ''23 ''24'!$C$2:$C$1577,'Site Level Financials - ''23 ''24'!S$2:S$1577)</f>
        <v>193.72246137535089</v>
      </c>
      <c r="H1509" s="242">
        <f>_xlfn.XLOOKUP($C1509,'Site Level Financials - ''23 ''24'!$C$2:$C$1577,'Site Level Financials - ''23 ''24'!T$2:T$1577)</f>
        <v>124.65267882211808</v>
      </c>
      <c r="I1509" s="242">
        <f>_xlfn.XLOOKUP($C1509,'Site Level Financials - ''23 ''24'!$C$2:$C$1577,'Site Level Financials - ''23 ''24'!U$2:U$1577)</f>
        <v>129.78941914033561</v>
      </c>
      <c r="J1509" s="242">
        <f>_xlfn.XLOOKUP($C1509,'Site Level Financials - ''23 ''24'!$C$2:$C$1577,'Site Level Financials - ''23 ''24'!V$2:V$1577)</f>
        <v>127.76658613099593</v>
      </c>
      <c r="K1509" s="242">
        <f>_xlfn.XLOOKUP($C1509,'Site Level Financials - ''23 ''24'!$C$2:$C$1577,'Site Level Financials - ''23 ''24'!W$2:W$1577)</f>
        <v>82.337709022812405</v>
      </c>
      <c r="L1509" s="242">
        <f>_xlfn.XLOOKUP($C1509,'Site Level Financials - ''23 ''24'!$C$2:$C$1577,'Site Level Financials - ''23 ''24'!X$2:X$1577)</f>
        <v>61.499526422591764</v>
      </c>
      <c r="M1509" s="242">
        <f>_xlfn.XLOOKUP($C1509,'Site Level Financials - ''23 ''24'!$C$2:$C$1577,'Site Level Financials - ''23 ''24'!Y$2:Y$1577)</f>
        <v>63.326953973354087</v>
      </c>
      <c r="N1509" s="242">
        <f>_xlfn.XLOOKUP($C1509,'Site Level Financials - ''23 ''24'!$C$2:$C$1577,'Site Level Financials - ''23 ''24'!Z$2:Z$1577)</f>
        <v>113.68578492340978</v>
      </c>
      <c r="O1509" s="242">
        <f>_xlfn.XLOOKUP($C1509,'Site Level Financials - ''23 ''24'!$C$2:$C$1577,'Site Level Financials - ''23 ''24'!AA$2:AA$1577)</f>
        <v>111.01311420163782</v>
      </c>
      <c r="P1509" s="242">
        <f>_xlfn.XLOOKUP($C1509,'Site Level Financials - ''23 ''24'!$C$2:$C$1577,'Site Level Financials - ''23 ''24'!AB$2:AB$1577)</f>
        <v>124.95368033313562</v>
      </c>
      <c r="Q1509" s="242">
        <f>_xlfn.XLOOKUP($C1509,'Site Level Financials - ''23 ''24'!$C$2:$C$1577,'Site Level Financials - ''23 ''24'!AC$2:AC$1577)</f>
        <v>171.38675567191578</v>
      </c>
      <c r="R1509" s="242">
        <f>_xlfn.XLOOKUP($C1509,'Site Level Financials - ''23 ''24'!$C$2:$C$1577,'Site Level Financials - ''23 ''24'!AD$2:AD$1577)</f>
        <v>78.771034306247145</v>
      </c>
      <c r="S1509" s="134">
        <f t="shared" ref="S1509:AD1509" si="4430">S1497+S1500+S1503+S1506</f>
        <v>153.54737913899078</v>
      </c>
      <c r="T1509" s="135">
        <f t="shared" si="4430"/>
        <v>118.1295618379788</v>
      </c>
      <c r="U1509" s="135">
        <f t="shared" si="4430"/>
        <v>125.29109668028249</v>
      </c>
      <c r="V1509" s="135">
        <f t="shared" si="4430"/>
        <v>136.08916331150633</v>
      </c>
      <c r="W1509" s="135">
        <f t="shared" si="4430"/>
        <v>118.84515446995945</v>
      </c>
      <c r="X1509" s="135">
        <f t="shared" si="4430"/>
        <v>94.491345083793661</v>
      </c>
      <c r="Y1509" s="135">
        <f t="shared" si="4430"/>
        <v>115.39463929810101</v>
      </c>
      <c r="Z1509" s="135">
        <f t="shared" si="4430"/>
        <v>139.89395280537536</v>
      </c>
      <c r="AA1509" s="135">
        <f t="shared" si="4430"/>
        <v>129.40317005195496</v>
      </c>
      <c r="AB1509" s="135">
        <f t="shared" si="4430"/>
        <v>147.71308490913489</v>
      </c>
      <c r="AC1509" s="135">
        <f t="shared" si="4430"/>
        <v>160.71306624980446</v>
      </c>
      <c r="AD1509" s="136">
        <f t="shared" si="4430"/>
        <v>96.369781413567424</v>
      </c>
      <c r="AE1509" s="15"/>
      <c r="AF1509" s="114">
        <f>_xlfn.XLOOKUP($C1509,'Site Level Financials - ''23 ''24'!$C$2:$C$1577,'Site Level Financials - ''23 ''24'!$AF$2:$AF$1577)</f>
        <v>1684.1058817570135</v>
      </c>
      <c r="AG1509" s="95">
        <f>SUM(G1509:R1509)</f>
        <v>1382.905704323905</v>
      </c>
      <c r="AH1509" s="95">
        <f t="shared" ref="AH1509" si="4431">SUM(S1509:AD1509)</f>
        <v>1535.8813952504495</v>
      </c>
    </row>
    <row r="1510" spans="2:34" x14ac:dyDescent="0.2">
      <c r="B1510" s="9">
        <f>G1485</f>
        <v>31</v>
      </c>
      <c r="C1510" s="9" t="str">
        <f t="shared" si="4368"/>
        <v>31 - % of Revenue - Office Gross Profit</v>
      </c>
      <c r="D1510" s="9" t="s">
        <v>56</v>
      </c>
      <c r="F1510" s="16" t="str">
        <f>"% of Revenue - "&amp;F1509</f>
        <v>% of Revenue - Office Gross Profit</v>
      </c>
      <c r="G1510" s="148">
        <f>G1509/G1497</f>
        <v>0.53968426803620695</v>
      </c>
      <c r="H1510" s="149">
        <f t="shared" ref="H1510:AD1510" si="4432">H1509/H1497</f>
        <v>0.40097262782222498</v>
      </c>
      <c r="I1510" s="149">
        <f t="shared" si="4432"/>
        <v>0.39605664013592817</v>
      </c>
      <c r="J1510" s="149">
        <f t="shared" si="4432"/>
        <v>0.40161105630475336</v>
      </c>
      <c r="K1510" s="149">
        <f t="shared" si="4432"/>
        <v>0.29509383701716152</v>
      </c>
      <c r="L1510" s="149">
        <f t="shared" si="4432"/>
        <v>0.27939673530775821</v>
      </c>
      <c r="M1510" s="149">
        <f t="shared" si="4432"/>
        <v>0.28499797101459634</v>
      </c>
      <c r="N1510" s="149">
        <f t="shared" si="4432"/>
        <v>0.40292627690727756</v>
      </c>
      <c r="O1510" s="149">
        <f t="shared" si="4432"/>
        <v>0.40651765891307606</v>
      </c>
      <c r="P1510" s="149">
        <f t="shared" si="4432"/>
        <v>0.40404079212505817</v>
      </c>
      <c r="Q1510" s="149">
        <f t="shared" si="4432"/>
        <v>0.55612524700294086</v>
      </c>
      <c r="R1510" s="149">
        <f t="shared" si="4432"/>
        <v>0.40856299538157764</v>
      </c>
      <c r="S1510" s="148">
        <f t="shared" si="4432"/>
        <v>0.53968426803620673</v>
      </c>
      <c r="T1510" s="149">
        <f t="shared" si="4432"/>
        <v>0.40097262782222493</v>
      </c>
      <c r="U1510" s="149">
        <f t="shared" si="4432"/>
        <v>0.39605664013592817</v>
      </c>
      <c r="V1510" s="149">
        <f t="shared" si="4432"/>
        <v>0.40161105630475336</v>
      </c>
      <c r="W1510" s="149">
        <f t="shared" si="4432"/>
        <v>0.29509383701716169</v>
      </c>
      <c r="X1510" s="149">
        <f t="shared" si="4432"/>
        <v>0.27939673530775821</v>
      </c>
      <c r="Y1510" s="149">
        <f t="shared" si="4432"/>
        <v>0.2849979710145964</v>
      </c>
      <c r="Z1510" s="149">
        <f t="shared" si="4432"/>
        <v>0.40292627690727756</v>
      </c>
      <c r="AA1510" s="149">
        <f t="shared" si="4432"/>
        <v>0.40651765891307601</v>
      </c>
      <c r="AB1510" s="149">
        <f t="shared" si="4432"/>
        <v>0.40404079212505822</v>
      </c>
      <c r="AC1510" s="149">
        <f t="shared" si="4432"/>
        <v>0.55612524700294086</v>
      </c>
      <c r="AD1510" s="150">
        <f t="shared" si="4432"/>
        <v>0.40856299538157753</v>
      </c>
      <c r="AE1510" s="15"/>
      <c r="AF1510" s="233">
        <f>_xlfn.XLOOKUP($C1510,'Site Level Financials - ''23 ''24'!$C$2:$C$1577,'Site Level Financials - ''23 ''24'!$AF$2:$AF$1577)</f>
        <v>0.43383917810197442</v>
      </c>
      <c r="AG1510" s="97">
        <f t="shared" ref="AG1510:AH1510" si="4433">AG1509/AG1497</f>
        <v>0.40644013779665272</v>
      </c>
      <c r="AH1510" s="97">
        <f t="shared" si="4433"/>
        <v>0.39020146864519129</v>
      </c>
    </row>
    <row r="1511" spans="2:34" ht="6" customHeight="1" x14ac:dyDescent="0.2">
      <c r="B1511" s="9">
        <f>G1485</f>
        <v>31</v>
      </c>
      <c r="C1511" s="9" t="str">
        <f t="shared" si="4368"/>
        <v xml:space="preserve">31 - </v>
      </c>
      <c r="D1511" s="9" t="s">
        <v>56</v>
      </c>
      <c r="F1511" s="16"/>
      <c r="G1511" s="80"/>
      <c r="H1511" s="63"/>
      <c r="I1511" s="63"/>
      <c r="J1511" s="63"/>
      <c r="K1511" s="63"/>
      <c r="L1511" s="63"/>
      <c r="M1511" s="63"/>
      <c r="N1511" s="63"/>
      <c r="O1511" s="63"/>
      <c r="P1511" s="63"/>
      <c r="Q1511" s="63"/>
      <c r="R1511" s="63"/>
      <c r="S1511" s="80"/>
      <c r="T1511" s="63"/>
      <c r="U1511" s="63"/>
      <c r="V1511" s="63"/>
      <c r="W1511" s="63"/>
      <c r="X1511" s="63"/>
      <c r="Y1511" s="63"/>
      <c r="Z1511" s="63"/>
      <c r="AA1511" s="63"/>
      <c r="AB1511" s="63"/>
      <c r="AC1511" s="63"/>
      <c r="AD1511" s="81"/>
      <c r="AE1511" s="15"/>
      <c r="AF1511" s="11"/>
      <c r="AG1511" s="15"/>
      <c r="AH1511" s="15"/>
    </row>
    <row r="1512" spans="2:34" x14ac:dyDescent="0.2">
      <c r="B1512" s="9">
        <f>G1485</f>
        <v>31</v>
      </c>
      <c r="C1512" s="9" t="str">
        <f t="shared" si="4368"/>
        <v>31 - General and Administrative Expense</v>
      </c>
      <c r="D1512" s="9" t="s">
        <v>56</v>
      </c>
      <c r="F1512" t="s">
        <v>10</v>
      </c>
      <c r="G1512" s="178">
        <f>_xlfn.XLOOKUP($C1512,'Site Level Financials - ''23 ''24'!$C$2:$C$1577,'Site Level Financials - ''23 ''24'!S$2:S$1577)</f>
        <v>-11.303268873647886</v>
      </c>
      <c r="H1512" s="179">
        <f>_xlfn.XLOOKUP($C1512,'Site Level Financials - ''23 ''24'!$C$2:$C$1577,'Site Level Financials - ''23 ''24'!T$2:T$1577)</f>
        <v>-14.348675420935416</v>
      </c>
      <c r="I1512" s="179">
        <f>_xlfn.XLOOKUP($C1512,'Site Level Financials - ''23 ''24'!$C$2:$C$1577,'Site Level Financials - ''23 ''24'!U$2:U$1577)</f>
        <v>-16.38316132788411</v>
      </c>
      <c r="J1512" s="179">
        <f>_xlfn.XLOOKUP($C1512,'Site Level Financials - ''23 ''24'!$C$2:$C$1577,'Site Level Financials - ''23 ''24'!V$2:V$1577)</f>
        <v>-17.137860688047152</v>
      </c>
      <c r="K1512" s="179">
        <f>_xlfn.XLOOKUP($C1512,'Site Level Financials - ''23 ''24'!$C$2:$C$1577,'Site Level Financials - ''23 ''24'!W$2:W$1577)</f>
        <v>-22.335234598860406</v>
      </c>
      <c r="L1512" s="179">
        <f>_xlfn.XLOOKUP($C1512,'Site Level Financials - ''23 ''24'!$C$2:$C$1577,'Site Level Financials - ''23 ''24'!X$2:X$1577)</f>
        <v>-16.412887949797465</v>
      </c>
      <c r="M1512" s="179">
        <f>_xlfn.XLOOKUP($C1512,'Site Level Financials - ''23 ''24'!$C$2:$C$1577,'Site Level Financials - ''23 ''24'!Y$2:Y$1577)</f>
        <v>-15.314923048916476</v>
      </c>
      <c r="N1512" s="179">
        <f>_xlfn.XLOOKUP($C1512,'Site Level Financials - ''23 ''24'!$C$2:$C$1577,'Site Level Financials - ''23 ''24'!Z$2:Z$1577)</f>
        <v>-12.836674913196338</v>
      </c>
      <c r="O1512" s="179">
        <f>_xlfn.XLOOKUP($C1512,'Site Level Financials - ''23 ''24'!$C$2:$C$1577,'Site Level Financials - ''23 ''24'!AA$2:AA$1577)</f>
        <v>-13.332102298194137</v>
      </c>
      <c r="P1512" s="179">
        <f>_xlfn.XLOOKUP($C1512,'Site Level Financials - ''23 ''24'!$C$2:$C$1577,'Site Level Financials - ''23 ''24'!AB$2:AB$1577)</f>
        <v>-16.084747441162918</v>
      </c>
      <c r="Q1512" s="179">
        <f>_xlfn.XLOOKUP($C1512,'Site Level Financials - ''23 ''24'!$C$2:$C$1577,'Site Level Financials - ''23 ''24'!AC$2:AC$1577)</f>
        <v>-11.877093336893791</v>
      </c>
      <c r="R1512" s="179">
        <f>_xlfn.XLOOKUP($C1512,'Site Level Financials - ''23 ''24'!$C$2:$C$1577,'Site Level Financials - ''23 ''24'!AD$2:AD$1577)</f>
        <v>-9.6943398380334251</v>
      </c>
      <c r="S1512" s="155">
        <f>S1513*S1497</f>
        <v>-8.9591433999444359</v>
      </c>
      <c r="T1512" s="154">
        <f t="shared" ref="T1512" si="4434">T1513*T1497</f>
        <v>-13.597804366878311</v>
      </c>
      <c r="U1512" s="154">
        <f t="shared" ref="U1512" si="4435">U1513*U1497</f>
        <v>-15.815343526895191</v>
      </c>
      <c r="V1512" s="154">
        <f t="shared" ref="V1512" si="4436">V1513*V1497</f>
        <v>-18.254202390555122</v>
      </c>
      <c r="W1512" s="154">
        <f t="shared" ref="W1512" si="4437">W1513*W1497</f>
        <v>-32.238380658477048</v>
      </c>
      <c r="X1512" s="154">
        <f t="shared" ref="X1512" si="4438">X1513*X1497</f>
        <v>-25.217687831108872</v>
      </c>
      <c r="Y1512" s="154">
        <f t="shared" ref="Y1512" si="4439">Y1513*Y1497</f>
        <v>-27.90691656907255</v>
      </c>
      <c r="Z1512" s="154">
        <f t="shared" ref="Z1512" si="4440">Z1513*Z1497</f>
        <v>-15.795934343897512</v>
      </c>
      <c r="AA1512" s="154">
        <f t="shared" ref="AA1512" si="4441">AA1513*AA1497</f>
        <v>-15.540653131392137</v>
      </c>
      <c r="AB1512" s="154">
        <f t="shared" ref="AB1512" si="4442">AB1513*AB1497</f>
        <v>-19.01446726646299</v>
      </c>
      <c r="AC1512" s="154">
        <f t="shared" ref="AC1512" si="4443">AC1513*AC1497</f>
        <v>-11.137407209932434</v>
      </c>
      <c r="AD1512" s="156">
        <f t="shared" ref="AD1512" si="4444">AD1513*AD1497</f>
        <v>-11.8602151078525</v>
      </c>
      <c r="AE1512" s="15"/>
      <c r="AF1512" s="115">
        <f>_xlfn.XLOOKUP($C1512,'Site Level Financials - ''23 ''24'!$C$2:$C$1577,'Site Level Financials - ''23 ''24'!$AF$2:$AF$1577)</f>
        <v>-180.89562486928685</v>
      </c>
      <c r="AG1512" s="93">
        <f>SUM(G1512:R1512)</f>
        <v>-177.0609697355695</v>
      </c>
      <c r="AH1512" s="93">
        <f t="shared" ref="AH1512" si="4445">SUM(S1512:AD1512)</f>
        <v>-215.33815580246909</v>
      </c>
    </row>
    <row r="1513" spans="2:34" x14ac:dyDescent="0.2">
      <c r="B1513" s="9">
        <f>G1485</f>
        <v>31</v>
      </c>
      <c r="C1513" s="9" t="str">
        <f t="shared" si="4368"/>
        <v>31 - % of Revenue - General and Administrative Expense</v>
      </c>
      <c r="D1513" s="9" t="s">
        <v>56</v>
      </c>
      <c r="F1513" s="16" t="str">
        <f>"% of Revenue - "&amp;F1512</f>
        <v>% of Revenue - General and Administrative Expense</v>
      </c>
      <c r="G1513" s="148">
        <f>G1512/G1497</f>
        <v>-3.1489360320853768E-2</v>
      </c>
      <c r="H1513" s="149">
        <f t="shared" ref="H1513:R1513" si="4446">H1512/H1497</f>
        <v>-4.6155655407220733E-2</v>
      </c>
      <c r="I1513" s="149">
        <f t="shared" si="4446"/>
        <v>-4.9993750440555935E-2</v>
      </c>
      <c r="J1513" s="149">
        <f t="shared" si="4446"/>
        <v>-5.38697521954105E-2</v>
      </c>
      <c r="K1513" s="149">
        <f t="shared" si="4446"/>
        <v>-8.004825682762301E-2</v>
      </c>
      <c r="L1513" s="149">
        <f t="shared" si="4446"/>
        <v>-7.4564920689550285E-2</v>
      </c>
      <c r="M1513" s="149">
        <f t="shared" si="4446"/>
        <v>-6.8923605531736196E-2</v>
      </c>
      <c r="N1513" s="149">
        <f t="shared" si="4446"/>
        <v>-4.5495869462728253E-2</v>
      </c>
      <c r="O1513" s="149">
        <f t="shared" si="4446"/>
        <v>-4.8820673608051639E-2</v>
      </c>
      <c r="P1513" s="149">
        <f t="shared" si="4446"/>
        <v>-5.2010425622778314E-2</v>
      </c>
      <c r="Q1513" s="149">
        <f t="shared" si="4446"/>
        <v>-3.8539450961433852E-2</v>
      </c>
      <c r="R1513" s="149">
        <f t="shared" si="4446"/>
        <v>-5.0281788951446797E-2</v>
      </c>
      <c r="S1513" s="245">
        <f>_xlfn.XLOOKUP($F1513,'Budget Assumption Driver'!$A$33:$A$39,'Budget Assumption Driver'!E$33:E$39)+G1513</f>
        <v>-3.1489360320853768E-2</v>
      </c>
      <c r="T1513" s="246">
        <f>_xlfn.XLOOKUP($F1513,'Budget Assumption Driver'!$A$33:$A$39,'Budget Assumption Driver'!F$33:F$39)+H1513</f>
        <v>-4.6155655407220733E-2</v>
      </c>
      <c r="U1513" s="246">
        <f>_xlfn.XLOOKUP($F1513,'Budget Assumption Driver'!$A$33:$A$39,'Budget Assumption Driver'!G$33:G$39)+I1513</f>
        <v>-4.9993750440555935E-2</v>
      </c>
      <c r="V1513" s="246">
        <f>_xlfn.XLOOKUP($F1513,'Budget Assumption Driver'!$A$33:$A$39,'Budget Assumption Driver'!H$33:H$39)+J1513</f>
        <v>-5.38697521954105E-2</v>
      </c>
      <c r="W1513" s="246">
        <f>_xlfn.XLOOKUP($F1513,'Budget Assumption Driver'!$A$33:$A$39,'Budget Assumption Driver'!I$33:I$39)+K1513</f>
        <v>-8.004825682762301E-2</v>
      </c>
      <c r="X1513" s="246">
        <f>_xlfn.XLOOKUP($F1513,'Budget Assumption Driver'!$A$33:$A$39,'Budget Assumption Driver'!J$33:J$39)+L1513</f>
        <v>-7.4564920689550285E-2</v>
      </c>
      <c r="Y1513" s="246">
        <f>_xlfn.XLOOKUP($F1513,'Budget Assumption Driver'!$A$33:$A$39,'Budget Assumption Driver'!K$33:K$39)+M1513</f>
        <v>-6.8923605531736196E-2</v>
      </c>
      <c r="Z1513" s="246">
        <f>_xlfn.XLOOKUP($F1513,'Budget Assumption Driver'!$A$33:$A$39,'Budget Assumption Driver'!L$33:L$39)+N1513</f>
        <v>-4.5495869462728253E-2</v>
      </c>
      <c r="AA1513" s="246">
        <f>_xlfn.XLOOKUP($F1513,'Budget Assumption Driver'!$A$33:$A$39,'Budget Assumption Driver'!M$33:M$39)+O1513</f>
        <v>-4.8820673608051639E-2</v>
      </c>
      <c r="AB1513" s="246">
        <f>_xlfn.XLOOKUP($F1513,'Budget Assumption Driver'!$A$33:$A$39,'Budget Assumption Driver'!N$33:N$39)+P1513</f>
        <v>-5.2010425622778314E-2</v>
      </c>
      <c r="AC1513" s="246">
        <f>_xlfn.XLOOKUP($F1513,'Budget Assumption Driver'!$A$33:$A$39,'Budget Assumption Driver'!O$33:O$39)+Q1513</f>
        <v>-3.8539450961433852E-2</v>
      </c>
      <c r="AD1513" s="296">
        <f>_xlfn.XLOOKUP($F1513,'Budget Assumption Driver'!$A$33:$A$39,'Budget Assumption Driver'!P$33:P$39)+R1513</f>
        <v>-5.0281788951446797E-2</v>
      </c>
      <c r="AE1513" s="15"/>
      <c r="AF1513" s="232">
        <f>_xlfn.XLOOKUP($C1513,'Site Level Financials - ''23 ''24'!$C$2:$C$1577,'Site Level Financials - ''23 ''24'!$AF$2:$AF$1577)</f>
        <v>-4.6600163366009605E-2</v>
      </c>
      <c r="AG1513" s="97">
        <f t="shared" ref="AG1513:AH1513" si="4447">AG1512/AG1497</f>
        <v>-5.2038750518363777E-2</v>
      </c>
      <c r="AH1513" s="97">
        <f t="shared" si="4447"/>
        <v>-5.470817272043902E-2</v>
      </c>
    </row>
    <row r="1514" spans="2:34" ht="3" customHeight="1" x14ac:dyDescent="0.2">
      <c r="B1514" s="9">
        <f>G1485</f>
        <v>31</v>
      </c>
      <c r="C1514" s="9" t="str">
        <f t="shared" si="4368"/>
        <v xml:space="preserve">31 - </v>
      </c>
      <c r="D1514" s="9" t="s">
        <v>56</v>
      </c>
      <c r="F1514" s="16"/>
      <c r="G1514" s="84"/>
      <c r="H1514" s="85"/>
      <c r="I1514" s="85"/>
      <c r="J1514" s="85"/>
      <c r="K1514" s="85"/>
      <c r="L1514" s="85"/>
      <c r="M1514" s="85"/>
      <c r="N1514" s="85"/>
      <c r="O1514" s="85"/>
      <c r="P1514" s="85"/>
      <c r="Q1514" s="85"/>
      <c r="R1514" s="85"/>
      <c r="S1514" s="84"/>
      <c r="T1514" s="85"/>
      <c r="U1514" s="85"/>
      <c r="V1514" s="85"/>
      <c r="W1514" s="85"/>
      <c r="X1514" s="85"/>
      <c r="Y1514" s="85"/>
      <c r="Z1514" s="85"/>
      <c r="AA1514" s="85"/>
      <c r="AB1514" s="85"/>
      <c r="AC1514" s="85"/>
      <c r="AD1514" s="86"/>
      <c r="AE1514" s="15"/>
      <c r="AF1514" s="36"/>
      <c r="AG1514" s="38"/>
      <c r="AH1514" s="38"/>
    </row>
    <row r="1515" spans="2:34" x14ac:dyDescent="0.2">
      <c r="B1515" s="9">
        <f>G1485</f>
        <v>31</v>
      </c>
      <c r="C1515" s="9" t="str">
        <f t="shared" si="4368"/>
        <v>31 - Marketing</v>
      </c>
      <c r="D1515" s="9" t="s">
        <v>56</v>
      </c>
      <c r="F1515" t="s">
        <v>7</v>
      </c>
      <c r="G1515" s="178">
        <f>_xlfn.XLOOKUP($C1515,'Site Level Financials - ''23 ''24'!$C$2:$C$1577,'Site Level Financials - ''23 ''24'!S$2:S$1577)</f>
        <v>-12.053048106124217</v>
      </c>
      <c r="H1515" s="179">
        <f>_xlfn.XLOOKUP($C1515,'Site Level Financials - ''23 ''24'!$C$2:$C$1577,'Site Level Financials - ''23 ''24'!T$2:T$1577)</f>
        <v>-15.293674842326508</v>
      </c>
      <c r="I1515" s="179">
        <f>_xlfn.XLOOKUP($C1515,'Site Level Financials - ''23 ''24'!$C$2:$C$1577,'Site Level Financials - ''23 ''24'!U$2:U$1577)</f>
        <v>-16.025023018315245</v>
      </c>
      <c r="J1515" s="179">
        <f>_xlfn.XLOOKUP($C1515,'Site Level Financials - ''23 ''24'!$C$2:$C$1577,'Site Level Financials - ''23 ''24'!V$2:V$1577)</f>
        <v>-17.124398136216577</v>
      </c>
      <c r="K1515" s="179">
        <f>_xlfn.XLOOKUP($C1515,'Site Level Financials - ''23 ''24'!$C$2:$C$1577,'Site Level Financials - ''23 ''24'!W$2:W$1577)</f>
        <v>-22.889367094275855</v>
      </c>
      <c r="L1515" s="179">
        <f>_xlfn.XLOOKUP($C1515,'Site Level Financials - ''23 ''24'!$C$2:$C$1577,'Site Level Financials - ''23 ''24'!X$2:X$1577)</f>
        <v>-19.508999485364608</v>
      </c>
      <c r="M1515" s="179">
        <f>_xlfn.XLOOKUP($C1515,'Site Level Financials - ''23 ''24'!$C$2:$C$1577,'Site Level Financials - ''23 ''24'!Y$2:Y$1577)</f>
        <v>-18.280047339852203</v>
      </c>
      <c r="N1515" s="179">
        <f>_xlfn.XLOOKUP($C1515,'Site Level Financials - ''23 ''24'!$C$2:$C$1577,'Site Level Financials - ''23 ''24'!Z$2:Z$1577)</f>
        <v>-16.848236856030287</v>
      </c>
      <c r="O1515" s="179">
        <f>_xlfn.XLOOKUP($C1515,'Site Level Financials - ''23 ''24'!$C$2:$C$1577,'Site Level Financials - ''23 ''24'!AA$2:AA$1577)</f>
        <v>-17.588472161596194</v>
      </c>
      <c r="P1515" s="179">
        <f>_xlfn.XLOOKUP($C1515,'Site Level Financials - ''23 ''24'!$C$2:$C$1577,'Site Level Financials - ''23 ''24'!AB$2:AB$1577)</f>
        <v>-20.146076172664596</v>
      </c>
      <c r="Q1515" s="179">
        <f>_xlfn.XLOOKUP($C1515,'Site Level Financials - ''23 ''24'!$C$2:$C$1577,'Site Level Financials - ''23 ''24'!AC$2:AC$1577)</f>
        <v>-14.114651113244868</v>
      </c>
      <c r="R1515" s="179">
        <f>_xlfn.XLOOKUP($C1515,'Site Level Financials - ''23 ''24'!$C$2:$C$1577,'Site Level Financials - ''23 ''24'!AD$2:AD$1577)</f>
        <v>-11.954387336785366</v>
      </c>
      <c r="S1515" s="155">
        <f>S1516*S1497</f>
        <v>-9.5534298614225328</v>
      </c>
      <c r="T1515" s="154">
        <f t="shared" ref="T1515" si="4448">T1516*T1497</f>
        <v>-14.493351647858729</v>
      </c>
      <c r="U1515" s="154">
        <f t="shared" ref="U1515" si="4449">U1516*U1497</f>
        <v>-15.469617797738577</v>
      </c>
      <c r="V1515" s="154">
        <f t="shared" ref="V1515" si="4450">V1516*V1497</f>
        <v>-18.239862902664427</v>
      </c>
      <c r="W1515" s="154">
        <f t="shared" ref="W1515" si="4451">W1516*W1497</f>
        <v>-33.038208134806595</v>
      </c>
      <c r="X1515" s="154">
        <f t="shared" ref="X1515" si="4452">X1516*X1497</f>
        <v>-29.974728422200631</v>
      </c>
      <c r="Y1515" s="154">
        <f t="shared" ref="Y1515" si="4453">Y1516*Y1497</f>
        <v>-33.30997840227765</v>
      </c>
      <c r="Z1515" s="154">
        <f t="shared" ref="Z1515" si="4454">Z1516*Z1497</f>
        <v>-20.73228815000202</v>
      </c>
      <c r="AA1515" s="154">
        <f t="shared" ref="AA1515" si="4455">AA1516*AA1497</f>
        <v>-20.502118785237442</v>
      </c>
      <c r="AB1515" s="154">
        <f t="shared" ref="AB1515" si="4456">AB1516*AB1497</f>
        <v>-23.81553750433681</v>
      </c>
      <c r="AC1515" s="154">
        <f t="shared" ref="AC1515" si="4457">AC1516*AC1497</f>
        <v>-13.235613513789799</v>
      </c>
      <c r="AD1515" s="156">
        <f t="shared" ref="AD1515" si="4458">AD1516*AD1497</f>
        <v>-14.625194460443423</v>
      </c>
      <c r="AE1515" s="15"/>
      <c r="AF1515" s="115">
        <f>_xlfn.XLOOKUP($C1515,'Site Level Financials - ''23 ''24'!$C$2:$C$1577,'Site Level Financials - ''23 ''24'!$AF$2:$AF$1577)</f>
        <v>-169.19672628345359</v>
      </c>
      <c r="AG1515" s="93">
        <f>SUM(G1515:R1515)</f>
        <v>-201.82638166279656</v>
      </c>
      <c r="AH1515" s="93">
        <f t="shared" ref="AH1515" si="4459">SUM(S1515:AD1515)</f>
        <v>-246.98992958277861</v>
      </c>
    </row>
    <row r="1516" spans="2:34" x14ac:dyDescent="0.2">
      <c r="B1516" s="9">
        <f>G1485</f>
        <v>31</v>
      </c>
      <c r="C1516" s="9" t="str">
        <f t="shared" si="4368"/>
        <v>31 - % of Revenue - Marketing</v>
      </c>
      <c r="D1516" s="9" t="s">
        <v>56</v>
      </c>
      <c r="F1516" s="16" t="str">
        <f>"% of Revenue - "&amp;F1515</f>
        <v>% of Revenue - Marketing</v>
      </c>
      <c r="G1516" s="148">
        <f>G1515/G1497</f>
        <v>-3.3578142661295496E-2</v>
      </c>
      <c r="H1516" s="149">
        <f t="shared" ref="H1516:R1516" si="4460">H1515/H1497</f>
        <v>-4.9195452905888157E-2</v>
      </c>
      <c r="I1516" s="149">
        <f t="shared" si="4460"/>
        <v>-4.8900879723271673E-2</v>
      </c>
      <c r="J1516" s="149">
        <f t="shared" si="4460"/>
        <v>-5.3827435109034795E-2</v>
      </c>
      <c r="K1516" s="149">
        <f t="shared" si="4460"/>
        <v>-8.2034237324636036E-2</v>
      </c>
      <c r="L1516" s="149">
        <f t="shared" si="4460"/>
        <v>-8.8630776241705844E-2</v>
      </c>
      <c r="M1516" s="149">
        <f t="shared" si="4460"/>
        <v>-8.226791397705234E-2</v>
      </c>
      <c r="N1516" s="149">
        <f t="shared" si="4460"/>
        <v>-5.9713686750069439E-2</v>
      </c>
      <c r="O1516" s="149">
        <f t="shared" si="4460"/>
        <v>-6.4407025948330782E-2</v>
      </c>
      <c r="P1516" s="149">
        <f t="shared" si="4460"/>
        <v>-6.5142831754244984E-2</v>
      </c>
      <c r="Q1516" s="149">
        <f t="shared" si="4460"/>
        <v>-4.5800002491090355E-2</v>
      </c>
      <c r="R1516" s="149">
        <f t="shared" si="4460"/>
        <v>-6.2004013801317856E-2</v>
      </c>
      <c r="S1516" s="245">
        <f>_xlfn.XLOOKUP($F1516,'Budget Assumption Driver'!$A$33:$A$39,'Budget Assumption Driver'!E$33:E$39)+G1516</f>
        <v>-3.3578142661295496E-2</v>
      </c>
      <c r="T1516" s="246">
        <f>_xlfn.XLOOKUP($F1516,'Budget Assumption Driver'!$A$33:$A$39,'Budget Assumption Driver'!F$33:F$39)+H1516</f>
        <v>-4.9195452905888157E-2</v>
      </c>
      <c r="U1516" s="246">
        <f>_xlfn.XLOOKUP($F1516,'Budget Assumption Driver'!$A$33:$A$39,'Budget Assumption Driver'!G$33:G$39)+I1516</f>
        <v>-4.8900879723271673E-2</v>
      </c>
      <c r="V1516" s="246">
        <f>_xlfn.XLOOKUP($F1516,'Budget Assumption Driver'!$A$33:$A$39,'Budget Assumption Driver'!H$33:H$39)+J1516</f>
        <v>-5.3827435109034795E-2</v>
      </c>
      <c r="W1516" s="246">
        <f>_xlfn.XLOOKUP($F1516,'Budget Assumption Driver'!$A$33:$A$39,'Budget Assumption Driver'!I$33:I$39)+K1516</f>
        <v>-8.2034237324636036E-2</v>
      </c>
      <c r="X1516" s="246">
        <f>_xlfn.XLOOKUP($F1516,'Budget Assumption Driver'!$A$33:$A$39,'Budget Assumption Driver'!J$33:J$39)+L1516</f>
        <v>-8.8630776241705844E-2</v>
      </c>
      <c r="Y1516" s="246">
        <f>_xlfn.XLOOKUP($F1516,'Budget Assumption Driver'!$A$33:$A$39,'Budget Assumption Driver'!K$33:K$39)+M1516</f>
        <v>-8.226791397705234E-2</v>
      </c>
      <c r="Z1516" s="246">
        <f>_xlfn.XLOOKUP($F1516,'Budget Assumption Driver'!$A$33:$A$39,'Budget Assumption Driver'!L$33:L$39)+N1516</f>
        <v>-5.9713686750069439E-2</v>
      </c>
      <c r="AA1516" s="246">
        <f>_xlfn.XLOOKUP($F1516,'Budget Assumption Driver'!$A$33:$A$39,'Budget Assumption Driver'!M$33:M$39)+O1516</f>
        <v>-6.4407025948330782E-2</v>
      </c>
      <c r="AB1516" s="246">
        <f>_xlfn.XLOOKUP($F1516,'Budget Assumption Driver'!$A$33:$A$39,'Budget Assumption Driver'!N$33:N$39)+P1516</f>
        <v>-6.5142831754244984E-2</v>
      </c>
      <c r="AC1516" s="246">
        <f>_xlfn.XLOOKUP($F1516,'Budget Assumption Driver'!$A$33:$A$39,'Budget Assumption Driver'!O$33:O$39)+Q1516</f>
        <v>-4.5800002491090355E-2</v>
      </c>
      <c r="AD1516" s="296">
        <f>_xlfn.XLOOKUP($F1516,'Budget Assumption Driver'!$A$33:$A$39,'Budget Assumption Driver'!P$33:P$39)+R1516</f>
        <v>-6.2004013801317856E-2</v>
      </c>
      <c r="AE1516" s="15"/>
      <c r="AF1516" s="232">
        <f>_xlfn.XLOOKUP($C1516,'Site Level Financials - ''23 ''24'!$C$2:$C$1577,'Site Level Financials - ''23 ''24'!$AF$2:$AF$1577)</f>
        <v>-4.3586433289916598E-2</v>
      </c>
      <c r="AG1516" s="97">
        <f t="shared" ref="AG1516:AH1516" si="4461">AG1515/AG1497</f>
        <v>-5.931737942619237E-2</v>
      </c>
      <c r="AH1516" s="97">
        <f t="shared" si="4461"/>
        <v>-6.2749528421793932E-2</v>
      </c>
    </row>
    <row r="1517" spans="2:34" ht="3" customHeight="1" x14ac:dyDescent="0.2">
      <c r="B1517" s="9">
        <f>G1485</f>
        <v>31</v>
      </c>
      <c r="C1517" s="9" t="str">
        <f t="shared" si="4368"/>
        <v xml:space="preserve">31 - </v>
      </c>
      <c r="D1517" s="9" t="s">
        <v>56</v>
      </c>
      <c r="F1517" s="16"/>
      <c r="G1517" s="84"/>
      <c r="H1517" s="85"/>
      <c r="I1517" s="85"/>
      <c r="J1517" s="85"/>
      <c r="K1517" s="85"/>
      <c r="L1517" s="85"/>
      <c r="M1517" s="85"/>
      <c r="N1517" s="85"/>
      <c r="O1517" s="85"/>
      <c r="P1517" s="85"/>
      <c r="Q1517" s="85"/>
      <c r="R1517" s="85"/>
      <c r="S1517" s="84"/>
      <c r="T1517" s="85"/>
      <c r="U1517" s="85"/>
      <c r="V1517" s="85"/>
      <c r="W1517" s="85"/>
      <c r="X1517" s="85"/>
      <c r="Y1517" s="85"/>
      <c r="Z1517" s="85"/>
      <c r="AA1517" s="85"/>
      <c r="AB1517" s="85"/>
      <c r="AC1517" s="85"/>
      <c r="AD1517" s="86"/>
      <c r="AE1517" s="15"/>
      <c r="AF1517" s="36"/>
      <c r="AG1517" s="38"/>
      <c r="AH1517" s="38"/>
    </row>
    <row r="1518" spans="2:34" x14ac:dyDescent="0.2">
      <c r="B1518" s="9">
        <f>G1485</f>
        <v>31</v>
      </c>
      <c r="C1518" s="9" t="str">
        <f t="shared" si="4368"/>
        <v>31 - Office Rent</v>
      </c>
      <c r="D1518" s="9" t="s">
        <v>56</v>
      </c>
      <c r="F1518" t="s">
        <v>162</v>
      </c>
      <c r="G1518" s="178">
        <f>_xlfn.XLOOKUP($C1518,'Site Level Financials - ''23 ''24'!$C$2:$C$1577,'Site Level Financials - ''23 ''24'!S$2:S$1577)</f>
        <v>-26.408737678654937</v>
      </c>
      <c r="H1518" s="179">
        <f>_xlfn.XLOOKUP($C1518,'Site Level Financials - ''23 ''24'!$C$2:$C$1577,'Site Level Financials - ''23 ''24'!T$2:T$1577)</f>
        <v>-26.408737678654937</v>
      </c>
      <c r="I1518" s="179">
        <f>_xlfn.XLOOKUP($C1518,'Site Level Financials - ''23 ''24'!$C$2:$C$1577,'Site Level Financials - ''23 ''24'!U$2:U$1577)</f>
        <v>-26.408737678654937</v>
      </c>
      <c r="J1518" s="179">
        <f>_xlfn.XLOOKUP($C1518,'Site Level Financials - ''23 ''24'!$C$2:$C$1577,'Site Level Financials - ''23 ''24'!V$2:V$1577)</f>
        <v>-26.408737678654937</v>
      </c>
      <c r="K1518" s="179">
        <f>_xlfn.XLOOKUP($C1518,'Site Level Financials - ''23 ''24'!$C$2:$C$1577,'Site Level Financials - ''23 ''24'!W$2:W$1577)</f>
        <v>-26.408737678654937</v>
      </c>
      <c r="L1518" s="179">
        <f>_xlfn.XLOOKUP($C1518,'Site Level Financials - ''23 ''24'!$C$2:$C$1577,'Site Level Financials - ''23 ''24'!X$2:X$1577)</f>
        <v>-26.408737678654937</v>
      </c>
      <c r="M1518" s="179">
        <f>_xlfn.XLOOKUP($C1518,'Site Level Financials - ''23 ''24'!$C$2:$C$1577,'Site Level Financials - ''23 ''24'!Y$2:Y$1577)</f>
        <v>-26.408737678654937</v>
      </c>
      <c r="N1518" s="179">
        <f>_xlfn.XLOOKUP($C1518,'Site Level Financials - ''23 ''24'!$C$2:$C$1577,'Site Level Financials - ''23 ''24'!Z$2:Z$1577)</f>
        <v>-27.200999809014586</v>
      </c>
      <c r="O1518" s="179">
        <f>_xlfn.XLOOKUP($C1518,'Site Level Financials - ''23 ''24'!$C$2:$C$1577,'Site Level Financials - ''23 ''24'!AA$2:AA$1577)</f>
        <v>-27.200999809014586</v>
      </c>
      <c r="P1518" s="179">
        <f>_xlfn.XLOOKUP($C1518,'Site Level Financials - ''23 ''24'!$C$2:$C$1577,'Site Level Financials - ''23 ''24'!AB$2:AB$1577)</f>
        <v>-27.200999809014586</v>
      </c>
      <c r="Q1518" s="179">
        <f>_xlfn.XLOOKUP($C1518,'Site Level Financials - ''23 ''24'!$C$2:$C$1577,'Site Level Financials - ''23 ''24'!AC$2:AC$1577)</f>
        <v>-27.200999809014586</v>
      </c>
      <c r="R1518" s="179">
        <f>_xlfn.XLOOKUP($C1518,'Site Level Financials - ''23 ''24'!$C$2:$C$1577,'Site Level Financials - ''23 ''24'!AD$2:AD$1577)</f>
        <v>-27.200999809014586</v>
      </c>
      <c r="S1518" s="155">
        <f>G1518*(1+S1519)</f>
        <v>-27.200999809014586</v>
      </c>
      <c r="T1518" s="154">
        <f t="shared" ref="T1518" si="4462">H1518*(1+T1519)</f>
        <v>-27.200999809014586</v>
      </c>
      <c r="U1518" s="154">
        <f t="shared" ref="U1518" si="4463">I1518*(1+U1519)</f>
        <v>-27.200999809014586</v>
      </c>
      <c r="V1518" s="154">
        <f t="shared" ref="V1518" si="4464">J1518*(1+V1519)</f>
        <v>-27.200999809014586</v>
      </c>
      <c r="W1518" s="154">
        <f t="shared" ref="W1518" si="4465">K1518*(1+W1519)</f>
        <v>-27.200999809014586</v>
      </c>
      <c r="X1518" s="154">
        <f t="shared" ref="X1518" si="4466">L1518*(1+X1519)</f>
        <v>-27.200999809014586</v>
      </c>
      <c r="Y1518" s="154">
        <f t="shared" ref="Y1518" si="4467">M1518*(1+Y1519)</f>
        <v>-27.200999809014586</v>
      </c>
      <c r="Z1518" s="154">
        <f t="shared" ref="Z1518" si="4468">N1518*(1+Z1519)</f>
        <v>-28.017029803285023</v>
      </c>
      <c r="AA1518" s="154">
        <f t="shared" ref="AA1518" si="4469">O1518*(1+AA1519)</f>
        <v>-28.017029803285023</v>
      </c>
      <c r="AB1518" s="154">
        <f t="shared" ref="AB1518" si="4470">P1518*(1+AB1519)</f>
        <v>-28.017029803285023</v>
      </c>
      <c r="AC1518" s="154">
        <f t="shared" ref="AC1518" si="4471">Q1518*(1+AC1519)</f>
        <v>-28.017029803285023</v>
      </c>
      <c r="AD1518" s="156">
        <f t="shared" ref="AD1518" si="4472">R1518*(1+AD1519)</f>
        <v>-28.017029803285023</v>
      </c>
      <c r="AE1518" s="15"/>
      <c r="AF1518" s="115">
        <f>_xlfn.XLOOKUP($C1518,'Site Level Financials - ''23 ''24'!$C$2:$C$1577,'Site Level Financials - ''23 ''24'!$AF$2:$AF$1577)</f>
        <v>-311.52479407005626</v>
      </c>
      <c r="AG1518" s="93">
        <f>SUM(G1518:R1518)</f>
        <v>-320.86616279565754</v>
      </c>
      <c r="AH1518" s="93">
        <f t="shared" ref="AH1518" si="4473">SUM(S1518:AD1518)</f>
        <v>-330.49214767952719</v>
      </c>
    </row>
    <row r="1519" spans="2:34" x14ac:dyDescent="0.2">
      <c r="B1519" s="9">
        <f>G1485</f>
        <v>31</v>
      </c>
      <c r="C1519" s="9" t="str">
        <f t="shared" si="4368"/>
        <v>31 - % YoY Growth</v>
      </c>
      <c r="D1519" s="9" t="s">
        <v>56</v>
      </c>
      <c r="F1519" s="16" t="s">
        <v>8</v>
      </c>
      <c r="G1519" s="245">
        <f>_xlfn.XLOOKUP($C1519,'Site Level Financials - ''23 ''24'!$C$2:$C$1577,'Site Level Financials - ''23 ''24'!S$2:S$1577)</f>
        <v>2.9985955864240355E-2</v>
      </c>
      <c r="H1519" s="246">
        <f>_xlfn.XLOOKUP($C1519,'Site Level Financials - ''23 ''24'!$C$2:$C$1577,'Site Level Financials - ''23 ''24'!T$2:T$1577)</f>
        <v>2.9985955864240355E-2</v>
      </c>
      <c r="I1519" s="246">
        <f>_xlfn.XLOOKUP($C1519,'Site Level Financials - ''23 ''24'!$C$2:$C$1577,'Site Level Financials - ''23 ''24'!U$2:U$1577)</f>
        <v>2.9985955864240355E-2</v>
      </c>
      <c r="J1519" s="246">
        <f>_xlfn.XLOOKUP($C1519,'Site Level Financials - ''23 ''24'!$C$2:$C$1577,'Site Level Financials - ''23 ''24'!V$2:V$1577)</f>
        <v>2.9985955864240355E-2</v>
      </c>
      <c r="K1519" s="246">
        <f>_xlfn.XLOOKUP($C1519,'Site Level Financials - ''23 ''24'!$C$2:$C$1577,'Site Level Financials - ''23 ''24'!W$2:W$1577)</f>
        <v>2.9985955864240355E-2</v>
      </c>
      <c r="L1519" s="246">
        <f>_xlfn.XLOOKUP($C1519,'Site Level Financials - ''23 ''24'!$C$2:$C$1577,'Site Level Financials - ''23 ''24'!X$2:X$1577)</f>
        <v>2.9985955864240355E-2</v>
      </c>
      <c r="M1519" s="246">
        <f>_xlfn.XLOOKUP($C1519,'Site Level Financials - ''23 ''24'!$C$2:$C$1577,'Site Level Financials - ''23 ''24'!Y$2:Y$1577)</f>
        <v>2.9985955864240355E-2</v>
      </c>
      <c r="N1519" s="246">
        <f>_xlfn.XLOOKUP($C1519,'Site Level Financials - ''23 ''24'!$C$2:$C$1577,'Site Level Financials - ''23 ''24'!Z$2:Z$1577)</f>
        <v>2.9985955864240355E-2</v>
      </c>
      <c r="O1519" s="246">
        <f>_xlfn.XLOOKUP($C1519,'Site Level Financials - ''23 ''24'!$C$2:$C$1577,'Site Level Financials - ''23 ''24'!AA$2:AA$1577)</f>
        <v>2.9985955864240355E-2</v>
      </c>
      <c r="P1519" s="246">
        <f>_xlfn.XLOOKUP($C1519,'Site Level Financials - ''23 ''24'!$C$2:$C$1577,'Site Level Financials - ''23 ''24'!AB$2:AB$1577)</f>
        <v>2.9985955864240355E-2</v>
      </c>
      <c r="Q1519" s="246">
        <f>_xlfn.XLOOKUP($C1519,'Site Level Financials - ''23 ''24'!$C$2:$C$1577,'Site Level Financials - ''23 ''24'!AC$2:AC$1577)</f>
        <v>2.9985955864240355E-2</v>
      </c>
      <c r="R1519" s="246">
        <f>_xlfn.XLOOKUP($C1519,'Site Level Financials - ''23 ''24'!$C$2:$C$1577,'Site Level Financials - ''23 ''24'!AD$2:AD$1577)</f>
        <v>2.9985955864240355E-2</v>
      </c>
      <c r="S1519" s="245">
        <f>_xlfn.XLOOKUP($F1519,'Budget Assumption Driver'!$A$33:$A$39,'Budget Assumption Driver'!E$33:E$39)</f>
        <v>0.03</v>
      </c>
      <c r="T1519" s="246">
        <f>_xlfn.XLOOKUP($F1519,'Budget Assumption Driver'!$A$33:$A$39,'Budget Assumption Driver'!F$33:F$39)</f>
        <v>0.03</v>
      </c>
      <c r="U1519" s="246">
        <f>_xlfn.XLOOKUP($F1519,'Budget Assumption Driver'!$A$33:$A$39,'Budget Assumption Driver'!G$33:G$39)</f>
        <v>0.03</v>
      </c>
      <c r="V1519" s="246">
        <f>_xlfn.XLOOKUP($F1519,'Budget Assumption Driver'!$A$33:$A$39,'Budget Assumption Driver'!H$33:H$39)</f>
        <v>0.03</v>
      </c>
      <c r="W1519" s="246">
        <f>_xlfn.XLOOKUP($F1519,'Budget Assumption Driver'!$A$33:$A$39,'Budget Assumption Driver'!I$33:I$39)</f>
        <v>0.03</v>
      </c>
      <c r="X1519" s="246">
        <f>_xlfn.XLOOKUP($F1519,'Budget Assumption Driver'!$A$33:$A$39,'Budget Assumption Driver'!J$33:J$39)</f>
        <v>0.03</v>
      </c>
      <c r="Y1519" s="246">
        <f>_xlfn.XLOOKUP($F1519,'Budget Assumption Driver'!$A$33:$A$39,'Budget Assumption Driver'!K$33:K$39)</f>
        <v>0.03</v>
      </c>
      <c r="Z1519" s="246">
        <f>_xlfn.XLOOKUP($F1519,'Budget Assumption Driver'!$A$33:$A$39,'Budget Assumption Driver'!L$33:L$39)</f>
        <v>0.03</v>
      </c>
      <c r="AA1519" s="246">
        <f>_xlfn.XLOOKUP($F1519,'Budget Assumption Driver'!$A$33:$A$39,'Budget Assumption Driver'!M$33:M$39)</f>
        <v>0.03</v>
      </c>
      <c r="AB1519" s="246">
        <f>_xlfn.XLOOKUP($F1519,'Budget Assumption Driver'!$A$33:$A$39,'Budget Assumption Driver'!N$33:N$39)</f>
        <v>0.03</v>
      </c>
      <c r="AC1519" s="246">
        <f>_xlfn.XLOOKUP($F1519,'Budget Assumption Driver'!$A$33:$A$39,'Budget Assumption Driver'!O$33:O$39)</f>
        <v>0.03</v>
      </c>
      <c r="AD1519" s="296">
        <f>_xlfn.XLOOKUP($F1519,'Budget Assumption Driver'!$A$33:$A$39,'Budget Assumption Driver'!P$33:P$39)</f>
        <v>0.03</v>
      </c>
      <c r="AE1519" s="15"/>
      <c r="AF1519" s="11"/>
      <c r="AG1519" s="97">
        <f>AG1518/AF1518-1</f>
        <v>2.9985955864240355E-2</v>
      </c>
      <c r="AH1519" s="97">
        <f>AH1518/AG1518-1</f>
        <v>2.9999999999999805E-2</v>
      </c>
    </row>
    <row r="1520" spans="2:34" ht="6" customHeight="1" x14ac:dyDescent="0.2">
      <c r="B1520" s="9">
        <f>G1485</f>
        <v>31</v>
      </c>
      <c r="C1520" s="9" t="str">
        <f t="shared" si="4368"/>
        <v xml:space="preserve">31 - </v>
      </c>
      <c r="D1520" s="9" t="s">
        <v>56</v>
      </c>
      <c r="F1520" s="16"/>
      <c r="G1520" s="80"/>
      <c r="H1520" s="63"/>
      <c r="I1520" s="63"/>
      <c r="J1520" s="63"/>
      <c r="K1520" s="63"/>
      <c r="L1520" s="63"/>
      <c r="M1520" s="63"/>
      <c r="N1520" s="63"/>
      <c r="O1520" s="63"/>
      <c r="P1520" s="63"/>
      <c r="Q1520" s="63"/>
      <c r="R1520" s="63"/>
      <c r="S1520" s="80"/>
      <c r="T1520" s="63"/>
      <c r="U1520" s="63"/>
      <c r="V1520" s="63"/>
      <c r="W1520" s="63"/>
      <c r="X1520" s="63"/>
      <c r="Y1520" s="63"/>
      <c r="Z1520" s="63"/>
      <c r="AA1520" s="63"/>
      <c r="AB1520" s="63"/>
      <c r="AC1520" s="63"/>
      <c r="AD1520" s="81"/>
      <c r="AE1520" s="15"/>
      <c r="AF1520" s="11"/>
      <c r="AG1520" s="15"/>
      <c r="AH1520" s="15"/>
    </row>
    <row r="1521" spans="2:35" x14ac:dyDescent="0.2">
      <c r="B1521" s="9">
        <f>G1485</f>
        <v>31</v>
      </c>
      <c r="C1521" s="9" t="str">
        <f t="shared" si="4368"/>
        <v>31 - Office EBITDA</v>
      </c>
      <c r="D1521" s="9" t="s">
        <v>56</v>
      </c>
      <c r="F1521" s="8" t="s">
        <v>12</v>
      </c>
      <c r="G1521" s="241">
        <f>_xlfn.XLOOKUP($C1521,'Site Level Financials - ''23 ''24'!$C$2:$C$1577,'Site Level Financials - ''23 ''24'!S$2:S$1577)</f>
        <v>143.95740671692386</v>
      </c>
      <c r="H1521" s="242">
        <f>_xlfn.XLOOKUP($C1521,'Site Level Financials - ''23 ''24'!$C$2:$C$1577,'Site Level Financials - ''23 ''24'!T$2:T$1577)</f>
        <v>68.601590880201201</v>
      </c>
      <c r="I1521" s="242">
        <f>_xlfn.XLOOKUP($C1521,'Site Level Financials - ''23 ''24'!$C$2:$C$1577,'Site Level Financials - ''23 ''24'!U$2:U$1577)</f>
        <v>70.972497115481303</v>
      </c>
      <c r="J1521" s="242">
        <f>_xlfn.XLOOKUP($C1521,'Site Level Financials - ''23 ''24'!$C$2:$C$1577,'Site Level Financials - ''23 ''24'!V$2:V$1577)</f>
        <v>67.095589628077249</v>
      </c>
      <c r="K1521" s="242">
        <f>_xlfn.XLOOKUP($C1521,'Site Level Financials - ''23 ''24'!$C$2:$C$1577,'Site Level Financials - ''23 ''24'!W$2:W$1577)</f>
        <v>10.704369651021203</v>
      </c>
      <c r="L1521" s="242">
        <f>_xlfn.XLOOKUP($C1521,'Site Level Financials - ''23 ''24'!$C$2:$C$1577,'Site Level Financials - ''23 ''24'!X$2:X$1577)</f>
        <v>-0.83109869122524671</v>
      </c>
      <c r="M1521" s="242">
        <f>_xlfn.XLOOKUP($C1521,'Site Level Financials - ''23 ''24'!$C$2:$C$1577,'Site Level Financials - ''23 ''24'!Y$2:Y$1577)</f>
        <v>3.3232459059304702</v>
      </c>
      <c r="N1521" s="242">
        <f>_xlfn.XLOOKUP($C1521,'Site Level Financials - ''23 ''24'!$C$2:$C$1577,'Site Level Financials - ''23 ''24'!Z$2:Z$1577)</f>
        <v>56.799873345168578</v>
      </c>
      <c r="O1521" s="242">
        <f>_xlfn.XLOOKUP($C1521,'Site Level Financials - ''23 ''24'!$C$2:$C$1577,'Site Level Financials - ''23 ''24'!AA$2:AA$1577)</f>
        <v>52.891539932832885</v>
      </c>
      <c r="P1521" s="242">
        <f>_xlfn.XLOOKUP($C1521,'Site Level Financials - ''23 ''24'!$C$2:$C$1577,'Site Level Financials - ''23 ''24'!AB$2:AB$1577)</f>
        <v>61.521856910293522</v>
      </c>
      <c r="Q1521" s="242">
        <f>_xlfn.XLOOKUP($C1521,'Site Level Financials - ''23 ''24'!$C$2:$C$1577,'Site Level Financials - ''23 ''24'!AC$2:AC$1577)</f>
        <v>118.19401141276255</v>
      </c>
      <c r="R1521" s="242">
        <f>_xlfn.XLOOKUP($C1521,'Site Level Financials - ''23 ''24'!$C$2:$C$1577,'Site Level Financials - ''23 ''24'!AD$2:AD$1577)</f>
        <v>29.921307322413764</v>
      </c>
      <c r="S1521" s="134">
        <f t="shared" ref="S1521:AD1521" si="4474">S1509+S1512+S1515+S1518</f>
        <v>107.83380606860923</v>
      </c>
      <c r="T1521" s="135">
        <f t="shared" si="4474"/>
        <v>62.83740601422717</v>
      </c>
      <c r="U1521" s="135">
        <f t="shared" si="4474"/>
        <v>66.805135546634133</v>
      </c>
      <c r="V1521" s="135">
        <f t="shared" si="4474"/>
        <v>72.394098209272187</v>
      </c>
      <c r="W1521" s="135">
        <f t="shared" si="4474"/>
        <v>26.367565867661231</v>
      </c>
      <c r="X1521" s="135">
        <f t="shared" si="4474"/>
        <v>12.097929021469572</v>
      </c>
      <c r="Y1521" s="135">
        <f t="shared" si="4474"/>
        <v>26.976744517736226</v>
      </c>
      <c r="Z1521" s="135">
        <f t="shared" si="4474"/>
        <v>75.348700508190802</v>
      </c>
      <c r="AA1521" s="135">
        <f t="shared" si="4474"/>
        <v>65.343368332040356</v>
      </c>
      <c r="AB1521" s="135">
        <f t="shared" si="4474"/>
        <v>76.866050335050062</v>
      </c>
      <c r="AC1521" s="135">
        <f t="shared" si="4474"/>
        <v>108.32301572279721</v>
      </c>
      <c r="AD1521" s="136">
        <f t="shared" si="4474"/>
        <v>41.867342041986475</v>
      </c>
      <c r="AE1521" s="15"/>
      <c r="AF1521" s="113">
        <f>_xlfn.XLOOKUP($C1521,'Site Level Financials - ''23 ''24'!$C$2:$C$1577,'Site Level Financials - ''23 ''24'!$AF$2:$AF$1577)</f>
        <v>1022.4887365342167</v>
      </c>
      <c r="AG1521" s="95">
        <f>SUM(G1521:R1521)</f>
        <v>683.15219012988132</v>
      </c>
      <c r="AH1521" s="95">
        <f t="shared" ref="AH1521" si="4475">SUM(S1521:AD1521)</f>
        <v>743.06116218567468</v>
      </c>
    </row>
    <row r="1522" spans="2:35" x14ac:dyDescent="0.2">
      <c r="B1522" s="9">
        <f>G1485</f>
        <v>31</v>
      </c>
      <c r="C1522" s="9" t="str">
        <f t="shared" si="4368"/>
        <v>31 - % of Revenue - Office EBITDA</v>
      </c>
      <c r="D1522" s="9" t="s">
        <v>56</v>
      </c>
      <c r="F1522" s="16" t="str">
        <f>"% of Revenue - "&amp;F1521</f>
        <v>% of Revenue - Office EBITDA</v>
      </c>
      <c r="G1522" s="148">
        <f>G1521/G1497</f>
        <v>0.40104563570396079</v>
      </c>
      <c r="H1522" s="149">
        <f t="shared" ref="H1522:AD1522" si="4476">H1521/H1497</f>
        <v>0.22067203391010171</v>
      </c>
      <c r="I1522" s="149">
        <f t="shared" si="4476"/>
        <v>0.21657488673418909</v>
      </c>
      <c r="J1522" s="149">
        <f t="shared" si="4476"/>
        <v>0.21090279892345989</v>
      </c>
      <c r="K1522" s="149">
        <f t="shared" si="4476"/>
        <v>3.8363874227964355E-2</v>
      </c>
      <c r="L1522" s="149">
        <f t="shared" si="4476"/>
        <v>-3.7757406366235678E-3</v>
      </c>
      <c r="M1522" s="149">
        <f t="shared" si="4476"/>
        <v>1.4956006580882834E-2</v>
      </c>
      <c r="N1522" s="149">
        <f t="shared" si="4476"/>
        <v>0.2013106696777624</v>
      </c>
      <c r="O1522" s="149">
        <f t="shared" si="4476"/>
        <v>0.19368292786335944</v>
      </c>
      <c r="P1522" s="149">
        <f t="shared" si="4476"/>
        <v>0.19893243426498522</v>
      </c>
      <c r="Q1522" s="149">
        <f t="shared" si="4476"/>
        <v>0.38352248126464722</v>
      </c>
      <c r="R1522" s="149">
        <f t="shared" si="4476"/>
        <v>0.15519332776373845</v>
      </c>
      <c r="S1522" s="148">
        <f t="shared" si="4476"/>
        <v>0.37901141018510354</v>
      </c>
      <c r="T1522" s="149">
        <f t="shared" si="4476"/>
        <v>0.21329190951892771</v>
      </c>
      <c r="U1522" s="149">
        <f t="shared" si="4476"/>
        <v>0.21117715647379326</v>
      </c>
      <c r="V1522" s="149">
        <f t="shared" si="4476"/>
        <v>0.21364133296569124</v>
      </c>
      <c r="W1522" s="149">
        <f t="shared" si="4476"/>
        <v>6.5470958571202678E-2</v>
      </c>
      <c r="X1522" s="149">
        <f t="shared" si="4476"/>
        <v>3.5771761631566722E-2</v>
      </c>
      <c r="Y1522" s="149">
        <f t="shared" si="4476"/>
        <v>6.6626296497817317E-2</v>
      </c>
      <c r="Z1522" s="149">
        <f t="shared" si="4476"/>
        <v>0.21702132763239959</v>
      </c>
      <c r="AA1522" s="149">
        <f t="shared" si="4476"/>
        <v>0.20527497981054732</v>
      </c>
      <c r="AB1522" s="149">
        <f t="shared" si="4476"/>
        <v>0.21025232723291121</v>
      </c>
      <c r="AC1522" s="149">
        <f t="shared" si="4476"/>
        <v>0.37483675273364614</v>
      </c>
      <c r="AD1522" s="150">
        <f t="shared" si="4476"/>
        <v>0.1774980333298842</v>
      </c>
      <c r="AE1522" s="15"/>
      <c r="AF1522" s="232">
        <f>_xlfn.XLOOKUP($C1522,'Site Level Financials - ''23 ''24'!$C$2:$C$1577,'Site Level Financials - ''23 ''24'!$AF$2:$AF$1577)</f>
        <v>0.26340129672472329</v>
      </c>
      <c r="AG1522" s="97">
        <f t="shared" ref="AG1522:AH1522" si="4477">AG1521/AG1497</f>
        <v>0.20078047940963609</v>
      </c>
      <c r="AH1522" s="97">
        <f t="shared" si="4477"/>
        <v>0.18877991339349035</v>
      </c>
    </row>
    <row r="1523" spans="2:35" ht="6" customHeight="1" x14ac:dyDescent="0.2">
      <c r="B1523" s="9">
        <f>G1485</f>
        <v>31</v>
      </c>
      <c r="C1523" s="9" t="str">
        <f t="shared" si="4368"/>
        <v xml:space="preserve">31 - </v>
      </c>
      <c r="D1523" s="9" t="s">
        <v>56</v>
      </c>
      <c r="G1523" s="80"/>
      <c r="H1523" s="63"/>
      <c r="I1523" s="63"/>
      <c r="J1523" s="63"/>
      <c r="K1523" s="63"/>
      <c r="L1523" s="63"/>
      <c r="M1523" s="63"/>
      <c r="N1523" s="63"/>
      <c r="O1523" s="63"/>
      <c r="P1523" s="63"/>
      <c r="Q1523" s="63"/>
      <c r="R1523" s="63"/>
      <c r="S1523" s="80"/>
      <c r="T1523" s="63"/>
      <c r="U1523" s="63"/>
      <c r="V1523" s="63"/>
      <c r="W1523" s="63"/>
      <c r="X1523" s="63"/>
      <c r="Y1523" s="63"/>
      <c r="Z1523" s="63"/>
      <c r="AA1523" s="63"/>
      <c r="AB1523" s="63"/>
      <c r="AC1523" s="63"/>
      <c r="AD1523" s="81"/>
      <c r="AE1523" s="15"/>
      <c r="AF1523" s="11"/>
      <c r="AG1523" s="15"/>
      <c r="AH1523" s="15"/>
    </row>
    <row r="1524" spans="2:35" x14ac:dyDescent="0.2">
      <c r="B1524" s="9">
        <f>G1485</f>
        <v>31</v>
      </c>
      <c r="C1524" s="9" t="str">
        <f t="shared" si="4368"/>
        <v>31 - Memo:</v>
      </c>
      <c r="D1524" s="9" t="s">
        <v>56</v>
      </c>
      <c r="F1524" s="6" t="s">
        <v>13</v>
      </c>
      <c r="G1524" s="80"/>
      <c r="H1524" s="63"/>
      <c r="I1524" s="63"/>
      <c r="J1524" s="63"/>
      <c r="K1524" s="63"/>
      <c r="L1524" s="63"/>
      <c r="M1524" s="63"/>
      <c r="N1524" s="63"/>
      <c r="O1524" s="63"/>
      <c r="P1524" s="63"/>
      <c r="Q1524" s="63"/>
      <c r="R1524" s="63"/>
      <c r="S1524" s="80"/>
      <c r="T1524" s="63"/>
      <c r="U1524" s="63"/>
      <c r="V1524" s="63"/>
      <c r="W1524" s="63"/>
      <c r="X1524" s="63"/>
      <c r="Y1524" s="63"/>
      <c r="Z1524" s="63"/>
      <c r="AA1524" s="63"/>
      <c r="AB1524" s="63"/>
      <c r="AC1524" s="63"/>
      <c r="AD1524" s="81"/>
      <c r="AE1524" s="15"/>
      <c r="AF1524" s="11"/>
      <c r="AG1524" s="15"/>
      <c r="AH1524" s="15"/>
    </row>
    <row r="1525" spans="2:35" s="24" customFormat="1" x14ac:dyDescent="0.2">
      <c r="B1525" s="9">
        <f>G1485</f>
        <v>31</v>
      </c>
      <c r="C1525" s="9" t="str">
        <f t="shared" si="4368"/>
        <v>31 - Collections</v>
      </c>
      <c r="D1525" s="9" t="s">
        <v>56</v>
      </c>
      <c r="E1525" s="49"/>
      <c r="F1525" s="24" t="s">
        <v>15</v>
      </c>
      <c r="G1525" s="247">
        <f>_xlfn.XLOOKUP($C1525,'Site Level Financials - ''23 ''24'!$C$2:$C$1577,'Site Level Financials - ''23 ''24'!S$2:S$1577)</f>
        <v>354.51705403875604</v>
      </c>
      <c r="H1525" s="248">
        <f>_xlfn.XLOOKUP($C1525,'Site Level Financials - ''23 ''24'!$C$2:$C$1577,'Site Level Financials - ''23 ''24'!T$2:T$1577)</f>
        <v>316.26069143501371</v>
      </c>
      <c r="I1525" s="248">
        <f>_xlfn.XLOOKUP($C1525,'Site Level Financials - ''23 ''24'!$C$2:$C$1577,'Site Level Financials - ''23 ''24'!U$2:U$1577)</f>
        <v>326.39619574282648</v>
      </c>
      <c r="J1525" s="248">
        <f>_xlfn.XLOOKUP($C1525,'Site Level Financials - ''23 ''24'!$C$2:$C$1577,'Site Level Financials - ''23 ''24'!V$2:V$1577)</f>
        <v>312.20054678965209</v>
      </c>
      <c r="K1525" s="248">
        <f>_xlfn.XLOOKUP($C1525,'Site Level Financials - ''23 ''24'!$C$2:$C$1577,'Site Level Financials - ''23 ''24'!W$2:W$1577)</f>
        <v>274.28214352726854</v>
      </c>
      <c r="L1525" s="248">
        <f>_xlfn.XLOOKUP($C1525,'Site Level Financials - ''23 ''24'!$C$2:$C$1577,'Site Level Financials - ''23 ''24'!X$2:X$1577)</f>
        <v>218.11999511120226</v>
      </c>
      <c r="M1525" s="248">
        <f>_xlfn.XLOOKUP($C1525,'Site Level Financials - ''23 ''24'!$C$2:$C$1577,'Site Level Financials - ''23 ''24'!Y$2:Y$1577)</f>
        <v>224.86904058034327</v>
      </c>
      <c r="N1525" s="248">
        <f>_xlfn.XLOOKUP($C1525,'Site Level Financials - ''23 ''24'!$C$2:$C$1577,'Site Level Financials - ''23 ''24'!Z$2:Z$1577)</f>
        <v>279.66662907329373</v>
      </c>
      <c r="O1525" s="248">
        <f>_xlfn.XLOOKUP($C1525,'Site Level Financials - ''23 ''24'!$C$2:$C$1577,'Site Level Financials - ''23 ''24'!AA$2:AA$1577)</f>
        <v>273.27473963265686</v>
      </c>
      <c r="P1525" s="248">
        <f>_xlfn.XLOOKUP($C1525,'Site Level Financials - ''23 ''24'!$C$2:$C$1577,'Site Level Financials - ''23 ''24'!AB$2:AB$1577)</f>
        <v>309.84209842294234</v>
      </c>
      <c r="Q1525" s="248">
        <f>_xlfn.XLOOKUP($C1525,'Site Level Financials - ''23 ''24'!$C$2:$C$1577,'Site Level Financials - ''23 ''24'!AC$2:AC$1577)</f>
        <v>312.17111157340435</v>
      </c>
      <c r="R1525" s="248">
        <f>_xlfn.XLOOKUP($C1525,'Site Level Financials - ''23 ''24'!$C$2:$C$1577,'Site Level Financials - ''23 ''24'!AD$2:AD$1577)</f>
        <v>192.9967033059317</v>
      </c>
      <c r="S1525" s="169">
        <f t="shared" ref="S1525:AD1525" si="4478">S1526*S1495</f>
        <v>284.5133501810534</v>
      </c>
      <c r="T1525" s="170">
        <f t="shared" si="4478"/>
        <v>294.60754585560557</v>
      </c>
      <c r="U1525" s="170">
        <f t="shared" si="4478"/>
        <v>316.34641105191952</v>
      </c>
      <c r="V1525" s="170">
        <f t="shared" si="4478"/>
        <v>338.85810954427058</v>
      </c>
      <c r="W1525" s="170">
        <f t="shared" si="4478"/>
        <v>402.73682321277289</v>
      </c>
      <c r="X1525" s="170">
        <f t="shared" si="4478"/>
        <v>338.1977422882573</v>
      </c>
      <c r="Y1525" s="170">
        <f t="shared" si="4478"/>
        <v>404.89635377857127</v>
      </c>
      <c r="Z1525" s="170">
        <f t="shared" si="4478"/>
        <v>347.19491088829665</v>
      </c>
      <c r="AA1525" s="170">
        <f t="shared" si="4478"/>
        <v>318.32115337362183</v>
      </c>
      <c r="AB1525" s="170">
        <f t="shared" si="4478"/>
        <v>365.58953399788135</v>
      </c>
      <c r="AC1525" s="170">
        <f t="shared" si="4478"/>
        <v>288.98717890603984</v>
      </c>
      <c r="AD1525" s="171">
        <f t="shared" si="4478"/>
        <v>235.87496298719574</v>
      </c>
      <c r="AE1525" s="26"/>
      <c r="AF1525" s="234">
        <f>_xlfn.XLOOKUP($C1525,'Site Level Financials - ''23 ''24'!$C$2:$C$1577,'Site Level Financials - ''23 ''24'!$AF$2:$AF$1577)</f>
        <v>3868.9509533447895</v>
      </c>
      <c r="AG1525" s="99">
        <f>SUM(G1525:R1525)</f>
        <v>3394.5969492332911</v>
      </c>
      <c r="AH1525" s="99">
        <f t="shared" ref="AH1525" si="4479">SUM(S1525:AD1525)</f>
        <v>3936.1240760654864</v>
      </c>
    </row>
    <row r="1526" spans="2:35" x14ac:dyDescent="0.2">
      <c r="B1526" s="9">
        <f>G1485</f>
        <v>31</v>
      </c>
      <c r="C1526" s="9" t="str">
        <f t="shared" si="4368"/>
        <v>31 - Collections as a % of Production</v>
      </c>
      <c r="D1526" s="9" t="s">
        <v>56</v>
      </c>
      <c r="F1526" s="16" t="s">
        <v>17</v>
      </c>
      <c r="G1526" s="245">
        <f>_xlfn.XLOOKUP($C1526,'Site Level Financials - ''23 ''24'!$C$2:$C$1577,'Site Level Financials - ''23 ''24'!S$2:S$1577)</f>
        <v>0.96826887593507527</v>
      </c>
      <c r="H1526" s="246">
        <f>_xlfn.XLOOKUP($C1526,'Site Level Financials - ''23 ''24'!$C$2:$C$1577,'Site Level Financials - ''23 ''24'!T$2:T$1577)</f>
        <v>0.99737249458072885</v>
      </c>
      <c r="I1526" s="246">
        <f>_xlfn.XLOOKUP($C1526,'Site Level Financials - ''23 ''24'!$C$2:$C$1577,'Site Level Financials - ''23 ''24'!U$2:U$1577)</f>
        <v>0.97647731559234197</v>
      </c>
      <c r="J1526" s="246">
        <f>_xlfn.XLOOKUP($C1526,'Site Level Financials - ''23 ''24'!$C$2:$C$1577,'Site Level Financials - ''23 ''24'!V$2:V$1577)</f>
        <v>0.96210193758948936</v>
      </c>
      <c r="K1526" s="246">
        <f>_xlfn.XLOOKUP($C1526,'Site Level Financials - ''23 ''24'!$C$2:$C$1577,'Site Level Financials - ''23 ''24'!W$2:W$1577)</f>
        <v>0.96373571918486356</v>
      </c>
      <c r="L1526" s="246">
        <f>_xlfn.XLOOKUP($C1526,'Site Level Financials - ''23 ''24'!$C$2:$C$1577,'Site Level Financials - ''23 ''24'!X$2:X$1577)</f>
        <v>0.97150288645825433</v>
      </c>
      <c r="M1526" s="246">
        <f>_xlfn.XLOOKUP($C1526,'Site Level Financials - ''23 ''24'!$C$2:$C$1577,'Site Level Financials - ''23 ''24'!Y$2:Y$1577)</f>
        <v>0.99216041684591483</v>
      </c>
      <c r="N1526" s="246">
        <f>_xlfn.XLOOKUP($C1526,'Site Level Financials - ''23 ''24'!$C$2:$C$1577,'Site Level Financials - ''23 ''24'!Z$2:Z$1577)</f>
        <v>0.97176025921136733</v>
      </c>
      <c r="O1526" s="246">
        <f>_xlfn.XLOOKUP($C1526,'Site Level Financials - ''23 ''24'!$C$2:$C$1577,'Site Level Financials - ''23 ''24'!AA$2:AA$1577)</f>
        <v>0.9810783217502016</v>
      </c>
      <c r="P1526" s="246">
        <f>_xlfn.XLOOKUP($C1526,'Site Level Financials - ''23 ''24'!$C$2:$C$1577,'Site Level Financials - ''23 ''24'!AB$2:AB$1577)</f>
        <v>0.98223554734242091</v>
      </c>
      <c r="Q1526" s="246">
        <f>_xlfn.XLOOKUP($C1526,'Site Level Financials - ''23 ''24'!$C$2:$C$1577,'Site Level Financials - ''23 ''24'!AC$2:AC$1577)</f>
        <v>0.99308660733500176</v>
      </c>
      <c r="R1526" s="246">
        <f>_xlfn.XLOOKUP($C1526,'Site Level Financials - ''23 ''24'!$C$2:$C$1577,'Site Level Financials - ''23 ''24'!AD$2:AD$1577)</f>
        <v>0.98138955585593968</v>
      </c>
      <c r="S1526" s="148">
        <f>S1496</f>
        <v>0.97811810729106108</v>
      </c>
      <c r="T1526" s="149">
        <f t="shared" ref="T1526:AD1526" si="4480">T1496</f>
        <v>0.97811810729106108</v>
      </c>
      <c r="U1526" s="149">
        <f t="shared" si="4480"/>
        <v>0.97811810729106108</v>
      </c>
      <c r="V1526" s="149">
        <f t="shared" si="4480"/>
        <v>0.97811810729106108</v>
      </c>
      <c r="W1526" s="149">
        <f t="shared" si="4480"/>
        <v>0.97811810729106108</v>
      </c>
      <c r="X1526" s="149">
        <f t="shared" si="4480"/>
        <v>0.97811810729106108</v>
      </c>
      <c r="Y1526" s="149">
        <f t="shared" si="4480"/>
        <v>0.97811810729106108</v>
      </c>
      <c r="Z1526" s="149">
        <f t="shared" si="4480"/>
        <v>0.97811810729106108</v>
      </c>
      <c r="AA1526" s="149">
        <f t="shared" si="4480"/>
        <v>0.97811810729106108</v>
      </c>
      <c r="AB1526" s="149">
        <f t="shared" si="4480"/>
        <v>0.97811810729106108</v>
      </c>
      <c r="AC1526" s="149">
        <f t="shared" si="4480"/>
        <v>0.97811810729106108</v>
      </c>
      <c r="AD1526" s="150">
        <f t="shared" si="4480"/>
        <v>0.97811810729106108</v>
      </c>
      <c r="AE1526" s="15"/>
      <c r="AF1526" s="232">
        <f>_xlfn.XLOOKUP($C1526,'Site Level Financials - ''23 ''24'!$C$2:$C$1577,'Site Level Financials - ''23 ''24'!$AF$2:$AF$1577)</f>
        <v>0.9812844625631516</v>
      </c>
      <c r="AG1526" s="97">
        <f t="shared" ref="AG1526:AH1526" si="4481">AG1525/AG1495</f>
        <v>0.97811810729106108</v>
      </c>
      <c r="AH1526" s="97">
        <f t="shared" si="4481"/>
        <v>0.9781181072910613</v>
      </c>
    </row>
    <row r="1527" spans="2:35" ht="6" customHeight="1" x14ac:dyDescent="0.2">
      <c r="B1527" s="9">
        <f>G1485</f>
        <v>31</v>
      </c>
      <c r="C1527" s="9" t="str">
        <f t="shared" si="4368"/>
        <v xml:space="preserve">31 - </v>
      </c>
      <c r="D1527" s="9" t="s">
        <v>56</v>
      </c>
      <c r="F1527" s="27"/>
      <c r="G1527" s="63"/>
      <c r="H1527" s="63"/>
      <c r="I1527" s="63"/>
      <c r="J1527" s="63"/>
      <c r="K1527" s="63"/>
      <c r="L1527" s="63"/>
      <c r="M1527" s="63"/>
      <c r="N1527" s="63"/>
      <c r="O1527" s="63"/>
      <c r="P1527" s="63"/>
      <c r="Q1527" s="63"/>
      <c r="R1527" s="81"/>
      <c r="S1527" s="63"/>
      <c r="T1527" s="63"/>
      <c r="U1527" s="63"/>
      <c r="V1527" s="63"/>
      <c r="W1527" s="63"/>
      <c r="X1527" s="63"/>
      <c r="Y1527" s="63"/>
      <c r="Z1527" s="63"/>
      <c r="AA1527" s="63"/>
      <c r="AB1527" s="63"/>
      <c r="AC1527" s="63"/>
      <c r="AD1527" s="81"/>
      <c r="AE1527" s="15"/>
      <c r="AF1527" s="11"/>
      <c r="AH1527" s="224"/>
    </row>
    <row r="1528" spans="2:35" s="24" customFormat="1" x14ac:dyDescent="0.2">
      <c r="B1528" s="9">
        <f>G1485</f>
        <v>31</v>
      </c>
      <c r="C1528" s="9" t="str">
        <f t="shared" si="4368"/>
        <v>31 - Production per Vet Workday - YoY Change</v>
      </c>
      <c r="D1528" s="9" t="s">
        <v>56</v>
      </c>
      <c r="E1528" s="49"/>
      <c r="F1528" s="24" t="s">
        <v>55</v>
      </c>
      <c r="G1528" s="249">
        <f>_xlfn.XLOOKUP($C1528,'Site Level Financials - ''23 ''24'!$C$2:$C$1577,'Site Level Financials - ''23 ''24'!S$2:S$1577)</f>
        <v>-0.13703598403980066</v>
      </c>
      <c r="H1528" s="250">
        <f>_xlfn.XLOOKUP($C1528,'Site Level Financials - ''23 ''24'!$C$2:$C$1577,'Site Level Financials - ''23 ''24'!T$2:T$1577)</f>
        <v>-1.446410921686847E-2</v>
      </c>
      <c r="I1528" s="250">
        <f>_xlfn.XLOOKUP($C1528,'Site Level Financials - ''23 ''24'!$C$2:$C$1577,'Site Level Financials - ''23 ''24'!U$2:U$1577)</f>
        <v>-8.8178402445177384E-2</v>
      </c>
      <c r="J1528" s="250">
        <f>_xlfn.XLOOKUP($C1528,'Site Level Financials - ''23 ''24'!$C$2:$C$1577,'Site Level Financials - ''23 ''24'!V$2:V$1577)</f>
        <v>-0.11918086861578159</v>
      </c>
      <c r="K1528" s="250">
        <f>_xlfn.XLOOKUP($C1528,'Site Level Financials - ''23 ''24'!$C$2:$C$1577,'Site Level Financials - ''23 ''24'!W$2:W$1577)</f>
        <v>-3.0253304853084639E-2</v>
      </c>
      <c r="L1528" s="250">
        <f>_xlfn.XLOOKUP($C1528,'Site Level Financials - ''23 ''24'!$C$2:$C$1577,'Site Level Financials - ''23 ''24'!X$2:X$1577)</f>
        <v>-0.11716659612277447</v>
      </c>
      <c r="M1528" s="250">
        <f>_xlfn.XLOOKUP($C1528,'Site Level Financials - ''23 ''24'!$C$2:$C$1577,'Site Level Financials - ''23 ''24'!Y$2:Y$1577)</f>
        <v>-7.127087183084313E-2</v>
      </c>
      <c r="N1528" s="250">
        <f>_xlfn.XLOOKUP($C1528,'Site Level Financials - ''23 ''24'!$C$2:$C$1577,'Site Level Financials - ''23 ''24'!Z$2:Z$1577)</f>
        <v>-3.8695515346834131E-2</v>
      </c>
      <c r="O1528" s="250">
        <f>_xlfn.XLOOKUP($C1528,'Site Level Financials - ''23 ''24'!$C$2:$C$1577,'Site Level Financials - ''23 ''24'!AA$2:AA$1577)</f>
        <v>-1.7246340632602886E-3</v>
      </c>
      <c r="P1528" s="250">
        <f>_xlfn.XLOOKUP($C1528,'Site Level Financials - ''23 ''24'!$C$2:$C$1577,'Site Level Financials - ''23 ''24'!AB$2:AB$1577)</f>
        <v>1.2570694537861193E-4</v>
      </c>
      <c r="Q1528" s="250">
        <f>_xlfn.XLOOKUP($C1528,'Site Level Financials - ''23 ''24'!$C$2:$C$1577,'Site Level Financials - ''23 ''24'!AC$2:AC$1577)</f>
        <v>8.8260662723820271E-3</v>
      </c>
      <c r="R1528" s="251">
        <f>_xlfn.XLOOKUP($C1528,'Site Level Financials - ''23 ''24'!$C$2:$C$1577,'Site Level Financials - ''23 ''24'!AD$2:AD$1577)</f>
        <v>2.0115737303332271E-2</v>
      </c>
      <c r="S1528" s="151">
        <f>S1494/G1494-1</f>
        <v>5.9275500266153802E-2</v>
      </c>
      <c r="T1528" s="152">
        <f t="shared" ref="T1528" si="4482">T1494/H1494-1</f>
        <v>-5.0128759614150087E-2</v>
      </c>
      <c r="U1528" s="152">
        <f t="shared" ref="U1528" si="4483">U1494/I1494-1</f>
        <v>-3.2415988519965855E-2</v>
      </c>
      <c r="V1528" s="152">
        <f t="shared" ref="V1528" si="4484">V1494/J1494-1</f>
        <v>6.7613396591503783E-2</v>
      </c>
      <c r="W1528" s="152">
        <f t="shared" ref="W1528" si="4485">W1494/K1494-1</f>
        <v>-3.5506726904316221E-2</v>
      </c>
      <c r="X1528" s="152">
        <f t="shared" ref="X1528" si="4486">X1494/L1494-1</f>
        <v>2.668392487889526E-2</v>
      </c>
      <c r="Y1528" s="152">
        <f t="shared" ref="Y1528" si="4487">Y1494/M1494-1</f>
        <v>-8.6781289678938278E-2</v>
      </c>
      <c r="Z1528" s="152">
        <f t="shared" ref="Z1528" si="4488">Z1494/N1494-1</f>
        <v>-7.4957253808297986E-2</v>
      </c>
      <c r="AA1528" s="152">
        <f t="shared" ref="AA1528" si="4489">AA1494/O1494-1</f>
        <v>-0.12372654736758626</v>
      </c>
      <c r="AB1528" s="152">
        <f t="shared" ref="AB1528" si="4490">AB1494/P1494-1</f>
        <v>-0.11133322973095761</v>
      </c>
      <c r="AC1528" s="152">
        <f t="shared" ref="AC1528" si="4491">AC1494/Q1494-1</f>
        <v>-6.0099910624759723E-2</v>
      </c>
      <c r="AD1528" s="153">
        <f t="shared" ref="AD1528" si="4492">AD1494/R1494-1</f>
        <v>-8.0306005052667162E-2</v>
      </c>
      <c r="AF1528" s="43"/>
      <c r="AG1528" s="177">
        <f>AG1494/AF1494-1</f>
        <v>-8.0195449085200265E-2</v>
      </c>
      <c r="AH1528" s="225">
        <f>AH1494/AG1494-1</f>
        <v>-3.4959092331556363E-2</v>
      </c>
    </row>
    <row r="1529" spans="2:35" s="24" customFormat="1" ht="6" customHeight="1" x14ac:dyDescent="0.2">
      <c r="D1529" s="9" t="s">
        <v>56</v>
      </c>
      <c r="E1529" s="49"/>
      <c r="G1529" s="28"/>
      <c r="H1529" s="30"/>
      <c r="I1529" s="30"/>
      <c r="J1529" s="30"/>
      <c r="K1529" s="30"/>
      <c r="L1529" s="30"/>
      <c r="M1529" s="30"/>
      <c r="N1529" s="30"/>
      <c r="O1529" s="30"/>
      <c r="P1529" s="30"/>
      <c r="Q1529" s="30"/>
      <c r="R1529" s="29"/>
      <c r="S1529" s="30"/>
      <c r="T1529" s="30"/>
      <c r="U1529" s="30"/>
      <c r="V1529" s="30"/>
      <c r="W1529" s="30"/>
      <c r="X1529" s="30"/>
      <c r="Y1529" s="30"/>
      <c r="Z1529" s="30"/>
      <c r="AA1529" s="30"/>
      <c r="AB1529" s="30"/>
      <c r="AC1529" s="30"/>
      <c r="AD1529" s="29"/>
      <c r="AE1529" s="25"/>
      <c r="AF1529" s="28"/>
      <c r="AG1529" s="30"/>
      <c r="AH1529" s="226"/>
    </row>
    <row r="1530" spans="2:35" s="24" customFormat="1" ht="6" customHeight="1" x14ac:dyDescent="0.2">
      <c r="D1530" s="9" t="s">
        <v>56</v>
      </c>
      <c r="E1530" s="49"/>
    </row>
    <row r="1531" spans="2:35" x14ac:dyDescent="0.2">
      <c r="D1531" s="9" t="s">
        <v>56</v>
      </c>
      <c r="F1531" s="16"/>
    </row>
    <row r="1532" spans="2:35" ht="15.75" thickBot="1" x14ac:dyDescent="0.4">
      <c r="B1532" s="35" t="s">
        <v>52</v>
      </c>
      <c r="C1532" s="35"/>
      <c r="D1532" s="9" t="s">
        <v>56</v>
      </c>
      <c r="E1532" s="48" t="s">
        <v>0</v>
      </c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74"/>
      <c r="AH1532" s="3">
        <f ca="1">TODAY()</f>
        <v>45999</v>
      </c>
      <c r="AI1532" s="1"/>
    </row>
    <row r="1533" spans="2:35" x14ac:dyDescent="0.2">
      <c r="B1533" s="9">
        <f>G1534</f>
        <v>32</v>
      </c>
      <c r="C1533" s="9"/>
      <c r="D1533" s="9" t="s">
        <v>56</v>
      </c>
      <c r="F1533" t="s">
        <v>159</v>
      </c>
      <c r="AG1533" s="6"/>
      <c r="AH1533" s="6" t="s">
        <v>16</v>
      </c>
    </row>
    <row r="1534" spans="2:35" x14ac:dyDescent="0.2">
      <c r="B1534" s="9">
        <f>G1534</f>
        <v>32</v>
      </c>
      <c r="C1534" s="9"/>
      <c r="D1534" s="9" t="s">
        <v>56</v>
      </c>
      <c r="F1534" s="40" t="s">
        <v>53</v>
      </c>
      <c r="G1534" s="42">
        <v>32</v>
      </c>
    </row>
    <row r="1535" spans="2:35" x14ac:dyDescent="0.2">
      <c r="B1535" s="9">
        <f>G1534</f>
        <v>32</v>
      </c>
      <c r="C1535" s="9"/>
      <c r="D1535" s="9" t="s">
        <v>56</v>
      </c>
      <c r="F1535" s="39" t="s">
        <v>49</v>
      </c>
      <c r="G1535" s="41"/>
      <c r="H1535" s="11"/>
    </row>
    <row r="1536" spans="2:35" x14ac:dyDescent="0.2">
      <c r="B1536" s="9">
        <f>G1534</f>
        <v>32</v>
      </c>
      <c r="C1536" s="9"/>
      <c r="D1536" s="9" t="s">
        <v>56</v>
      </c>
      <c r="G1536" s="23"/>
    </row>
    <row r="1537" spans="2:34" x14ac:dyDescent="0.2">
      <c r="B1537" s="9">
        <f>G1534</f>
        <v>32</v>
      </c>
      <c r="C1537" s="9"/>
      <c r="D1537" s="9" t="s">
        <v>56</v>
      </c>
      <c r="G1537" s="208" t="s">
        <v>229</v>
      </c>
      <c r="H1537" s="209"/>
      <c r="I1537" s="209"/>
      <c r="J1537" s="209"/>
      <c r="K1537" s="209"/>
      <c r="L1537" s="209"/>
      <c r="M1537" s="209"/>
      <c r="N1537" s="209"/>
      <c r="O1537" s="209"/>
      <c r="P1537" s="209"/>
      <c r="Q1537" s="209"/>
      <c r="R1537" s="210"/>
      <c r="S1537" s="266" t="s">
        <v>230</v>
      </c>
      <c r="T1537" s="267"/>
      <c r="U1537" s="267"/>
      <c r="V1537" s="267"/>
      <c r="W1537" s="267"/>
      <c r="X1537" s="267"/>
      <c r="Y1537" s="267"/>
      <c r="Z1537" s="267"/>
      <c r="AA1537" s="267"/>
      <c r="AB1537" s="267"/>
      <c r="AC1537" s="267"/>
      <c r="AD1537" s="268"/>
      <c r="AF1537" s="17" t="s">
        <v>231</v>
      </c>
      <c r="AG1537" s="50"/>
      <c r="AH1537" s="269" t="s">
        <v>232</v>
      </c>
    </row>
    <row r="1538" spans="2:34" ht="15" customHeight="1" x14ac:dyDescent="0.35">
      <c r="B1538" s="9">
        <f>G1534</f>
        <v>32</v>
      </c>
      <c r="C1538" s="9"/>
      <c r="D1538" s="9" t="s">
        <v>56</v>
      </c>
      <c r="G1538" s="211">
        <v>44957</v>
      </c>
      <c r="H1538" s="212">
        <f>EOMONTH(G1538,1)</f>
        <v>44985</v>
      </c>
      <c r="I1538" s="212">
        <f t="shared" ref="I1538" si="4493">EOMONTH(H1538,1)</f>
        <v>45016</v>
      </c>
      <c r="J1538" s="212">
        <f t="shared" ref="J1538" si="4494">EOMONTH(I1538,1)</f>
        <v>45046</v>
      </c>
      <c r="K1538" s="212">
        <f t="shared" ref="K1538" si="4495">EOMONTH(J1538,1)</f>
        <v>45077</v>
      </c>
      <c r="L1538" s="212">
        <f t="shared" ref="L1538" si="4496">EOMONTH(K1538,1)</f>
        <v>45107</v>
      </c>
      <c r="M1538" s="212">
        <f t="shared" ref="M1538" si="4497">EOMONTH(L1538,1)</f>
        <v>45138</v>
      </c>
      <c r="N1538" s="212">
        <f t="shared" ref="N1538" si="4498">EOMONTH(M1538,1)</f>
        <v>45169</v>
      </c>
      <c r="O1538" s="212">
        <f t="shared" ref="O1538" si="4499">EOMONTH(N1538,1)</f>
        <v>45199</v>
      </c>
      <c r="P1538" s="212">
        <f t="shared" ref="P1538" si="4500">EOMONTH(O1538,1)</f>
        <v>45230</v>
      </c>
      <c r="Q1538" s="212">
        <f t="shared" ref="Q1538" si="4501">EOMONTH(P1538,1)</f>
        <v>45260</v>
      </c>
      <c r="R1538" s="213">
        <f t="shared" ref="R1538" si="4502">EOMONTH(Q1538,1)</f>
        <v>45291</v>
      </c>
      <c r="S1538" s="4">
        <f t="shared" ref="S1538" si="4503">EOMONTH(R1538,1)</f>
        <v>45322</v>
      </c>
      <c r="T1538" s="19">
        <f t="shared" ref="T1538" si="4504">EOMONTH(S1538,1)</f>
        <v>45351</v>
      </c>
      <c r="U1538" s="19">
        <f t="shared" ref="U1538" si="4505">EOMONTH(T1538,1)</f>
        <v>45382</v>
      </c>
      <c r="V1538" s="19">
        <f t="shared" ref="V1538" si="4506">EOMONTH(U1538,1)</f>
        <v>45412</v>
      </c>
      <c r="W1538" s="19">
        <f t="shared" ref="W1538" si="4507">EOMONTH(V1538,1)</f>
        <v>45443</v>
      </c>
      <c r="X1538" s="19">
        <f t="shared" ref="X1538" si="4508">EOMONTH(W1538,1)</f>
        <v>45473</v>
      </c>
      <c r="Y1538" s="19">
        <f t="shared" ref="Y1538" si="4509">EOMONTH(X1538,1)</f>
        <v>45504</v>
      </c>
      <c r="Z1538" s="19">
        <f t="shared" ref="Z1538" si="4510">EOMONTH(Y1538,1)</f>
        <v>45535</v>
      </c>
      <c r="AA1538" s="19">
        <f t="shared" ref="AA1538" si="4511">EOMONTH(Z1538,1)</f>
        <v>45565</v>
      </c>
      <c r="AB1538" s="19">
        <f t="shared" ref="AB1538" si="4512">EOMONTH(AA1538,1)</f>
        <v>45596</v>
      </c>
      <c r="AC1538" s="19">
        <f t="shared" ref="AC1538" si="4513">EOMONTH(AB1538,1)</f>
        <v>45626</v>
      </c>
      <c r="AD1538" s="5">
        <f t="shared" ref="AD1538" si="4514">EOMONTH(AC1538,1)</f>
        <v>45657</v>
      </c>
      <c r="AE1538" s="168"/>
      <c r="AF1538" s="13">
        <v>45291</v>
      </c>
      <c r="AG1538" s="14">
        <v>45657</v>
      </c>
      <c r="AH1538" s="259">
        <v>46022</v>
      </c>
    </row>
    <row r="1539" spans="2:34" ht="0.95" customHeight="1" x14ac:dyDescent="0.2">
      <c r="B1539" s="9">
        <f>G1534</f>
        <v>32</v>
      </c>
      <c r="C1539" s="9"/>
      <c r="D1539" s="9" t="s">
        <v>56</v>
      </c>
      <c r="G1539" s="11"/>
      <c r="S1539" s="11"/>
      <c r="AD1539" s="15"/>
      <c r="AE1539" s="15"/>
      <c r="AF1539" s="11"/>
      <c r="AG1539" s="15"/>
      <c r="AH1539" s="15"/>
    </row>
    <row r="1540" spans="2:34" x14ac:dyDescent="0.2">
      <c r="B1540" s="9">
        <f>G1534</f>
        <v>32</v>
      </c>
      <c r="C1540" s="9" t="str">
        <f>B1540&amp;" - "&amp;F1540</f>
        <v>32 - Employed Vets</v>
      </c>
      <c r="D1540" s="9" t="s">
        <v>56</v>
      </c>
      <c r="F1540" s="7" t="s">
        <v>160</v>
      </c>
      <c r="G1540" s="178">
        <f>_xlfn.XLOOKUP($C1540,'Site Level Financials - ''23 ''24'!$C$2:$C$1577,'Site Level Financials - ''23 ''24'!S$2:S$1577)</f>
        <v>4</v>
      </c>
      <c r="H1540" s="179">
        <f>_xlfn.XLOOKUP($C1540,'Site Level Financials - ''23 ''24'!$C$2:$C$1577,'Site Level Financials - ''23 ''24'!T$2:T$1577)</f>
        <v>4</v>
      </c>
      <c r="I1540" s="179">
        <f>_xlfn.XLOOKUP($C1540,'Site Level Financials - ''23 ''24'!$C$2:$C$1577,'Site Level Financials - ''23 ''24'!U$2:U$1577)</f>
        <v>3</v>
      </c>
      <c r="J1540" s="179">
        <f>_xlfn.XLOOKUP($C1540,'Site Level Financials - ''23 ''24'!$C$2:$C$1577,'Site Level Financials - ''23 ''24'!V$2:V$1577)</f>
        <v>3</v>
      </c>
      <c r="K1540" s="179">
        <f>_xlfn.XLOOKUP($C1540,'Site Level Financials - ''23 ''24'!$C$2:$C$1577,'Site Level Financials - ''23 ''24'!W$2:W$1577)</f>
        <v>2</v>
      </c>
      <c r="L1540" s="179">
        <f>_xlfn.XLOOKUP($C1540,'Site Level Financials - ''23 ''24'!$C$2:$C$1577,'Site Level Financials - ''23 ''24'!X$2:X$1577)</f>
        <v>3</v>
      </c>
      <c r="M1540" s="179">
        <f>_xlfn.XLOOKUP($C1540,'Site Level Financials - ''23 ''24'!$C$2:$C$1577,'Site Level Financials - ''23 ''24'!Y$2:Y$1577)</f>
        <v>3</v>
      </c>
      <c r="N1540" s="179">
        <f>_xlfn.XLOOKUP($C1540,'Site Level Financials - ''23 ''24'!$C$2:$C$1577,'Site Level Financials - ''23 ''24'!Z$2:Z$1577)</f>
        <v>4</v>
      </c>
      <c r="O1540" s="179">
        <f>_xlfn.XLOOKUP($C1540,'Site Level Financials - ''23 ''24'!$C$2:$C$1577,'Site Level Financials - ''23 ''24'!AA$2:AA$1577)</f>
        <v>4</v>
      </c>
      <c r="P1540" s="179">
        <f>_xlfn.XLOOKUP($C1540,'Site Level Financials - ''23 ''24'!$C$2:$C$1577,'Site Level Financials - ''23 ''24'!AB$2:AB$1577)</f>
        <v>4</v>
      </c>
      <c r="Q1540" s="179">
        <f>_xlfn.XLOOKUP($C1540,'Site Level Financials - ''23 ''24'!$C$2:$C$1577,'Site Level Financials - ''23 ''24'!AC$2:AC$1577)</f>
        <v>5</v>
      </c>
      <c r="R1540" s="179">
        <f>_xlfn.XLOOKUP($C1540,'Site Level Financials - ''23 ''24'!$C$2:$C$1577,'Site Level Financials - ''23 ''24'!AD$2:AD$1577)</f>
        <v>4</v>
      </c>
      <c r="S1540" s="178">
        <f>R1540+_xlfn.XLOOKUP($R1540,'Budget Assumption Driver'!$A$7:$A$11,'Budget Assumption Driver'!E$7:E$11)</f>
        <v>4</v>
      </c>
      <c r="T1540" s="179">
        <f>S1540+_xlfn.XLOOKUP($R1540,'Budget Assumption Driver'!$A$7:$A$11,'Budget Assumption Driver'!F$7:F$11)</f>
        <v>4</v>
      </c>
      <c r="U1540" s="179">
        <f>T1540+_xlfn.XLOOKUP($R1540,'Budget Assumption Driver'!$A$7:$A$11,'Budget Assumption Driver'!G$7:G$11)</f>
        <v>4</v>
      </c>
      <c r="V1540" s="179">
        <f>U1540+_xlfn.XLOOKUP($R1540,'Budget Assumption Driver'!$A$7:$A$11,'Budget Assumption Driver'!H$7:H$11)</f>
        <v>4</v>
      </c>
      <c r="W1540" s="179">
        <f>V1540+_xlfn.XLOOKUP($R1540,'Budget Assumption Driver'!$A$7:$A$11,'Budget Assumption Driver'!I$7:I$11)</f>
        <v>4</v>
      </c>
      <c r="X1540" s="179">
        <f>W1540+_xlfn.XLOOKUP($R1540,'Budget Assumption Driver'!$A$7:$A$11,'Budget Assumption Driver'!J$7:J$11)</f>
        <v>4</v>
      </c>
      <c r="Y1540" s="179">
        <f>X1540+_xlfn.XLOOKUP($R1540,'Budget Assumption Driver'!$A$7:$A$11,'Budget Assumption Driver'!K$7:K$11)</f>
        <v>4</v>
      </c>
      <c r="Z1540" s="179">
        <f>Y1540+_xlfn.XLOOKUP($R1540,'Budget Assumption Driver'!$A$7:$A$11,'Budget Assumption Driver'!L$7:L$11)</f>
        <v>4</v>
      </c>
      <c r="AA1540" s="179">
        <f>Z1540+_xlfn.XLOOKUP($R1540,'Budget Assumption Driver'!$A$7:$A$11,'Budget Assumption Driver'!M$7:M$11)</f>
        <v>4</v>
      </c>
      <c r="AB1540" s="179">
        <f>AA1540+_xlfn.XLOOKUP($R1540,'Budget Assumption Driver'!$A$7:$A$11,'Budget Assumption Driver'!N$7:N$11)</f>
        <v>4</v>
      </c>
      <c r="AC1540" s="179">
        <f>AB1540+_xlfn.XLOOKUP($R1540,'Budget Assumption Driver'!$A$7:$A$11,'Budget Assumption Driver'!O$7:O$11)</f>
        <v>4</v>
      </c>
      <c r="AD1540" s="290">
        <f>AC1540+_xlfn.XLOOKUP($R1540,'Budget Assumption Driver'!$A$7:$A$11,'Budget Assumption Driver'!P$7:P$11)</f>
        <v>4</v>
      </c>
      <c r="AE1540" s="15"/>
      <c r="AF1540" s="229">
        <f>_xlfn.XLOOKUP($C1540,'Site Level Financials - ''23 ''24'!$C$2:$C$1577,'Site Level Financials - ''23 ''24'!$AF$2:$AF$1577)</f>
        <v>3</v>
      </c>
      <c r="AG1540" s="91">
        <f t="shared" ref="AG1540:AH1540" si="4515">AG1542/AG1541</f>
        <v>3.5762081784386619</v>
      </c>
      <c r="AH1540" s="91">
        <f t="shared" si="4515"/>
        <v>4</v>
      </c>
    </row>
    <row r="1541" spans="2:34" x14ac:dyDescent="0.2">
      <c r="B1541" s="9">
        <f>G1534</f>
        <v>32</v>
      </c>
      <c r="C1541" s="9" t="str">
        <f t="shared" ref="C1541:C1577" si="4516">B1541&amp;" - "&amp;F1541</f>
        <v>32 - Workdays in Month / Year</v>
      </c>
      <c r="D1541" s="9" t="s">
        <v>56</v>
      </c>
      <c r="F1541" s="7" t="s">
        <v>54</v>
      </c>
      <c r="G1541" s="178">
        <f>_xlfn.XLOOKUP($C1541,'Site Level Financials - ''23 ''24'!$C$2:$C$1577,'Site Level Financials - ''23 ''24'!S$2:S$1577)</f>
        <v>23</v>
      </c>
      <c r="H1541" s="235">
        <f>_xlfn.XLOOKUP($C1541,'Site Level Financials - ''23 ''24'!$C$2:$C$1577,'Site Level Financials - ''23 ''24'!T$2:T$1577)</f>
        <v>22</v>
      </c>
      <c r="I1541" s="235">
        <f>_xlfn.XLOOKUP($C1541,'Site Level Financials - ''23 ''24'!$C$2:$C$1577,'Site Level Financials - ''23 ''24'!U$2:U$1577)</f>
        <v>22</v>
      </c>
      <c r="J1541" s="179">
        <f>_xlfn.XLOOKUP($C1541,'Site Level Financials - ''23 ''24'!$C$2:$C$1577,'Site Level Financials - ''23 ''24'!V$2:V$1577)</f>
        <v>22</v>
      </c>
      <c r="K1541" s="179">
        <f>_xlfn.XLOOKUP($C1541,'Site Level Financials - ''23 ''24'!$C$2:$C$1577,'Site Level Financials - ''23 ''24'!W$2:W$1577)</f>
        <v>24</v>
      </c>
      <c r="L1541" s="179">
        <f>_xlfn.XLOOKUP($C1541,'Site Level Financials - ''23 ''24'!$C$2:$C$1577,'Site Level Financials - ''23 ''24'!X$2:X$1577)</f>
        <v>21</v>
      </c>
      <c r="M1541" s="179">
        <f>_xlfn.XLOOKUP($C1541,'Site Level Financials - ''23 ''24'!$C$2:$C$1577,'Site Level Financials - ''23 ''24'!Y$2:Y$1577)</f>
        <v>23</v>
      </c>
      <c r="N1541" s="179">
        <f>_xlfn.XLOOKUP($C1541,'Site Level Financials - ''23 ''24'!$C$2:$C$1577,'Site Level Financials - ''23 ''24'!Z$2:Z$1577)</f>
        <v>23</v>
      </c>
      <c r="O1541" s="179">
        <f>_xlfn.XLOOKUP($C1541,'Site Level Financials - ''23 ''24'!$C$2:$C$1577,'Site Level Financials - ''23 ''24'!AA$2:AA$1577)</f>
        <v>21</v>
      </c>
      <c r="P1541" s="179">
        <f>_xlfn.XLOOKUP($C1541,'Site Level Financials - ''23 ''24'!$C$2:$C$1577,'Site Level Financials - ''23 ''24'!AB$2:AB$1577)</f>
        <v>24</v>
      </c>
      <c r="Q1541" s="179">
        <f>_xlfn.XLOOKUP($C1541,'Site Level Financials - ''23 ''24'!$C$2:$C$1577,'Site Level Financials - ''23 ''24'!AC$2:AC$1577)</f>
        <v>22</v>
      </c>
      <c r="R1541" s="179">
        <f>_xlfn.XLOOKUP($C1541,'Site Level Financials - ''23 ''24'!$C$2:$C$1577,'Site Level Financials - ''23 ''24'!AD$2:AD$1577)</f>
        <v>22</v>
      </c>
      <c r="S1541" s="155">
        <f>NETWORKDAYS(R1538,S1538)</f>
        <v>23</v>
      </c>
      <c r="T1541" s="154">
        <f t="shared" ref="T1541:AD1541" si="4517">NETWORKDAYS(S1538,T1538)</f>
        <v>22</v>
      </c>
      <c r="U1541" s="154">
        <f t="shared" si="4517"/>
        <v>22</v>
      </c>
      <c r="V1541" s="154">
        <f t="shared" si="4517"/>
        <v>22</v>
      </c>
      <c r="W1541" s="154">
        <f t="shared" si="4517"/>
        <v>24</v>
      </c>
      <c r="X1541" s="154">
        <f t="shared" si="4517"/>
        <v>21</v>
      </c>
      <c r="Y1541" s="154">
        <f t="shared" si="4517"/>
        <v>23</v>
      </c>
      <c r="Z1541" s="154">
        <f t="shared" si="4517"/>
        <v>23</v>
      </c>
      <c r="AA1541" s="154">
        <f t="shared" si="4517"/>
        <v>21</v>
      </c>
      <c r="AB1541" s="154">
        <f t="shared" si="4517"/>
        <v>24</v>
      </c>
      <c r="AC1541" s="154">
        <f t="shared" si="4517"/>
        <v>22</v>
      </c>
      <c r="AD1541" s="156">
        <f t="shared" si="4517"/>
        <v>22</v>
      </c>
      <c r="AE1541" s="15"/>
      <c r="AF1541" s="115">
        <f>_xlfn.XLOOKUP($C1541,'Site Level Financials - ''23 ''24'!$C$2:$C$1577,'Site Level Financials - ''23 ''24'!$AF$2:$AF$1577)</f>
        <v>269</v>
      </c>
      <c r="AG1541" s="93">
        <f>SUM(G1541:R1541)</f>
        <v>269</v>
      </c>
      <c r="AH1541" s="93">
        <f>SUM(S1541:AD1541)</f>
        <v>269</v>
      </c>
    </row>
    <row r="1542" spans="2:34" x14ac:dyDescent="0.2">
      <c r="B1542" s="9">
        <f>G1534</f>
        <v>32</v>
      </c>
      <c r="C1542" s="9" t="str">
        <f t="shared" si="4516"/>
        <v>32 - Total Vet Days</v>
      </c>
      <c r="D1542" s="9" t="s">
        <v>56</v>
      </c>
      <c r="F1542" s="8" t="s">
        <v>51</v>
      </c>
      <c r="G1542" s="236">
        <f>_xlfn.XLOOKUP($C1542,'Site Level Financials - ''23 ''24'!$C$2:$C$1577,'Site Level Financials - ''23 ''24'!S$2:S$1577)</f>
        <v>92</v>
      </c>
      <c r="H1542" s="237">
        <f>_xlfn.XLOOKUP($C1542,'Site Level Financials - ''23 ''24'!$C$2:$C$1577,'Site Level Financials - ''23 ''24'!T$2:T$1577)</f>
        <v>88</v>
      </c>
      <c r="I1542" s="237">
        <f>_xlfn.XLOOKUP($C1542,'Site Level Financials - ''23 ''24'!$C$2:$C$1577,'Site Level Financials - ''23 ''24'!U$2:U$1577)</f>
        <v>66</v>
      </c>
      <c r="J1542" s="238">
        <f>_xlfn.XLOOKUP($C1542,'Site Level Financials - ''23 ''24'!$C$2:$C$1577,'Site Level Financials - ''23 ''24'!V$2:V$1577)</f>
        <v>66</v>
      </c>
      <c r="K1542" s="238">
        <f>_xlfn.XLOOKUP($C1542,'Site Level Financials - ''23 ''24'!$C$2:$C$1577,'Site Level Financials - ''23 ''24'!W$2:W$1577)</f>
        <v>48</v>
      </c>
      <c r="L1542" s="238">
        <f>_xlfn.XLOOKUP($C1542,'Site Level Financials - ''23 ''24'!$C$2:$C$1577,'Site Level Financials - ''23 ''24'!X$2:X$1577)</f>
        <v>63</v>
      </c>
      <c r="M1542" s="238">
        <f>_xlfn.XLOOKUP($C1542,'Site Level Financials - ''23 ''24'!$C$2:$C$1577,'Site Level Financials - ''23 ''24'!Y$2:Y$1577)</f>
        <v>69</v>
      </c>
      <c r="N1542" s="238">
        <f>_xlfn.XLOOKUP($C1542,'Site Level Financials - ''23 ''24'!$C$2:$C$1577,'Site Level Financials - ''23 ''24'!Z$2:Z$1577)</f>
        <v>92</v>
      </c>
      <c r="O1542" s="238">
        <f>_xlfn.XLOOKUP($C1542,'Site Level Financials - ''23 ''24'!$C$2:$C$1577,'Site Level Financials - ''23 ''24'!AA$2:AA$1577)</f>
        <v>84</v>
      </c>
      <c r="P1542" s="238">
        <f>_xlfn.XLOOKUP($C1542,'Site Level Financials - ''23 ''24'!$C$2:$C$1577,'Site Level Financials - ''23 ''24'!AB$2:AB$1577)</f>
        <v>96</v>
      </c>
      <c r="Q1542" s="238">
        <f>_xlfn.XLOOKUP($C1542,'Site Level Financials - ''23 ''24'!$C$2:$C$1577,'Site Level Financials - ''23 ''24'!AC$2:AC$1577)</f>
        <v>110</v>
      </c>
      <c r="R1542" s="238">
        <f>_xlfn.XLOOKUP($C1542,'Site Level Financials - ''23 ''24'!$C$2:$C$1577,'Site Level Financials - ''23 ''24'!AD$2:AD$1577)</f>
        <v>88</v>
      </c>
      <c r="S1542" s="125">
        <f t="shared" ref="S1542:AD1542" si="4518">S1540*S1541</f>
        <v>92</v>
      </c>
      <c r="T1542" s="127">
        <f t="shared" si="4518"/>
        <v>88</v>
      </c>
      <c r="U1542" s="127">
        <f t="shared" si="4518"/>
        <v>88</v>
      </c>
      <c r="V1542" s="127">
        <f t="shared" si="4518"/>
        <v>88</v>
      </c>
      <c r="W1542" s="127">
        <f t="shared" si="4518"/>
        <v>96</v>
      </c>
      <c r="X1542" s="127">
        <f t="shared" si="4518"/>
        <v>84</v>
      </c>
      <c r="Y1542" s="127">
        <f t="shared" si="4518"/>
        <v>92</v>
      </c>
      <c r="Z1542" s="127">
        <f t="shared" si="4518"/>
        <v>92</v>
      </c>
      <c r="AA1542" s="127">
        <f t="shared" si="4518"/>
        <v>84</v>
      </c>
      <c r="AB1542" s="127">
        <f t="shared" si="4518"/>
        <v>96</v>
      </c>
      <c r="AC1542" s="127">
        <f t="shared" si="4518"/>
        <v>88</v>
      </c>
      <c r="AD1542" s="128">
        <f t="shared" si="4518"/>
        <v>88</v>
      </c>
      <c r="AF1542" s="112">
        <f>_xlfn.XLOOKUP($C1542,'Site Level Financials - ''23 ''24'!$C$2:$C$1577,'Site Level Financials - ''23 ''24'!$AF$2:$AF$1577)</f>
        <v>806</v>
      </c>
      <c r="AG1542" s="120">
        <f>SUM(G1542:R1542)</f>
        <v>962</v>
      </c>
      <c r="AH1542" s="120">
        <f t="shared" ref="AH1542" si="4519">SUM(S1542:AD1542)</f>
        <v>1076</v>
      </c>
    </row>
    <row r="1543" spans="2:34" x14ac:dyDescent="0.2">
      <c r="B1543" s="9">
        <f>G1534</f>
        <v>32</v>
      </c>
      <c r="C1543" s="9" t="str">
        <f t="shared" si="4516"/>
        <v>32 - Production per Vet Workday</v>
      </c>
      <c r="D1543" s="9" t="s">
        <v>56</v>
      </c>
      <c r="F1543" s="7" t="s">
        <v>50</v>
      </c>
      <c r="G1543" s="239">
        <f>_xlfn.XLOOKUP($C1543,'Site Level Financials - ''23 ''24'!$C$2:$C$1577,'Site Level Financials - ''23 ''24'!S$2:S$1577)</f>
        <v>4.6605104286212464</v>
      </c>
      <c r="H1543" s="240">
        <f>_xlfn.XLOOKUP($C1543,'Site Level Financials - ''23 ''24'!$C$2:$C$1577,'Site Level Financials - ''23 ''24'!T$2:T$1577)</f>
        <v>4.5890754015405397</v>
      </c>
      <c r="I1543" s="240">
        <f>_xlfn.XLOOKUP($C1543,'Site Level Financials - ''23 ''24'!$C$2:$C$1577,'Site Level Financials - ''23 ''24'!U$2:U$1577)</f>
        <v>5.293039605009799</v>
      </c>
      <c r="J1543" s="240">
        <f>_xlfn.XLOOKUP($C1543,'Site Level Financials - ''23 ''24'!$C$2:$C$1577,'Site Level Financials - ''23 ''24'!V$2:V$1577)</f>
        <v>5.4972937238721222</v>
      </c>
      <c r="K1543" s="240">
        <f>_xlfn.XLOOKUP($C1543,'Site Level Financials - ''23 ''24'!$C$2:$C$1577,'Site Level Financials - ''23 ''24'!W$2:W$1577)</f>
        <v>6.2108026130923655</v>
      </c>
      <c r="L1543" s="240">
        <f>_xlfn.XLOOKUP($C1543,'Site Level Financials - ''23 ''24'!$C$2:$C$1577,'Site Level Financials - ''23 ''24'!X$2:X$1577)</f>
        <v>5.2896713486420133</v>
      </c>
      <c r="M1543" s="240">
        <f>_xlfn.XLOOKUP($C1543,'Site Level Financials - ''23 ''24'!$C$2:$C$1577,'Site Level Financials - ''23 ''24'!Y$2:Y$1577)</f>
        <v>5.0208424822154001</v>
      </c>
      <c r="N1543" s="240">
        <f>_xlfn.XLOOKUP($C1543,'Site Level Financials - ''23 ''24'!$C$2:$C$1577,'Site Level Financials - ''23 ''24'!Z$2:Z$1577)</f>
        <v>4.3597621766932102</v>
      </c>
      <c r="O1543" s="240">
        <f>_xlfn.XLOOKUP($C1543,'Site Level Financials - ''23 ''24'!$C$2:$C$1577,'Site Level Financials - ''23 ''24'!AA$2:AA$1577)</f>
        <v>4.7577434019005613</v>
      </c>
      <c r="P1543" s="240">
        <f>_xlfn.XLOOKUP($C1543,'Site Level Financials - ''23 ''24'!$C$2:$C$1577,'Site Level Financials - ''23 ''24'!AB$2:AB$1577)</f>
        <v>4.74058925862089</v>
      </c>
      <c r="Q1543" s="240">
        <f>_xlfn.XLOOKUP($C1543,'Site Level Financials - ''23 ''24'!$C$2:$C$1577,'Site Level Financials - ''23 ''24'!AC$2:AC$1577)</f>
        <v>3.8544402856372906</v>
      </c>
      <c r="R1543" s="240">
        <f>_xlfn.XLOOKUP($C1543,'Site Level Financials - ''23 ''24'!$C$2:$C$1577,'Site Level Financials - ''23 ''24'!AD$2:AD$1577)</f>
        <v>3.5423316457400933</v>
      </c>
      <c r="S1543" s="239">
        <f>R1543*(1+_xlfn.XLOOKUP($R1540,'Budget Assumption Driver'!$A$15:$A$19,'Budget Assumption Driver'!E$15:E$19))</f>
        <v>5.0117218039611613</v>
      </c>
      <c r="T1543" s="240">
        <f>S1543*(1+_xlfn.XLOOKUP($R1540,'Budget Assumption Driver'!$A$15:$A$19,'Budget Assumption Driver'!F$15:F$19))</f>
        <v>5.4254195462082579</v>
      </c>
      <c r="U1543" s="240">
        <f>T1543*(1+_xlfn.XLOOKUP($R1540,'Budget Assumption Driver'!$A$15:$A$19,'Budget Assumption Driver'!G$15:G$19))</f>
        <v>5.8257570997014563</v>
      </c>
      <c r="V1543" s="240">
        <f>U1543*(1+_xlfn.XLOOKUP($R1540,'Budget Assumption Driver'!$A$15:$A$19,'Budget Assumption Driver'!H$15:H$19))</f>
        <v>6.2403269596282955</v>
      </c>
      <c r="W1543" s="240">
        <f>V1543*(1+_xlfn.XLOOKUP($R1540,'Budget Assumption Driver'!$A$15:$A$19,'Budget Assumption Driver'!I$15:I$19))</f>
        <v>6.7986430583996347</v>
      </c>
      <c r="X1543" s="240">
        <f>W1543*(1+_xlfn.XLOOKUP($R1540,'Budget Assumption Driver'!$A$15:$A$19,'Budget Assumption Driver'!J$15:J$19))</f>
        <v>6.5247451237184908</v>
      </c>
      <c r="Y1543" s="240">
        <f>X1543*(1+_xlfn.XLOOKUP($R1540,'Budget Assumption Driver'!$A$15:$A$19,'Budget Assumption Driver'!K$15:K$19))</f>
        <v>6.0016818956592637</v>
      </c>
      <c r="Z1543" s="240">
        <f>Y1543*(1+_xlfn.XLOOKUP($R1540,'Budget Assumption Driver'!$A$15:$A$19,'Budget Assumption Driver'!L$15:L$19))</f>
        <v>5.1463871963709487</v>
      </c>
      <c r="AA1543" s="240">
        <f>Z1543*(1+_xlfn.XLOOKUP($R1540,'Budget Assumption Driver'!$A$15:$A$19,'Budget Assumption Driver'!M$15:M$19))</f>
        <v>5.167769663675049</v>
      </c>
      <c r="AB1543" s="240">
        <f>AA1543*(1+_xlfn.XLOOKUP($R1540,'Budget Assumption Driver'!$A$15:$A$19,'Budget Assumption Driver'!N$15:N$19))</f>
        <v>5.1932527032443803</v>
      </c>
      <c r="AC1543" s="240">
        <f>AB1543*(1+_xlfn.XLOOKUP($R1540,'Budget Assumption Driver'!$A$15:$A$19,'Budget Assumption Driver'!O$15:O$19))</f>
        <v>4.4782964355333483</v>
      </c>
      <c r="AD1543" s="291">
        <f>AC1543*(1+_xlfn.XLOOKUP($R1540,'Budget Assumption Driver'!$A$15:$A$19,'Budget Assumption Driver'!P$15:P$19))</f>
        <v>3.6552417653122466</v>
      </c>
      <c r="AE1543" s="15"/>
      <c r="AF1543" s="230">
        <f>_xlfn.XLOOKUP($C1543,'Site Level Financials - ''23 ''24'!$C$2:$C$1577,'Site Level Financials - ''23 ''24'!$AF$2:$AF$1577)</f>
        <v>4.6967546831570557</v>
      </c>
      <c r="AG1543" s="101">
        <f>AG1544/AG1542</f>
        <v>4.6924452154146881</v>
      </c>
      <c r="AH1543" s="101">
        <f>AH1544/AH1542</f>
        <v>5.4601279522786674</v>
      </c>
    </row>
    <row r="1544" spans="2:34" x14ac:dyDescent="0.2">
      <c r="B1544" s="9">
        <f>G1534</f>
        <v>32</v>
      </c>
      <c r="C1544" s="9" t="str">
        <f t="shared" si="4516"/>
        <v>32 - Total Production</v>
      </c>
      <c r="D1544" s="9" t="s">
        <v>56</v>
      </c>
      <c r="F1544" s="8" t="s">
        <v>1</v>
      </c>
      <c r="G1544" s="241">
        <f>_xlfn.XLOOKUP($C1544,'Site Level Financials - ''23 ''24'!$C$2:$C$1577,'Site Level Financials - ''23 ''24'!S$2:S$1577)</f>
        <v>428.76695943315468</v>
      </c>
      <c r="H1544" s="242">
        <f>_xlfn.XLOOKUP($C1544,'Site Level Financials - ''23 ''24'!$C$2:$C$1577,'Site Level Financials - ''23 ''24'!T$2:T$1577)</f>
        <v>403.83863533556752</v>
      </c>
      <c r="I1544" s="242">
        <f>_xlfn.XLOOKUP($C1544,'Site Level Financials - ''23 ''24'!$C$2:$C$1577,'Site Level Financials - ''23 ''24'!U$2:U$1577)</f>
        <v>349.34061393064673</v>
      </c>
      <c r="J1544" s="242">
        <f>_xlfn.XLOOKUP($C1544,'Site Level Financials - ''23 ''24'!$C$2:$C$1577,'Site Level Financials - ''23 ''24'!V$2:V$1577)</f>
        <v>362.82138577556009</v>
      </c>
      <c r="K1544" s="242">
        <f>_xlfn.XLOOKUP($C1544,'Site Level Financials - ''23 ''24'!$C$2:$C$1577,'Site Level Financials - ''23 ''24'!W$2:W$1577)</f>
        <v>298.11852542843354</v>
      </c>
      <c r="L1544" s="242">
        <f>_xlfn.XLOOKUP($C1544,'Site Level Financials - ''23 ''24'!$C$2:$C$1577,'Site Level Financials - ''23 ''24'!X$2:X$1577)</f>
        <v>333.24929496444685</v>
      </c>
      <c r="M1544" s="242">
        <f>_xlfn.XLOOKUP($C1544,'Site Level Financials - ''23 ''24'!$C$2:$C$1577,'Site Level Financials - ''23 ''24'!Y$2:Y$1577)</f>
        <v>346.43813127286262</v>
      </c>
      <c r="N1544" s="242">
        <f>_xlfn.XLOOKUP($C1544,'Site Level Financials - ''23 ''24'!$C$2:$C$1577,'Site Level Financials - ''23 ''24'!Z$2:Z$1577)</f>
        <v>401.09812025577531</v>
      </c>
      <c r="O1544" s="242">
        <f>_xlfn.XLOOKUP($C1544,'Site Level Financials - ''23 ''24'!$C$2:$C$1577,'Site Level Financials - ''23 ''24'!AA$2:AA$1577)</f>
        <v>399.65044575964714</v>
      </c>
      <c r="P1544" s="242">
        <f>_xlfn.XLOOKUP($C1544,'Site Level Financials - ''23 ''24'!$C$2:$C$1577,'Site Level Financials - ''23 ''24'!AB$2:AB$1577)</f>
        <v>455.09656882760544</v>
      </c>
      <c r="Q1544" s="242">
        <f>_xlfn.XLOOKUP($C1544,'Site Level Financials - ''23 ''24'!$C$2:$C$1577,'Site Level Financials - ''23 ''24'!AC$2:AC$1577)</f>
        <v>423.98843142010196</v>
      </c>
      <c r="R1544" s="242">
        <f>_xlfn.XLOOKUP($C1544,'Site Level Financials - ''23 ''24'!$C$2:$C$1577,'Site Level Financials - ''23 ''24'!AD$2:AD$1577)</f>
        <v>311.72518482512822</v>
      </c>
      <c r="S1544" s="134">
        <f t="shared" ref="S1544:AD1544" si="4520">S1543*S1542</f>
        <v>461.07840596442685</v>
      </c>
      <c r="T1544" s="135">
        <f t="shared" si="4520"/>
        <v>477.43692006632671</v>
      </c>
      <c r="U1544" s="135">
        <f t="shared" si="4520"/>
        <v>512.66662477372813</v>
      </c>
      <c r="V1544" s="135">
        <f t="shared" si="4520"/>
        <v>549.14877244728996</v>
      </c>
      <c r="W1544" s="135">
        <f t="shared" si="4520"/>
        <v>652.66973360636496</v>
      </c>
      <c r="X1544" s="135">
        <f t="shared" si="4520"/>
        <v>548.07859039235325</v>
      </c>
      <c r="Y1544" s="135">
        <f t="shared" si="4520"/>
        <v>552.15473440065227</v>
      </c>
      <c r="Z1544" s="135">
        <f t="shared" si="4520"/>
        <v>473.46762206612726</v>
      </c>
      <c r="AA1544" s="135">
        <f t="shared" si="4520"/>
        <v>434.0926517487041</v>
      </c>
      <c r="AB1544" s="135">
        <f t="shared" si="4520"/>
        <v>498.55225951146053</v>
      </c>
      <c r="AC1544" s="135">
        <f t="shared" si="4520"/>
        <v>394.09008632693462</v>
      </c>
      <c r="AD1544" s="136">
        <f t="shared" si="4520"/>
        <v>321.66127534747773</v>
      </c>
      <c r="AE1544" s="15"/>
      <c r="AF1544" s="113">
        <f>_xlfn.XLOOKUP($C1544,'Site Level Financials - ''23 ''24'!$C$2:$C$1577,'Site Level Financials - ''23 ''24'!$AF$2:$AF$1577)</f>
        <v>3641.2962039519707</v>
      </c>
      <c r="AG1544" s="95">
        <f>SUM(G1544:R1544)</f>
        <v>4514.1322972289299</v>
      </c>
      <c r="AH1544" s="95">
        <f t="shared" ref="AH1544" si="4521">SUM(S1544:AD1544)</f>
        <v>5875.0976766518461</v>
      </c>
    </row>
    <row r="1545" spans="2:34" x14ac:dyDescent="0.2">
      <c r="B1545" s="9">
        <f>G1534</f>
        <v>32</v>
      </c>
      <c r="C1545" s="9" t="str">
        <f t="shared" si="4516"/>
        <v>32 - Revenue as a % of Production</v>
      </c>
      <c r="D1545" s="9" t="s">
        <v>56</v>
      </c>
      <c r="F1545" s="7" t="s">
        <v>2</v>
      </c>
      <c r="G1545" s="243">
        <f>_xlfn.XLOOKUP($C1545,'Site Level Financials - ''23 ''24'!$C$2:$C$1577,'Site Level Financials - ''23 ''24'!S$2:S$1577)</f>
        <v>0.97683839420120411</v>
      </c>
      <c r="H1545" s="244">
        <f>_xlfn.XLOOKUP($C1545,'Site Level Financials - ''23 ''24'!$C$2:$C$1577,'Site Level Financials - ''23 ''24'!T$2:T$1577)</f>
        <v>0.97683839420120411</v>
      </c>
      <c r="I1545" s="244">
        <f>_xlfn.XLOOKUP($C1545,'Site Level Financials - ''23 ''24'!$C$2:$C$1577,'Site Level Financials - ''23 ''24'!U$2:U$1577)</f>
        <v>0.97683839420120411</v>
      </c>
      <c r="J1545" s="244">
        <f>_xlfn.XLOOKUP($C1545,'Site Level Financials - ''23 ''24'!$C$2:$C$1577,'Site Level Financials - ''23 ''24'!V$2:V$1577)</f>
        <v>0.97683839420120411</v>
      </c>
      <c r="K1545" s="244">
        <f>_xlfn.XLOOKUP($C1545,'Site Level Financials - ''23 ''24'!$C$2:$C$1577,'Site Level Financials - ''23 ''24'!W$2:W$1577)</f>
        <v>0.97683839420120411</v>
      </c>
      <c r="L1545" s="244">
        <f>_xlfn.XLOOKUP($C1545,'Site Level Financials - ''23 ''24'!$C$2:$C$1577,'Site Level Financials - ''23 ''24'!X$2:X$1577)</f>
        <v>0.97683839420120411</v>
      </c>
      <c r="M1545" s="244">
        <f>_xlfn.XLOOKUP($C1545,'Site Level Financials - ''23 ''24'!$C$2:$C$1577,'Site Level Financials - ''23 ''24'!Y$2:Y$1577)</f>
        <v>0.97683839420120411</v>
      </c>
      <c r="N1545" s="244">
        <f>_xlfn.XLOOKUP($C1545,'Site Level Financials - ''23 ''24'!$C$2:$C$1577,'Site Level Financials - ''23 ''24'!Z$2:Z$1577)</f>
        <v>0.97683839420120411</v>
      </c>
      <c r="O1545" s="244">
        <f>_xlfn.XLOOKUP($C1545,'Site Level Financials - ''23 ''24'!$C$2:$C$1577,'Site Level Financials - ''23 ''24'!AA$2:AA$1577)</f>
        <v>0.97683839420120411</v>
      </c>
      <c r="P1545" s="244">
        <f>_xlfn.XLOOKUP($C1545,'Site Level Financials - ''23 ''24'!$C$2:$C$1577,'Site Level Financials - ''23 ''24'!AB$2:AB$1577)</f>
        <v>0.97683839420120411</v>
      </c>
      <c r="Q1545" s="244">
        <f>_xlfn.XLOOKUP($C1545,'Site Level Financials - ''23 ''24'!$C$2:$C$1577,'Site Level Financials - ''23 ''24'!AC$2:AC$1577)</f>
        <v>0.97683839420120411</v>
      </c>
      <c r="R1545" s="244">
        <f>_xlfn.XLOOKUP($C1545,'Site Level Financials - ''23 ''24'!$C$2:$C$1577,'Site Level Financials - ''23 ''24'!AD$2:AD$1577)</f>
        <v>0.97683839420120411</v>
      </c>
      <c r="S1545" s="292">
        <f>SUM(G1574:R1574)/SUM(G1544:R1544)</f>
        <v>0.98101678634135814</v>
      </c>
      <c r="T1545" s="203">
        <f>S1545</f>
        <v>0.98101678634135814</v>
      </c>
      <c r="U1545" s="203">
        <f t="shared" ref="U1545:AD1545" si="4522">T1545</f>
        <v>0.98101678634135814</v>
      </c>
      <c r="V1545" s="203">
        <f t="shared" si="4522"/>
        <v>0.98101678634135814</v>
      </c>
      <c r="W1545" s="203">
        <f t="shared" si="4522"/>
        <v>0.98101678634135814</v>
      </c>
      <c r="X1545" s="203">
        <f t="shared" si="4522"/>
        <v>0.98101678634135814</v>
      </c>
      <c r="Y1545" s="203">
        <f t="shared" si="4522"/>
        <v>0.98101678634135814</v>
      </c>
      <c r="Z1545" s="203">
        <f t="shared" si="4522"/>
        <v>0.98101678634135814</v>
      </c>
      <c r="AA1545" s="203">
        <f t="shared" si="4522"/>
        <v>0.98101678634135814</v>
      </c>
      <c r="AB1545" s="203">
        <f t="shared" si="4522"/>
        <v>0.98101678634135814</v>
      </c>
      <c r="AC1545" s="203">
        <f t="shared" si="4522"/>
        <v>0.98101678634135814</v>
      </c>
      <c r="AD1545" s="204">
        <f t="shared" si="4522"/>
        <v>0.98101678634135814</v>
      </c>
      <c r="AE1545" s="15"/>
      <c r="AF1545" s="231">
        <f>_xlfn.XLOOKUP($C1545,'Site Level Financials - ''23 ''24'!$C$2:$C$1577,'Site Level Financials - ''23 ''24'!$AF$2:$AF$1577)</f>
        <v>0.97798833195064916</v>
      </c>
      <c r="AG1545" s="103">
        <f>AG1546/AG1544</f>
        <v>0.97683839420120411</v>
      </c>
      <c r="AH1545" s="103">
        <f>AH1546/AH1544</f>
        <v>0.98101678634135814</v>
      </c>
    </row>
    <row r="1546" spans="2:34" x14ac:dyDescent="0.2">
      <c r="B1546" s="9">
        <f>G1534</f>
        <v>32</v>
      </c>
      <c r="C1546" s="9" t="str">
        <f t="shared" si="4516"/>
        <v>32 - Total Revenue</v>
      </c>
      <c r="D1546" s="9" t="s">
        <v>56</v>
      </c>
      <c r="F1546" s="8" t="s">
        <v>3</v>
      </c>
      <c r="G1546" s="241">
        <f>_xlfn.XLOOKUP($C1546,'Site Level Financials - ''23 ''24'!$C$2:$C$1577,'Site Level Financials - ''23 ''24'!S$2:S$1577)</f>
        <v>418.83602813921567</v>
      </c>
      <c r="H1546" s="242">
        <f>_xlfn.XLOOKUP($C1546,'Site Level Financials - ''23 ''24'!$C$2:$C$1577,'Site Level Financials - ''23 ''24'!T$2:T$1577)</f>
        <v>394.4850840576014</v>
      </c>
      <c r="I1546" s="242">
        <f>_xlfn.XLOOKUP($C1546,'Site Level Financials - ''23 ''24'!$C$2:$C$1577,'Site Level Financials - ''23 ''24'!U$2:U$1577)</f>
        <v>341.24932434127572</v>
      </c>
      <c r="J1546" s="242">
        <f>_xlfn.XLOOKUP($C1546,'Site Level Financials - ''23 ''24'!$C$2:$C$1577,'Site Level Financials - ''23 ''24'!V$2:V$1577)</f>
        <v>354.41785986285373</v>
      </c>
      <c r="K1546" s="242">
        <f>_xlfn.XLOOKUP($C1546,'Site Level Financials - ''23 ''24'!$C$2:$C$1577,'Site Level Financials - ''23 ''24'!W$2:W$1577)</f>
        <v>291.21362166114187</v>
      </c>
      <c r="L1546" s="242">
        <f>_xlfn.XLOOKUP($C1546,'Site Level Financials - ''23 ''24'!$C$2:$C$1577,'Site Level Financials - ''23 ''24'!X$2:X$1577)</f>
        <v>325.5307061617537</v>
      </c>
      <c r="M1546" s="242">
        <f>_xlfn.XLOOKUP($C1546,'Site Level Financials - ''23 ''24'!$C$2:$C$1577,'Site Level Financials - ''23 ''24'!Y$2:Y$1577)</f>
        <v>338.41406784264905</v>
      </c>
      <c r="N1546" s="242">
        <f>_xlfn.XLOOKUP($C1546,'Site Level Financials - ''23 ''24'!$C$2:$C$1577,'Site Level Financials - ''23 ''24'!Z$2:Z$1577)</f>
        <v>391.80804370777304</v>
      </c>
      <c r="O1546" s="242">
        <f>_xlfn.XLOOKUP($C1546,'Site Level Financials - ''23 ''24'!$C$2:$C$1577,'Site Level Financials - ''23 ''24'!AA$2:AA$1577)</f>
        <v>390.39389967764913</v>
      </c>
      <c r="P1546" s="242">
        <f>_xlfn.XLOOKUP($C1546,'Site Level Financials - ''23 ''24'!$C$2:$C$1577,'Site Level Financials - ''23 ''24'!AB$2:AB$1577)</f>
        <v>444.55580150003584</v>
      </c>
      <c r="Q1546" s="242">
        <f>_xlfn.XLOOKUP($C1546,'Site Level Financials - ''23 ''24'!$C$2:$C$1577,'Site Level Financials - ''23 ''24'!AC$2:AC$1577)</f>
        <v>414.16817850829977</v>
      </c>
      <c r="R1546" s="242">
        <f>_xlfn.XLOOKUP($C1546,'Site Level Financials - ''23 ''24'!$C$2:$C$1577,'Site Level Financials - ''23 ''24'!AD$2:AD$1577)</f>
        <v>304.5051289766518</v>
      </c>
      <c r="S1546" s="134">
        <f t="shared" ref="S1546:AD1546" si="4523">S1545*S1544</f>
        <v>452.32565607061815</v>
      </c>
      <c r="T1546" s="135">
        <f t="shared" si="4523"/>
        <v>468.37363300418372</v>
      </c>
      <c r="U1546" s="135">
        <f t="shared" si="4523"/>
        <v>502.9345646999937</v>
      </c>
      <c r="V1546" s="135">
        <f t="shared" si="4523"/>
        <v>538.72416396954213</v>
      </c>
      <c r="W1546" s="135">
        <f t="shared" si="4523"/>
        <v>640.27996460478641</v>
      </c>
      <c r="X1546" s="135">
        <f t="shared" si="4523"/>
        <v>537.67429740920795</v>
      </c>
      <c r="Y1546" s="135">
        <f t="shared" si="4523"/>
        <v>541.67306310489403</v>
      </c>
      <c r="Z1546" s="135">
        <f t="shared" si="4523"/>
        <v>464.47968503599685</v>
      </c>
      <c r="AA1546" s="135">
        <f t="shared" si="4523"/>
        <v>425.85217819291205</v>
      </c>
      <c r="AB1546" s="135">
        <f t="shared" si="4523"/>
        <v>489.0881354491558</v>
      </c>
      <c r="AC1546" s="135">
        <f t="shared" si="4523"/>
        <v>386.6089900174378</v>
      </c>
      <c r="AD1546" s="136">
        <f t="shared" si="4523"/>
        <v>315.55511063184531</v>
      </c>
      <c r="AE1546" s="15"/>
      <c r="AF1546" s="113">
        <f>_xlfn.XLOOKUP($C1546,'Site Level Financials - ''23 ''24'!$C$2:$C$1577,'Site Level Financials - ''23 ''24'!$AF$2:$AF$1577)</f>
        <v>3561.1452006412192</v>
      </c>
      <c r="AG1546" s="95">
        <f>SUM(G1546:R1546)</f>
        <v>4409.5777444369005</v>
      </c>
      <c r="AH1546" s="95">
        <f t="shared" ref="AH1546" si="4524">SUM(S1546:AD1546)</f>
        <v>5763.5694421905737</v>
      </c>
    </row>
    <row r="1547" spans="2:34" x14ac:dyDescent="0.2">
      <c r="B1547" s="9">
        <f>G1534</f>
        <v>32</v>
      </c>
      <c r="C1547" s="9" t="str">
        <f t="shared" si="4516"/>
        <v>32 - % YoY Revenue Growth</v>
      </c>
      <c r="D1547" s="9" t="s">
        <v>56</v>
      </c>
      <c r="F1547" s="16" t="s">
        <v>174</v>
      </c>
      <c r="G1547" s="245">
        <f>_xlfn.XLOOKUP($C1547,'Site Level Financials - ''23 ''24'!$C$2:$C$1577,'Site Level Financials - ''23 ''24'!S$2:S$1577)</f>
        <v>0.36391411382352645</v>
      </c>
      <c r="H1547" s="246">
        <f>_xlfn.XLOOKUP($C1547,'Site Level Financials - ''23 ''24'!$C$2:$C$1577,'Site Level Financials - ''23 ''24'!T$2:T$1577)</f>
        <v>0.28601764709827537</v>
      </c>
      <c r="I1547" s="246">
        <f>_xlfn.XLOOKUP($C1547,'Site Level Financials - ''23 ''24'!$C$2:$C$1577,'Site Level Financials - ''23 ''24'!U$2:U$1577)</f>
        <v>-5.5687783099802934E-2</v>
      </c>
      <c r="J1547" s="246">
        <f>_xlfn.XLOOKUP($C1547,'Site Level Financials - ''23 ''24'!$C$2:$C$1577,'Site Level Financials - ''23 ''24'!V$2:V$1577)</f>
        <v>9.6865951203055856E-2</v>
      </c>
      <c r="K1547" s="246">
        <f>_xlfn.XLOOKUP($C1547,'Site Level Financials - ''23 ''24'!$C$2:$C$1577,'Site Level Financials - ''23 ''24'!W$2:W$1577)</f>
        <v>0.10966225133787444</v>
      </c>
      <c r="L1547" s="246">
        <f>_xlfn.XLOOKUP($C1547,'Site Level Financials - ''23 ''24'!$C$2:$C$1577,'Site Level Financials - ''23 ''24'!X$2:X$1577)</f>
        <v>0.3387250649348057</v>
      </c>
      <c r="M1547" s="246">
        <f>_xlfn.XLOOKUP($C1547,'Site Level Financials - ''23 ''24'!$C$2:$C$1577,'Site Level Financials - ''23 ''24'!Y$2:Y$1577)</f>
        <v>0.58311181561950187</v>
      </c>
      <c r="N1547" s="246">
        <f>_xlfn.XLOOKUP($C1547,'Site Level Financials - ''23 ''24'!$C$2:$C$1577,'Site Level Financials - ''23 ''24'!Z$2:Z$1577)</f>
        <v>0.27981460803339231</v>
      </c>
      <c r="O1547" s="246">
        <f>_xlfn.XLOOKUP($C1547,'Site Level Financials - ''23 ''24'!$C$2:$C$1577,'Site Level Financials - ''23 ''24'!AA$2:AA$1577)</f>
        <v>0.34540423321390668</v>
      </c>
      <c r="P1547" s="246">
        <f>_xlfn.XLOOKUP($C1547,'Site Level Financials - ''23 ''24'!$C$2:$C$1577,'Site Level Financials - ''23 ''24'!AB$2:AB$1577)</f>
        <v>0.54484416745729591</v>
      </c>
      <c r="Q1547" s="246">
        <f>_xlfn.XLOOKUP($C1547,'Site Level Financials - ''23 ''24'!$C$2:$C$1577,'Site Level Financials - ''23 ''24'!AC$2:AC$1577)</f>
        <v>0.24816093289029006</v>
      </c>
      <c r="R1547" s="246">
        <f>_xlfn.XLOOKUP($C1547,'Site Level Financials - ''23 ''24'!$C$2:$C$1577,'Site Level Financials - ''23 ''24'!AD$2:AD$1577)</f>
        <v>-7.0362672518303748E-2</v>
      </c>
      <c r="S1547" s="148">
        <f>S1546/G1546-1</f>
        <v>7.9958804117660431E-2</v>
      </c>
      <c r="T1547" s="149">
        <f t="shared" ref="T1547" si="4525">T1546/H1546-1</f>
        <v>0.18730378392657654</v>
      </c>
      <c r="U1547" s="149">
        <f t="shared" ref="U1547" si="4526">U1546/I1546-1</f>
        <v>0.47380384025909517</v>
      </c>
      <c r="V1547" s="149">
        <f t="shared" ref="V1547" si="4527">V1546/J1546-1</f>
        <v>0.52002544165806985</v>
      </c>
      <c r="W1547" s="149">
        <f t="shared" ref="W1547" si="4528">W1546/K1546-1</f>
        <v>1.1986607664589966</v>
      </c>
      <c r="X1547" s="149">
        <f t="shared" ref="X1547" si="4529">X1546/L1546-1</f>
        <v>0.65168534713294224</v>
      </c>
      <c r="Y1547" s="149">
        <f t="shared" ref="Y1547" si="4530">Y1546/M1546-1</f>
        <v>0.60062218027163539</v>
      </c>
      <c r="Z1547" s="149">
        <f t="shared" ref="Z1547" si="4531">Z1546/N1546-1</f>
        <v>0.18547766564594936</v>
      </c>
      <c r="AA1547" s="149">
        <f t="shared" ref="AA1547" si="4532">AA1546/O1546-1</f>
        <v>9.0826927737705621E-2</v>
      </c>
      <c r="AB1547" s="149">
        <f t="shared" ref="AB1547" si="4533">AB1546/P1546-1</f>
        <v>0.10017265278927279</v>
      </c>
      <c r="AC1547" s="149">
        <f t="shared" ref="AC1547" si="4534">AC1546/Q1546-1</f>
        <v>-6.6541057282868188E-2</v>
      </c>
      <c r="AD1547" s="150">
        <f t="shared" ref="AD1547" si="4535">AD1546/R1546-1</f>
        <v>3.6288326874260202E-2</v>
      </c>
      <c r="AE1547" s="15"/>
      <c r="AF1547" s="11"/>
      <c r="AG1547" s="97">
        <f>AG1546/AF1546-1</f>
        <v>0.2382471075998005</v>
      </c>
      <c r="AH1547" s="97">
        <f>AH1546/AG1546-1</f>
        <v>0.30705699643505824</v>
      </c>
    </row>
    <row r="1548" spans="2:34" ht="6" customHeight="1" x14ac:dyDescent="0.2">
      <c r="B1548" s="9">
        <f>G1534</f>
        <v>32</v>
      </c>
      <c r="C1548" s="9" t="str">
        <f t="shared" si="4516"/>
        <v xml:space="preserve">32 - </v>
      </c>
      <c r="D1548" s="9" t="s">
        <v>56</v>
      </c>
      <c r="G1548" s="80"/>
      <c r="H1548" s="63"/>
      <c r="I1548" s="63"/>
      <c r="J1548" s="63"/>
      <c r="K1548" s="63"/>
      <c r="L1548" s="63"/>
      <c r="M1548" s="63"/>
      <c r="N1548" s="63"/>
      <c r="O1548" s="63"/>
      <c r="P1548" s="63"/>
      <c r="Q1548" s="63"/>
      <c r="R1548" s="63"/>
      <c r="S1548" s="80"/>
      <c r="T1548" s="63"/>
      <c r="U1548" s="63"/>
      <c r="V1548" s="63"/>
      <c r="W1548" s="63"/>
      <c r="X1548" s="63"/>
      <c r="Y1548" s="63"/>
      <c r="Z1548" s="63"/>
      <c r="AA1548" s="63"/>
      <c r="AB1548" s="63"/>
      <c r="AC1548" s="63"/>
      <c r="AD1548" s="81"/>
      <c r="AE1548" s="15"/>
      <c r="AF1548" s="11"/>
      <c r="AG1548" s="15"/>
      <c r="AH1548" s="15"/>
    </row>
    <row r="1549" spans="2:34" x14ac:dyDescent="0.2">
      <c r="B1549" s="9">
        <f>G1534</f>
        <v>32</v>
      </c>
      <c r="C1549" s="9" t="str">
        <f t="shared" si="4516"/>
        <v>32 - Doctor Compensation</v>
      </c>
      <c r="D1549" s="9" t="s">
        <v>56</v>
      </c>
      <c r="F1549" t="s">
        <v>4</v>
      </c>
      <c r="G1549" s="178">
        <f>_xlfn.XLOOKUP($C1549,'Site Level Financials - ''23 ''24'!$C$2:$C$1577,'Site Level Financials - ''23 ''24'!S$2:S$1577)</f>
        <v>-106.47253933370493</v>
      </c>
      <c r="H1549" s="179">
        <f>_xlfn.XLOOKUP($C1549,'Site Level Financials - ''23 ''24'!$C$2:$C$1577,'Site Level Financials - ''23 ''24'!T$2:T$1577)</f>
        <v>-97.918159857359512</v>
      </c>
      <c r="I1549" s="179">
        <f>_xlfn.XLOOKUP($C1549,'Site Level Financials - ''23 ''24'!$C$2:$C$1577,'Site Level Financials - ''23 ''24'!U$2:U$1577)</f>
        <v>-113.83699903941738</v>
      </c>
      <c r="J1549" s="179">
        <f>_xlfn.XLOOKUP($C1549,'Site Level Financials - ''23 ''24'!$C$2:$C$1577,'Site Level Financials - ''23 ''24'!V$2:V$1577)</f>
        <v>-120.07886876360797</v>
      </c>
      <c r="K1549" s="179">
        <f>_xlfn.XLOOKUP($C1549,'Site Level Financials - ''23 ''24'!$C$2:$C$1577,'Site Level Financials - ''23 ''24'!W$2:W$1577)</f>
        <v>-99.353502453696152</v>
      </c>
      <c r="L1549" s="179">
        <f>_xlfn.XLOOKUP($C1549,'Site Level Financials - ''23 ''24'!$C$2:$C$1577,'Site Level Financials - ''23 ''24'!X$2:X$1577)</f>
        <v>-113.91835100651599</v>
      </c>
      <c r="M1549" s="179">
        <f>_xlfn.XLOOKUP($C1549,'Site Level Financials - ''23 ''24'!$C$2:$C$1577,'Site Level Financials - ''23 ''24'!Y$2:Y$1577)</f>
        <v>-118.88777248205538</v>
      </c>
      <c r="N1549" s="179">
        <f>_xlfn.XLOOKUP($C1549,'Site Level Financials - ''23 ''24'!$C$2:$C$1577,'Site Level Financials - ''23 ''24'!Z$2:Z$1577)</f>
        <v>-103.85881471757601</v>
      </c>
      <c r="O1549" s="179">
        <f>_xlfn.XLOOKUP($C1549,'Site Level Financials - ''23 ''24'!$C$2:$C$1577,'Site Level Financials - ''23 ''24'!AA$2:AA$1577)</f>
        <v>-103.52450313023158</v>
      </c>
      <c r="P1549" s="179">
        <f>_xlfn.XLOOKUP($C1549,'Site Level Financials - ''23 ''24'!$C$2:$C$1577,'Site Level Financials - ''23 ''24'!AB$2:AB$1577)</f>
        <v>-120.88513887511407</v>
      </c>
      <c r="Q1549" s="179">
        <f>_xlfn.XLOOKUP($C1549,'Site Level Financials - ''23 ''24'!$C$2:$C$1577,'Site Level Financials - ''23 ''24'!AC$2:AC$1577)</f>
        <v>-91.420867296333739</v>
      </c>
      <c r="R1549" s="179">
        <f>_xlfn.XLOOKUP($C1549,'Site Level Financials - ''23 ''24'!$C$2:$C$1577,'Site Level Financials - ''23 ''24'!AD$2:AD$1577)</f>
        <v>-83.12098027452673</v>
      </c>
      <c r="S1549" s="155">
        <f>S1550*S1546</f>
        <v>-114.98595625019856</v>
      </c>
      <c r="T1549" s="154">
        <f t="shared" ref="T1549" si="4536">T1550*T1546</f>
        <v>-116.25860171377036</v>
      </c>
      <c r="U1549" s="154">
        <f t="shared" ref="U1549" si="4537">U1550*U1546</f>
        <v>-167.77340634786427</v>
      </c>
      <c r="V1549" s="154">
        <f t="shared" ref="V1549" si="4538">V1550*V1546</f>
        <v>-182.52293552620461</v>
      </c>
      <c r="W1549" s="154">
        <f t="shared" ref="W1549" si="4539">W1550*W1546</f>
        <v>-218.44464785522936</v>
      </c>
      <c r="X1549" s="154">
        <f t="shared" ref="X1549" si="4540">X1550*X1546</f>
        <v>-188.15727112700972</v>
      </c>
      <c r="Y1549" s="154">
        <f t="shared" ref="Y1549" si="4541">Y1550*Y1546</f>
        <v>-190.29440559786562</v>
      </c>
      <c r="Z1549" s="154">
        <f t="shared" ref="Z1549" si="4542">Z1550*Z1546</f>
        <v>-123.12230522814718</v>
      </c>
      <c r="AA1549" s="154">
        <f t="shared" ref="AA1549" si="4543">AA1550*AA1546</f>
        <v>-112.92731569512299</v>
      </c>
      <c r="AB1549" s="154">
        <f t="shared" ref="AB1549" si="4544">AB1550*AB1546</f>
        <v>-132.99452391903387</v>
      </c>
      <c r="AC1549" s="154">
        <f t="shared" ref="AC1549" si="4545">AC1550*AC1546</f>
        <v>-85.337626128718895</v>
      </c>
      <c r="AD1549" s="156">
        <f t="shared" ref="AD1549" si="4546">AD1550*AD1546</f>
        <v>-86.137301576837686</v>
      </c>
      <c r="AE1549" s="15"/>
      <c r="AF1549" s="115">
        <f>_xlfn.XLOOKUP($C1549,'Site Level Financials - ''23 ''24'!$C$2:$C$1577,'Site Level Financials - ''23 ''24'!$AF$2:$AF$1577)</f>
        <v>-1128.1445358742455</v>
      </c>
      <c r="AG1549" s="93">
        <f>SUM(G1549:R1549)</f>
        <v>-1273.2764972301393</v>
      </c>
      <c r="AH1549" s="93">
        <f t="shared" ref="AH1549" si="4547">SUM(S1549:AD1549)</f>
        <v>-1718.9562969660033</v>
      </c>
    </row>
    <row r="1550" spans="2:34" x14ac:dyDescent="0.2">
      <c r="B1550" s="9">
        <f>G1534</f>
        <v>32</v>
      </c>
      <c r="C1550" s="9" t="str">
        <f t="shared" si="4516"/>
        <v>32 - % of Revenue - Doctor Compensation</v>
      </c>
      <c r="D1550" s="9" t="s">
        <v>56</v>
      </c>
      <c r="F1550" s="16" t="str">
        <f>"% of Revenue - "&amp;F1549</f>
        <v>% of Revenue - Doctor Compensation</v>
      </c>
      <c r="G1550" s="148">
        <f>G1549/G1546</f>
        <v>-0.25421055539738535</v>
      </c>
      <c r="H1550" s="149">
        <f t="shared" ref="H1550:R1550" si="4548">H1549/H1546</f>
        <v>-0.24821764830799492</v>
      </c>
      <c r="I1550" s="149">
        <f t="shared" si="4548"/>
        <v>-0.33358893606356732</v>
      </c>
      <c r="J1550" s="149">
        <f t="shared" si="4548"/>
        <v>-0.33880591912065022</v>
      </c>
      <c r="K1550" s="149">
        <f t="shared" si="4548"/>
        <v>-0.3411705190401586</v>
      </c>
      <c r="L1550" s="149">
        <f t="shared" si="4548"/>
        <v>-0.34994656064767926</v>
      </c>
      <c r="M1550" s="149">
        <f t="shared" si="4548"/>
        <v>-0.35130860025988675</v>
      </c>
      <c r="N1550" s="149">
        <f t="shared" si="4548"/>
        <v>-0.26507575938139316</v>
      </c>
      <c r="O1550" s="149">
        <f t="shared" si="4548"/>
        <v>-0.2651796127339911</v>
      </c>
      <c r="P1550" s="149">
        <f t="shared" si="4548"/>
        <v>-0.2719234311355721</v>
      </c>
      <c r="Q1550" s="149">
        <f t="shared" si="4548"/>
        <v>-0.220733682692867</v>
      </c>
      <c r="R1550" s="149">
        <f t="shared" si="4548"/>
        <v>-0.27297070677880142</v>
      </c>
      <c r="S1550" s="245">
        <f>_xlfn.XLOOKUP($F1550,'Budget Assumption Driver'!$A$33:$A$39,'Budget Assumption Driver'!E$33:E$39)+G1550</f>
        <v>-0.25421055539738535</v>
      </c>
      <c r="T1550" s="246">
        <f>_xlfn.XLOOKUP($F1550,'Budget Assumption Driver'!$A$33:$A$39,'Budget Assumption Driver'!F$33:F$39)+H1550</f>
        <v>-0.24821764830799492</v>
      </c>
      <c r="U1550" s="246">
        <f>_xlfn.XLOOKUP($F1550,'Budget Assumption Driver'!$A$33:$A$39,'Budget Assumption Driver'!G$33:G$39)+I1550</f>
        <v>-0.33358893606356732</v>
      </c>
      <c r="V1550" s="246">
        <f>_xlfn.XLOOKUP($F1550,'Budget Assumption Driver'!$A$33:$A$39,'Budget Assumption Driver'!H$33:H$39)+J1550</f>
        <v>-0.33880591912065022</v>
      </c>
      <c r="W1550" s="246">
        <f>_xlfn.XLOOKUP($F1550,'Budget Assumption Driver'!$A$33:$A$39,'Budget Assumption Driver'!I$33:I$39)+K1550</f>
        <v>-0.3411705190401586</v>
      </c>
      <c r="X1550" s="246">
        <f>_xlfn.XLOOKUP($F1550,'Budget Assumption Driver'!$A$33:$A$39,'Budget Assumption Driver'!J$33:J$39)+L1550</f>
        <v>-0.34994656064767926</v>
      </c>
      <c r="Y1550" s="246">
        <f>_xlfn.XLOOKUP($F1550,'Budget Assumption Driver'!$A$33:$A$39,'Budget Assumption Driver'!K$33:K$39)+M1550</f>
        <v>-0.35130860025988675</v>
      </c>
      <c r="Z1550" s="246">
        <f>_xlfn.XLOOKUP($F1550,'Budget Assumption Driver'!$A$33:$A$39,'Budget Assumption Driver'!L$33:L$39)+N1550</f>
        <v>-0.26507575938139316</v>
      </c>
      <c r="AA1550" s="246">
        <f>_xlfn.XLOOKUP($F1550,'Budget Assumption Driver'!$A$33:$A$39,'Budget Assumption Driver'!M$33:M$39)+O1550</f>
        <v>-0.2651796127339911</v>
      </c>
      <c r="AB1550" s="246">
        <f>_xlfn.XLOOKUP($F1550,'Budget Assumption Driver'!$A$33:$A$39,'Budget Assumption Driver'!N$33:N$39)+P1550</f>
        <v>-0.2719234311355721</v>
      </c>
      <c r="AC1550" s="246">
        <f>_xlfn.XLOOKUP($F1550,'Budget Assumption Driver'!$A$33:$A$39,'Budget Assumption Driver'!O$33:O$39)+Q1550</f>
        <v>-0.220733682692867</v>
      </c>
      <c r="AD1550" s="296">
        <f>_xlfn.XLOOKUP($F1550,'Budget Assumption Driver'!$A$33:$A$39,'Budget Assumption Driver'!P$33:P$39)+R1550</f>
        <v>-0.27297070677880142</v>
      </c>
      <c r="AE1550" s="15"/>
      <c r="AF1550" s="232">
        <f>_xlfn.XLOOKUP($C1550,'Site Level Financials - ''23 ''24'!$C$2:$C$1577,'Site Level Financials - ''23 ''24'!$AF$2:$AF$1577)</f>
        <v>-0.31679262493175286</v>
      </c>
      <c r="AG1550" s="97">
        <f t="shared" ref="AG1550:AH1550" si="4549">AG1549/AG1546</f>
        <v>-0.28875247722675895</v>
      </c>
      <c r="AH1550" s="97">
        <f t="shared" si="4549"/>
        <v>-0.29824509172785735</v>
      </c>
    </row>
    <row r="1551" spans="2:34" ht="3" customHeight="1" x14ac:dyDescent="0.2">
      <c r="B1551" s="9">
        <f>G1534</f>
        <v>32</v>
      </c>
      <c r="C1551" s="9" t="str">
        <f t="shared" si="4516"/>
        <v xml:space="preserve">32 - </v>
      </c>
      <c r="D1551" s="9" t="s">
        <v>56</v>
      </c>
      <c r="F1551" s="16"/>
      <c r="G1551" s="84"/>
      <c r="H1551" s="85"/>
      <c r="I1551" s="85"/>
      <c r="J1551" s="85"/>
      <c r="K1551" s="85"/>
      <c r="L1551" s="85"/>
      <c r="M1551" s="85"/>
      <c r="N1551" s="85"/>
      <c r="O1551" s="85"/>
      <c r="P1551" s="85"/>
      <c r="Q1551" s="85"/>
      <c r="R1551" s="85"/>
      <c r="S1551" s="84"/>
      <c r="T1551" s="85"/>
      <c r="U1551" s="85"/>
      <c r="V1551" s="85"/>
      <c r="W1551" s="85"/>
      <c r="X1551" s="85"/>
      <c r="Y1551" s="85"/>
      <c r="Z1551" s="85"/>
      <c r="AA1551" s="85"/>
      <c r="AB1551" s="85"/>
      <c r="AC1551" s="85"/>
      <c r="AD1551" s="86"/>
      <c r="AE1551" s="15"/>
      <c r="AF1551" s="36"/>
      <c r="AG1551" s="38"/>
      <c r="AH1551" s="38"/>
    </row>
    <row r="1552" spans="2:34" x14ac:dyDescent="0.2">
      <c r="B1552" s="9">
        <f>G1534</f>
        <v>32</v>
      </c>
      <c r="C1552" s="9" t="str">
        <f t="shared" si="4516"/>
        <v>32 - Administrative Staff Compensation</v>
      </c>
      <c r="D1552" s="9" t="s">
        <v>56</v>
      </c>
      <c r="F1552" t="s">
        <v>5</v>
      </c>
      <c r="G1552" s="178">
        <f>_xlfn.XLOOKUP($C1552,'Site Level Financials - ''23 ''24'!$C$2:$C$1577,'Site Level Financials - ''23 ''24'!S$2:S$1577)</f>
        <v>-69.82525814948113</v>
      </c>
      <c r="H1552" s="179">
        <f>_xlfn.XLOOKUP($C1552,'Site Level Financials - ''23 ''24'!$C$2:$C$1577,'Site Level Financials - ''23 ''24'!T$2:T$1577)</f>
        <v>-65.69786497441342</v>
      </c>
      <c r="I1552" s="179">
        <f>_xlfn.XLOOKUP($C1552,'Site Level Financials - ''23 ''24'!$C$2:$C$1577,'Site Level Financials - ''23 ''24'!U$2:U$1577)</f>
        <v>-77.962426187676087</v>
      </c>
      <c r="J1552" s="179">
        <f>_xlfn.XLOOKUP($C1552,'Site Level Financials - ''23 ''24'!$C$2:$C$1577,'Site Level Financials - ''23 ''24'!V$2:V$1577)</f>
        <v>-83.230099116443995</v>
      </c>
      <c r="K1552" s="179">
        <f>_xlfn.XLOOKUP($C1552,'Site Level Financials - ''23 ''24'!$C$2:$C$1577,'Site Level Financials - ''23 ''24'!W$2:W$1577)</f>
        <v>-103.45200898703429</v>
      </c>
      <c r="L1552" s="179">
        <f>_xlfn.XLOOKUP($C1552,'Site Level Financials - ''23 ''24'!$C$2:$C$1577,'Site Level Financials - ''23 ''24'!X$2:X$1577)</f>
        <v>-75.368562628728583</v>
      </c>
      <c r="M1552" s="179">
        <f>_xlfn.XLOOKUP($C1552,'Site Level Financials - ''23 ''24'!$C$2:$C$1577,'Site Level Financials - ''23 ''24'!Y$2:Y$1577)</f>
        <v>-77.149435291745775</v>
      </c>
      <c r="N1552" s="179">
        <f>_xlfn.XLOOKUP($C1552,'Site Level Financials - ''23 ''24'!$C$2:$C$1577,'Site Level Financials - ''23 ''24'!Z$2:Z$1577)</f>
        <v>-67.655054420395757</v>
      </c>
      <c r="O1552" s="179">
        <f>_xlfn.XLOOKUP($C1552,'Site Level Financials - ''23 ''24'!$C$2:$C$1577,'Site Level Financials - ''23 ''24'!AA$2:AA$1577)</f>
        <v>-66.345093944528415</v>
      </c>
      <c r="P1552" s="179">
        <f>_xlfn.XLOOKUP($C1552,'Site Level Financials - ''23 ''24'!$C$2:$C$1577,'Site Level Financials - ''23 ''24'!AB$2:AB$1577)</f>
        <v>-74.909610800746307</v>
      </c>
      <c r="Q1552" s="179">
        <f>_xlfn.XLOOKUP($C1552,'Site Level Financials - ''23 ''24'!$C$2:$C$1577,'Site Level Financials - ''23 ''24'!AC$2:AC$1577)</f>
        <v>-56.985447278912126</v>
      </c>
      <c r="R1552" s="179">
        <f>_xlfn.XLOOKUP($C1552,'Site Level Financials - ''23 ''24'!$C$2:$C$1577,'Site Level Financials - ''23 ''24'!AD$2:AD$1577)</f>
        <v>-55.105624210898064</v>
      </c>
      <c r="S1552" s="155">
        <f>S1553*S1546</f>
        <v>-75.408402288320573</v>
      </c>
      <c r="T1552" s="154">
        <f t="shared" ref="T1552" si="4550">T1553*T1546</f>
        <v>-78.003323680018354</v>
      </c>
      <c r="U1552" s="154">
        <f t="shared" ref="U1552" si="4551">U1553*U1546</f>
        <v>-114.90132311131326</v>
      </c>
      <c r="V1552" s="154">
        <f t="shared" ref="V1552" si="4552">V1553*V1546</f>
        <v>-126.5118681687177</v>
      </c>
      <c r="W1552" s="154">
        <f t="shared" ref="W1552" si="4553">W1553*W1546</f>
        <v>-227.4558733711558</v>
      </c>
      <c r="X1552" s="154">
        <f t="shared" ref="X1552" si="4554">X1553*X1546</f>
        <v>-124.48515052834246</v>
      </c>
      <c r="Y1552" s="154">
        <f t="shared" ref="Y1552" si="4555">Y1553*Y1546</f>
        <v>-123.48709732339957</v>
      </c>
      <c r="Z1552" s="154">
        <f t="shared" ref="Z1552" si="4556">Z1553*Z1546</f>
        <v>-80.203555983440424</v>
      </c>
      <c r="AA1552" s="154">
        <f t="shared" ref="AA1552" si="4557">AA1553*AA1546</f>
        <v>-72.371014997979387</v>
      </c>
      <c r="AB1552" s="154">
        <f t="shared" ref="AB1552" si="4558">AB1553*AB1546</f>
        <v>-82.413505234069021</v>
      </c>
      <c r="AC1552" s="154">
        <f t="shared" ref="AC1552" si="4559">AC1553*AC1546</f>
        <v>-53.193575367236164</v>
      </c>
      <c r="AD1552" s="156">
        <f t="shared" ref="AD1552" si="4560">AD1553*AD1546</f>
        <v>-57.105315114873278</v>
      </c>
      <c r="AE1552" s="15"/>
      <c r="AF1552" s="115">
        <f>_xlfn.XLOOKUP($C1552,'Site Level Financials - ''23 ''24'!$C$2:$C$1577,'Site Level Financials - ''23 ''24'!$AF$2:$AF$1577)</f>
        <v>-729.74366306376351</v>
      </c>
      <c r="AG1552" s="93">
        <f>SUM(G1552:R1552)</f>
        <v>-873.68648599100413</v>
      </c>
      <c r="AH1552" s="93">
        <f t="shared" ref="AH1552" si="4561">SUM(S1552:AD1552)</f>
        <v>-1215.5400051688662</v>
      </c>
    </row>
    <row r="1553" spans="2:34" x14ac:dyDescent="0.2">
      <c r="B1553" s="9">
        <f>G1534</f>
        <v>32</v>
      </c>
      <c r="C1553" s="9" t="str">
        <f t="shared" si="4516"/>
        <v>32 - % of Revenue - Administrative Staff Compensation</v>
      </c>
      <c r="D1553" s="9" t="s">
        <v>56</v>
      </c>
      <c r="F1553" s="16" t="str">
        <f>"% of Revenue - "&amp;F1552</f>
        <v>% of Revenue - Administrative Staff Compensation</v>
      </c>
      <c r="G1553" s="148">
        <f>G1552/G1546</f>
        <v>-0.16671263563380015</v>
      </c>
      <c r="H1553" s="149">
        <f t="shared" ref="H1553:R1553" si="4562">H1552/H1546</f>
        <v>-0.16654080884036782</v>
      </c>
      <c r="I1553" s="149">
        <f t="shared" si="4562"/>
        <v>-0.22846177450510533</v>
      </c>
      <c r="J1553" s="149">
        <f t="shared" si="4562"/>
        <v>-0.23483607498970532</v>
      </c>
      <c r="K1553" s="149">
        <f t="shared" si="4562"/>
        <v>-0.35524440236319627</v>
      </c>
      <c r="L1553" s="149">
        <f t="shared" si="4562"/>
        <v>-0.23152520239144053</v>
      </c>
      <c r="M1553" s="149">
        <f t="shared" si="4562"/>
        <v>-0.22797348757858854</v>
      </c>
      <c r="N1553" s="149">
        <f t="shared" si="4562"/>
        <v>-0.17267398029953604</v>
      </c>
      <c r="O1553" s="149">
        <f t="shared" si="4562"/>
        <v>-0.16994398221721704</v>
      </c>
      <c r="P1553" s="149">
        <f t="shared" si="4562"/>
        <v>-0.16850440495430194</v>
      </c>
      <c r="Q1553" s="149">
        <f t="shared" si="4562"/>
        <v>-0.13759011492422071</v>
      </c>
      <c r="R1553" s="149">
        <f t="shared" si="4562"/>
        <v>-0.18096780305832988</v>
      </c>
      <c r="S1553" s="245">
        <f>_xlfn.XLOOKUP($F1553,'Budget Assumption Driver'!$A$33:$A$39,'Budget Assumption Driver'!E$33:E$39)+G1553</f>
        <v>-0.16671263563380015</v>
      </c>
      <c r="T1553" s="246">
        <f>_xlfn.XLOOKUP($F1553,'Budget Assumption Driver'!$A$33:$A$39,'Budget Assumption Driver'!F$33:F$39)+H1553</f>
        <v>-0.16654080884036782</v>
      </c>
      <c r="U1553" s="246">
        <f>_xlfn.XLOOKUP($F1553,'Budget Assumption Driver'!$A$33:$A$39,'Budget Assumption Driver'!G$33:G$39)+I1553</f>
        <v>-0.22846177450510533</v>
      </c>
      <c r="V1553" s="246">
        <f>_xlfn.XLOOKUP($F1553,'Budget Assumption Driver'!$A$33:$A$39,'Budget Assumption Driver'!H$33:H$39)+J1553</f>
        <v>-0.23483607498970532</v>
      </c>
      <c r="W1553" s="246">
        <f>_xlfn.XLOOKUP($F1553,'Budget Assumption Driver'!$A$33:$A$39,'Budget Assumption Driver'!I$33:I$39)+K1553</f>
        <v>-0.35524440236319627</v>
      </c>
      <c r="X1553" s="246">
        <f>_xlfn.XLOOKUP($F1553,'Budget Assumption Driver'!$A$33:$A$39,'Budget Assumption Driver'!J$33:J$39)+L1553</f>
        <v>-0.23152520239144053</v>
      </c>
      <c r="Y1553" s="246">
        <f>_xlfn.XLOOKUP($F1553,'Budget Assumption Driver'!$A$33:$A$39,'Budget Assumption Driver'!K$33:K$39)+M1553</f>
        <v>-0.22797348757858854</v>
      </c>
      <c r="Z1553" s="246">
        <f>_xlfn.XLOOKUP($F1553,'Budget Assumption Driver'!$A$33:$A$39,'Budget Assumption Driver'!L$33:L$39)+N1553</f>
        <v>-0.17267398029953604</v>
      </c>
      <c r="AA1553" s="246">
        <f>_xlfn.XLOOKUP($F1553,'Budget Assumption Driver'!$A$33:$A$39,'Budget Assumption Driver'!M$33:M$39)+O1553</f>
        <v>-0.16994398221721704</v>
      </c>
      <c r="AB1553" s="246">
        <f>_xlfn.XLOOKUP($F1553,'Budget Assumption Driver'!$A$33:$A$39,'Budget Assumption Driver'!N$33:N$39)+P1553</f>
        <v>-0.16850440495430194</v>
      </c>
      <c r="AC1553" s="246">
        <f>_xlfn.XLOOKUP($F1553,'Budget Assumption Driver'!$A$33:$A$39,'Budget Assumption Driver'!O$33:O$39)+Q1553</f>
        <v>-0.13759011492422071</v>
      </c>
      <c r="AD1553" s="296">
        <f>_xlfn.XLOOKUP($F1553,'Budget Assumption Driver'!$A$33:$A$39,'Budget Assumption Driver'!P$33:P$39)+R1553</f>
        <v>-0.18096780305832988</v>
      </c>
      <c r="AE1553" s="15"/>
      <c r="AF1553" s="232">
        <f>_xlfn.XLOOKUP($C1553,'Site Level Financials - ''23 ''24'!$C$2:$C$1577,'Site Level Financials - ''23 ''24'!$AF$2:$AF$1577)</f>
        <v>-0.20491825577130807</v>
      </c>
      <c r="AG1553" s="97">
        <f t="shared" ref="AG1553:AH1553" si="4563">AG1552/AG1546</f>
        <v>-0.19813382065737298</v>
      </c>
      <c r="AH1553" s="97">
        <f t="shared" si="4563"/>
        <v>-0.21090055691371579</v>
      </c>
    </row>
    <row r="1554" spans="2:34" ht="3" customHeight="1" x14ac:dyDescent="0.2">
      <c r="B1554" s="9">
        <f>G1534</f>
        <v>32</v>
      </c>
      <c r="C1554" s="9" t="str">
        <f t="shared" si="4516"/>
        <v xml:space="preserve">32 - </v>
      </c>
      <c r="D1554" s="9" t="s">
        <v>56</v>
      </c>
      <c r="F1554" s="16"/>
      <c r="G1554" s="84"/>
      <c r="H1554" s="85"/>
      <c r="I1554" s="85"/>
      <c r="J1554" s="85"/>
      <c r="K1554" s="85"/>
      <c r="L1554" s="85"/>
      <c r="M1554" s="85"/>
      <c r="N1554" s="85"/>
      <c r="O1554" s="85"/>
      <c r="P1554" s="85"/>
      <c r="Q1554" s="85"/>
      <c r="R1554" s="85"/>
      <c r="S1554" s="84"/>
      <c r="T1554" s="85"/>
      <c r="U1554" s="85"/>
      <c r="V1554" s="85"/>
      <c r="W1554" s="85"/>
      <c r="X1554" s="85"/>
      <c r="Y1554" s="85"/>
      <c r="Z1554" s="85"/>
      <c r="AA1554" s="85"/>
      <c r="AB1554" s="85"/>
      <c r="AC1554" s="85"/>
      <c r="AD1554" s="86"/>
      <c r="AE1554" s="15"/>
      <c r="AF1554" s="36"/>
      <c r="AG1554" s="38"/>
      <c r="AH1554" s="38"/>
    </row>
    <row r="1555" spans="2:34" x14ac:dyDescent="0.2">
      <c r="B1555" s="9">
        <f>G1534</f>
        <v>32</v>
      </c>
      <c r="C1555" s="9" t="str">
        <f t="shared" si="4516"/>
        <v>32 - Office Supplies</v>
      </c>
      <c r="D1555" s="9" t="s">
        <v>56</v>
      </c>
      <c r="F1555" t="s">
        <v>6</v>
      </c>
      <c r="G1555" s="178">
        <f>_xlfn.XLOOKUP($C1555,'Site Level Financials - ''23 ''24'!$C$2:$C$1577,'Site Level Financials - ''23 ''24'!S$2:S$1577)</f>
        <v>-30.278406816768868</v>
      </c>
      <c r="H1555" s="179">
        <f>_xlfn.XLOOKUP($C1555,'Site Level Financials - ''23 ''24'!$C$2:$C$1577,'Site Level Financials - ''23 ''24'!T$2:T$1577)</f>
        <v>-27.453810343903019</v>
      </c>
      <c r="I1555" s="179">
        <f>_xlfn.XLOOKUP($C1555,'Site Level Financials - ''23 ''24'!$C$2:$C$1577,'Site Level Financials - ''23 ''24'!U$2:U$1577)</f>
        <v>-32.002031926559418</v>
      </c>
      <c r="J1555" s="179">
        <f>_xlfn.XLOOKUP($C1555,'Site Level Financials - ''23 ''24'!$C$2:$C$1577,'Site Level Financials - ''23 ''24'!V$2:V$1577)</f>
        <v>-33.482619884599131</v>
      </c>
      <c r="K1555" s="179">
        <f>_xlfn.XLOOKUP($C1555,'Site Level Financials - ''23 ''24'!$C$2:$C$1577,'Site Level Financials - ''23 ''24'!W$2:W$1577)</f>
        <v>-42.372338836535988</v>
      </c>
      <c r="L1555" s="179">
        <f>_xlfn.XLOOKUP($C1555,'Site Level Financials - ''23 ''24'!$C$2:$C$1577,'Site Level Financials - ''23 ''24'!X$2:X$1577)</f>
        <v>-31.91441725774224</v>
      </c>
      <c r="M1555" s="179">
        <f>_xlfn.XLOOKUP($C1555,'Site Level Financials - ''23 ''24'!$C$2:$C$1577,'Site Level Financials - ''23 ''24'!Y$2:Y$1577)</f>
        <v>-32.955254147730052</v>
      </c>
      <c r="N1555" s="179">
        <f>_xlfn.XLOOKUP($C1555,'Site Level Financials - ''23 ''24'!$C$2:$C$1577,'Site Level Financials - ''23 ''24'!Z$2:Z$1577)</f>
        <v>-30.05203255776873</v>
      </c>
      <c r="O1555" s="179">
        <f>_xlfn.XLOOKUP($C1555,'Site Level Financials - ''23 ''24'!$C$2:$C$1577,'Site Level Financials - ''23 ''24'!AA$2:AA$1577)</f>
        <v>-31.378790825868219</v>
      </c>
      <c r="P1555" s="179">
        <f>_xlfn.XLOOKUP($C1555,'Site Level Financials - ''23 ''24'!$C$2:$C$1577,'Site Level Financials - ''23 ''24'!AB$2:AB$1577)</f>
        <v>-34.075314466458202</v>
      </c>
      <c r="Q1555" s="179">
        <f>_xlfn.XLOOKUP($C1555,'Site Level Financials - ''23 ''24'!$C$2:$C$1577,'Site Level Financials - ''23 ''24'!AC$2:AC$1577)</f>
        <v>-25.936311213481897</v>
      </c>
      <c r="R1555" s="179">
        <f>_xlfn.XLOOKUP($C1555,'Site Level Financials - ''23 ''24'!$C$2:$C$1577,'Site Level Financials - ''23 ''24'!AD$2:AD$1577)</f>
        <v>-22.743574517433164</v>
      </c>
      <c r="S1555" s="155">
        <f>S1556*S1546</f>
        <v>-32.699432016425725</v>
      </c>
      <c r="T1555" s="154">
        <f t="shared" ref="T1555" si="4564">T1556*T1546</f>
        <v>-32.596012904518638</v>
      </c>
      <c r="U1555" s="154">
        <f t="shared" ref="U1555" si="4565">U1556*U1546</f>
        <v>-47.164717549457443</v>
      </c>
      <c r="V1555" s="154">
        <f t="shared" ref="V1555" si="4566">V1556*V1546</f>
        <v>-50.894434077957065</v>
      </c>
      <c r="W1555" s="154">
        <f t="shared" ref="W1555" si="4567">W1556*W1546</f>
        <v>-93.162398982998525</v>
      </c>
      <c r="X1555" s="154">
        <f t="shared" ref="X1555" si="4568">X1556*X1546</f>
        <v>-52.712575346899548</v>
      </c>
      <c r="Y1555" s="154">
        <f t="shared" ref="Y1555" si="4569">Y1556*Y1546</f>
        <v>-52.748910745345526</v>
      </c>
      <c r="Z1555" s="154">
        <f t="shared" ref="Z1555" si="4570">Z1556*Z1546</f>
        <v>-35.626013404499737</v>
      </c>
      <c r="AA1555" s="154">
        <f t="shared" ref="AA1555" si="4571">AA1556*AA1546</f>
        <v>-34.228829992705933</v>
      </c>
      <c r="AB1555" s="154">
        <f t="shared" ref="AB1555" si="4572">AB1556*AB1546</f>
        <v>-37.488729111192001</v>
      </c>
      <c r="AC1555" s="154">
        <f t="shared" ref="AC1555" si="4573">AC1556*AC1546</f>
        <v>-24.210481643319302</v>
      </c>
      <c r="AD1555" s="156">
        <f t="shared" ref="AD1555" si="4574">AD1556*AD1546</f>
        <v>-23.568900783810872</v>
      </c>
      <c r="AE1555" s="15"/>
      <c r="AF1555" s="115">
        <f>_xlfn.XLOOKUP($C1555,'Site Level Financials - ''23 ''24'!$C$2:$C$1577,'Site Level Financials - ''23 ''24'!$AF$2:$AF$1577)</f>
        <v>-354.68887373474178</v>
      </c>
      <c r="AG1555" s="93">
        <f>SUM(G1555:R1555)</f>
        <v>-374.64490279484892</v>
      </c>
      <c r="AH1555" s="93">
        <f t="shared" ref="AH1555" si="4575">SUM(S1555:AD1555)</f>
        <v>-517.10143655913032</v>
      </c>
    </row>
    <row r="1556" spans="2:34" x14ac:dyDescent="0.2">
      <c r="B1556" s="9">
        <f>G1534</f>
        <v>32</v>
      </c>
      <c r="C1556" s="9" t="str">
        <f t="shared" si="4516"/>
        <v>32 - % of Revenue - Office Supplies</v>
      </c>
      <c r="D1556" s="9" t="s">
        <v>56</v>
      </c>
      <c r="F1556" s="16" t="str">
        <f>"% of Revenue - "&amp;F1555</f>
        <v>% of Revenue - Office Supplies</v>
      </c>
      <c r="G1556" s="148">
        <f>G1555/G1546</f>
        <v>-7.2291791494844174E-2</v>
      </c>
      <c r="H1556" s="149">
        <f t="shared" ref="H1556:R1556" si="4576">H1555/H1546</f>
        <v>-6.9594039048366918E-2</v>
      </c>
      <c r="I1556" s="149">
        <f t="shared" si="4576"/>
        <v>-9.3779033814452073E-2</v>
      </c>
      <c r="J1556" s="149">
        <f t="shared" si="4576"/>
        <v>-9.4472157519250394E-2</v>
      </c>
      <c r="K1556" s="149">
        <f t="shared" si="4576"/>
        <v>-0.14550259907086602</v>
      </c>
      <c r="L1556" s="149">
        <f t="shared" si="4576"/>
        <v>-9.8038116385506843E-2</v>
      </c>
      <c r="M1556" s="149">
        <f t="shared" si="4576"/>
        <v>-9.7381454493945904E-2</v>
      </c>
      <c r="N1556" s="149">
        <f t="shared" si="4576"/>
        <v>-7.6700907601026186E-2</v>
      </c>
      <c r="O1556" s="149">
        <f t="shared" si="4576"/>
        <v>-8.0377257051859413E-2</v>
      </c>
      <c r="P1556" s="149">
        <f t="shared" si="4576"/>
        <v>-7.6650252570048746E-2</v>
      </c>
      <c r="Q1556" s="149">
        <f t="shared" si="4576"/>
        <v>-6.2622655624814366E-2</v>
      </c>
      <c r="R1556" s="149">
        <f t="shared" si="4576"/>
        <v>-7.4690283851268219E-2</v>
      </c>
      <c r="S1556" s="245">
        <f>_xlfn.XLOOKUP($F1556,'Budget Assumption Driver'!$A$33:$A$39,'Budget Assumption Driver'!E$33:E$39)+G1556</f>
        <v>-7.2291791494844174E-2</v>
      </c>
      <c r="T1556" s="246">
        <f>_xlfn.XLOOKUP($F1556,'Budget Assumption Driver'!$A$33:$A$39,'Budget Assumption Driver'!F$33:F$39)+H1556</f>
        <v>-6.9594039048366918E-2</v>
      </c>
      <c r="U1556" s="246">
        <f>_xlfn.XLOOKUP($F1556,'Budget Assumption Driver'!$A$33:$A$39,'Budget Assumption Driver'!G$33:G$39)+I1556</f>
        <v>-9.3779033814452073E-2</v>
      </c>
      <c r="V1556" s="246">
        <f>_xlfn.XLOOKUP($F1556,'Budget Assumption Driver'!$A$33:$A$39,'Budget Assumption Driver'!H$33:H$39)+J1556</f>
        <v>-9.4472157519250394E-2</v>
      </c>
      <c r="W1556" s="246">
        <f>_xlfn.XLOOKUP($F1556,'Budget Assumption Driver'!$A$33:$A$39,'Budget Assumption Driver'!I$33:I$39)+K1556</f>
        <v>-0.14550259907086602</v>
      </c>
      <c r="X1556" s="246">
        <f>_xlfn.XLOOKUP($F1556,'Budget Assumption Driver'!$A$33:$A$39,'Budget Assumption Driver'!J$33:J$39)+L1556</f>
        <v>-9.8038116385506843E-2</v>
      </c>
      <c r="Y1556" s="246">
        <f>_xlfn.XLOOKUP($F1556,'Budget Assumption Driver'!$A$33:$A$39,'Budget Assumption Driver'!K$33:K$39)+M1556</f>
        <v>-9.7381454493945904E-2</v>
      </c>
      <c r="Z1556" s="246">
        <f>_xlfn.XLOOKUP($F1556,'Budget Assumption Driver'!$A$33:$A$39,'Budget Assumption Driver'!L$33:L$39)+N1556</f>
        <v>-7.6700907601026186E-2</v>
      </c>
      <c r="AA1556" s="246">
        <f>_xlfn.XLOOKUP($F1556,'Budget Assumption Driver'!$A$33:$A$39,'Budget Assumption Driver'!M$33:M$39)+O1556</f>
        <v>-8.0377257051859413E-2</v>
      </c>
      <c r="AB1556" s="246">
        <f>_xlfn.XLOOKUP($F1556,'Budget Assumption Driver'!$A$33:$A$39,'Budget Assumption Driver'!N$33:N$39)+P1556</f>
        <v>-7.6650252570048746E-2</v>
      </c>
      <c r="AC1556" s="246">
        <f>_xlfn.XLOOKUP($F1556,'Budget Assumption Driver'!$A$33:$A$39,'Budget Assumption Driver'!O$33:O$39)+Q1556</f>
        <v>-6.2622655624814366E-2</v>
      </c>
      <c r="AD1556" s="296">
        <f>_xlfn.XLOOKUP($F1556,'Budget Assumption Driver'!$A$33:$A$39,'Budget Assumption Driver'!P$33:P$39)+R1556</f>
        <v>-7.4690283851268219E-2</v>
      </c>
      <c r="AE1556" s="15"/>
      <c r="AF1556" s="232">
        <f>_xlfn.XLOOKUP($C1556,'Site Level Financials - ''23 ''24'!$C$2:$C$1577,'Site Level Financials - ''23 ''24'!$AF$2:$AF$1577)</f>
        <v>-9.9599666329493269E-2</v>
      </c>
      <c r="AG1556" s="97">
        <f t="shared" ref="AG1556:AH1556" si="4577">AG1555/AG1546</f>
        <v>-8.4961627735784653E-2</v>
      </c>
      <c r="AH1556" s="97">
        <f t="shared" si="4577"/>
        <v>-8.971895658510437E-2</v>
      </c>
    </row>
    <row r="1557" spans="2:34" ht="6" customHeight="1" x14ac:dyDescent="0.2">
      <c r="B1557" s="9">
        <f>G1534</f>
        <v>32</v>
      </c>
      <c r="C1557" s="9" t="str">
        <f t="shared" si="4516"/>
        <v xml:space="preserve">32 - </v>
      </c>
      <c r="D1557" s="9" t="s">
        <v>56</v>
      </c>
      <c r="F1557" s="16"/>
      <c r="G1557" s="80"/>
      <c r="H1557" s="63"/>
      <c r="I1557" s="63"/>
      <c r="J1557" s="63"/>
      <c r="K1557" s="63"/>
      <c r="L1557" s="63"/>
      <c r="M1557" s="63"/>
      <c r="N1557" s="63"/>
      <c r="O1557" s="63"/>
      <c r="P1557" s="63"/>
      <c r="Q1557" s="63"/>
      <c r="R1557" s="63"/>
      <c r="S1557" s="80"/>
      <c r="T1557" s="63"/>
      <c r="U1557" s="63"/>
      <c r="V1557" s="63"/>
      <c r="W1557" s="63"/>
      <c r="X1557" s="63"/>
      <c r="Y1557" s="63"/>
      <c r="Z1557" s="63"/>
      <c r="AA1557" s="63"/>
      <c r="AB1557" s="63"/>
      <c r="AC1557" s="63"/>
      <c r="AD1557" s="81"/>
      <c r="AE1557" s="15"/>
      <c r="AF1557" s="11"/>
      <c r="AG1557" s="15"/>
      <c r="AH1557" s="15"/>
    </row>
    <row r="1558" spans="2:34" x14ac:dyDescent="0.2">
      <c r="B1558" s="9">
        <f>G1534</f>
        <v>32</v>
      </c>
      <c r="C1558" s="9" t="str">
        <f t="shared" si="4516"/>
        <v>32 - Office Gross Profit</v>
      </c>
      <c r="D1558" s="9" t="s">
        <v>56</v>
      </c>
      <c r="F1558" s="8" t="s">
        <v>11</v>
      </c>
      <c r="G1558" s="241">
        <f>_xlfn.XLOOKUP($C1558,'Site Level Financials - ''23 ''24'!$C$2:$C$1577,'Site Level Financials - ''23 ''24'!S$2:S$1577)</f>
        <v>212.25982383926078</v>
      </c>
      <c r="H1558" s="242">
        <f>_xlfn.XLOOKUP($C1558,'Site Level Financials - ''23 ''24'!$C$2:$C$1577,'Site Level Financials - ''23 ''24'!T$2:T$1577)</f>
        <v>203.41524888192544</v>
      </c>
      <c r="I1558" s="242">
        <f>_xlfn.XLOOKUP($C1558,'Site Level Financials - ''23 ''24'!$C$2:$C$1577,'Site Level Financials - ''23 ''24'!U$2:U$1577)</f>
        <v>117.44786718762282</v>
      </c>
      <c r="J1558" s="242">
        <f>_xlfn.XLOOKUP($C1558,'Site Level Financials - ''23 ''24'!$C$2:$C$1577,'Site Level Financials - ''23 ''24'!V$2:V$1577)</f>
        <v>117.62627209820263</v>
      </c>
      <c r="K1558" s="242">
        <f>_xlfn.XLOOKUP($C1558,'Site Level Financials - ''23 ''24'!$C$2:$C$1577,'Site Level Financials - ''23 ''24'!W$2:W$1577)</f>
        <v>46.035771383875456</v>
      </c>
      <c r="L1558" s="242">
        <f>_xlfn.XLOOKUP($C1558,'Site Level Financials - ''23 ''24'!$C$2:$C$1577,'Site Level Financials - ''23 ''24'!X$2:X$1577)</f>
        <v>104.3293752687669</v>
      </c>
      <c r="M1558" s="242">
        <f>_xlfn.XLOOKUP($C1558,'Site Level Financials - ''23 ''24'!$C$2:$C$1577,'Site Level Financials - ''23 ''24'!Y$2:Y$1577)</f>
        <v>109.42160592111787</v>
      </c>
      <c r="N1558" s="242">
        <f>_xlfn.XLOOKUP($C1558,'Site Level Financials - ''23 ''24'!$C$2:$C$1577,'Site Level Financials - ''23 ''24'!Z$2:Z$1577)</f>
        <v>190.24214201203253</v>
      </c>
      <c r="O1558" s="242">
        <f>_xlfn.XLOOKUP($C1558,'Site Level Financials - ''23 ''24'!$C$2:$C$1577,'Site Level Financials - ''23 ''24'!AA$2:AA$1577)</f>
        <v>189.14551177702091</v>
      </c>
      <c r="P1558" s="242">
        <f>_xlfn.XLOOKUP($C1558,'Site Level Financials - ''23 ''24'!$C$2:$C$1577,'Site Level Financials - ''23 ''24'!AB$2:AB$1577)</f>
        <v>214.68573735771727</v>
      </c>
      <c r="Q1558" s="242">
        <f>_xlfn.XLOOKUP($C1558,'Site Level Financials - ''23 ''24'!$C$2:$C$1577,'Site Level Financials - ''23 ''24'!AC$2:AC$1577)</f>
        <v>239.82555271957196</v>
      </c>
      <c r="R1558" s="242">
        <f>_xlfn.XLOOKUP($C1558,'Site Level Financials - ''23 ''24'!$C$2:$C$1577,'Site Level Financials - ''23 ''24'!AD$2:AD$1577)</f>
        <v>143.53494997379383</v>
      </c>
      <c r="S1558" s="134">
        <f t="shared" ref="S1558:AD1558" si="4578">S1546+S1549+S1552+S1555</f>
        <v>229.23186551567326</v>
      </c>
      <c r="T1558" s="135">
        <f t="shared" si="4578"/>
        <v>241.51569470587637</v>
      </c>
      <c r="U1558" s="135">
        <f t="shared" si="4578"/>
        <v>173.09511769135869</v>
      </c>
      <c r="V1558" s="135">
        <f t="shared" si="4578"/>
        <v>178.79492619666277</v>
      </c>
      <c r="W1558" s="135">
        <f t="shared" si="4578"/>
        <v>101.2170443954027</v>
      </c>
      <c r="X1558" s="135">
        <f t="shared" si="4578"/>
        <v>172.31930040695624</v>
      </c>
      <c r="Y1558" s="135">
        <f t="shared" si="4578"/>
        <v>175.14264943828329</v>
      </c>
      <c r="Z1558" s="135">
        <f t="shared" si="4578"/>
        <v>225.52781041990951</v>
      </c>
      <c r="AA1558" s="135">
        <f t="shared" si="4578"/>
        <v>206.32501750710372</v>
      </c>
      <c r="AB1558" s="135">
        <f t="shared" si="4578"/>
        <v>236.19137718486093</v>
      </c>
      <c r="AC1558" s="135">
        <f t="shared" si="4578"/>
        <v>223.86730687816342</v>
      </c>
      <c r="AD1558" s="136">
        <f t="shared" si="4578"/>
        <v>148.74359315632347</v>
      </c>
      <c r="AE1558" s="15"/>
      <c r="AF1558" s="114">
        <f>_xlfn.XLOOKUP($C1558,'Site Level Financials - ''23 ''24'!$C$2:$C$1577,'Site Level Financials - ''23 ''24'!$AF$2:$AF$1577)</f>
        <v>1348.5681279684682</v>
      </c>
      <c r="AG1558" s="95">
        <f>SUM(G1558:R1558)</f>
        <v>1887.9698584209082</v>
      </c>
      <c r="AH1558" s="95">
        <f t="shared" ref="AH1558" si="4579">SUM(S1558:AD1558)</f>
        <v>2311.9717034965747</v>
      </c>
    </row>
    <row r="1559" spans="2:34" x14ac:dyDescent="0.2">
      <c r="B1559" s="9">
        <f>G1534</f>
        <v>32</v>
      </c>
      <c r="C1559" s="9" t="str">
        <f t="shared" si="4516"/>
        <v>32 - % of Revenue - Office Gross Profit</v>
      </c>
      <c r="D1559" s="9" t="s">
        <v>56</v>
      </c>
      <c r="F1559" s="16" t="str">
        <f>"% of Revenue - "&amp;F1558</f>
        <v>% of Revenue - Office Gross Profit</v>
      </c>
      <c r="G1559" s="148">
        <f>G1558/G1546</f>
        <v>0.50678501747397042</v>
      </c>
      <c r="H1559" s="149">
        <f t="shared" ref="H1559:AD1559" si="4580">H1558/H1546</f>
        <v>0.51564750380327029</v>
      </c>
      <c r="I1559" s="149">
        <f t="shared" si="4580"/>
        <v>0.3441702556168752</v>
      </c>
      <c r="J1559" s="149">
        <f t="shared" si="4580"/>
        <v>0.33188584837039403</v>
      </c>
      <c r="K1559" s="149">
        <f t="shared" si="4580"/>
        <v>0.15808247952577914</v>
      </c>
      <c r="L1559" s="149">
        <f t="shared" si="4580"/>
        <v>0.32049012057537341</v>
      </c>
      <c r="M1559" s="149">
        <f t="shared" si="4580"/>
        <v>0.3233364576675789</v>
      </c>
      <c r="N1559" s="149">
        <f t="shared" si="4580"/>
        <v>0.48554935271804461</v>
      </c>
      <c r="O1559" s="149">
        <f t="shared" si="4580"/>
        <v>0.48449914799693244</v>
      </c>
      <c r="P1559" s="149">
        <f t="shared" si="4580"/>
        <v>0.48292191134007723</v>
      </c>
      <c r="Q1559" s="149">
        <f t="shared" si="4580"/>
        <v>0.57905354675809784</v>
      </c>
      <c r="R1559" s="149">
        <f t="shared" si="4580"/>
        <v>0.4713712063116004</v>
      </c>
      <c r="S1559" s="148">
        <f t="shared" si="4580"/>
        <v>0.5067850174739702</v>
      </c>
      <c r="T1559" s="149">
        <f t="shared" si="4580"/>
        <v>0.51564750380327029</v>
      </c>
      <c r="U1559" s="149">
        <f t="shared" si="4580"/>
        <v>0.3441702556168752</v>
      </c>
      <c r="V1559" s="149">
        <f t="shared" si="4580"/>
        <v>0.33188584837039409</v>
      </c>
      <c r="W1559" s="149">
        <f t="shared" si="4580"/>
        <v>0.15808247952577906</v>
      </c>
      <c r="X1559" s="149">
        <f t="shared" si="4580"/>
        <v>0.32049012057537341</v>
      </c>
      <c r="Y1559" s="149">
        <f t="shared" si="4580"/>
        <v>0.32333645766757874</v>
      </c>
      <c r="Z1559" s="149">
        <f t="shared" si="4580"/>
        <v>0.48554935271804461</v>
      </c>
      <c r="AA1559" s="149">
        <f t="shared" si="4580"/>
        <v>0.48449914799693239</v>
      </c>
      <c r="AB1559" s="149">
        <f t="shared" si="4580"/>
        <v>0.48292191134007728</v>
      </c>
      <c r="AC1559" s="149">
        <f t="shared" si="4580"/>
        <v>0.57905354675809784</v>
      </c>
      <c r="AD1559" s="150">
        <f t="shared" si="4580"/>
        <v>0.47137120631160051</v>
      </c>
      <c r="AE1559" s="15"/>
      <c r="AF1559" s="233">
        <f>_xlfn.XLOOKUP($C1559,'Site Level Financials - ''23 ''24'!$C$2:$C$1577,'Site Level Financials - ''23 ''24'!$AF$2:$AF$1577)</f>
        <v>0.37868945296744577</v>
      </c>
      <c r="AG1559" s="97">
        <f t="shared" ref="AG1559:AH1559" si="4581">AG1558/AG1546</f>
        <v>0.4281520743800834</v>
      </c>
      <c r="AH1559" s="97">
        <f t="shared" si="4581"/>
        <v>0.40113539477332266</v>
      </c>
    </row>
    <row r="1560" spans="2:34" ht="6" customHeight="1" x14ac:dyDescent="0.2">
      <c r="B1560" s="9">
        <f>G1534</f>
        <v>32</v>
      </c>
      <c r="C1560" s="9" t="str">
        <f t="shared" si="4516"/>
        <v xml:space="preserve">32 - </v>
      </c>
      <c r="D1560" s="9" t="s">
        <v>56</v>
      </c>
      <c r="F1560" s="16"/>
      <c r="G1560" s="80"/>
      <c r="H1560" s="63"/>
      <c r="I1560" s="63"/>
      <c r="J1560" s="63"/>
      <c r="K1560" s="63"/>
      <c r="L1560" s="63"/>
      <c r="M1560" s="63"/>
      <c r="N1560" s="63"/>
      <c r="O1560" s="63"/>
      <c r="P1560" s="63"/>
      <c r="Q1560" s="63"/>
      <c r="R1560" s="63"/>
      <c r="S1560" s="80"/>
      <c r="T1560" s="63"/>
      <c r="U1560" s="63"/>
      <c r="V1560" s="63"/>
      <c r="W1560" s="63"/>
      <c r="X1560" s="63"/>
      <c r="Y1560" s="63"/>
      <c r="Z1560" s="63"/>
      <c r="AA1560" s="63"/>
      <c r="AB1560" s="63"/>
      <c r="AC1560" s="63"/>
      <c r="AD1560" s="81"/>
      <c r="AE1560" s="15"/>
      <c r="AF1560" s="11"/>
      <c r="AG1560" s="15"/>
      <c r="AH1560" s="15"/>
    </row>
    <row r="1561" spans="2:34" x14ac:dyDescent="0.2">
      <c r="B1561" s="9">
        <f>G1534</f>
        <v>32</v>
      </c>
      <c r="C1561" s="9" t="str">
        <f t="shared" si="4516"/>
        <v>32 - General and Administrative Expense</v>
      </c>
      <c r="D1561" s="9" t="s">
        <v>56</v>
      </c>
      <c r="F1561" t="s">
        <v>10</v>
      </c>
      <c r="G1561" s="178">
        <f>_xlfn.XLOOKUP($C1561,'Site Level Financials - ''23 ''24'!$C$2:$C$1577,'Site Level Financials - ''23 ''24'!S$2:S$1577)</f>
        <v>0.85637488605535628</v>
      </c>
      <c r="H1561" s="179">
        <f>_xlfn.XLOOKUP($C1561,'Site Level Financials - ''23 ''24'!$C$2:$C$1577,'Site Level Financials - ''23 ''24'!T$2:T$1577)</f>
        <v>-0.20247345768815628</v>
      </c>
      <c r="I1561" s="179">
        <f>_xlfn.XLOOKUP($C1561,'Site Level Financials - ''23 ''24'!$C$2:$C$1577,'Site Level Financials - ''23 ''24'!U$2:U$1577)</f>
        <v>-0.52365765536547437</v>
      </c>
      <c r="J1561" s="179">
        <f>_xlfn.XLOOKUP($C1561,'Site Level Financials - ''23 ''24'!$C$2:$C$1577,'Site Level Financials - ''23 ''24'!V$2:V$1577)</f>
        <v>-0.52043258341751919</v>
      </c>
      <c r="K1561" s="179">
        <f>_xlfn.XLOOKUP($C1561,'Site Level Financials - ''23 ''24'!$C$2:$C$1577,'Site Level Financials - ''23 ''24'!W$2:W$1577)</f>
        <v>-1.4959196831397663</v>
      </c>
      <c r="L1561" s="179">
        <f>_xlfn.XLOOKUP($C1561,'Site Level Financials - ''23 ''24'!$C$2:$C$1577,'Site Level Financials - ''23 ''24'!X$2:X$1577)</f>
        <v>-0.78320582113149395</v>
      </c>
      <c r="M1561" s="179">
        <f>_xlfn.XLOOKUP($C1561,'Site Level Financials - ''23 ''24'!$C$2:$C$1577,'Site Level Financials - ''23 ''24'!Y$2:Y$1577)</f>
        <v>0.4204080547773586</v>
      </c>
      <c r="N1561" s="179">
        <f>_xlfn.XLOOKUP($C1561,'Site Level Financials - ''23 ''24'!$C$2:$C$1577,'Site Level Financials - ''23 ''24'!Z$2:Z$1577)</f>
        <v>0.42836608819647509</v>
      </c>
      <c r="O1561" s="179">
        <f>_xlfn.XLOOKUP($C1561,'Site Level Financials - ''23 ''24'!$C$2:$C$1577,'Site Level Financials - ''23 ''24'!AA$2:AA$1577)</f>
        <v>0.51774003009096703</v>
      </c>
      <c r="P1561" s="179">
        <f>_xlfn.XLOOKUP($C1561,'Site Level Financials - ''23 ''24'!$C$2:$C$1577,'Site Level Financials - ''23 ''24'!AB$2:AB$1577)</f>
        <v>1.6610054429779146</v>
      </c>
      <c r="Q1561" s="179">
        <f>_xlfn.XLOOKUP($C1561,'Site Level Financials - ''23 ''24'!$C$2:$C$1577,'Site Level Financials - ''23 ''24'!AC$2:AC$1577)</f>
        <v>2.3410848849736179</v>
      </c>
      <c r="R1561" s="179">
        <f>_xlfn.XLOOKUP($C1561,'Site Level Financials - ''23 ''24'!$C$2:$C$1577,'Site Level Financials - ''23 ''24'!AD$2:AD$1577)</f>
        <v>1.8609537105233012</v>
      </c>
      <c r="S1561" s="155">
        <f>S1562*S1546</f>
        <v>0.92484959782074039</v>
      </c>
      <c r="T1561" s="154">
        <f t="shared" ref="T1561" si="4582">T1562*T1546</f>
        <v>-0.2403975024578455</v>
      </c>
      <c r="U1561" s="154">
        <f t="shared" ref="U1561" si="4583">U1562*U1546</f>
        <v>-0.77176866345870987</v>
      </c>
      <c r="V1561" s="154">
        <f t="shared" ref="V1561" si="4584">V1562*V1546</f>
        <v>-0.79107076746246485</v>
      </c>
      <c r="W1561" s="154">
        <f t="shared" ref="W1561" si="4585">W1562*W1546</f>
        <v>-3.289019917093178</v>
      </c>
      <c r="X1561" s="154">
        <f t="shared" ref="X1561" si="4586">X1562*X1546</f>
        <v>-1.2936095785521127</v>
      </c>
      <c r="Y1561" s="154">
        <f t="shared" ref="Y1561" si="4587">Y1562*Y1546</f>
        <v>0.67291445724149279</v>
      </c>
      <c r="Z1561" s="154">
        <f t="shared" ref="Z1561" si="4588">Z1562*Z1546</f>
        <v>0.5078184302770441</v>
      </c>
      <c r="AA1561" s="154">
        <f t="shared" ref="AA1561" si="4589">AA1562*AA1546</f>
        <v>0.56476476639095685</v>
      </c>
      <c r="AB1561" s="154">
        <f t="shared" ref="AB1561" si="4590">AB1562*AB1546</f>
        <v>1.8273927644984336</v>
      </c>
      <c r="AC1561" s="154">
        <f t="shared" ref="AC1561" si="4591">AC1562*AC1546</f>
        <v>2.1853066215385315</v>
      </c>
      <c r="AD1561" s="156">
        <f t="shared" ref="AD1561" si="4592">AD1562*AD1546</f>
        <v>1.9284846070686381</v>
      </c>
      <c r="AE1561" s="15"/>
      <c r="AF1561" s="115">
        <f>_xlfn.XLOOKUP($C1561,'Site Level Financials - ''23 ''24'!$C$2:$C$1577,'Site Level Financials - ''23 ''24'!$AF$2:$AF$1577)</f>
        <v>-31.945266989284466</v>
      </c>
      <c r="AG1561" s="93">
        <f>SUM(G1561:R1561)</f>
        <v>4.5602438968525805</v>
      </c>
      <c r="AH1561" s="93">
        <f t="shared" ref="AH1561" si="4593">SUM(S1561:AD1561)</f>
        <v>2.2256648158115269</v>
      </c>
    </row>
    <row r="1562" spans="2:34" x14ac:dyDescent="0.2">
      <c r="B1562" s="9">
        <f>G1534</f>
        <v>32</v>
      </c>
      <c r="C1562" s="9" t="str">
        <f t="shared" si="4516"/>
        <v>32 - % of Revenue - General and Administrative Expense</v>
      </c>
      <c r="D1562" s="9" t="s">
        <v>56</v>
      </c>
      <c r="F1562" s="16" t="str">
        <f>"% of Revenue - "&amp;F1561</f>
        <v>% of Revenue - General and Administrative Expense</v>
      </c>
      <c r="G1562" s="148">
        <f>G1561/G1546</f>
        <v>2.04465430029985E-3</v>
      </c>
      <c r="H1562" s="149">
        <f t="shared" ref="H1562:R1562" si="4594">H1561/H1546</f>
        <v>-5.1326011013027749E-4</v>
      </c>
      <c r="I1562" s="149">
        <f t="shared" si="4594"/>
        <v>-1.5345309661090381E-3</v>
      </c>
      <c r="J1562" s="149">
        <f t="shared" si="4594"/>
        <v>-1.4684152305950576E-3</v>
      </c>
      <c r="K1562" s="149">
        <f t="shared" si="4594"/>
        <v>-5.1368465341927877E-3</v>
      </c>
      <c r="L1562" s="149">
        <f t="shared" si="4594"/>
        <v>-2.4059353121125386E-3</v>
      </c>
      <c r="M1562" s="149">
        <f t="shared" si="4594"/>
        <v>1.2422889434160105E-3</v>
      </c>
      <c r="N1562" s="149">
        <f t="shared" si="4594"/>
        <v>1.0933060080715663E-3</v>
      </c>
      <c r="O1562" s="149">
        <f t="shared" si="4594"/>
        <v>1.3261990787214362E-3</v>
      </c>
      <c r="P1562" s="149">
        <f t="shared" si="4594"/>
        <v>3.7363260975861561E-3</v>
      </c>
      <c r="Q1562" s="149">
        <f t="shared" si="4594"/>
        <v>5.6524982035207312E-3</v>
      </c>
      <c r="R1562" s="149">
        <f t="shared" si="4594"/>
        <v>6.1114034984481045E-3</v>
      </c>
      <c r="S1562" s="245">
        <f>_xlfn.XLOOKUP($F1562,'Budget Assumption Driver'!$A$33:$A$39,'Budget Assumption Driver'!E$33:E$39)+G1562</f>
        <v>2.04465430029985E-3</v>
      </c>
      <c r="T1562" s="246">
        <f>_xlfn.XLOOKUP($F1562,'Budget Assumption Driver'!$A$33:$A$39,'Budget Assumption Driver'!F$33:F$39)+H1562</f>
        <v>-5.1326011013027749E-4</v>
      </c>
      <c r="U1562" s="246">
        <f>_xlfn.XLOOKUP($F1562,'Budget Assumption Driver'!$A$33:$A$39,'Budget Assumption Driver'!G$33:G$39)+I1562</f>
        <v>-1.5345309661090381E-3</v>
      </c>
      <c r="V1562" s="246">
        <f>_xlfn.XLOOKUP($F1562,'Budget Assumption Driver'!$A$33:$A$39,'Budget Assumption Driver'!H$33:H$39)+J1562</f>
        <v>-1.4684152305950576E-3</v>
      </c>
      <c r="W1562" s="246">
        <f>_xlfn.XLOOKUP($F1562,'Budget Assumption Driver'!$A$33:$A$39,'Budget Assumption Driver'!I$33:I$39)+K1562</f>
        <v>-5.1368465341927877E-3</v>
      </c>
      <c r="X1562" s="246">
        <f>_xlfn.XLOOKUP($F1562,'Budget Assumption Driver'!$A$33:$A$39,'Budget Assumption Driver'!J$33:J$39)+L1562</f>
        <v>-2.4059353121125386E-3</v>
      </c>
      <c r="Y1562" s="246">
        <f>_xlfn.XLOOKUP($F1562,'Budget Assumption Driver'!$A$33:$A$39,'Budget Assumption Driver'!K$33:K$39)+M1562</f>
        <v>1.2422889434160105E-3</v>
      </c>
      <c r="Z1562" s="246">
        <f>_xlfn.XLOOKUP($F1562,'Budget Assumption Driver'!$A$33:$A$39,'Budget Assumption Driver'!L$33:L$39)+N1562</f>
        <v>1.0933060080715663E-3</v>
      </c>
      <c r="AA1562" s="246">
        <f>_xlfn.XLOOKUP($F1562,'Budget Assumption Driver'!$A$33:$A$39,'Budget Assumption Driver'!M$33:M$39)+O1562</f>
        <v>1.3261990787214362E-3</v>
      </c>
      <c r="AB1562" s="246">
        <f>_xlfn.XLOOKUP($F1562,'Budget Assumption Driver'!$A$33:$A$39,'Budget Assumption Driver'!N$33:N$39)+P1562</f>
        <v>3.7363260975861561E-3</v>
      </c>
      <c r="AC1562" s="246">
        <f>_xlfn.XLOOKUP($F1562,'Budget Assumption Driver'!$A$33:$A$39,'Budget Assumption Driver'!O$33:O$39)+Q1562</f>
        <v>5.6524982035207312E-3</v>
      </c>
      <c r="AD1562" s="296">
        <f>_xlfn.XLOOKUP($F1562,'Budget Assumption Driver'!$A$33:$A$39,'Budget Assumption Driver'!P$33:P$39)+R1562</f>
        <v>6.1114034984481045E-3</v>
      </c>
      <c r="AE1562" s="15"/>
      <c r="AF1562" s="232">
        <f>_xlfn.XLOOKUP($C1562,'Site Level Financials - ''23 ''24'!$C$2:$C$1577,'Site Level Financials - ''23 ''24'!$AF$2:$AF$1577)</f>
        <v>-8.9705039220339591E-3</v>
      </c>
      <c r="AG1562" s="97">
        <f t="shared" ref="AG1562:AH1562" si="4595">AG1561/AG1546</f>
        <v>1.0341679319761988E-3</v>
      </c>
      <c r="AH1562" s="97">
        <f t="shared" si="4595"/>
        <v>3.861608397600243E-4</v>
      </c>
    </row>
    <row r="1563" spans="2:34" ht="3" customHeight="1" x14ac:dyDescent="0.2">
      <c r="B1563" s="9">
        <f>G1534</f>
        <v>32</v>
      </c>
      <c r="C1563" s="9" t="str">
        <f t="shared" si="4516"/>
        <v xml:space="preserve">32 - </v>
      </c>
      <c r="D1563" s="9" t="s">
        <v>56</v>
      </c>
      <c r="F1563" s="16"/>
      <c r="G1563" s="84"/>
      <c r="H1563" s="85"/>
      <c r="I1563" s="85"/>
      <c r="J1563" s="85"/>
      <c r="K1563" s="85"/>
      <c r="L1563" s="85"/>
      <c r="M1563" s="85"/>
      <c r="N1563" s="85"/>
      <c r="O1563" s="85"/>
      <c r="P1563" s="85"/>
      <c r="Q1563" s="85"/>
      <c r="R1563" s="85"/>
      <c r="S1563" s="84"/>
      <c r="T1563" s="85"/>
      <c r="U1563" s="85"/>
      <c r="V1563" s="85"/>
      <c r="W1563" s="85"/>
      <c r="X1563" s="85"/>
      <c r="Y1563" s="85"/>
      <c r="Z1563" s="85"/>
      <c r="AA1563" s="85"/>
      <c r="AB1563" s="85"/>
      <c r="AC1563" s="85"/>
      <c r="AD1563" s="86"/>
      <c r="AE1563" s="15"/>
      <c r="AF1563" s="36"/>
      <c r="AG1563" s="38"/>
      <c r="AH1563" s="38"/>
    </row>
    <row r="1564" spans="2:34" x14ac:dyDescent="0.2">
      <c r="B1564" s="9">
        <f>G1534</f>
        <v>32</v>
      </c>
      <c r="C1564" s="9" t="str">
        <f t="shared" si="4516"/>
        <v>32 - Marketing</v>
      </c>
      <c r="D1564" s="9" t="s">
        <v>56</v>
      </c>
      <c r="F1564" t="s">
        <v>7</v>
      </c>
      <c r="G1564" s="178">
        <f>_xlfn.XLOOKUP($C1564,'Site Level Financials - ''23 ''24'!$C$2:$C$1577,'Site Level Financials - ''23 ''24'!S$2:S$1577)</f>
        <v>-3.3293415482218243</v>
      </c>
      <c r="H1564" s="179">
        <f>_xlfn.XLOOKUP($C1564,'Site Level Financials - ''23 ''24'!$C$2:$C$1577,'Site Level Financials - ''23 ''24'!T$2:T$1577)</f>
        <v>-2.9586381304320106</v>
      </c>
      <c r="I1564" s="179">
        <f>_xlfn.XLOOKUP($C1564,'Site Level Financials - ''23 ''24'!$C$2:$C$1577,'Site Level Financials - ''23 ''24'!U$2:U$1577)</f>
        <v>-4.1612639578407604</v>
      </c>
      <c r="J1564" s="179">
        <f>_xlfn.XLOOKUP($C1564,'Site Level Financials - ''23 ''24'!$C$2:$C$1577,'Site Level Financials - ''23 ''24'!V$2:V$1577)</f>
        <v>-5.4147601020062774</v>
      </c>
      <c r="K1564" s="179">
        <f>_xlfn.XLOOKUP($C1564,'Site Level Financials - ''23 ''24'!$C$2:$C$1577,'Site Level Financials - ''23 ''24'!W$2:W$1577)</f>
        <v>-8.704595503582679</v>
      </c>
      <c r="L1564" s="179">
        <f>_xlfn.XLOOKUP($C1564,'Site Level Financials - ''23 ''24'!$C$2:$C$1577,'Site Level Financials - ''23 ''24'!X$2:X$1577)</f>
        <v>-6.7815005100182342</v>
      </c>
      <c r="M1564" s="179">
        <f>_xlfn.XLOOKUP($C1564,'Site Level Financials - ''23 ''24'!$C$2:$C$1577,'Site Level Financials - ''23 ''24'!Y$2:Y$1577)</f>
        <v>-6.8382111274976163</v>
      </c>
      <c r="N1564" s="179">
        <f>_xlfn.XLOOKUP($C1564,'Site Level Financials - ''23 ''24'!$C$2:$C$1577,'Site Level Financials - ''23 ''24'!Z$2:Z$1577)</f>
        <v>-6.503184239566913</v>
      </c>
      <c r="O1564" s="179">
        <f>_xlfn.XLOOKUP($C1564,'Site Level Financials - ''23 ''24'!$C$2:$C$1577,'Site Level Financials - ''23 ''24'!AA$2:AA$1577)</f>
        <v>-7.8947894666221954</v>
      </c>
      <c r="P1564" s="179">
        <f>_xlfn.XLOOKUP($C1564,'Site Level Financials - ''23 ''24'!$C$2:$C$1577,'Site Level Financials - ''23 ''24'!AB$2:AB$1577)</f>
        <v>-10.297999019765765</v>
      </c>
      <c r="Q1564" s="179">
        <f>_xlfn.XLOOKUP($C1564,'Site Level Financials - ''23 ''24'!$C$2:$C$1577,'Site Level Financials - ''23 ''24'!AC$2:AC$1577)</f>
        <v>-8.4854526138980795</v>
      </c>
      <c r="R1564" s="179">
        <f>_xlfn.XLOOKUP($C1564,'Site Level Financials - ''23 ''24'!$C$2:$C$1577,'Site Level Financials - ''23 ''24'!AD$2:AD$1577)</f>
        <v>-7.98391680048731</v>
      </c>
      <c r="S1564" s="155">
        <f>S1565*S1546</f>
        <v>-3.5955517169168818</v>
      </c>
      <c r="T1564" s="154">
        <f t="shared" ref="T1564" si="4596">T1565*T1546</f>
        <v>-3.5128022475313783</v>
      </c>
      <c r="U1564" s="154">
        <f t="shared" ref="U1564" si="4597">U1565*U1546</f>
        <v>-6.1328868013974738</v>
      </c>
      <c r="V1564" s="154">
        <f t="shared" ref="V1564" si="4598">V1565*V1546</f>
        <v>-8.2305731155245869</v>
      </c>
      <c r="W1564" s="154">
        <f t="shared" ref="W1564" si="4599">W1565*W1546</f>
        <v>-19.13845262162263</v>
      </c>
      <c r="X1564" s="154">
        <f t="shared" ref="X1564" si="4600">X1565*X1546</f>
        <v>-11.200905023971691</v>
      </c>
      <c r="Y1564" s="154">
        <f t="shared" ref="Y1564" si="4601">Y1565*Y1546</f>
        <v>-10.945392404052992</v>
      </c>
      <c r="Z1564" s="154">
        <f t="shared" ref="Z1564" si="4602">Z1565*Z1546</f>
        <v>-7.7093796715873113</v>
      </c>
      <c r="AA1564" s="154">
        <f t="shared" ref="AA1564" si="4603">AA1565*AA1546</f>
        <v>-8.6118489390114874</v>
      </c>
      <c r="AB1564" s="154">
        <f t="shared" ref="AB1564" si="4604">AB1565*AB1546</f>
        <v>-11.329576899997033</v>
      </c>
      <c r="AC1564" s="154">
        <f t="shared" ref="AC1564" si="4605">AC1565*AC1546</f>
        <v>-7.9208216254456234</v>
      </c>
      <c r="AD1564" s="156">
        <f t="shared" ref="AD1564" si="4606">AD1565*AD1546</f>
        <v>-8.2736397830802915</v>
      </c>
      <c r="AE1564" s="15"/>
      <c r="AF1564" s="115">
        <f>_xlfn.XLOOKUP($C1564,'Site Level Financials - ''23 ''24'!$C$2:$C$1577,'Site Level Financials - ''23 ''24'!$AF$2:$AF$1577)</f>
        <v>-54.639241832665419</v>
      </c>
      <c r="AG1564" s="93">
        <f>SUM(G1564:R1564)</f>
        <v>-79.353653019939657</v>
      </c>
      <c r="AH1564" s="93">
        <f t="shared" ref="AH1564" si="4607">SUM(S1564:AD1564)</f>
        <v>-106.60183085013941</v>
      </c>
    </row>
    <row r="1565" spans="2:34" x14ac:dyDescent="0.2">
      <c r="B1565" s="9">
        <f>G1534</f>
        <v>32</v>
      </c>
      <c r="C1565" s="9" t="str">
        <f t="shared" si="4516"/>
        <v>32 - % of Revenue - Marketing</v>
      </c>
      <c r="D1565" s="9" t="s">
        <v>56</v>
      </c>
      <c r="F1565" s="16" t="str">
        <f>"% of Revenue - "&amp;F1564</f>
        <v>% of Revenue - Marketing</v>
      </c>
      <c r="G1565" s="148">
        <f>G1564/G1546</f>
        <v>-7.949033331762936E-3</v>
      </c>
      <c r="H1565" s="149">
        <f t="shared" ref="H1565:R1565" si="4608">H1564/H1546</f>
        <v>-7.5000000000000006E-3</v>
      </c>
      <c r="I1565" s="149">
        <f t="shared" si="4608"/>
        <v>-1.219420424017946E-2</v>
      </c>
      <c r="J1565" s="149">
        <f t="shared" si="4608"/>
        <v>-1.5277898535083939E-2</v>
      </c>
      <c r="K1565" s="149">
        <f t="shared" si="4608"/>
        <v>-2.9890756668351885E-2</v>
      </c>
      <c r="L1565" s="149">
        <f t="shared" si="4608"/>
        <v>-2.0832137742018593E-2</v>
      </c>
      <c r="M1565" s="149">
        <f t="shared" si="4608"/>
        <v>-2.0206639668056442E-2</v>
      </c>
      <c r="N1565" s="149">
        <f t="shared" si="4608"/>
        <v>-1.6597883438088018E-2</v>
      </c>
      <c r="O1565" s="149">
        <f t="shared" si="4608"/>
        <v>-2.0222625079800109E-2</v>
      </c>
      <c r="P1565" s="149">
        <f t="shared" si="4608"/>
        <v>-2.3164693802258107E-2</v>
      </c>
      <c r="Q1565" s="149">
        <f t="shared" si="4608"/>
        <v>-2.0487939571938972E-2</v>
      </c>
      <c r="R1565" s="149">
        <f t="shared" si="4608"/>
        <v>-2.6219317971157997E-2</v>
      </c>
      <c r="S1565" s="245">
        <f>_xlfn.XLOOKUP($F1565,'Budget Assumption Driver'!$A$33:$A$39,'Budget Assumption Driver'!E$33:E$39)+G1565</f>
        <v>-7.949033331762936E-3</v>
      </c>
      <c r="T1565" s="246">
        <f>_xlfn.XLOOKUP($F1565,'Budget Assumption Driver'!$A$33:$A$39,'Budget Assumption Driver'!F$33:F$39)+H1565</f>
        <v>-7.5000000000000006E-3</v>
      </c>
      <c r="U1565" s="246">
        <f>_xlfn.XLOOKUP($F1565,'Budget Assumption Driver'!$A$33:$A$39,'Budget Assumption Driver'!G$33:G$39)+I1565</f>
        <v>-1.219420424017946E-2</v>
      </c>
      <c r="V1565" s="246">
        <f>_xlfn.XLOOKUP($F1565,'Budget Assumption Driver'!$A$33:$A$39,'Budget Assumption Driver'!H$33:H$39)+J1565</f>
        <v>-1.5277898535083939E-2</v>
      </c>
      <c r="W1565" s="246">
        <f>_xlfn.XLOOKUP($F1565,'Budget Assumption Driver'!$A$33:$A$39,'Budget Assumption Driver'!I$33:I$39)+K1565</f>
        <v>-2.9890756668351885E-2</v>
      </c>
      <c r="X1565" s="246">
        <f>_xlfn.XLOOKUP($F1565,'Budget Assumption Driver'!$A$33:$A$39,'Budget Assumption Driver'!J$33:J$39)+L1565</f>
        <v>-2.0832137742018593E-2</v>
      </c>
      <c r="Y1565" s="246">
        <f>_xlfn.XLOOKUP($F1565,'Budget Assumption Driver'!$A$33:$A$39,'Budget Assumption Driver'!K$33:K$39)+M1565</f>
        <v>-2.0206639668056442E-2</v>
      </c>
      <c r="Z1565" s="246">
        <f>_xlfn.XLOOKUP($F1565,'Budget Assumption Driver'!$A$33:$A$39,'Budget Assumption Driver'!L$33:L$39)+N1565</f>
        <v>-1.6597883438088018E-2</v>
      </c>
      <c r="AA1565" s="246">
        <f>_xlfn.XLOOKUP($F1565,'Budget Assumption Driver'!$A$33:$A$39,'Budget Assumption Driver'!M$33:M$39)+O1565</f>
        <v>-2.0222625079800109E-2</v>
      </c>
      <c r="AB1565" s="246">
        <f>_xlfn.XLOOKUP($F1565,'Budget Assumption Driver'!$A$33:$A$39,'Budget Assumption Driver'!N$33:N$39)+P1565</f>
        <v>-2.3164693802258107E-2</v>
      </c>
      <c r="AC1565" s="246">
        <f>_xlfn.XLOOKUP($F1565,'Budget Assumption Driver'!$A$33:$A$39,'Budget Assumption Driver'!O$33:O$39)+Q1565</f>
        <v>-2.0487939571938972E-2</v>
      </c>
      <c r="AD1565" s="296">
        <f>_xlfn.XLOOKUP($F1565,'Budget Assumption Driver'!$A$33:$A$39,'Budget Assumption Driver'!P$33:P$39)+R1565</f>
        <v>-2.6219317971157997E-2</v>
      </c>
      <c r="AE1565" s="15"/>
      <c r="AF1565" s="232">
        <f>_xlfn.XLOOKUP($C1565,'Site Level Financials - ''23 ''24'!$C$2:$C$1577,'Site Level Financials - ''23 ''24'!$AF$2:$AF$1577)</f>
        <v>-1.534316596324887E-2</v>
      </c>
      <c r="AG1565" s="97">
        <f t="shared" ref="AG1565:AH1565" si="4609">AG1564/AG1546</f>
        <v>-1.7995748713139664E-2</v>
      </c>
      <c r="AH1565" s="97">
        <f t="shared" si="4609"/>
        <v>-1.8495800548491873E-2</v>
      </c>
    </row>
    <row r="1566" spans="2:34" ht="3" customHeight="1" x14ac:dyDescent="0.2">
      <c r="B1566" s="9">
        <f>G1534</f>
        <v>32</v>
      </c>
      <c r="C1566" s="9" t="str">
        <f t="shared" si="4516"/>
        <v xml:space="preserve">32 - </v>
      </c>
      <c r="D1566" s="9" t="s">
        <v>56</v>
      </c>
      <c r="F1566" s="16"/>
      <c r="G1566" s="84"/>
      <c r="H1566" s="85"/>
      <c r="I1566" s="85"/>
      <c r="J1566" s="85"/>
      <c r="K1566" s="85"/>
      <c r="L1566" s="85"/>
      <c r="M1566" s="85"/>
      <c r="N1566" s="85"/>
      <c r="O1566" s="85"/>
      <c r="P1566" s="85"/>
      <c r="Q1566" s="85"/>
      <c r="R1566" s="85"/>
      <c r="S1566" s="84"/>
      <c r="T1566" s="85"/>
      <c r="U1566" s="85"/>
      <c r="V1566" s="85"/>
      <c r="W1566" s="85"/>
      <c r="X1566" s="85"/>
      <c r="Y1566" s="85"/>
      <c r="Z1566" s="85"/>
      <c r="AA1566" s="85"/>
      <c r="AB1566" s="85"/>
      <c r="AC1566" s="85"/>
      <c r="AD1566" s="86"/>
      <c r="AE1566" s="15"/>
      <c r="AF1566" s="36"/>
      <c r="AG1566" s="38"/>
      <c r="AH1566" s="38"/>
    </row>
    <row r="1567" spans="2:34" x14ac:dyDescent="0.2">
      <c r="B1567" s="9">
        <f>G1534</f>
        <v>32</v>
      </c>
      <c r="C1567" s="9" t="str">
        <f t="shared" si="4516"/>
        <v>32 - Office Rent</v>
      </c>
      <c r="D1567" s="9" t="s">
        <v>56</v>
      </c>
      <c r="F1567" t="s">
        <v>162</v>
      </c>
      <c r="G1567" s="178">
        <f>_xlfn.XLOOKUP($C1567,'Site Level Financials - ''23 ''24'!$C$2:$C$1577,'Site Level Financials - ''23 ''24'!S$2:S$1577)</f>
        <v>-27.779466567578623</v>
      </c>
      <c r="H1567" s="179">
        <f>_xlfn.XLOOKUP($C1567,'Site Level Financials - ''23 ''24'!$C$2:$C$1577,'Site Level Financials - ''23 ''24'!T$2:T$1577)</f>
        <v>-27.779466567578623</v>
      </c>
      <c r="I1567" s="179">
        <f>_xlfn.XLOOKUP($C1567,'Site Level Financials - ''23 ''24'!$C$2:$C$1577,'Site Level Financials - ''23 ''24'!U$2:U$1577)</f>
        <v>-28.612850564605981</v>
      </c>
      <c r="J1567" s="179">
        <f>_xlfn.XLOOKUP($C1567,'Site Level Financials - ''23 ''24'!$C$2:$C$1577,'Site Level Financials - ''23 ''24'!V$2:V$1577)</f>
        <v>-28.612850564605981</v>
      </c>
      <c r="K1567" s="179">
        <f>_xlfn.XLOOKUP($C1567,'Site Level Financials - ''23 ''24'!$C$2:$C$1577,'Site Level Financials - ''23 ''24'!W$2:W$1577)</f>
        <v>-28.612850564605981</v>
      </c>
      <c r="L1567" s="179">
        <f>_xlfn.XLOOKUP($C1567,'Site Level Financials - ''23 ''24'!$C$2:$C$1577,'Site Level Financials - ''23 ''24'!X$2:X$1577)</f>
        <v>-28.612850564605981</v>
      </c>
      <c r="M1567" s="179">
        <f>_xlfn.XLOOKUP($C1567,'Site Level Financials - ''23 ''24'!$C$2:$C$1577,'Site Level Financials - ''23 ''24'!Y$2:Y$1577)</f>
        <v>-28.612850564605981</v>
      </c>
      <c r="N1567" s="179">
        <f>_xlfn.XLOOKUP($C1567,'Site Level Financials - ''23 ''24'!$C$2:$C$1577,'Site Level Financials - ''23 ''24'!Z$2:Z$1577)</f>
        <v>-28.612850564605981</v>
      </c>
      <c r="O1567" s="179">
        <f>_xlfn.XLOOKUP($C1567,'Site Level Financials - ''23 ''24'!$C$2:$C$1577,'Site Level Financials - ''23 ''24'!AA$2:AA$1577)</f>
        <v>-28.612850564605981</v>
      </c>
      <c r="P1567" s="179">
        <f>_xlfn.XLOOKUP($C1567,'Site Level Financials - ''23 ''24'!$C$2:$C$1577,'Site Level Financials - ''23 ''24'!AB$2:AB$1577)</f>
        <v>-28.612850564605981</v>
      </c>
      <c r="Q1567" s="179">
        <f>_xlfn.XLOOKUP($C1567,'Site Level Financials - ''23 ''24'!$C$2:$C$1577,'Site Level Financials - ''23 ''24'!AC$2:AC$1577)</f>
        <v>-28.612850564605981</v>
      </c>
      <c r="R1567" s="179">
        <f>_xlfn.XLOOKUP($C1567,'Site Level Financials - ''23 ''24'!$C$2:$C$1577,'Site Level Financials - ''23 ''24'!AD$2:AD$1577)</f>
        <v>-28.612850564605981</v>
      </c>
      <c r="S1567" s="155">
        <f>G1567*(1+S1568)</f>
        <v>-28.612850564605981</v>
      </c>
      <c r="T1567" s="154">
        <f t="shared" ref="T1567" si="4610">H1567*(1+T1568)</f>
        <v>-28.612850564605981</v>
      </c>
      <c r="U1567" s="154">
        <f t="shared" ref="U1567" si="4611">I1567*(1+U1568)</f>
        <v>-29.471236081544163</v>
      </c>
      <c r="V1567" s="154">
        <f t="shared" ref="V1567" si="4612">J1567*(1+V1568)</f>
        <v>-29.471236081544163</v>
      </c>
      <c r="W1567" s="154">
        <f t="shared" ref="W1567" si="4613">K1567*(1+W1568)</f>
        <v>-29.471236081544163</v>
      </c>
      <c r="X1567" s="154">
        <f t="shared" ref="X1567" si="4614">L1567*(1+X1568)</f>
        <v>-29.471236081544163</v>
      </c>
      <c r="Y1567" s="154">
        <f t="shared" ref="Y1567" si="4615">M1567*(1+Y1568)</f>
        <v>-29.471236081544163</v>
      </c>
      <c r="Z1567" s="154">
        <f t="shared" ref="Z1567" si="4616">N1567*(1+Z1568)</f>
        <v>-29.471236081544163</v>
      </c>
      <c r="AA1567" s="154">
        <f t="shared" ref="AA1567" si="4617">O1567*(1+AA1568)</f>
        <v>-29.471236081544163</v>
      </c>
      <c r="AB1567" s="154">
        <f t="shared" ref="AB1567" si="4618">P1567*(1+AB1568)</f>
        <v>-29.471236081544163</v>
      </c>
      <c r="AC1567" s="154">
        <f t="shared" ref="AC1567" si="4619">Q1567*(1+AC1568)</f>
        <v>-29.471236081544163</v>
      </c>
      <c r="AD1567" s="156">
        <f t="shared" ref="AD1567" si="4620">R1567*(1+AD1568)</f>
        <v>-29.471236081544163</v>
      </c>
      <c r="AE1567" s="15"/>
      <c r="AF1567" s="115">
        <f>_xlfn.XLOOKUP($C1567,'Site Level Financials - ''23 ''24'!$C$2:$C$1577,'Site Level Financials - ''23 ''24'!$AF$2:$AF$1577)</f>
        <v>-331.732413199235</v>
      </c>
      <c r="AG1567" s="93">
        <f>SUM(G1567:R1567)</f>
        <v>-341.68743878121711</v>
      </c>
      <c r="AH1567" s="93">
        <f t="shared" ref="AH1567" si="4621">SUM(S1567:AD1567)</f>
        <v>-351.93806194465355</v>
      </c>
    </row>
    <row r="1568" spans="2:34" x14ac:dyDescent="0.2">
      <c r="B1568" s="9">
        <f>G1534</f>
        <v>32</v>
      </c>
      <c r="C1568" s="9" t="str">
        <f t="shared" si="4516"/>
        <v>32 - % YoY Growth</v>
      </c>
      <c r="D1568" s="9" t="s">
        <v>56</v>
      </c>
      <c r="F1568" s="16" t="s">
        <v>8</v>
      </c>
      <c r="G1568" s="245">
        <f>_xlfn.XLOOKUP($C1568,'Site Level Financials - ''23 ''24'!$C$2:$C$1577,'Site Level Financials - ''23 ''24'!S$2:S$1577)</f>
        <v>3.0009203761476311E-2</v>
      </c>
      <c r="H1568" s="246">
        <f>_xlfn.XLOOKUP($C1568,'Site Level Financials - ''23 ''24'!$C$2:$C$1577,'Site Level Financials - ''23 ''24'!T$2:T$1577)</f>
        <v>3.0009203761476311E-2</v>
      </c>
      <c r="I1568" s="246">
        <f>_xlfn.XLOOKUP($C1568,'Site Level Financials - ''23 ''24'!$C$2:$C$1577,'Site Level Financials - ''23 ''24'!U$2:U$1577)</f>
        <v>3.0009203761476311E-2</v>
      </c>
      <c r="J1568" s="246">
        <f>_xlfn.XLOOKUP($C1568,'Site Level Financials - ''23 ''24'!$C$2:$C$1577,'Site Level Financials - ''23 ''24'!V$2:V$1577)</f>
        <v>3.0009203761476311E-2</v>
      </c>
      <c r="K1568" s="246">
        <f>_xlfn.XLOOKUP($C1568,'Site Level Financials - ''23 ''24'!$C$2:$C$1577,'Site Level Financials - ''23 ''24'!W$2:W$1577)</f>
        <v>3.0009203761476311E-2</v>
      </c>
      <c r="L1568" s="246">
        <f>_xlfn.XLOOKUP($C1568,'Site Level Financials - ''23 ''24'!$C$2:$C$1577,'Site Level Financials - ''23 ''24'!X$2:X$1577)</f>
        <v>3.0009203761476311E-2</v>
      </c>
      <c r="M1568" s="246">
        <f>_xlfn.XLOOKUP($C1568,'Site Level Financials - ''23 ''24'!$C$2:$C$1577,'Site Level Financials - ''23 ''24'!Y$2:Y$1577)</f>
        <v>3.0009203761476311E-2</v>
      </c>
      <c r="N1568" s="246">
        <f>_xlfn.XLOOKUP($C1568,'Site Level Financials - ''23 ''24'!$C$2:$C$1577,'Site Level Financials - ''23 ''24'!Z$2:Z$1577)</f>
        <v>3.0009203761476311E-2</v>
      </c>
      <c r="O1568" s="246">
        <f>_xlfn.XLOOKUP($C1568,'Site Level Financials - ''23 ''24'!$C$2:$C$1577,'Site Level Financials - ''23 ''24'!AA$2:AA$1577)</f>
        <v>3.0009203761476311E-2</v>
      </c>
      <c r="P1568" s="246">
        <f>_xlfn.XLOOKUP($C1568,'Site Level Financials - ''23 ''24'!$C$2:$C$1577,'Site Level Financials - ''23 ''24'!AB$2:AB$1577)</f>
        <v>3.0009203761476311E-2</v>
      </c>
      <c r="Q1568" s="246">
        <f>_xlfn.XLOOKUP($C1568,'Site Level Financials - ''23 ''24'!$C$2:$C$1577,'Site Level Financials - ''23 ''24'!AC$2:AC$1577)</f>
        <v>3.0009203761476311E-2</v>
      </c>
      <c r="R1568" s="246">
        <f>_xlfn.XLOOKUP($C1568,'Site Level Financials - ''23 ''24'!$C$2:$C$1577,'Site Level Financials - ''23 ''24'!AD$2:AD$1577)</f>
        <v>3.0009203761476311E-2</v>
      </c>
      <c r="S1568" s="245">
        <f>_xlfn.XLOOKUP($F1568,'Budget Assumption Driver'!$A$33:$A$39,'Budget Assumption Driver'!E$33:E$39)</f>
        <v>0.03</v>
      </c>
      <c r="T1568" s="246">
        <f>_xlfn.XLOOKUP($F1568,'Budget Assumption Driver'!$A$33:$A$39,'Budget Assumption Driver'!F$33:F$39)</f>
        <v>0.03</v>
      </c>
      <c r="U1568" s="246">
        <f>_xlfn.XLOOKUP($F1568,'Budget Assumption Driver'!$A$33:$A$39,'Budget Assumption Driver'!G$33:G$39)</f>
        <v>0.03</v>
      </c>
      <c r="V1568" s="246">
        <f>_xlfn.XLOOKUP($F1568,'Budget Assumption Driver'!$A$33:$A$39,'Budget Assumption Driver'!H$33:H$39)</f>
        <v>0.03</v>
      </c>
      <c r="W1568" s="246">
        <f>_xlfn.XLOOKUP($F1568,'Budget Assumption Driver'!$A$33:$A$39,'Budget Assumption Driver'!I$33:I$39)</f>
        <v>0.03</v>
      </c>
      <c r="X1568" s="246">
        <f>_xlfn.XLOOKUP($F1568,'Budget Assumption Driver'!$A$33:$A$39,'Budget Assumption Driver'!J$33:J$39)</f>
        <v>0.03</v>
      </c>
      <c r="Y1568" s="246">
        <f>_xlfn.XLOOKUP($F1568,'Budget Assumption Driver'!$A$33:$A$39,'Budget Assumption Driver'!K$33:K$39)</f>
        <v>0.03</v>
      </c>
      <c r="Z1568" s="246">
        <f>_xlfn.XLOOKUP($F1568,'Budget Assumption Driver'!$A$33:$A$39,'Budget Assumption Driver'!L$33:L$39)</f>
        <v>0.03</v>
      </c>
      <c r="AA1568" s="246">
        <f>_xlfn.XLOOKUP($F1568,'Budget Assumption Driver'!$A$33:$A$39,'Budget Assumption Driver'!M$33:M$39)</f>
        <v>0.03</v>
      </c>
      <c r="AB1568" s="246">
        <f>_xlfn.XLOOKUP($F1568,'Budget Assumption Driver'!$A$33:$A$39,'Budget Assumption Driver'!N$33:N$39)</f>
        <v>0.03</v>
      </c>
      <c r="AC1568" s="246">
        <f>_xlfn.XLOOKUP($F1568,'Budget Assumption Driver'!$A$33:$A$39,'Budget Assumption Driver'!O$33:O$39)</f>
        <v>0.03</v>
      </c>
      <c r="AD1568" s="296">
        <f>_xlfn.XLOOKUP($F1568,'Budget Assumption Driver'!$A$33:$A$39,'Budget Assumption Driver'!P$33:P$39)</f>
        <v>0.03</v>
      </c>
      <c r="AE1568" s="15"/>
      <c r="AF1568" s="11"/>
      <c r="AG1568" s="97">
        <f>AG1567/AF1567-1</f>
        <v>3.0009203761476311E-2</v>
      </c>
      <c r="AH1568" s="97">
        <f>AH1567/AG1567-1</f>
        <v>2.9999999999999805E-2</v>
      </c>
    </row>
    <row r="1569" spans="2:34" ht="6" customHeight="1" x14ac:dyDescent="0.2">
      <c r="B1569" s="9">
        <f>G1534</f>
        <v>32</v>
      </c>
      <c r="C1569" s="9" t="str">
        <f t="shared" si="4516"/>
        <v xml:space="preserve">32 - </v>
      </c>
      <c r="D1569" s="9" t="s">
        <v>56</v>
      </c>
      <c r="F1569" s="16"/>
      <c r="G1569" s="80"/>
      <c r="H1569" s="63"/>
      <c r="I1569" s="63"/>
      <c r="J1569" s="63"/>
      <c r="K1569" s="63"/>
      <c r="L1569" s="63"/>
      <c r="M1569" s="63"/>
      <c r="N1569" s="63"/>
      <c r="O1569" s="63"/>
      <c r="P1569" s="63"/>
      <c r="Q1569" s="63"/>
      <c r="R1569" s="63"/>
      <c r="S1569" s="80"/>
      <c r="T1569" s="63"/>
      <c r="U1569" s="63"/>
      <c r="V1569" s="63"/>
      <c r="W1569" s="63"/>
      <c r="X1569" s="63"/>
      <c r="Y1569" s="63"/>
      <c r="Z1569" s="63"/>
      <c r="AA1569" s="63"/>
      <c r="AB1569" s="63"/>
      <c r="AC1569" s="63"/>
      <c r="AD1569" s="81"/>
      <c r="AE1569" s="15"/>
      <c r="AF1569" s="11"/>
      <c r="AG1569" s="15"/>
      <c r="AH1569" s="15"/>
    </row>
    <row r="1570" spans="2:34" x14ac:dyDescent="0.2">
      <c r="B1570" s="9">
        <f>G1534</f>
        <v>32</v>
      </c>
      <c r="C1570" s="9" t="str">
        <f t="shared" si="4516"/>
        <v>32 - Office EBITDA</v>
      </c>
      <c r="D1570" s="9" t="s">
        <v>56</v>
      </c>
      <c r="F1570" s="8" t="s">
        <v>12</v>
      </c>
      <c r="G1570" s="241">
        <f>_xlfn.XLOOKUP($C1570,'Site Level Financials - ''23 ''24'!$C$2:$C$1577,'Site Level Financials - ''23 ''24'!S$2:S$1577)</f>
        <v>182.00739060951568</v>
      </c>
      <c r="H1570" s="242">
        <f>_xlfn.XLOOKUP($C1570,'Site Level Financials - ''23 ''24'!$C$2:$C$1577,'Site Level Financials - ''23 ''24'!T$2:T$1577)</f>
        <v>172.47467072622666</v>
      </c>
      <c r="I1570" s="242">
        <f>_xlfn.XLOOKUP($C1570,'Site Level Financials - ''23 ''24'!$C$2:$C$1577,'Site Level Financials - ''23 ''24'!U$2:U$1577)</f>
        <v>84.150095009810613</v>
      </c>
      <c r="J1570" s="242">
        <f>_xlfn.XLOOKUP($C1570,'Site Level Financials - ''23 ''24'!$C$2:$C$1577,'Site Level Financials - ''23 ''24'!V$2:V$1577)</f>
        <v>83.078228848172856</v>
      </c>
      <c r="K1570" s="242">
        <f>_xlfn.XLOOKUP($C1570,'Site Level Financials - ''23 ''24'!$C$2:$C$1577,'Site Level Financials - ''23 ''24'!W$2:W$1577)</f>
        <v>7.2224056325470265</v>
      </c>
      <c r="L1570" s="242">
        <f>_xlfn.XLOOKUP($C1570,'Site Level Financials - ''23 ''24'!$C$2:$C$1577,'Site Level Financials - ''23 ''24'!X$2:X$1577)</f>
        <v>68.151818373011196</v>
      </c>
      <c r="M1570" s="242">
        <f>_xlfn.XLOOKUP($C1570,'Site Level Financials - ''23 ''24'!$C$2:$C$1577,'Site Level Financials - ''23 ''24'!Y$2:Y$1577)</f>
        <v>74.390952283791634</v>
      </c>
      <c r="N1570" s="242">
        <f>_xlfn.XLOOKUP($C1570,'Site Level Financials - ''23 ''24'!$C$2:$C$1577,'Site Level Financials - ''23 ''24'!Z$2:Z$1577)</f>
        <v>155.5544732960561</v>
      </c>
      <c r="O1570" s="242">
        <f>_xlfn.XLOOKUP($C1570,'Site Level Financials - ''23 ''24'!$C$2:$C$1577,'Site Level Financials - ''23 ''24'!AA$2:AA$1577)</f>
        <v>153.1556117758837</v>
      </c>
      <c r="P1570" s="242">
        <f>_xlfn.XLOOKUP($C1570,'Site Level Financials - ''23 ''24'!$C$2:$C$1577,'Site Level Financials - ''23 ''24'!AB$2:AB$1577)</f>
        <v>177.43589321632342</v>
      </c>
      <c r="Q1570" s="242">
        <f>_xlfn.XLOOKUP($C1570,'Site Level Financials - ''23 ''24'!$C$2:$C$1577,'Site Level Financials - ''23 ''24'!AC$2:AC$1577)</f>
        <v>205.0683344260415</v>
      </c>
      <c r="R1570" s="242">
        <f>_xlfn.XLOOKUP($C1570,'Site Level Financials - ''23 ''24'!$C$2:$C$1577,'Site Level Financials - ''23 ''24'!AD$2:AD$1577)</f>
        <v>108.79913631922382</v>
      </c>
      <c r="S1570" s="134">
        <f t="shared" ref="S1570:AD1570" si="4622">S1558+S1561+S1564+S1567</f>
        <v>197.94831283197115</v>
      </c>
      <c r="T1570" s="135">
        <f t="shared" si="4622"/>
        <v>209.14964439128116</v>
      </c>
      <c r="U1570" s="135">
        <f t="shared" si="4622"/>
        <v>136.71922614495836</v>
      </c>
      <c r="V1570" s="135">
        <f t="shared" si="4622"/>
        <v>140.30204623213157</v>
      </c>
      <c r="W1570" s="135">
        <f t="shared" si="4622"/>
        <v>49.318335775142714</v>
      </c>
      <c r="X1570" s="135">
        <f t="shared" si="4622"/>
        <v>130.35354972288826</v>
      </c>
      <c r="Y1570" s="135">
        <f t="shared" si="4622"/>
        <v>135.39893540992762</v>
      </c>
      <c r="Z1570" s="135">
        <f t="shared" si="4622"/>
        <v>188.85501309705509</v>
      </c>
      <c r="AA1570" s="135">
        <f t="shared" si="4622"/>
        <v>168.80669725293905</v>
      </c>
      <c r="AB1570" s="135">
        <f t="shared" si="4622"/>
        <v>197.21795696781817</v>
      </c>
      <c r="AC1570" s="135">
        <f t="shared" si="4622"/>
        <v>188.66055579271216</v>
      </c>
      <c r="AD1570" s="136">
        <f t="shared" si="4622"/>
        <v>112.92720189876766</v>
      </c>
      <c r="AE1570" s="15"/>
      <c r="AF1570" s="113">
        <f>_xlfn.XLOOKUP($C1570,'Site Level Financials - ''23 ''24'!$C$2:$C$1577,'Site Level Financials - ''23 ''24'!$AF$2:$AF$1577)</f>
        <v>930.25120594728332</v>
      </c>
      <c r="AG1570" s="95">
        <f>SUM(G1570:R1570)</f>
        <v>1471.4890105166044</v>
      </c>
      <c r="AH1570" s="95">
        <f t="shared" ref="AH1570" si="4623">SUM(S1570:AD1570)</f>
        <v>1855.6574755175927</v>
      </c>
    </row>
    <row r="1571" spans="2:34" x14ac:dyDescent="0.2">
      <c r="B1571" s="9">
        <f>G1534</f>
        <v>32</v>
      </c>
      <c r="C1571" s="9" t="str">
        <f t="shared" si="4516"/>
        <v>32 - % of Revenue - Office EBITDA</v>
      </c>
      <c r="D1571" s="9" t="s">
        <v>56</v>
      </c>
      <c r="F1571" s="16" t="str">
        <f>"% of Revenue - "&amp;F1570</f>
        <v>% of Revenue - Office EBITDA</v>
      </c>
      <c r="G1571" s="148">
        <f>G1570/G1546</f>
        <v>0.43455523971547833</v>
      </c>
      <c r="H1571" s="149">
        <f t="shared" ref="H1571:AD1571" si="4624">H1570/H1546</f>
        <v>0.43721468237070904</v>
      </c>
      <c r="I1571" s="149">
        <f t="shared" si="4624"/>
        <v>0.24659417325513591</v>
      </c>
      <c r="J1571" s="149">
        <f t="shared" si="4624"/>
        <v>0.23440756873911767</v>
      </c>
      <c r="K1571" s="149">
        <f t="shared" si="4624"/>
        <v>2.4801057008765427E-2</v>
      </c>
      <c r="L1571" s="149">
        <f t="shared" si="4624"/>
        <v>0.20935603641380326</v>
      </c>
      <c r="M1571" s="149">
        <f t="shared" si="4624"/>
        <v>0.21982228090583067</v>
      </c>
      <c r="N1571" s="149">
        <f t="shared" si="4624"/>
        <v>0.39701704902228907</v>
      </c>
      <c r="O1571" s="149">
        <f t="shared" si="4624"/>
        <v>0.39231046361724742</v>
      </c>
      <c r="P1571" s="149">
        <f t="shared" si="4624"/>
        <v>0.39913075617866867</v>
      </c>
      <c r="Q1571" s="149">
        <f t="shared" si="4624"/>
        <v>0.49513300409662453</v>
      </c>
      <c r="R1571" s="149">
        <f t="shared" si="4624"/>
        <v>0.35729820605933404</v>
      </c>
      <c r="S1571" s="148">
        <f t="shared" si="4624"/>
        <v>0.43762344712338624</v>
      </c>
      <c r="T1571" s="149">
        <f t="shared" si="4624"/>
        <v>0.44654444583009423</v>
      </c>
      <c r="U1571" s="149">
        <f t="shared" si="4624"/>
        <v>0.27184297071829405</v>
      </c>
      <c r="V1571" s="149">
        <f t="shared" si="4624"/>
        <v>0.26043392076258126</v>
      </c>
      <c r="W1571" s="149">
        <f t="shared" si="4624"/>
        <v>7.7026204943933418E-2</v>
      </c>
      <c r="X1571" s="149">
        <f t="shared" si="4624"/>
        <v>0.24243961511829537</v>
      </c>
      <c r="Y1571" s="149">
        <f t="shared" si="4624"/>
        <v>0.24996431359132926</v>
      </c>
      <c r="Z1571" s="149">
        <f t="shared" si="4624"/>
        <v>0.40659477514591186</v>
      </c>
      <c r="AA1571" s="149">
        <f t="shared" si="4624"/>
        <v>0.3963974024255647</v>
      </c>
      <c r="AB1571" s="149">
        <f t="shared" si="4624"/>
        <v>0.40323602776972367</v>
      </c>
      <c r="AC1571" s="149">
        <f t="shared" si="4624"/>
        <v>0.48798802062053115</v>
      </c>
      <c r="AD1571" s="150">
        <f t="shared" si="4624"/>
        <v>0.35786839792469277</v>
      </c>
      <c r="AE1571" s="15"/>
      <c r="AF1571" s="232">
        <f>_xlfn.XLOOKUP($C1571,'Site Level Financials - ''23 ''24'!$C$2:$C$1577,'Site Level Financials - ''23 ''24'!$AF$2:$AF$1577)</f>
        <v>0.26122248701900236</v>
      </c>
      <c r="AG1571" s="97">
        <f t="shared" ref="AG1571:AH1571" si="4625">AG1570/AG1546</f>
        <v>0.33370292935032769</v>
      </c>
      <c r="AH1571" s="97">
        <f t="shared" si="4625"/>
        <v>0.32196323721438647</v>
      </c>
    </row>
    <row r="1572" spans="2:34" ht="6" customHeight="1" x14ac:dyDescent="0.2">
      <c r="B1572" s="9">
        <f>G1534</f>
        <v>32</v>
      </c>
      <c r="C1572" s="9" t="str">
        <f t="shared" si="4516"/>
        <v xml:space="preserve">32 - </v>
      </c>
      <c r="D1572" s="9" t="s">
        <v>56</v>
      </c>
      <c r="G1572" s="80"/>
      <c r="H1572" s="63"/>
      <c r="I1572" s="63"/>
      <c r="J1572" s="63"/>
      <c r="K1572" s="63"/>
      <c r="L1572" s="63"/>
      <c r="M1572" s="63"/>
      <c r="N1572" s="63"/>
      <c r="O1572" s="63"/>
      <c r="P1572" s="63"/>
      <c r="Q1572" s="63"/>
      <c r="R1572" s="63"/>
      <c r="S1572" s="80"/>
      <c r="T1572" s="63"/>
      <c r="U1572" s="63"/>
      <c r="V1572" s="63"/>
      <c r="W1572" s="63"/>
      <c r="X1572" s="63"/>
      <c r="Y1572" s="63"/>
      <c r="Z1572" s="63"/>
      <c r="AA1572" s="63"/>
      <c r="AB1572" s="63"/>
      <c r="AC1572" s="63"/>
      <c r="AD1572" s="81"/>
      <c r="AE1572" s="15"/>
      <c r="AF1572" s="11"/>
      <c r="AG1572" s="15"/>
      <c r="AH1572" s="15"/>
    </row>
    <row r="1573" spans="2:34" x14ac:dyDescent="0.2">
      <c r="B1573" s="9">
        <f>G1534</f>
        <v>32</v>
      </c>
      <c r="C1573" s="9" t="str">
        <f t="shared" si="4516"/>
        <v>32 - Memo:</v>
      </c>
      <c r="D1573" s="9" t="s">
        <v>56</v>
      </c>
      <c r="F1573" s="6" t="s">
        <v>13</v>
      </c>
      <c r="G1573" s="80"/>
      <c r="H1573" s="63"/>
      <c r="I1573" s="63"/>
      <c r="J1573" s="63"/>
      <c r="K1573" s="63"/>
      <c r="L1573" s="63"/>
      <c r="M1573" s="63"/>
      <c r="N1573" s="63"/>
      <c r="O1573" s="63"/>
      <c r="P1573" s="63"/>
      <c r="Q1573" s="63"/>
      <c r="R1573" s="63"/>
      <c r="S1573" s="80"/>
      <c r="T1573" s="63"/>
      <c r="U1573" s="63"/>
      <c r="V1573" s="63"/>
      <c r="W1573" s="63"/>
      <c r="X1573" s="63"/>
      <c r="Y1573" s="63"/>
      <c r="Z1573" s="63"/>
      <c r="AA1573" s="63"/>
      <c r="AB1573" s="63"/>
      <c r="AC1573" s="63"/>
      <c r="AD1573" s="81"/>
      <c r="AE1573" s="15"/>
      <c r="AF1573" s="11"/>
      <c r="AG1573" s="15"/>
      <c r="AH1573" s="15"/>
    </row>
    <row r="1574" spans="2:34" s="24" customFormat="1" x14ac:dyDescent="0.2">
      <c r="B1574" s="9">
        <f>G1534</f>
        <v>32</v>
      </c>
      <c r="C1574" s="9" t="str">
        <f t="shared" si="4516"/>
        <v>32 - Collections</v>
      </c>
      <c r="D1574" s="9" t="s">
        <v>56</v>
      </c>
      <c r="E1574" s="49"/>
      <c r="F1574" s="24" t="s">
        <v>15</v>
      </c>
      <c r="G1574" s="247">
        <f>_xlfn.XLOOKUP($C1574,'Site Level Financials - ''23 ''24'!$C$2:$C$1577,'Site Level Financials - ''23 ''24'!S$2:S$1577)</f>
        <v>427.96874749725038</v>
      </c>
      <c r="H1574" s="248">
        <f>_xlfn.XLOOKUP($C1574,'Site Level Financials - ''23 ''24'!$C$2:$C$1577,'Site Level Financials - ''23 ''24'!T$2:T$1577)</f>
        <v>402.06514873518711</v>
      </c>
      <c r="I1574" s="248">
        <f>_xlfn.XLOOKUP($C1574,'Site Level Financials - ''23 ''24'!$C$2:$C$1577,'Site Level Financials - ''23 ''24'!U$2:U$1577)</f>
        <v>338.00177282391417</v>
      </c>
      <c r="J1574" s="248">
        <f>_xlfn.XLOOKUP($C1574,'Site Level Financials - ''23 ''24'!$C$2:$C$1577,'Site Level Financials - ''23 ''24'!V$2:V$1577)</f>
        <v>348.90152791807412</v>
      </c>
      <c r="K1574" s="248">
        <f>_xlfn.XLOOKUP($C1574,'Site Level Financials - ''23 ''24'!$C$2:$C$1577,'Site Level Financials - ''23 ''24'!W$2:W$1577)</f>
        <v>289.14476108066975</v>
      </c>
      <c r="L1574" s="248">
        <f>_xlfn.XLOOKUP($C1574,'Site Level Financials - ''23 ''24'!$C$2:$C$1577,'Site Level Financials - ''23 ''24'!X$2:X$1577)</f>
        <v>331.38158283620027</v>
      </c>
      <c r="M1574" s="248">
        <f>_xlfn.XLOOKUP($C1574,'Site Level Financials - ''23 ''24'!$C$2:$C$1577,'Site Level Financials - ''23 ''24'!Y$2:Y$1577)</f>
        <v>336.95493951814314</v>
      </c>
      <c r="N1574" s="248">
        <f>_xlfn.XLOOKUP($C1574,'Site Level Financials - ''23 ''24'!$C$2:$C$1577,'Site Level Financials - ''23 ''24'!Z$2:Z$1577)</f>
        <v>399.4035349113413</v>
      </c>
      <c r="O1574" s="248">
        <f>_xlfn.XLOOKUP($C1574,'Site Level Financials - ''23 ''24'!$C$2:$C$1577,'Site Level Financials - ''23 ''24'!AA$2:AA$1577)</f>
        <v>392.21875757082228</v>
      </c>
      <c r="P1574" s="248">
        <f>_xlfn.XLOOKUP($C1574,'Site Level Financials - ''23 ''24'!$C$2:$C$1577,'Site Level Financials - ''23 ''24'!AB$2:AB$1577)</f>
        <v>440.90582803227329</v>
      </c>
      <c r="Q1574" s="248">
        <f>_xlfn.XLOOKUP($C1574,'Site Level Financials - ''23 ''24'!$C$2:$C$1577,'Site Level Financials - ''23 ''24'!AC$2:AC$1577)</f>
        <v>420.34411890717951</v>
      </c>
      <c r="R1574" s="248">
        <f>_xlfn.XLOOKUP($C1574,'Site Level Financials - ''23 ''24'!$C$2:$C$1577,'Site Level Financials - ''23 ''24'!AD$2:AD$1577)</f>
        <v>301.14883951620266</v>
      </c>
      <c r="S1574" s="169">
        <f t="shared" ref="S1574:AD1574" si="4626">S1575*S1544</f>
        <v>452.32565607061815</v>
      </c>
      <c r="T1574" s="170">
        <f t="shared" si="4626"/>
        <v>468.37363300418372</v>
      </c>
      <c r="U1574" s="170">
        <f t="shared" si="4626"/>
        <v>502.9345646999937</v>
      </c>
      <c r="V1574" s="170">
        <f t="shared" si="4626"/>
        <v>538.72416396954213</v>
      </c>
      <c r="W1574" s="170">
        <f t="shared" si="4626"/>
        <v>640.27996460478641</v>
      </c>
      <c r="X1574" s="170">
        <f t="shared" si="4626"/>
        <v>537.67429740920795</v>
      </c>
      <c r="Y1574" s="170">
        <f t="shared" si="4626"/>
        <v>541.67306310489403</v>
      </c>
      <c r="Z1574" s="170">
        <f t="shared" si="4626"/>
        <v>464.47968503599685</v>
      </c>
      <c r="AA1574" s="170">
        <f t="shared" si="4626"/>
        <v>425.85217819291205</v>
      </c>
      <c r="AB1574" s="170">
        <f t="shared" si="4626"/>
        <v>489.0881354491558</v>
      </c>
      <c r="AC1574" s="170">
        <f t="shared" si="4626"/>
        <v>386.6089900174378</v>
      </c>
      <c r="AD1574" s="171">
        <f t="shared" si="4626"/>
        <v>315.55511063184531</v>
      </c>
      <c r="AE1574" s="26"/>
      <c r="AF1574" s="234">
        <f>_xlfn.XLOOKUP($C1574,'Site Level Financials - ''23 ''24'!$C$2:$C$1577,'Site Level Financials - ''23 ''24'!$AF$2:$AF$1577)</f>
        <v>3556.0153472403158</v>
      </c>
      <c r="AG1574" s="99">
        <f>SUM(G1574:R1574)</f>
        <v>4428.4395593472573</v>
      </c>
      <c r="AH1574" s="99">
        <f t="shared" ref="AH1574" si="4627">SUM(S1574:AD1574)</f>
        <v>5763.5694421905737</v>
      </c>
    </row>
    <row r="1575" spans="2:34" x14ac:dyDescent="0.2">
      <c r="B1575" s="9">
        <f>G1534</f>
        <v>32</v>
      </c>
      <c r="C1575" s="9" t="str">
        <f t="shared" si="4516"/>
        <v>32 - Collections as a % of Production</v>
      </c>
      <c r="D1575" s="9" t="s">
        <v>56</v>
      </c>
      <c r="F1575" s="16" t="s">
        <v>17</v>
      </c>
      <c r="G1575" s="245">
        <f>_xlfn.XLOOKUP($C1575,'Site Level Financials - ''23 ''24'!$C$2:$C$1577,'Site Level Financials - ''23 ''24'!S$2:S$1577)</f>
        <v>0.99813835483741664</v>
      </c>
      <c r="H1575" s="246">
        <f>_xlfn.XLOOKUP($C1575,'Site Level Financials - ''23 ''24'!$C$2:$C$1577,'Site Level Financials - ''23 ''24'!T$2:T$1577)</f>
        <v>0.99560842761142276</v>
      </c>
      <c r="I1575" s="246">
        <f>_xlfn.XLOOKUP($C1575,'Site Level Financials - ''23 ''24'!$C$2:$C$1577,'Site Level Financials - ''23 ''24'!U$2:U$1577)</f>
        <v>0.96754216184842567</v>
      </c>
      <c r="J1575" s="246">
        <f>_xlfn.XLOOKUP($C1575,'Site Level Financials - ''23 ''24'!$C$2:$C$1577,'Site Level Financials - ''23 ''24'!V$2:V$1577)</f>
        <v>0.96163440634092967</v>
      </c>
      <c r="K1575" s="246">
        <f>_xlfn.XLOOKUP($C1575,'Site Level Financials - ''23 ''24'!$C$2:$C$1577,'Site Level Financials - ''23 ''24'!W$2:W$1577)</f>
        <v>0.96989866921263146</v>
      </c>
      <c r="L1575" s="246">
        <f>_xlfn.XLOOKUP($C1575,'Site Level Financials - ''23 ''24'!$C$2:$C$1577,'Site Level Financials - ''23 ''24'!X$2:X$1577)</f>
        <v>0.9943954506236965</v>
      </c>
      <c r="M1575" s="246">
        <f>_xlfn.XLOOKUP($C1575,'Site Level Financials - ''23 ''24'!$C$2:$C$1577,'Site Level Financials - ''23 ''24'!Y$2:Y$1577)</f>
        <v>0.97262659361463211</v>
      </c>
      <c r="N1575" s="246">
        <f>_xlfn.XLOOKUP($C1575,'Site Level Financials - ''23 ''24'!$C$2:$C$1577,'Site Level Financials - ''23 ''24'!Z$2:Z$1577)</f>
        <v>0.99577513516305338</v>
      </c>
      <c r="O1575" s="246">
        <f>_xlfn.XLOOKUP($C1575,'Site Level Financials - ''23 ''24'!$C$2:$C$1577,'Site Level Financials - ''23 ''24'!AA$2:AA$1577)</f>
        <v>0.98140452921377619</v>
      </c>
      <c r="P1575" s="246">
        <f>_xlfn.XLOOKUP($C1575,'Site Level Financials - ''23 ''24'!$C$2:$C$1577,'Site Level Financials - ''23 ''24'!AB$2:AB$1577)</f>
        <v>0.96881817669623493</v>
      </c>
      <c r="Q1575" s="246">
        <f>_xlfn.XLOOKUP($C1575,'Site Level Financials - ''23 ''24'!$C$2:$C$1577,'Site Level Financials - ''23 ''24'!AC$2:AC$1577)</f>
        <v>0.9914046888007858</v>
      </c>
      <c r="R1575" s="246">
        <f>_xlfn.XLOOKUP($C1575,'Site Level Financials - ''23 ''24'!$C$2:$C$1577,'Site Level Financials - ''23 ''24'!AD$2:AD$1577)</f>
        <v>0.96607157257807486</v>
      </c>
      <c r="S1575" s="148">
        <f>S1545</f>
        <v>0.98101678634135814</v>
      </c>
      <c r="T1575" s="149">
        <f t="shared" ref="T1575:AD1575" si="4628">T1545</f>
        <v>0.98101678634135814</v>
      </c>
      <c r="U1575" s="149">
        <f t="shared" si="4628"/>
        <v>0.98101678634135814</v>
      </c>
      <c r="V1575" s="149">
        <f t="shared" si="4628"/>
        <v>0.98101678634135814</v>
      </c>
      <c r="W1575" s="149">
        <f t="shared" si="4628"/>
        <v>0.98101678634135814</v>
      </c>
      <c r="X1575" s="149">
        <f t="shared" si="4628"/>
        <v>0.98101678634135814</v>
      </c>
      <c r="Y1575" s="149">
        <f t="shared" si="4628"/>
        <v>0.98101678634135814</v>
      </c>
      <c r="Z1575" s="149">
        <f t="shared" si="4628"/>
        <v>0.98101678634135814</v>
      </c>
      <c r="AA1575" s="149">
        <f t="shared" si="4628"/>
        <v>0.98101678634135814</v>
      </c>
      <c r="AB1575" s="149">
        <f t="shared" si="4628"/>
        <v>0.98101678634135814</v>
      </c>
      <c r="AC1575" s="149">
        <f t="shared" si="4628"/>
        <v>0.98101678634135814</v>
      </c>
      <c r="AD1575" s="150">
        <f t="shared" si="4628"/>
        <v>0.98101678634135814</v>
      </c>
      <c r="AE1575" s="15"/>
      <c r="AF1575" s="232">
        <f>_xlfn.XLOOKUP($C1575,'Site Level Financials - ''23 ''24'!$C$2:$C$1577,'Site Level Financials - ''23 ''24'!$AF$2:$AF$1577)</f>
        <v>0.97657953323898838</v>
      </c>
      <c r="AG1575" s="97">
        <f t="shared" ref="AG1575:AH1575" si="4629">AG1574/AG1544</f>
        <v>0.98101678634135814</v>
      </c>
      <c r="AH1575" s="97">
        <f t="shared" si="4629"/>
        <v>0.98101678634135814</v>
      </c>
    </row>
    <row r="1576" spans="2:34" ht="6" customHeight="1" x14ac:dyDescent="0.2">
      <c r="B1576" s="9">
        <f>G1534</f>
        <v>32</v>
      </c>
      <c r="C1576" s="9" t="str">
        <f t="shared" si="4516"/>
        <v xml:space="preserve">32 - </v>
      </c>
      <c r="D1576" s="9" t="s">
        <v>56</v>
      </c>
      <c r="F1576" s="27"/>
      <c r="G1576" s="63"/>
      <c r="H1576" s="63"/>
      <c r="I1576" s="63"/>
      <c r="J1576" s="63"/>
      <c r="K1576" s="63"/>
      <c r="L1576" s="63"/>
      <c r="M1576" s="63"/>
      <c r="N1576" s="63"/>
      <c r="O1576" s="63"/>
      <c r="P1576" s="63"/>
      <c r="Q1576" s="63"/>
      <c r="R1576" s="81"/>
      <c r="S1576" s="63"/>
      <c r="T1576" s="63"/>
      <c r="U1576" s="63"/>
      <c r="V1576" s="63"/>
      <c r="W1576" s="63"/>
      <c r="X1576" s="63"/>
      <c r="Y1576" s="63"/>
      <c r="Z1576" s="63"/>
      <c r="AA1576" s="63"/>
      <c r="AB1576" s="63"/>
      <c r="AC1576" s="63"/>
      <c r="AD1576" s="81"/>
      <c r="AE1576" s="15"/>
      <c r="AF1576" s="11"/>
      <c r="AH1576" s="224"/>
    </row>
    <row r="1577" spans="2:34" s="24" customFormat="1" x14ac:dyDescent="0.2">
      <c r="B1577" s="9">
        <f>G1534</f>
        <v>32</v>
      </c>
      <c r="C1577" s="9" t="str">
        <f t="shared" si="4516"/>
        <v>32 - Production per Vet Workday - YoY Change</v>
      </c>
      <c r="D1577" s="9" t="s">
        <v>56</v>
      </c>
      <c r="E1577" s="49"/>
      <c r="F1577" s="24" t="s">
        <v>55</v>
      </c>
      <c r="G1577" s="249">
        <f>_xlfn.XLOOKUP($C1577,'Site Level Financials - ''23 ''24'!$C$2:$C$1577,'Site Level Financials - ''23 ''24'!S$2:S$1577)</f>
        <v>-2.0388028008668679E-2</v>
      </c>
      <c r="H1577" s="250">
        <f>_xlfn.XLOOKUP($C1577,'Site Level Financials - ''23 ''24'!$C$2:$C$1577,'Site Level Financials - ''23 ''24'!T$2:T$1577)</f>
        <v>-7.8244457233325515E-2</v>
      </c>
      <c r="I1577" s="250">
        <f>_xlfn.XLOOKUP($C1577,'Site Level Financials - ''23 ''24'!$C$2:$C$1577,'Site Level Financials - ''23 ''24'!U$2:U$1577)</f>
        <v>3.137148877904683E-2</v>
      </c>
      <c r="J1577" s="250">
        <f>_xlfn.XLOOKUP($C1577,'Site Level Financials - ''23 ''24'!$C$2:$C$1577,'Site Level Financials - ''23 ''24'!V$2:V$1577)</f>
        <v>4.824095011421492E-2</v>
      </c>
      <c r="K1577" s="250">
        <f>_xlfn.XLOOKUP($C1577,'Site Level Financials - ''23 ''24'!$C$2:$C$1577,'Site Level Financials - ''23 ''24'!W$2:W$1577)</f>
        <v>6.4678193577814458E-2</v>
      </c>
      <c r="L1577" s="250">
        <f>_xlfn.XLOOKUP($C1577,'Site Level Financials - ''23 ''24'!$C$2:$C$1577,'Site Level Financials - ''23 ''24'!X$2:X$1577)</f>
        <v>-2.1367511394138949E-2</v>
      </c>
      <c r="M1577" s="250">
        <f>_xlfn.XLOOKUP($C1577,'Site Level Financials - ''23 ''24'!$C$2:$C$1577,'Site Level Financials - ''23 ''24'!Y$2:Y$1577)</f>
        <v>1.0708989412677727E-2</v>
      </c>
      <c r="N1577" s="250">
        <f>_xlfn.XLOOKUP($C1577,'Site Level Financials - ''23 ''24'!$C$2:$C$1577,'Site Level Financials - ''23 ''24'!Z$2:Z$1577)</f>
        <v>2.7731212575752284E-3</v>
      </c>
      <c r="O1577" s="250">
        <f>_xlfn.XLOOKUP($C1577,'Site Level Financials - ''23 ''24'!$C$2:$C$1577,'Site Level Financials - ''23 ''24'!AA$2:AA$1577)</f>
        <v>5.8347752019044075E-2</v>
      </c>
      <c r="P1577" s="250">
        <f>_xlfn.XLOOKUP($C1577,'Site Level Financials - ''23 ''24'!$C$2:$C$1577,'Site Level Financials - ''23 ''24'!AB$2:AB$1577)</f>
        <v>6.3330650037940694E-2</v>
      </c>
      <c r="Q1577" s="250">
        <f>_xlfn.XLOOKUP($C1577,'Site Level Financials - ''23 ''24'!$C$2:$C$1577,'Site Level Financials - ''23 ''24'!AC$2:AC$1577)</f>
        <v>4.5145318843206494E-2</v>
      </c>
      <c r="R1577" s="251">
        <f>_xlfn.XLOOKUP($C1577,'Site Level Financials - ''23 ''24'!$C$2:$C$1577,'Site Level Financials - ''23 ''24'!AD$2:AD$1577)</f>
        <v>0.16341462495230386</v>
      </c>
      <c r="S1577" s="151">
        <f>S1543/G1543-1</f>
        <v>7.5358993552089526E-2</v>
      </c>
      <c r="T1577" s="152">
        <f t="shared" ref="T1577" si="4630">T1543/H1543-1</f>
        <v>0.18224676465044776</v>
      </c>
      <c r="U1577" s="152">
        <f t="shared" ref="U1577" si="4631">U1543/I1543-1</f>
        <v>0.10064491000359155</v>
      </c>
      <c r="V1577" s="152">
        <f t="shared" ref="V1577" si="4632">V1543/J1543-1</f>
        <v>0.13516345916346695</v>
      </c>
      <c r="W1577" s="152">
        <f t="shared" ref="W1577" si="4633">W1543/K1543-1</f>
        <v>9.4648064336822157E-2</v>
      </c>
      <c r="X1577" s="152">
        <f t="shared" ref="X1577" si="4634">X1543/L1543-1</f>
        <v>0.23348780929339785</v>
      </c>
      <c r="Y1577" s="152">
        <f t="shared" ref="Y1577" si="4635">Y1543/M1543-1</f>
        <v>0.19535355210169381</v>
      </c>
      <c r="Z1577" s="152">
        <f t="shared" ref="Z1577" si="4636">Z1543/N1543-1</f>
        <v>0.18042842425739325</v>
      </c>
      <c r="AA1577" s="152">
        <f t="shared" ref="AA1577" si="4637">AA1543/O1543-1</f>
        <v>8.6180827156566719E-2</v>
      </c>
      <c r="AB1577" s="152">
        <f t="shared" ref="AB1577" si="4638">AB1543/P1543-1</f>
        <v>9.5486746463070871E-2</v>
      </c>
      <c r="AC1577" s="152">
        <f t="shared" ref="AC1577" si="4639">AC1543/Q1543-1</f>
        <v>0.16185388893446295</v>
      </c>
      <c r="AD1577" s="153">
        <f t="shared" ref="AD1577" si="4640">AD1543/R1543-1</f>
        <v>3.1874519628317666E-2</v>
      </c>
      <c r="AF1577" s="43"/>
      <c r="AG1577" s="177">
        <f>AG1543/AF1543-1</f>
        <v>-9.1754158628332139E-4</v>
      </c>
      <c r="AH1577" s="225">
        <f>AH1543/AG1543-1</f>
        <v>0.1635997228784134</v>
      </c>
    </row>
    <row r="1578" spans="2:34" s="24" customFormat="1" ht="6" customHeight="1" x14ac:dyDescent="0.2">
      <c r="D1578" s="9" t="s">
        <v>56</v>
      </c>
      <c r="E1578" s="49"/>
      <c r="G1578" s="28"/>
      <c r="H1578" s="30"/>
      <c r="I1578" s="30"/>
      <c r="J1578" s="30"/>
      <c r="K1578" s="30"/>
      <c r="L1578" s="30"/>
      <c r="M1578" s="30"/>
      <c r="N1578" s="30"/>
      <c r="O1578" s="30"/>
      <c r="P1578" s="30"/>
      <c r="Q1578" s="30"/>
      <c r="R1578" s="29"/>
      <c r="S1578" s="30"/>
      <c r="T1578" s="30"/>
      <c r="U1578" s="30"/>
      <c r="V1578" s="30"/>
      <c r="W1578" s="30"/>
      <c r="X1578" s="30"/>
      <c r="Y1578" s="30"/>
      <c r="Z1578" s="30"/>
      <c r="AA1578" s="30"/>
      <c r="AB1578" s="30"/>
      <c r="AC1578" s="30"/>
      <c r="AD1578" s="29"/>
      <c r="AE1578" s="25"/>
      <c r="AF1578" s="28"/>
      <c r="AG1578" s="30"/>
      <c r="AH1578" s="226"/>
    </row>
    <row r="1579" spans="2:34" s="24" customFormat="1" ht="6" customHeight="1" x14ac:dyDescent="0.2">
      <c r="E1579" s="49"/>
    </row>
    <row r="1580" spans="2:34" x14ac:dyDescent="0.2">
      <c r="F1580" s="16"/>
    </row>
  </sheetData>
  <pageMargins left="0.25" right="0.25" top="0.25" bottom="0.25" header="0.3" footer="0.3"/>
  <pageSetup scale="29" fitToHeight="32" orientation="landscape" r:id="rId1"/>
  <rowBreaks count="12" manualBreakCount="12">
    <brk id="151" min="4" max="33" man="1"/>
    <brk id="201" min="4" max="34" man="1"/>
    <brk id="351" min="4" max="33" man="1"/>
    <brk id="451" min="4" max="33" man="1"/>
    <brk id="600" min="4" max="33" man="1"/>
    <brk id="747" min="4" max="33" man="1"/>
    <brk id="796" min="4" max="33" man="1"/>
    <brk id="943" min="4" max="33" man="1"/>
    <brk id="992" min="4" max="33" man="1"/>
    <brk id="1139" min="4" max="33" man="1"/>
    <brk id="1286" min="4" max="33" man="1"/>
    <brk id="1433" min="4" max="3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78D1D-E0D6-4103-9E03-4980A3FB0281}">
  <sheetPr>
    <tabColor rgb="FF598CCF"/>
    <pageSetUpPr fitToPage="1"/>
  </sheetPr>
  <dimension ref="B2:W353"/>
  <sheetViews>
    <sheetView showGridLines="0" view="pageBreakPreview" topLeftCell="A322" zoomScale="85" zoomScaleNormal="70" zoomScaleSheetLayoutView="85" workbookViewId="0">
      <selection activeCell="L37" sqref="L37"/>
    </sheetView>
  </sheetViews>
  <sheetFormatPr defaultRowHeight="12.75" x14ac:dyDescent="0.2"/>
  <cols>
    <col min="1" max="1" width="3.7109375" customWidth="1"/>
    <col min="2" max="2" width="1.7109375" customWidth="1"/>
    <col min="3" max="3" width="18.7109375" customWidth="1"/>
    <col min="4" max="4" width="29.42578125" bestFit="1" customWidth="1"/>
    <col min="5" max="5" width="8.7109375" customWidth="1"/>
    <col min="6" max="6" width="10.42578125" bestFit="1" customWidth="1"/>
    <col min="7" max="7" width="14.28515625" bestFit="1" customWidth="1"/>
    <col min="8" max="8" width="1.7109375" customWidth="1"/>
    <col min="9" max="20" width="13.140625" bestFit="1" customWidth="1"/>
    <col min="21" max="21" width="1.7109375" customWidth="1"/>
    <col min="22" max="22" width="9.7109375" bestFit="1" customWidth="1"/>
    <col min="23" max="23" width="10.7109375" bestFit="1" customWidth="1"/>
  </cols>
  <sheetData>
    <row r="2" spans="2:21" ht="13.5" thickBot="1" x14ac:dyDescent="0.25">
      <c r="B2" s="48" t="s">
        <v>0</v>
      </c>
      <c r="C2" s="1"/>
      <c r="D2" s="1"/>
      <c r="E2" s="1"/>
      <c r="F2" s="1"/>
      <c r="G2" s="1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>
        <f ca="1">TODAY()</f>
        <v>45999</v>
      </c>
      <c r="U2" s="1"/>
    </row>
    <row r="3" spans="2:21" x14ac:dyDescent="0.2">
      <c r="B3" s="47"/>
      <c r="C3" t="s">
        <v>138</v>
      </c>
      <c r="H3" s="6"/>
      <c r="T3" s="53" t="s">
        <v>228</v>
      </c>
    </row>
    <row r="4" spans="2:21" x14ac:dyDescent="0.2">
      <c r="B4" s="47"/>
      <c r="H4" s="6"/>
    </row>
    <row r="5" spans="2:21" ht="15" customHeight="1" x14ac:dyDescent="0.2">
      <c r="B5" s="47"/>
      <c r="E5" s="77" t="s">
        <v>143</v>
      </c>
      <c r="F5" s="77" t="s">
        <v>144</v>
      </c>
      <c r="G5" s="227" t="s">
        <v>154</v>
      </c>
      <c r="H5" s="52" t="s">
        <v>56</v>
      </c>
      <c r="I5" s="20">
        <v>2025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</row>
    <row r="6" spans="2:21" ht="15" x14ac:dyDescent="0.35">
      <c r="C6" s="59" t="s">
        <v>57</v>
      </c>
      <c r="D6" s="59" t="s">
        <v>58</v>
      </c>
      <c r="E6" s="59" t="s">
        <v>142</v>
      </c>
      <c r="F6" s="59" t="s">
        <v>142</v>
      </c>
      <c r="G6" s="259">
        <v>46022</v>
      </c>
      <c r="H6" s="51"/>
      <c r="I6" s="4">
        <v>45688</v>
      </c>
      <c r="J6" s="19">
        <f>EOMONTH(I6,1)</f>
        <v>45716</v>
      </c>
      <c r="K6" s="19">
        <f t="shared" ref="K6:T6" si="0">EOMONTH(J6,1)</f>
        <v>45747</v>
      </c>
      <c r="L6" s="19">
        <f t="shared" si="0"/>
        <v>45777</v>
      </c>
      <c r="M6" s="19">
        <f t="shared" si="0"/>
        <v>45808</v>
      </c>
      <c r="N6" s="19">
        <f t="shared" si="0"/>
        <v>45838</v>
      </c>
      <c r="O6" s="19">
        <f t="shared" si="0"/>
        <v>45869</v>
      </c>
      <c r="P6" s="19">
        <f t="shared" si="0"/>
        <v>45900</v>
      </c>
      <c r="Q6" s="19">
        <f t="shared" si="0"/>
        <v>45930</v>
      </c>
      <c r="R6" s="19">
        <f t="shared" si="0"/>
        <v>45961</v>
      </c>
      <c r="S6" s="19">
        <f t="shared" si="0"/>
        <v>45991</v>
      </c>
      <c r="T6" s="5">
        <f t="shared" si="0"/>
        <v>46022</v>
      </c>
    </row>
    <row r="7" spans="2:21" x14ac:dyDescent="0.2">
      <c r="C7" t="s">
        <v>137</v>
      </c>
      <c r="D7" t="s">
        <v>66</v>
      </c>
      <c r="E7" s="64">
        <f>_xlfn.XLOOKUP($C7,'Corporate Roster - ''25'!$C$9:$C$59,'Corporate Roster - ''25'!E$9:E$59,0)</f>
        <v>40848</v>
      </c>
      <c r="F7" s="64" t="str">
        <f>_xlfn.XLOOKUP($C7,'Corporate Roster - ''25'!$C$9:$C$59,'Corporate Roster - ''25'!F$9:F$59,0)</f>
        <v>-</v>
      </c>
      <c r="G7" s="260">
        <f>_xlfn.XLOOKUP($C7,'Corporate Roster - ''25'!$C$9:$C$59,'Corporate Roster - ''25'!G$9:G$59,0)</f>
        <v>385000</v>
      </c>
      <c r="I7" s="56">
        <f>IF(AND(I$6&gt;$E7,I$6&lt;$F7),$G7/12,0)</f>
        <v>32083.333333333332</v>
      </c>
      <c r="J7" s="55">
        <f t="shared" ref="J7:T22" si="1">IF(AND(J$6&gt;$E7,J$6&lt;$F7),$G7/12,0)</f>
        <v>32083.333333333332</v>
      </c>
      <c r="K7" s="55">
        <f t="shared" si="1"/>
        <v>32083.333333333332</v>
      </c>
      <c r="L7" s="55">
        <f t="shared" si="1"/>
        <v>32083.333333333332</v>
      </c>
      <c r="M7" s="55">
        <f t="shared" si="1"/>
        <v>32083.333333333332</v>
      </c>
      <c r="N7" s="55">
        <f t="shared" si="1"/>
        <v>32083.333333333332</v>
      </c>
      <c r="O7" s="55">
        <f t="shared" si="1"/>
        <v>32083.333333333332</v>
      </c>
      <c r="P7" s="55">
        <f t="shared" si="1"/>
        <v>32083.333333333332</v>
      </c>
      <c r="Q7" s="55">
        <f t="shared" si="1"/>
        <v>32083.333333333332</v>
      </c>
      <c r="R7" s="55">
        <f t="shared" si="1"/>
        <v>32083.333333333332</v>
      </c>
      <c r="S7" s="55">
        <f t="shared" si="1"/>
        <v>32083.333333333332</v>
      </c>
      <c r="T7" s="61">
        <f t="shared" si="1"/>
        <v>32083.333333333332</v>
      </c>
    </row>
    <row r="8" spans="2:21" x14ac:dyDescent="0.2">
      <c r="C8" t="s">
        <v>67</v>
      </c>
      <c r="D8" t="s">
        <v>68</v>
      </c>
      <c r="E8" s="64">
        <f>_xlfn.XLOOKUP($C8,'Corporate Roster - ''25'!$C$9:$C$59,'Corporate Roster - ''25'!E$9:E$59,0)</f>
        <v>41718</v>
      </c>
      <c r="F8" s="64" t="str">
        <f>_xlfn.XLOOKUP($C8,'Corporate Roster - ''25'!$C$9:$C$59,'Corporate Roster - ''25'!F$9:F$59,0)</f>
        <v>-</v>
      </c>
      <c r="G8" s="261">
        <f>_xlfn.XLOOKUP($C8,'Corporate Roster - ''25'!$C$9:$C$59,'Corporate Roster - ''25'!G$9:G$59,0)</f>
        <v>275000</v>
      </c>
      <c r="I8" s="32">
        <f t="shared" ref="I8:T23" si="2">IF(AND(I$6&gt;$E8,I$6&lt;$F8),$G8/12,0)</f>
        <v>22916.666666666668</v>
      </c>
      <c r="J8" s="10">
        <f t="shared" si="1"/>
        <v>22916.666666666668</v>
      </c>
      <c r="K8" s="10">
        <f t="shared" si="1"/>
        <v>22916.666666666668</v>
      </c>
      <c r="L8" s="10">
        <f t="shared" si="1"/>
        <v>22916.666666666668</v>
      </c>
      <c r="M8" s="10">
        <f t="shared" si="1"/>
        <v>22916.666666666668</v>
      </c>
      <c r="N8" s="10">
        <f t="shared" si="1"/>
        <v>22916.666666666668</v>
      </c>
      <c r="O8" s="10">
        <f t="shared" si="1"/>
        <v>22916.666666666668</v>
      </c>
      <c r="P8" s="10">
        <f t="shared" si="1"/>
        <v>22916.666666666668</v>
      </c>
      <c r="Q8" s="10">
        <f t="shared" si="1"/>
        <v>22916.666666666668</v>
      </c>
      <c r="R8" s="10">
        <f t="shared" si="1"/>
        <v>22916.666666666668</v>
      </c>
      <c r="S8" s="10">
        <f t="shared" si="1"/>
        <v>22916.666666666668</v>
      </c>
      <c r="T8" s="33">
        <f t="shared" si="1"/>
        <v>22916.666666666668</v>
      </c>
    </row>
    <row r="9" spans="2:21" x14ac:dyDescent="0.2">
      <c r="C9" t="s">
        <v>69</v>
      </c>
      <c r="D9" t="s">
        <v>70</v>
      </c>
      <c r="E9" s="64">
        <f>_xlfn.XLOOKUP($C9,'Corporate Roster - ''25'!$C$9:$C$59,'Corporate Roster - ''25'!E$9:E$59,0)</f>
        <v>39601</v>
      </c>
      <c r="F9" s="64" t="str">
        <f>_xlfn.XLOOKUP($C9,'Corporate Roster - ''25'!$C$9:$C$59,'Corporate Roster - ''25'!F$9:F$59,0)</f>
        <v>-</v>
      </c>
      <c r="G9" s="261">
        <f>_xlfn.XLOOKUP($C9,'Corporate Roster - ''25'!$C$9:$C$59,'Corporate Roster - ''25'!G$9:G$59,0)</f>
        <v>275000</v>
      </c>
      <c r="I9" s="32">
        <f t="shared" si="2"/>
        <v>22916.666666666668</v>
      </c>
      <c r="J9" s="10">
        <f t="shared" si="1"/>
        <v>22916.666666666668</v>
      </c>
      <c r="K9" s="10">
        <f t="shared" si="1"/>
        <v>22916.666666666668</v>
      </c>
      <c r="L9" s="10">
        <f t="shared" si="1"/>
        <v>22916.666666666668</v>
      </c>
      <c r="M9" s="10">
        <f t="shared" si="1"/>
        <v>22916.666666666668</v>
      </c>
      <c r="N9" s="10">
        <f t="shared" si="1"/>
        <v>22916.666666666668</v>
      </c>
      <c r="O9" s="10">
        <f t="shared" si="1"/>
        <v>22916.666666666668</v>
      </c>
      <c r="P9" s="10">
        <f t="shared" si="1"/>
        <v>22916.666666666668</v>
      </c>
      <c r="Q9" s="10">
        <f t="shared" si="1"/>
        <v>22916.666666666668</v>
      </c>
      <c r="R9" s="10">
        <f t="shared" si="1"/>
        <v>22916.666666666668</v>
      </c>
      <c r="S9" s="10">
        <f t="shared" si="1"/>
        <v>22916.666666666668</v>
      </c>
      <c r="T9" s="33">
        <f t="shared" si="1"/>
        <v>22916.666666666668</v>
      </c>
    </row>
    <row r="10" spans="2:21" x14ac:dyDescent="0.2">
      <c r="C10" t="s">
        <v>71</v>
      </c>
      <c r="D10" t="s">
        <v>72</v>
      </c>
      <c r="E10" s="64">
        <f>_xlfn.XLOOKUP($C10,'Corporate Roster - ''25'!$C$9:$C$59,'Corporate Roster - ''25'!E$9:E$59,0)</f>
        <v>44453</v>
      </c>
      <c r="F10" s="64" t="str">
        <f>_xlfn.XLOOKUP($C10,'Corporate Roster - ''25'!$C$9:$C$59,'Corporate Roster - ''25'!F$9:F$59,0)</f>
        <v>-</v>
      </c>
      <c r="G10" s="261">
        <f>_xlfn.XLOOKUP($C10,'Corporate Roster - ''25'!$C$9:$C$59,'Corporate Roster - ''25'!G$9:G$59,0)</f>
        <v>264000</v>
      </c>
      <c r="I10" s="32">
        <f t="shared" si="2"/>
        <v>22000</v>
      </c>
      <c r="J10" s="10">
        <f t="shared" si="1"/>
        <v>22000</v>
      </c>
      <c r="K10" s="10">
        <f t="shared" si="1"/>
        <v>22000</v>
      </c>
      <c r="L10" s="10">
        <f t="shared" si="1"/>
        <v>22000</v>
      </c>
      <c r="M10" s="10">
        <f t="shared" si="1"/>
        <v>22000</v>
      </c>
      <c r="N10" s="10">
        <f t="shared" si="1"/>
        <v>22000</v>
      </c>
      <c r="O10" s="10">
        <f t="shared" si="1"/>
        <v>22000</v>
      </c>
      <c r="P10" s="10">
        <f t="shared" si="1"/>
        <v>22000</v>
      </c>
      <c r="Q10" s="10">
        <f t="shared" si="1"/>
        <v>22000</v>
      </c>
      <c r="R10" s="10">
        <f t="shared" si="1"/>
        <v>22000</v>
      </c>
      <c r="S10" s="10">
        <f t="shared" si="1"/>
        <v>22000</v>
      </c>
      <c r="T10" s="33">
        <f t="shared" si="1"/>
        <v>22000</v>
      </c>
    </row>
    <row r="11" spans="2:21" x14ac:dyDescent="0.2">
      <c r="C11" t="s">
        <v>145</v>
      </c>
      <c r="D11" t="s">
        <v>74</v>
      </c>
      <c r="E11" s="64">
        <f>_xlfn.XLOOKUP($C11,'Corporate Roster - ''25'!$C$9:$C$59,'Corporate Roster - ''25'!E$9:E$59,0)</f>
        <v>39783</v>
      </c>
      <c r="F11" s="64" t="str">
        <f>_xlfn.XLOOKUP($C11,'Corporate Roster - ''25'!$C$9:$C$59,'Corporate Roster - ''25'!F$9:F$59,0)</f>
        <v>-</v>
      </c>
      <c r="G11" s="261">
        <f>_xlfn.XLOOKUP($C11,'Corporate Roster - ''25'!$C$9:$C$59,'Corporate Roster - ''25'!G$9:G$59,0)</f>
        <v>220000</v>
      </c>
      <c r="I11" s="32">
        <f t="shared" si="2"/>
        <v>18333.333333333332</v>
      </c>
      <c r="J11" s="10">
        <f t="shared" si="1"/>
        <v>18333.333333333332</v>
      </c>
      <c r="K11" s="10">
        <f t="shared" si="1"/>
        <v>18333.333333333332</v>
      </c>
      <c r="L11" s="10">
        <f t="shared" si="1"/>
        <v>18333.333333333332</v>
      </c>
      <c r="M11" s="10">
        <f t="shared" si="1"/>
        <v>18333.333333333332</v>
      </c>
      <c r="N11" s="10">
        <f t="shared" si="1"/>
        <v>18333.333333333332</v>
      </c>
      <c r="O11" s="10">
        <f t="shared" si="1"/>
        <v>18333.333333333332</v>
      </c>
      <c r="P11" s="10">
        <f t="shared" si="1"/>
        <v>18333.333333333332</v>
      </c>
      <c r="Q11" s="10">
        <f t="shared" si="1"/>
        <v>18333.333333333332</v>
      </c>
      <c r="R11" s="10">
        <f t="shared" si="1"/>
        <v>18333.333333333332</v>
      </c>
      <c r="S11" s="10">
        <f t="shared" si="1"/>
        <v>18333.333333333332</v>
      </c>
      <c r="T11" s="33">
        <f t="shared" si="1"/>
        <v>18333.333333333332</v>
      </c>
    </row>
    <row r="12" spans="2:21" x14ac:dyDescent="0.2">
      <c r="C12" t="s">
        <v>146</v>
      </c>
      <c r="D12" t="s">
        <v>76</v>
      </c>
      <c r="E12" s="64">
        <f>_xlfn.XLOOKUP($C12,'Corporate Roster - ''25'!$C$9:$C$59,'Corporate Roster - ''25'!E$9:E$59,0)</f>
        <v>42573</v>
      </c>
      <c r="F12" s="64" t="str">
        <f>_xlfn.XLOOKUP($C12,'Corporate Roster - ''25'!$C$9:$C$59,'Corporate Roster - ''25'!F$9:F$59,0)</f>
        <v>-</v>
      </c>
      <c r="G12" s="261">
        <f>_xlfn.XLOOKUP($C12,'Corporate Roster - ''25'!$C$9:$C$59,'Corporate Roster - ''25'!G$9:G$59,0)</f>
        <v>220000</v>
      </c>
      <c r="I12" s="32">
        <f t="shared" si="2"/>
        <v>18333.333333333332</v>
      </c>
      <c r="J12" s="10">
        <f t="shared" si="1"/>
        <v>18333.333333333332</v>
      </c>
      <c r="K12" s="10">
        <f t="shared" si="1"/>
        <v>18333.333333333332</v>
      </c>
      <c r="L12" s="10">
        <f t="shared" si="1"/>
        <v>18333.333333333332</v>
      </c>
      <c r="M12" s="10">
        <f t="shared" si="1"/>
        <v>18333.333333333332</v>
      </c>
      <c r="N12" s="10">
        <f t="shared" si="1"/>
        <v>18333.333333333332</v>
      </c>
      <c r="O12" s="10">
        <f t="shared" si="1"/>
        <v>18333.333333333332</v>
      </c>
      <c r="P12" s="10">
        <f t="shared" si="1"/>
        <v>18333.333333333332</v>
      </c>
      <c r="Q12" s="10">
        <f t="shared" si="1"/>
        <v>18333.333333333332</v>
      </c>
      <c r="R12" s="10">
        <f t="shared" si="1"/>
        <v>18333.333333333332</v>
      </c>
      <c r="S12" s="10">
        <f t="shared" si="1"/>
        <v>18333.333333333332</v>
      </c>
      <c r="T12" s="33">
        <f t="shared" si="1"/>
        <v>18333.333333333332</v>
      </c>
    </row>
    <row r="13" spans="2:21" x14ac:dyDescent="0.2">
      <c r="C13" t="s">
        <v>77</v>
      </c>
      <c r="D13" t="s">
        <v>78</v>
      </c>
      <c r="E13" s="64">
        <f>_xlfn.XLOOKUP($C13,'Corporate Roster - ''25'!$C$9:$C$59,'Corporate Roster - ''25'!E$9:E$59,0)</f>
        <v>38481</v>
      </c>
      <c r="F13" s="64" t="str">
        <f>_xlfn.XLOOKUP($C13,'Corporate Roster - ''25'!$C$9:$C$59,'Corporate Roster - ''25'!F$9:F$59,0)</f>
        <v>-</v>
      </c>
      <c r="G13" s="261">
        <f>_xlfn.XLOOKUP($C13,'Corporate Roster - ''25'!$C$9:$C$59,'Corporate Roster - ''25'!G$9:G$59,0)</f>
        <v>198000</v>
      </c>
      <c r="I13" s="32">
        <f t="shared" si="2"/>
        <v>16500</v>
      </c>
      <c r="J13" s="10">
        <f t="shared" si="1"/>
        <v>16500</v>
      </c>
      <c r="K13" s="10">
        <f t="shared" si="1"/>
        <v>16500</v>
      </c>
      <c r="L13" s="10">
        <f t="shared" si="1"/>
        <v>16500</v>
      </c>
      <c r="M13" s="10">
        <f t="shared" si="1"/>
        <v>16500</v>
      </c>
      <c r="N13" s="10">
        <f t="shared" si="1"/>
        <v>16500</v>
      </c>
      <c r="O13" s="10">
        <f t="shared" si="1"/>
        <v>16500</v>
      </c>
      <c r="P13" s="10">
        <f t="shared" si="1"/>
        <v>16500</v>
      </c>
      <c r="Q13" s="10">
        <f t="shared" si="1"/>
        <v>16500</v>
      </c>
      <c r="R13" s="10">
        <f t="shared" si="1"/>
        <v>16500</v>
      </c>
      <c r="S13" s="10">
        <f t="shared" si="1"/>
        <v>16500</v>
      </c>
      <c r="T13" s="33">
        <f t="shared" si="1"/>
        <v>16500</v>
      </c>
    </row>
    <row r="14" spans="2:21" x14ac:dyDescent="0.2">
      <c r="C14" t="s">
        <v>79</v>
      </c>
      <c r="D14" t="s">
        <v>80</v>
      </c>
      <c r="E14" s="64">
        <f>_xlfn.XLOOKUP($C14,'Corporate Roster - ''25'!$C$9:$C$59,'Corporate Roster - ''25'!E$9:E$59,0)</f>
        <v>38427</v>
      </c>
      <c r="F14" s="64" t="str">
        <f>_xlfn.XLOOKUP($C14,'Corporate Roster - ''25'!$C$9:$C$59,'Corporate Roster - ''25'!F$9:F$59,0)</f>
        <v>-</v>
      </c>
      <c r="G14" s="261">
        <f>_xlfn.XLOOKUP($C14,'Corporate Roster - ''25'!$C$9:$C$59,'Corporate Roster - ''25'!G$9:G$59,0)</f>
        <v>176000</v>
      </c>
      <c r="I14" s="32">
        <f t="shared" si="2"/>
        <v>14666.666666666666</v>
      </c>
      <c r="J14" s="10">
        <f t="shared" si="1"/>
        <v>14666.666666666666</v>
      </c>
      <c r="K14" s="10">
        <f t="shared" si="1"/>
        <v>14666.666666666666</v>
      </c>
      <c r="L14" s="10">
        <f t="shared" si="1"/>
        <v>14666.666666666666</v>
      </c>
      <c r="M14" s="10">
        <f t="shared" si="1"/>
        <v>14666.666666666666</v>
      </c>
      <c r="N14" s="10">
        <f t="shared" si="1"/>
        <v>14666.666666666666</v>
      </c>
      <c r="O14" s="10">
        <f t="shared" si="1"/>
        <v>14666.666666666666</v>
      </c>
      <c r="P14" s="10">
        <f t="shared" si="1"/>
        <v>14666.666666666666</v>
      </c>
      <c r="Q14" s="10">
        <f t="shared" si="1"/>
        <v>14666.666666666666</v>
      </c>
      <c r="R14" s="10">
        <f t="shared" si="1"/>
        <v>14666.666666666666</v>
      </c>
      <c r="S14" s="10">
        <f t="shared" si="1"/>
        <v>14666.666666666666</v>
      </c>
      <c r="T14" s="33">
        <f t="shared" si="1"/>
        <v>14666.666666666666</v>
      </c>
    </row>
    <row r="15" spans="2:21" x14ac:dyDescent="0.2">
      <c r="C15" t="s">
        <v>147</v>
      </c>
      <c r="D15" t="s">
        <v>82</v>
      </c>
      <c r="E15" s="64">
        <f>_xlfn.XLOOKUP($C15,'Corporate Roster - ''25'!$C$9:$C$59,'Corporate Roster - ''25'!E$9:E$59,0)</f>
        <v>42696</v>
      </c>
      <c r="F15" s="64" t="str">
        <f>_xlfn.XLOOKUP($C15,'Corporate Roster - ''25'!$C$9:$C$59,'Corporate Roster - ''25'!F$9:F$59,0)</f>
        <v>-</v>
      </c>
      <c r="G15" s="261">
        <f>_xlfn.XLOOKUP($C15,'Corporate Roster - ''25'!$C$9:$C$59,'Corporate Roster - ''25'!G$9:G$59,0)</f>
        <v>176000</v>
      </c>
      <c r="I15" s="32">
        <f t="shared" si="2"/>
        <v>14666.666666666666</v>
      </c>
      <c r="J15" s="10">
        <f t="shared" si="1"/>
        <v>14666.666666666666</v>
      </c>
      <c r="K15" s="10">
        <f t="shared" si="1"/>
        <v>14666.666666666666</v>
      </c>
      <c r="L15" s="10">
        <f t="shared" si="1"/>
        <v>14666.666666666666</v>
      </c>
      <c r="M15" s="10">
        <f t="shared" si="1"/>
        <v>14666.666666666666</v>
      </c>
      <c r="N15" s="10">
        <f t="shared" si="1"/>
        <v>14666.666666666666</v>
      </c>
      <c r="O15" s="10">
        <f t="shared" si="1"/>
        <v>14666.666666666666</v>
      </c>
      <c r="P15" s="10">
        <f t="shared" si="1"/>
        <v>14666.666666666666</v>
      </c>
      <c r="Q15" s="10">
        <f t="shared" si="1"/>
        <v>14666.666666666666</v>
      </c>
      <c r="R15" s="10">
        <f t="shared" si="1"/>
        <v>14666.666666666666</v>
      </c>
      <c r="S15" s="10">
        <f t="shared" si="1"/>
        <v>14666.666666666666</v>
      </c>
      <c r="T15" s="33">
        <f t="shared" si="1"/>
        <v>14666.666666666666</v>
      </c>
    </row>
    <row r="16" spans="2:21" x14ac:dyDescent="0.2">
      <c r="C16" t="s">
        <v>83</v>
      </c>
      <c r="D16" t="s">
        <v>84</v>
      </c>
      <c r="E16" s="64">
        <f>_xlfn.XLOOKUP($C16,'Corporate Roster - ''25'!$C$9:$C$59,'Corporate Roster - ''25'!E$9:E$59,0)</f>
        <v>45248</v>
      </c>
      <c r="F16" s="64" t="str">
        <f>_xlfn.XLOOKUP($C16,'Corporate Roster - ''25'!$C$9:$C$59,'Corporate Roster - ''25'!F$9:F$59,0)</f>
        <v>-</v>
      </c>
      <c r="G16" s="261">
        <f>_xlfn.XLOOKUP($C16,'Corporate Roster - ''25'!$C$9:$C$59,'Corporate Roster - ''25'!G$9:G$59,0)</f>
        <v>165000</v>
      </c>
      <c r="I16" s="32">
        <f>IF(AND(I$6&gt;$E16,I$6&lt;$F16),$G16/12,0)</f>
        <v>13750</v>
      </c>
      <c r="J16" s="10">
        <f t="shared" si="1"/>
        <v>13750</v>
      </c>
      <c r="K16" s="10">
        <f t="shared" si="1"/>
        <v>13750</v>
      </c>
      <c r="L16" s="10">
        <f t="shared" si="1"/>
        <v>13750</v>
      </c>
      <c r="M16" s="10">
        <f t="shared" si="1"/>
        <v>13750</v>
      </c>
      <c r="N16" s="10">
        <f t="shared" si="1"/>
        <v>13750</v>
      </c>
      <c r="O16" s="10">
        <f t="shared" si="1"/>
        <v>13750</v>
      </c>
      <c r="P16" s="10">
        <f t="shared" si="1"/>
        <v>13750</v>
      </c>
      <c r="Q16" s="10">
        <f t="shared" si="1"/>
        <v>13750</v>
      </c>
      <c r="R16" s="10">
        <f t="shared" si="1"/>
        <v>13750</v>
      </c>
      <c r="S16" s="10">
        <f t="shared" si="1"/>
        <v>13750</v>
      </c>
      <c r="T16" s="33">
        <f t="shared" si="1"/>
        <v>13750</v>
      </c>
    </row>
    <row r="17" spans="3:20" x14ac:dyDescent="0.2">
      <c r="C17" t="s">
        <v>85</v>
      </c>
      <c r="D17" t="s">
        <v>86</v>
      </c>
      <c r="E17" s="64">
        <f>_xlfn.XLOOKUP($C17,'Corporate Roster - ''25'!$C$9:$C$59,'Corporate Roster - ''25'!E$9:E$59,0)</f>
        <v>42458</v>
      </c>
      <c r="F17" s="64" t="str">
        <f>_xlfn.XLOOKUP($C17,'Corporate Roster - ''25'!$C$9:$C$59,'Corporate Roster - ''25'!F$9:F$59,0)</f>
        <v>-</v>
      </c>
      <c r="G17" s="261">
        <f>_xlfn.XLOOKUP($C17,'Corporate Roster - ''25'!$C$9:$C$59,'Corporate Roster - ''25'!G$9:G$59,0)</f>
        <v>132000</v>
      </c>
      <c r="I17" s="32">
        <f t="shared" si="2"/>
        <v>11000</v>
      </c>
      <c r="J17" s="10">
        <f t="shared" si="1"/>
        <v>11000</v>
      </c>
      <c r="K17" s="10">
        <f t="shared" si="1"/>
        <v>11000</v>
      </c>
      <c r="L17" s="10">
        <f t="shared" si="1"/>
        <v>11000</v>
      </c>
      <c r="M17" s="10">
        <f t="shared" si="1"/>
        <v>11000</v>
      </c>
      <c r="N17" s="10">
        <f t="shared" si="1"/>
        <v>11000</v>
      </c>
      <c r="O17" s="10">
        <f t="shared" si="1"/>
        <v>11000</v>
      </c>
      <c r="P17" s="10">
        <f t="shared" si="1"/>
        <v>11000</v>
      </c>
      <c r="Q17" s="10">
        <f t="shared" si="1"/>
        <v>11000</v>
      </c>
      <c r="R17" s="10">
        <f t="shared" si="1"/>
        <v>11000</v>
      </c>
      <c r="S17" s="10">
        <f t="shared" si="1"/>
        <v>11000</v>
      </c>
      <c r="T17" s="33">
        <f t="shared" si="1"/>
        <v>11000</v>
      </c>
    </row>
    <row r="18" spans="3:20" x14ac:dyDescent="0.2">
      <c r="C18" t="s">
        <v>87</v>
      </c>
      <c r="D18" t="s">
        <v>88</v>
      </c>
      <c r="E18" s="64">
        <f>_xlfn.XLOOKUP($C18,'Corporate Roster - ''25'!$C$9:$C$59,'Corporate Roster - ''25'!E$9:E$59,0)</f>
        <v>41921</v>
      </c>
      <c r="F18" s="64" t="str">
        <f>_xlfn.XLOOKUP($C18,'Corporate Roster - ''25'!$C$9:$C$59,'Corporate Roster - ''25'!F$9:F$59,0)</f>
        <v>-</v>
      </c>
      <c r="G18" s="261">
        <f>_xlfn.XLOOKUP($C18,'Corporate Roster - ''25'!$C$9:$C$59,'Corporate Roster - ''25'!G$9:G$59,0)</f>
        <v>143000</v>
      </c>
      <c r="I18" s="32">
        <f t="shared" si="2"/>
        <v>11916.666666666666</v>
      </c>
      <c r="J18" s="10">
        <f t="shared" si="1"/>
        <v>11916.666666666666</v>
      </c>
      <c r="K18" s="10">
        <f t="shared" si="1"/>
        <v>11916.666666666666</v>
      </c>
      <c r="L18" s="10">
        <f t="shared" si="1"/>
        <v>11916.666666666666</v>
      </c>
      <c r="M18" s="10">
        <f t="shared" si="1"/>
        <v>11916.666666666666</v>
      </c>
      <c r="N18" s="10">
        <f t="shared" si="1"/>
        <v>11916.666666666666</v>
      </c>
      <c r="O18" s="10">
        <f t="shared" si="1"/>
        <v>11916.666666666666</v>
      </c>
      <c r="P18" s="10">
        <f t="shared" si="1"/>
        <v>11916.666666666666</v>
      </c>
      <c r="Q18" s="10">
        <f t="shared" si="1"/>
        <v>11916.666666666666</v>
      </c>
      <c r="R18" s="10">
        <f t="shared" si="1"/>
        <v>11916.666666666666</v>
      </c>
      <c r="S18" s="10">
        <f t="shared" si="1"/>
        <v>11916.666666666666</v>
      </c>
      <c r="T18" s="33">
        <f t="shared" si="1"/>
        <v>11916.666666666666</v>
      </c>
    </row>
    <row r="19" spans="3:20" x14ac:dyDescent="0.2">
      <c r="C19" t="s">
        <v>89</v>
      </c>
      <c r="D19" t="s">
        <v>90</v>
      </c>
      <c r="E19" s="64">
        <f>_xlfn.XLOOKUP($C19,'Corporate Roster - ''25'!$C$9:$C$59,'Corporate Roster - ''25'!E$9:E$59,0)</f>
        <v>40143</v>
      </c>
      <c r="F19" s="64" t="str">
        <f>_xlfn.XLOOKUP($C19,'Corporate Roster - ''25'!$C$9:$C$59,'Corporate Roster - ''25'!F$9:F$59,0)</f>
        <v>-</v>
      </c>
      <c r="G19" s="261">
        <f>_xlfn.XLOOKUP($C19,'Corporate Roster - ''25'!$C$9:$C$59,'Corporate Roster - ''25'!G$9:G$59,0)</f>
        <v>143000</v>
      </c>
      <c r="I19" s="32">
        <f t="shared" si="2"/>
        <v>11916.666666666666</v>
      </c>
      <c r="J19" s="10">
        <f t="shared" si="1"/>
        <v>11916.666666666666</v>
      </c>
      <c r="K19" s="10">
        <f t="shared" si="1"/>
        <v>11916.666666666666</v>
      </c>
      <c r="L19" s="10">
        <f t="shared" si="1"/>
        <v>11916.666666666666</v>
      </c>
      <c r="M19" s="10">
        <f t="shared" si="1"/>
        <v>11916.666666666666</v>
      </c>
      <c r="N19" s="10">
        <f t="shared" si="1"/>
        <v>11916.666666666666</v>
      </c>
      <c r="O19" s="10">
        <f t="shared" si="1"/>
        <v>11916.666666666666</v>
      </c>
      <c r="P19" s="10">
        <f t="shared" si="1"/>
        <v>11916.666666666666</v>
      </c>
      <c r="Q19" s="10">
        <f t="shared" si="1"/>
        <v>11916.666666666666</v>
      </c>
      <c r="R19" s="10">
        <f t="shared" si="1"/>
        <v>11916.666666666666</v>
      </c>
      <c r="S19" s="10">
        <f t="shared" si="1"/>
        <v>11916.666666666666</v>
      </c>
      <c r="T19" s="33">
        <f t="shared" si="1"/>
        <v>11916.666666666666</v>
      </c>
    </row>
    <row r="20" spans="3:20" x14ac:dyDescent="0.2">
      <c r="C20" t="s">
        <v>81</v>
      </c>
      <c r="D20" t="s">
        <v>91</v>
      </c>
      <c r="E20" s="64">
        <f>_xlfn.XLOOKUP($C20,'Corporate Roster - ''25'!$C$9:$C$59,'Corporate Roster - ''25'!E$9:E$59,0)</f>
        <v>40811</v>
      </c>
      <c r="F20" s="64" t="str">
        <f>_xlfn.XLOOKUP($C20,'Corporate Roster - ''25'!$C$9:$C$59,'Corporate Roster - ''25'!F$9:F$59,0)</f>
        <v>-</v>
      </c>
      <c r="G20" s="261">
        <f>_xlfn.XLOOKUP($C20,'Corporate Roster - ''25'!$C$9:$C$59,'Corporate Roster - ''25'!G$9:G$59,0)</f>
        <v>121000</v>
      </c>
      <c r="I20" s="32">
        <f t="shared" si="2"/>
        <v>10083.333333333334</v>
      </c>
      <c r="J20" s="10">
        <f t="shared" si="1"/>
        <v>10083.333333333334</v>
      </c>
      <c r="K20" s="10">
        <f t="shared" si="1"/>
        <v>10083.333333333334</v>
      </c>
      <c r="L20" s="10">
        <f t="shared" si="1"/>
        <v>10083.333333333334</v>
      </c>
      <c r="M20" s="10">
        <f t="shared" si="1"/>
        <v>10083.333333333334</v>
      </c>
      <c r="N20" s="10">
        <f t="shared" si="1"/>
        <v>10083.333333333334</v>
      </c>
      <c r="O20" s="10">
        <f t="shared" si="1"/>
        <v>10083.333333333334</v>
      </c>
      <c r="P20" s="10">
        <f t="shared" si="1"/>
        <v>10083.333333333334</v>
      </c>
      <c r="Q20" s="10">
        <f t="shared" si="1"/>
        <v>10083.333333333334</v>
      </c>
      <c r="R20" s="10">
        <f t="shared" si="1"/>
        <v>10083.333333333334</v>
      </c>
      <c r="S20" s="10">
        <f t="shared" si="1"/>
        <v>10083.333333333334</v>
      </c>
      <c r="T20" s="33">
        <f t="shared" si="1"/>
        <v>10083.333333333334</v>
      </c>
    </row>
    <row r="21" spans="3:20" x14ac:dyDescent="0.2">
      <c r="C21" t="s">
        <v>92</v>
      </c>
      <c r="D21" t="s">
        <v>93</v>
      </c>
      <c r="E21" s="64">
        <f>_xlfn.XLOOKUP($C21,'Corporate Roster - ''25'!$C$9:$C$59,'Corporate Roster - ''25'!E$9:E$59,0)</f>
        <v>43400</v>
      </c>
      <c r="F21" s="64" t="str">
        <f>_xlfn.XLOOKUP($C21,'Corporate Roster - ''25'!$C$9:$C$59,'Corporate Roster - ''25'!F$9:F$59,0)</f>
        <v>-</v>
      </c>
      <c r="G21" s="261">
        <f>_xlfn.XLOOKUP($C21,'Corporate Roster - ''25'!$C$9:$C$59,'Corporate Roster - ''25'!G$9:G$59,0)</f>
        <v>132000</v>
      </c>
      <c r="I21" s="32">
        <f t="shared" si="2"/>
        <v>11000</v>
      </c>
      <c r="J21" s="10">
        <f t="shared" si="1"/>
        <v>11000</v>
      </c>
      <c r="K21" s="10">
        <f t="shared" si="1"/>
        <v>11000</v>
      </c>
      <c r="L21" s="10">
        <f t="shared" si="1"/>
        <v>11000</v>
      </c>
      <c r="M21" s="10">
        <f t="shared" si="1"/>
        <v>11000</v>
      </c>
      <c r="N21" s="10">
        <f t="shared" si="1"/>
        <v>11000</v>
      </c>
      <c r="O21" s="10">
        <f t="shared" si="1"/>
        <v>11000</v>
      </c>
      <c r="P21" s="10">
        <f t="shared" si="1"/>
        <v>11000</v>
      </c>
      <c r="Q21" s="10">
        <f t="shared" si="1"/>
        <v>11000</v>
      </c>
      <c r="R21" s="10">
        <f t="shared" si="1"/>
        <v>11000</v>
      </c>
      <c r="S21" s="10">
        <f t="shared" si="1"/>
        <v>11000</v>
      </c>
      <c r="T21" s="33">
        <f t="shared" si="1"/>
        <v>11000</v>
      </c>
    </row>
    <row r="22" spans="3:20" x14ac:dyDescent="0.2">
      <c r="C22" t="s">
        <v>94</v>
      </c>
      <c r="D22" t="s">
        <v>95</v>
      </c>
      <c r="E22" s="64">
        <f>_xlfn.XLOOKUP($C22,'Corporate Roster - ''25'!$C$9:$C$59,'Corporate Roster - ''25'!E$9:E$59,0)</f>
        <v>40031</v>
      </c>
      <c r="F22" s="64" t="str">
        <f>_xlfn.XLOOKUP($C22,'Corporate Roster - ''25'!$C$9:$C$59,'Corporate Roster - ''25'!F$9:F$59,0)</f>
        <v>-</v>
      </c>
      <c r="G22" s="261">
        <f>_xlfn.XLOOKUP($C22,'Corporate Roster - ''25'!$C$9:$C$59,'Corporate Roster - ''25'!G$9:G$59,0)</f>
        <v>154000</v>
      </c>
      <c r="I22" s="32">
        <f t="shared" si="2"/>
        <v>12833.333333333334</v>
      </c>
      <c r="J22" s="10">
        <f t="shared" si="1"/>
        <v>12833.333333333334</v>
      </c>
      <c r="K22" s="10">
        <f t="shared" si="1"/>
        <v>12833.333333333334</v>
      </c>
      <c r="L22" s="10">
        <f t="shared" si="1"/>
        <v>12833.333333333334</v>
      </c>
      <c r="M22" s="10">
        <f t="shared" si="1"/>
        <v>12833.333333333334</v>
      </c>
      <c r="N22" s="10">
        <f t="shared" si="1"/>
        <v>12833.333333333334</v>
      </c>
      <c r="O22" s="10">
        <f t="shared" si="1"/>
        <v>12833.333333333334</v>
      </c>
      <c r="P22" s="10">
        <f t="shared" si="1"/>
        <v>12833.333333333334</v>
      </c>
      <c r="Q22" s="10">
        <f t="shared" si="1"/>
        <v>12833.333333333334</v>
      </c>
      <c r="R22" s="10">
        <f t="shared" si="1"/>
        <v>12833.333333333334</v>
      </c>
      <c r="S22" s="10">
        <f t="shared" si="1"/>
        <v>12833.333333333334</v>
      </c>
      <c r="T22" s="33">
        <f t="shared" si="1"/>
        <v>12833.333333333334</v>
      </c>
    </row>
    <row r="23" spans="3:20" x14ac:dyDescent="0.2">
      <c r="C23" t="s">
        <v>96</v>
      </c>
      <c r="D23" t="s">
        <v>97</v>
      </c>
      <c r="E23" s="64">
        <f>_xlfn.XLOOKUP($C23,'Corporate Roster - ''25'!$C$9:$C$59,'Corporate Roster - ''25'!E$9:E$59,0)</f>
        <v>44978</v>
      </c>
      <c r="F23" s="64" t="str">
        <f>_xlfn.XLOOKUP($C23,'Corporate Roster - ''25'!$C$9:$C$59,'Corporate Roster - ''25'!F$9:F$59,0)</f>
        <v>-</v>
      </c>
      <c r="G23" s="261">
        <f>_xlfn.XLOOKUP($C23,'Corporate Roster - ''25'!$C$9:$C$59,'Corporate Roster - ''25'!G$9:G$59,0)</f>
        <v>110000</v>
      </c>
      <c r="I23" s="32">
        <f t="shared" si="2"/>
        <v>9166.6666666666661</v>
      </c>
      <c r="J23" s="10">
        <f t="shared" si="2"/>
        <v>9166.6666666666661</v>
      </c>
      <c r="K23" s="10">
        <f t="shared" si="2"/>
        <v>9166.6666666666661</v>
      </c>
      <c r="L23" s="10">
        <f t="shared" si="2"/>
        <v>9166.6666666666661</v>
      </c>
      <c r="M23" s="10">
        <f t="shared" si="2"/>
        <v>9166.6666666666661</v>
      </c>
      <c r="N23" s="10">
        <f t="shared" si="2"/>
        <v>9166.6666666666661</v>
      </c>
      <c r="O23" s="10">
        <f t="shared" si="2"/>
        <v>9166.6666666666661</v>
      </c>
      <c r="P23" s="10">
        <f t="shared" si="2"/>
        <v>9166.6666666666661</v>
      </c>
      <c r="Q23" s="10">
        <f t="shared" si="2"/>
        <v>9166.6666666666661</v>
      </c>
      <c r="R23" s="10">
        <f t="shared" si="2"/>
        <v>9166.6666666666661</v>
      </c>
      <c r="S23" s="10">
        <f t="shared" si="2"/>
        <v>9166.6666666666661</v>
      </c>
      <c r="T23" s="33">
        <f t="shared" si="2"/>
        <v>9166.6666666666661</v>
      </c>
    </row>
    <row r="24" spans="3:20" x14ac:dyDescent="0.2">
      <c r="C24" t="s">
        <v>98</v>
      </c>
      <c r="D24" t="s">
        <v>99</v>
      </c>
      <c r="E24" s="64">
        <f>_xlfn.XLOOKUP($C24,'Corporate Roster - ''25'!$C$9:$C$59,'Corporate Roster - ''25'!E$9:E$59,0)</f>
        <v>41398</v>
      </c>
      <c r="F24" s="64" t="str">
        <f>_xlfn.XLOOKUP($C24,'Corporate Roster - ''25'!$C$9:$C$59,'Corporate Roster - ''25'!F$9:F$59,0)</f>
        <v>-</v>
      </c>
      <c r="G24" s="261">
        <f>_xlfn.XLOOKUP($C24,'Corporate Roster - ''25'!$C$9:$C$59,'Corporate Roster - ''25'!G$9:G$59,0)</f>
        <v>88000</v>
      </c>
      <c r="I24" s="32">
        <f t="shared" ref="I24:T39" si="3">IF(AND(I$6&gt;$E24,I$6&lt;$F24),$G24/12,0)</f>
        <v>7333.333333333333</v>
      </c>
      <c r="J24" s="10">
        <f t="shared" si="3"/>
        <v>7333.333333333333</v>
      </c>
      <c r="K24" s="10">
        <f t="shared" si="3"/>
        <v>7333.333333333333</v>
      </c>
      <c r="L24" s="10">
        <f t="shared" si="3"/>
        <v>7333.333333333333</v>
      </c>
      <c r="M24" s="10">
        <f t="shared" si="3"/>
        <v>7333.333333333333</v>
      </c>
      <c r="N24" s="10">
        <f t="shared" si="3"/>
        <v>7333.333333333333</v>
      </c>
      <c r="O24" s="10">
        <f t="shared" si="3"/>
        <v>7333.333333333333</v>
      </c>
      <c r="P24" s="10">
        <f t="shared" si="3"/>
        <v>7333.333333333333</v>
      </c>
      <c r="Q24" s="10">
        <f t="shared" si="3"/>
        <v>7333.333333333333</v>
      </c>
      <c r="R24" s="10">
        <f t="shared" si="3"/>
        <v>7333.333333333333</v>
      </c>
      <c r="S24" s="10">
        <f t="shared" si="3"/>
        <v>7333.333333333333</v>
      </c>
      <c r="T24" s="33">
        <f t="shared" si="3"/>
        <v>7333.333333333333</v>
      </c>
    </row>
    <row r="25" spans="3:20" x14ac:dyDescent="0.2">
      <c r="C25" t="s">
        <v>100</v>
      </c>
      <c r="D25" t="s">
        <v>101</v>
      </c>
      <c r="E25" s="64">
        <f>_xlfn.XLOOKUP($C25,'Corporate Roster - ''25'!$C$9:$C$59,'Corporate Roster - ''25'!E$9:E$59,0)</f>
        <v>40362</v>
      </c>
      <c r="F25" s="64" t="str">
        <f>_xlfn.XLOOKUP($C25,'Corporate Roster - ''25'!$C$9:$C$59,'Corporate Roster - ''25'!F$9:F$59,0)</f>
        <v>-</v>
      </c>
      <c r="G25" s="261">
        <f>_xlfn.XLOOKUP($C25,'Corporate Roster - ''25'!$C$9:$C$59,'Corporate Roster - ''25'!G$9:G$59,0)</f>
        <v>83000</v>
      </c>
      <c r="I25" s="32">
        <f t="shared" si="3"/>
        <v>6916.666666666667</v>
      </c>
      <c r="J25" s="10">
        <f t="shared" si="3"/>
        <v>6916.666666666667</v>
      </c>
      <c r="K25" s="10">
        <f t="shared" si="3"/>
        <v>6916.666666666667</v>
      </c>
      <c r="L25" s="10">
        <f t="shared" si="3"/>
        <v>6916.666666666667</v>
      </c>
      <c r="M25" s="10">
        <f t="shared" si="3"/>
        <v>6916.666666666667</v>
      </c>
      <c r="N25" s="10">
        <f t="shared" si="3"/>
        <v>6916.666666666667</v>
      </c>
      <c r="O25" s="10">
        <f t="shared" si="3"/>
        <v>6916.666666666667</v>
      </c>
      <c r="P25" s="10">
        <f t="shared" si="3"/>
        <v>6916.666666666667</v>
      </c>
      <c r="Q25" s="10">
        <f t="shared" si="3"/>
        <v>6916.666666666667</v>
      </c>
      <c r="R25" s="10">
        <f t="shared" si="3"/>
        <v>6916.666666666667</v>
      </c>
      <c r="S25" s="10">
        <f t="shared" si="3"/>
        <v>6916.666666666667</v>
      </c>
      <c r="T25" s="33">
        <f t="shared" si="3"/>
        <v>6916.666666666667</v>
      </c>
    </row>
    <row r="26" spans="3:20" x14ac:dyDescent="0.2">
      <c r="C26" t="s">
        <v>102</v>
      </c>
      <c r="D26" t="s">
        <v>103</v>
      </c>
      <c r="E26" s="64">
        <f>_xlfn.XLOOKUP($C26,'Corporate Roster - ''25'!$C$9:$C$59,'Corporate Roster - ''25'!E$9:E$59,0)</f>
        <v>45063</v>
      </c>
      <c r="F26" s="64" t="str">
        <f>_xlfn.XLOOKUP($C26,'Corporate Roster - ''25'!$C$9:$C$59,'Corporate Roster - ''25'!F$9:F$59,0)</f>
        <v>-</v>
      </c>
      <c r="G26" s="261">
        <f>_xlfn.XLOOKUP($C26,'Corporate Roster - ''25'!$C$9:$C$59,'Corporate Roster - ''25'!G$9:G$59,0)</f>
        <v>94000</v>
      </c>
      <c r="I26" s="32">
        <f t="shared" si="3"/>
        <v>7833.333333333333</v>
      </c>
      <c r="J26" s="10">
        <f t="shared" si="3"/>
        <v>7833.333333333333</v>
      </c>
      <c r="K26" s="10">
        <f t="shared" si="3"/>
        <v>7833.333333333333</v>
      </c>
      <c r="L26" s="10">
        <f t="shared" si="3"/>
        <v>7833.333333333333</v>
      </c>
      <c r="M26" s="10">
        <f t="shared" si="3"/>
        <v>7833.333333333333</v>
      </c>
      <c r="N26" s="10">
        <f t="shared" si="3"/>
        <v>7833.333333333333</v>
      </c>
      <c r="O26" s="10">
        <f t="shared" si="3"/>
        <v>7833.333333333333</v>
      </c>
      <c r="P26" s="10">
        <f t="shared" si="3"/>
        <v>7833.333333333333</v>
      </c>
      <c r="Q26" s="10">
        <f t="shared" si="3"/>
        <v>7833.333333333333</v>
      </c>
      <c r="R26" s="10">
        <f t="shared" si="3"/>
        <v>7833.333333333333</v>
      </c>
      <c r="S26" s="10">
        <f t="shared" si="3"/>
        <v>7833.333333333333</v>
      </c>
      <c r="T26" s="33">
        <f t="shared" si="3"/>
        <v>7833.333333333333</v>
      </c>
    </row>
    <row r="27" spans="3:20" x14ac:dyDescent="0.2">
      <c r="C27" t="s">
        <v>104</v>
      </c>
      <c r="D27" t="s">
        <v>105</v>
      </c>
      <c r="E27" s="64">
        <f>_xlfn.XLOOKUP($C27,'Corporate Roster - ''25'!$C$9:$C$59,'Corporate Roster - ''25'!E$9:E$59,0)</f>
        <v>44169</v>
      </c>
      <c r="F27" s="64" t="str">
        <f>_xlfn.XLOOKUP($C27,'Corporate Roster - ''25'!$C$9:$C$59,'Corporate Roster - ''25'!F$9:F$59,0)</f>
        <v>-</v>
      </c>
      <c r="G27" s="261">
        <f>_xlfn.XLOOKUP($C27,'Corporate Roster - ''25'!$C$9:$C$59,'Corporate Roster - ''25'!G$9:G$59,0)</f>
        <v>66000</v>
      </c>
      <c r="I27" s="32">
        <f t="shared" si="3"/>
        <v>5500</v>
      </c>
      <c r="J27" s="10">
        <f t="shared" si="3"/>
        <v>5500</v>
      </c>
      <c r="K27" s="10">
        <f t="shared" si="3"/>
        <v>5500</v>
      </c>
      <c r="L27" s="10">
        <f t="shared" si="3"/>
        <v>5500</v>
      </c>
      <c r="M27" s="10">
        <f t="shared" si="3"/>
        <v>5500</v>
      </c>
      <c r="N27" s="10">
        <f t="shared" si="3"/>
        <v>5500</v>
      </c>
      <c r="O27" s="10">
        <f t="shared" si="3"/>
        <v>5500</v>
      </c>
      <c r="P27" s="10">
        <f t="shared" si="3"/>
        <v>5500</v>
      </c>
      <c r="Q27" s="10">
        <f t="shared" si="3"/>
        <v>5500</v>
      </c>
      <c r="R27" s="10">
        <f t="shared" si="3"/>
        <v>5500</v>
      </c>
      <c r="S27" s="10">
        <f t="shared" si="3"/>
        <v>5500</v>
      </c>
      <c r="T27" s="33">
        <f t="shared" si="3"/>
        <v>5500</v>
      </c>
    </row>
    <row r="28" spans="3:20" x14ac:dyDescent="0.2">
      <c r="C28" t="s">
        <v>148</v>
      </c>
      <c r="D28" t="s">
        <v>107</v>
      </c>
      <c r="E28" s="64">
        <f>_xlfn.XLOOKUP($C28,'Corporate Roster - ''25'!$C$9:$C$59,'Corporate Roster - ''25'!E$9:E$59,0)</f>
        <v>45017</v>
      </c>
      <c r="F28" s="64" t="str">
        <f>_xlfn.XLOOKUP($C28,'Corporate Roster - ''25'!$C$9:$C$59,'Corporate Roster - ''25'!F$9:F$59,0)</f>
        <v>-</v>
      </c>
      <c r="G28" s="261">
        <f>_xlfn.XLOOKUP($C28,'Corporate Roster - ''25'!$C$9:$C$59,'Corporate Roster - ''25'!G$9:G$59,0)</f>
        <v>77000</v>
      </c>
      <c r="I28" s="32">
        <f t="shared" si="3"/>
        <v>6416.666666666667</v>
      </c>
      <c r="J28" s="10">
        <f t="shared" si="3"/>
        <v>6416.666666666667</v>
      </c>
      <c r="K28" s="10">
        <f t="shared" si="3"/>
        <v>6416.666666666667</v>
      </c>
      <c r="L28" s="10">
        <f t="shared" si="3"/>
        <v>6416.666666666667</v>
      </c>
      <c r="M28" s="10">
        <f t="shared" si="3"/>
        <v>6416.666666666667</v>
      </c>
      <c r="N28" s="10">
        <f t="shared" si="3"/>
        <v>6416.666666666667</v>
      </c>
      <c r="O28" s="10">
        <f t="shared" si="3"/>
        <v>6416.666666666667</v>
      </c>
      <c r="P28" s="10">
        <f t="shared" si="3"/>
        <v>6416.666666666667</v>
      </c>
      <c r="Q28" s="10">
        <f t="shared" si="3"/>
        <v>6416.666666666667</v>
      </c>
      <c r="R28" s="10">
        <f t="shared" si="3"/>
        <v>6416.666666666667</v>
      </c>
      <c r="S28" s="10">
        <f t="shared" si="3"/>
        <v>6416.666666666667</v>
      </c>
      <c r="T28" s="33">
        <f t="shared" si="3"/>
        <v>6416.666666666667</v>
      </c>
    </row>
    <row r="29" spans="3:20" x14ac:dyDescent="0.2">
      <c r="C29" t="s">
        <v>108</v>
      </c>
      <c r="D29" t="s">
        <v>109</v>
      </c>
      <c r="E29" s="64">
        <f>_xlfn.XLOOKUP($C29,'Corporate Roster - ''25'!$C$9:$C$59,'Corporate Roster - ''25'!E$9:E$59,0)</f>
        <v>40157</v>
      </c>
      <c r="F29" s="64" t="str">
        <f>_xlfn.XLOOKUP($C29,'Corporate Roster - ''25'!$C$9:$C$59,'Corporate Roster - ''25'!F$9:F$59,0)</f>
        <v>-</v>
      </c>
      <c r="G29" s="261">
        <f>_xlfn.XLOOKUP($C29,'Corporate Roster - ''25'!$C$9:$C$59,'Corporate Roster - ''25'!G$9:G$59,0)</f>
        <v>83000</v>
      </c>
      <c r="I29" s="32">
        <f t="shared" si="3"/>
        <v>6916.666666666667</v>
      </c>
      <c r="J29" s="10">
        <f t="shared" si="3"/>
        <v>6916.666666666667</v>
      </c>
      <c r="K29" s="10">
        <f t="shared" si="3"/>
        <v>6916.666666666667</v>
      </c>
      <c r="L29" s="10">
        <f t="shared" si="3"/>
        <v>6916.666666666667</v>
      </c>
      <c r="M29" s="10">
        <f t="shared" si="3"/>
        <v>6916.666666666667</v>
      </c>
      <c r="N29" s="10">
        <f t="shared" si="3"/>
        <v>6916.666666666667</v>
      </c>
      <c r="O29" s="10">
        <f t="shared" si="3"/>
        <v>6916.666666666667</v>
      </c>
      <c r="P29" s="10">
        <f t="shared" si="3"/>
        <v>6916.666666666667</v>
      </c>
      <c r="Q29" s="10">
        <f t="shared" si="3"/>
        <v>6916.666666666667</v>
      </c>
      <c r="R29" s="10">
        <f t="shared" si="3"/>
        <v>6916.666666666667</v>
      </c>
      <c r="S29" s="10">
        <f t="shared" si="3"/>
        <v>6916.666666666667</v>
      </c>
      <c r="T29" s="33">
        <f t="shared" si="3"/>
        <v>6916.666666666667</v>
      </c>
    </row>
    <row r="30" spans="3:20" x14ac:dyDescent="0.2">
      <c r="C30" t="s">
        <v>73</v>
      </c>
      <c r="D30" t="s">
        <v>110</v>
      </c>
      <c r="E30" s="64">
        <f>_xlfn.XLOOKUP($C30,'Corporate Roster - ''25'!$C$9:$C$59,'Corporate Roster - ''25'!E$9:E$59,0)</f>
        <v>45335</v>
      </c>
      <c r="F30" s="64" t="str">
        <f>_xlfn.XLOOKUP($C30,'Corporate Roster - ''25'!$C$9:$C$59,'Corporate Roster - ''25'!F$9:F$59,0)</f>
        <v>-</v>
      </c>
      <c r="G30" s="261">
        <f>_xlfn.XLOOKUP($C30,'Corporate Roster - ''25'!$C$9:$C$59,'Corporate Roster - ''25'!G$9:G$59,0)</f>
        <v>94000</v>
      </c>
      <c r="I30" s="32">
        <f t="shared" si="3"/>
        <v>7833.333333333333</v>
      </c>
      <c r="J30" s="10">
        <f t="shared" si="3"/>
        <v>7833.333333333333</v>
      </c>
      <c r="K30" s="10">
        <f t="shared" si="3"/>
        <v>7833.333333333333</v>
      </c>
      <c r="L30" s="10">
        <f t="shared" si="3"/>
        <v>7833.333333333333</v>
      </c>
      <c r="M30" s="10">
        <f t="shared" si="3"/>
        <v>7833.333333333333</v>
      </c>
      <c r="N30" s="10">
        <f t="shared" si="3"/>
        <v>7833.333333333333</v>
      </c>
      <c r="O30" s="10">
        <f t="shared" si="3"/>
        <v>7833.333333333333</v>
      </c>
      <c r="P30" s="10">
        <f t="shared" si="3"/>
        <v>7833.333333333333</v>
      </c>
      <c r="Q30" s="10">
        <f t="shared" si="3"/>
        <v>7833.333333333333</v>
      </c>
      <c r="R30" s="10">
        <f t="shared" si="3"/>
        <v>7833.333333333333</v>
      </c>
      <c r="S30" s="10">
        <f t="shared" si="3"/>
        <v>7833.333333333333</v>
      </c>
      <c r="T30" s="33">
        <f t="shared" si="3"/>
        <v>7833.333333333333</v>
      </c>
    </row>
    <row r="31" spans="3:20" x14ac:dyDescent="0.2">
      <c r="C31" t="s">
        <v>111</v>
      </c>
      <c r="D31" t="s">
        <v>112</v>
      </c>
      <c r="E31" s="64">
        <f>_xlfn.XLOOKUP($C31,'Corporate Roster - ''25'!$C$9:$C$59,'Corporate Roster - ''25'!E$9:E$59,0)</f>
        <v>44694</v>
      </c>
      <c r="F31" s="64" t="str">
        <f>_xlfn.XLOOKUP($C31,'Corporate Roster - ''25'!$C$9:$C$59,'Corporate Roster - ''25'!F$9:F$59,0)</f>
        <v>-</v>
      </c>
      <c r="G31" s="261">
        <f>_xlfn.XLOOKUP($C31,'Corporate Roster - ''25'!$C$9:$C$59,'Corporate Roster - ''25'!G$9:G$59,0)</f>
        <v>105000</v>
      </c>
      <c r="I31" s="32">
        <f t="shared" si="3"/>
        <v>8750</v>
      </c>
      <c r="J31" s="10">
        <f t="shared" si="3"/>
        <v>8750</v>
      </c>
      <c r="K31" s="10">
        <f t="shared" si="3"/>
        <v>8750</v>
      </c>
      <c r="L31" s="10">
        <f t="shared" si="3"/>
        <v>8750</v>
      </c>
      <c r="M31" s="10">
        <f t="shared" si="3"/>
        <v>8750</v>
      </c>
      <c r="N31" s="10">
        <f t="shared" si="3"/>
        <v>8750</v>
      </c>
      <c r="O31" s="10">
        <f t="shared" si="3"/>
        <v>8750</v>
      </c>
      <c r="P31" s="10">
        <f t="shared" si="3"/>
        <v>8750</v>
      </c>
      <c r="Q31" s="10">
        <f t="shared" si="3"/>
        <v>8750</v>
      </c>
      <c r="R31" s="10">
        <f t="shared" si="3"/>
        <v>8750</v>
      </c>
      <c r="S31" s="10">
        <f t="shared" si="3"/>
        <v>8750</v>
      </c>
      <c r="T31" s="33">
        <f t="shared" si="3"/>
        <v>8750</v>
      </c>
    </row>
    <row r="32" spans="3:20" x14ac:dyDescent="0.2">
      <c r="C32" t="s">
        <v>149</v>
      </c>
      <c r="D32" t="s">
        <v>110</v>
      </c>
      <c r="E32" s="64">
        <f>_xlfn.XLOOKUP($C32,'Corporate Roster - ''25'!$C$9:$C$59,'Corporate Roster - ''25'!E$9:E$59,0)</f>
        <v>45368</v>
      </c>
      <c r="F32" s="64" t="str">
        <f>_xlfn.XLOOKUP($C32,'Corporate Roster - ''25'!$C$9:$C$59,'Corporate Roster - ''25'!F$9:F$59,0)</f>
        <v>-</v>
      </c>
      <c r="G32" s="261">
        <f>_xlfn.XLOOKUP($C32,'Corporate Roster - ''25'!$C$9:$C$59,'Corporate Roster - ''25'!G$9:G$59,0)</f>
        <v>94000</v>
      </c>
      <c r="I32" s="32">
        <f t="shared" si="3"/>
        <v>7833.333333333333</v>
      </c>
      <c r="J32" s="10">
        <f t="shared" si="3"/>
        <v>7833.333333333333</v>
      </c>
      <c r="K32" s="10">
        <f t="shared" si="3"/>
        <v>7833.333333333333</v>
      </c>
      <c r="L32" s="10">
        <f t="shared" si="3"/>
        <v>7833.333333333333</v>
      </c>
      <c r="M32" s="10">
        <f t="shared" si="3"/>
        <v>7833.333333333333</v>
      </c>
      <c r="N32" s="10">
        <f t="shared" si="3"/>
        <v>7833.333333333333</v>
      </c>
      <c r="O32" s="10">
        <f t="shared" si="3"/>
        <v>7833.333333333333</v>
      </c>
      <c r="P32" s="10">
        <f t="shared" si="3"/>
        <v>7833.333333333333</v>
      </c>
      <c r="Q32" s="10">
        <f t="shared" si="3"/>
        <v>7833.333333333333</v>
      </c>
      <c r="R32" s="10">
        <f t="shared" si="3"/>
        <v>7833.333333333333</v>
      </c>
      <c r="S32" s="10">
        <f t="shared" si="3"/>
        <v>7833.333333333333</v>
      </c>
      <c r="T32" s="33">
        <f t="shared" si="3"/>
        <v>7833.333333333333</v>
      </c>
    </row>
    <row r="33" spans="3:20" x14ac:dyDescent="0.2">
      <c r="C33" t="s">
        <v>150</v>
      </c>
      <c r="D33" t="s">
        <v>95</v>
      </c>
      <c r="E33" s="64">
        <f>_xlfn.XLOOKUP($C33,'Corporate Roster - ''25'!$C$9:$C$59,'Corporate Roster - ''25'!E$9:E$59,0)</f>
        <v>40489</v>
      </c>
      <c r="F33" s="64" t="str">
        <f>_xlfn.XLOOKUP($C33,'Corporate Roster - ''25'!$C$9:$C$59,'Corporate Roster - ''25'!F$9:F$59,0)</f>
        <v>-</v>
      </c>
      <c r="G33" s="261">
        <f>_xlfn.XLOOKUP($C33,'Corporate Roster - ''25'!$C$9:$C$59,'Corporate Roster - ''25'!G$9:G$59,0)</f>
        <v>154000</v>
      </c>
      <c r="I33" s="32">
        <f t="shared" si="3"/>
        <v>12833.333333333334</v>
      </c>
      <c r="J33" s="10">
        <f t="shared" si="3"/>
        <v>12833.333333333334</v>
      </c>
      <c r="K33" s="10">
        <f t="shared" si="3"/>
        <v>12833.333333333334</v>
      </c>
      <c r="L33" s="10">
        <f t="shared" si="3"/>
        <v>12833.333333333334</v>
      </c>
      <c r="M33" s="10">
        <f t="shared" si="3"/>
        <v>12833.333333333334</v>
      </c>
      <c r="N33" s="10">
        <f t="shared" si="3"/>
        <v>12833.333333333334</v>
      </c>
      <c r="O33" s="10">
        <f t="shared" si="3"/>
        <v>12833.333333333334</v>
      </c>
      <c r="P33" s="10">
        <f t="shared" si="3"/>
        <v>12833.333333333334</v>
      </c>
      <c r="Q33" s="10">
        <f t="shared" si="3"/>
        <v>12833.333333333334</v>
      </c>
      <c r="R33" s="10">
        <f t="shared" si="3"/>
        <v>12833.333333333334</v>
      </c>
      <c r="S33" s="10">
        <f t="shared" si="3"/>
        <v>12833.333333333334</v>
      </c>
      <c r="T33" s="33">
        <f t="shared" si="3"/>
        <v>12833.333333333334</v>
      </c>
    </row>
    <row r="34" spans="3:20" x14ac:dyDescent="0.2">
      <c r="C34" t="s">
        <v>115</v>
      </c>
      <c r="D34" t="s">
        <v>112</v>
      </c>
      <c r="E34" s="64">
        <f>_xlfn.XLOOKUP($C34,'Corporate Roster - ''25'!$C$9:$C$59,'Corporate Roster - ''25'!E$9:E$59,0)</f>
        <v>45236</v>
      </c>
      <c r="F34" s="64" t="str">
        <f>_xlfn.XLOOKUP($C34,'Corporate Roster - ''25'!$C$9:$C$59,'Corporate Roster - ''25'!F$9:F$59,0)</f>
        <v>-</v>
      </c>
      <c r="G34" s="261">
        <f>_xlfn.XLOOKUP($C34,'Corporate Roster - ''25'!$C$9:$C$59,'Corporate Roster - ''25'!G$9:G$59,0)</f>
        <v>105000</v>
      </c>
      <c r="I34" s="32">
        <f t="shared" si="3"/>
        <v>8750</v>
      </c>
      <c r="J34" s="10">
        <f t="shared" si="3"/>
        <v>8750</v>
      </c>
      <c r="K34" s="10">
        <f t="shared" si="3"/>
        <v>8750</v>
      </c>
      <c r="L34" s="10">
        <f t="shared" si="3"/>
        <v>8750</v>
      </c>
      <c r="M34" s="10">
        <f t="shared" si="3"/>
        <v>8750</v>
      </c>
      <c r="N34" s="10">
        <f t="shared" si="3"/>
        <v>8750</v>
      </c>
      <c r="O34" s="10">
        <f t="shared" si="3"/>
        <v>8750</v>
      </c>
      <c r="P34" s="10">
        <f t="shared" si="3"/>
        <v>8750</v>
      </c>
      <c r="Q34" s="10">
        <f t="shared" si="3"/>
        <v>8750</v>
      </c>
      <c r="R34" s="10">
        <f t="shared" si="3"/>
        <v>8750</v>
      </c>
      <c r="S34" s="10">
        <f t="shared" si="3"/>
        <v>8750</v>
      </c>
      <c r="T34" s="33">
        <f t="shared" si="3"/>
        <v>8750</v>
      </c>
    </row>
    <row r="35" spans="3:20" x14ac:dyDescent="0.2">
      <c r="C35" t="s">
        <v>116</v>
      </c>
      <c r="D35" t="s">
        <v>110</v>
      </c>
      <c r="E35" s="64">
        <f>_xlfn.XLOOKUP($C35,'Corporate Roster - ''25'!$C$9:$C$59,'Corporate Roster - ''25'!E$9:E$59,0)</f>
        <v>40015</v>
      </c>
      <c r="F35" s="64" t="str">
        <f>_xlfn.XLOOKUP($C35,'Corporate Roster - ''25'!$C$9:$C$59,'Corporate Roster - ''25'!F$9:F$59,0)</f>
        <v>-</v>
      </c>
      <c r="G35" s="261">
        <f>_xlfn.XLOOKUP($C35,'Corporate Roster - ''25'!$C$9:$C$59,'Corporate Roster - ''25'!G$9:G$59,0)</f>
        <v>94000</v>
      </c>
      <c r="I35" s="32">
        <f t="shared" si="3"/>
        <v>7833.333333333333</v>
      </c>
      <c r="J35" s="10">
        <f t="shared" si="3"/>
        <v>7833.333333333333</v>
      </c>
      <c r="K35" s="10">
        <f t="shared" si="3"/>
        <v>7833.333333333333</v>
      </c>
      <c r="L35" s="10">
        <f t="shared" si="3"/>
        <v>7833.333333333333</v>
      </c>
      <c r="M35" s="10">
        <f t="shared" si="3"/>
        <v>7833.333333333333</v>
      </c>
      <c r="N35" s="10">
        <f t="shared" si="3"/>
        <v>7833.333333333333</v>
      </c>
      <c r="O35" s="10">
        <f t="shared" si="3"/>
        <v>7833.333333333333</v>
      </c>
      <c r="P35" s="10">
        <f t="shared" si="3"/>
        <v>7833.333333333333</v>
      </c>
      <c r="Q35" s="10">
        <f t="shared" si="3"/>
        <v>7833.333333333333</v>
      </c>
      <c r="R35" s="10">
        <f t="shared" si="3"/>
        <v>7833.333333333333</v>
      </c>
      <c r="S35" s="10">
        <f t="shared" si="3"/>
        <v>7833.333333333333</v>
      </c>
      <c r="T35" s="33">
        <f t="shared" si="3"/>
        <v>7833.333333333333</v>
      </c>
    </row>
    <row r="36" spans="3:20" x14ac:dyDescent="0.2">
      <c r="C36" t="s">
        <v>106</v>
      </c>
      <c r="D36" t="s">
        <v>90</v>
      </c>
      <c r="E36" s="64">
        <f>_xlfn.XLOOKUP($C36,'Corporate Roster - ''25'!$C$9:$C$59,'Corporate Roster - ''25'!E$9:E$59,0)</f>
        <v>40345</v>
      </c>
      <c r="F36" s="64" t="str">
        <f>_xlfn.XLOOKUP($C36,'Corporate Roster - ''25'!$C$9:$C$59,'Corporate Roster - ''25'!F$9:F$59,0)</f>
        <v>-</v>
      </c>
      <c r="G36" s="261">
        <f>_xlfn.XLOOKUP($C36,'Corporate Roster - ''25'!$C$9:$C$59,'Corporate Roster - ''25'!G$9:G$59,0)</f>
        <v>143000</v>
      </c>
      <c r="I36" s="32">
        <f t="shared" si="3"/>
        <v>11916.666666666666</v>
      </c>
      <c r="J36" s="10">
        <f t="shared" si="3"/>
        <v>11916.666666666666</v>
      </c>
      <c r="K36" s="10">
        <f t="shared" si="3"/>
        <v>11916.666666666666</v>
      </c>
      <c r="L36" s="10">
        <f t="shared" si="3"/>
        <v>11916.666666666666</v>
      </c>
      <c r="M36" s="10">
        <f t="shared" si="3"/>
        <v>11916.666666666666</v>
      </c>
      <c r="N36" s="10">
        <f t="shared" si="3"/>
        <v>11916.666666666666</v>
      </c>
      <c r="O36" s="10">
        <f t="shared" si="3"/>
        <v>11916.666666666666</v>
      </c>
      <c r="P36" s="10">
        <f t="shared" si="3"/>
        <v>11916.666666666666</v>
      </c>
      <c r="Q36" s="10">
        <f t="shared" si="3"/>
        <v>11916.666666666666</v>
      </c>
      <c r="R36" s="10">
        <f t="shared" si="3"/>
        <v>11916.666666666666</v>
      </c>
      <c r="S36" s="10">
        <f t="shared" si="3"/>
        <v>11916.666666666666</v>
      </c>
      <c r="T36" s="33">
        <f t="shared" si="3"/>
        <v>11916.666666666666</v>
      </c>
    </row>
    <row r="37" spans="3:20" x14ac:dyDescent="0.2">
      <c r="C37" t="s">
        <v>117</v>
      </c>
      <c r="D37" t="s">
        <v>110</v>
      </c>
      <c r="E37" s="64">
        <f>_xlfn.XLOOKUP($C37,'Corporate Roster - ''25'!$C$9:$C$59,'Corporate Roster - ''25'!E$9:E$59,0)</f>
        <v>44824</v>
      </c>
      <c r="F37" s="64" t="str">
        <f>_xlfn.XLOOKUP($C37,'Corporate Roster - ''25'!$C$9:$C$59,'Corporate Roster - ''25'!F$9:F$59,0)</f>
        <v>-</v>
      </c>
      <c r="G37" s="261">
        <f>_xlfn.XLOOKUP($C37,'Corporate Roster - ''25'!$C$9:$C$59,'Corporate Roster - ''25'!G$9:G$59,0)</f>
        <v>94000</v>
      </c>
      <c r="I37" s="32">
        <f t="shared" si="3"/>
        <v>7833.333333333333</v>
      </c>
      <c r="J37" s="10">
        <f t="shared" si="3"/>
        <v>7833.333333333333</v>
      </c>
      <c r="K37" s="10">
        <f t="shared" si="3"/>
        <v>7833.333333333333</v>
      </c>
      <c r="L37" s="10">
        <f t="shared" si="3"/>
        <v>7833.333333333333</v>
      </c>
      <c r="M37" s="10">
        <f t="shared" si="3"/>
        <v>7833.333333333333</v>
      </c>
      <c r="N37" s="10">
        <f t="shared" si="3"/>
        <v>7833.333333333333</v>
      </c>
      <c r="O37" s="10">
        <f t="shared" si="3"/>
        <v>7833.333333333333</v>
      </c>
      <c r="P37" s="10">
        <f t="shared" si="3"/>
        <v>7833.333333333333</v>
      </c>
      <c r="Q37" s="10">
        <f t="shared" si="3"/>
        <v>7833.333333333333</v>
      </c>
      <c r="R37" s="10">
        <f t="shared" si="3"/>
        <v>7833.333333333333</v>
      </c>
      <c r="S37" s="10">
        <f t="shared" si="3"/>
        <v>7833.333333333333</v>
      </c>
      <c r="T37" s="33">
        <f t="shared" si="3"/>
        <v>7833.333333333333</v>
      </c>
    </row>
    <row r="38" spans="3:20" x14ac:dyDescent="0.2">
      <c r="C38" t="s">
        <v>118</v>
      </c>
      <c r="D38" t="s">
        <v>86</v>
      </c>
      <c r="E38" s="64">
        <f>_xlfn.XLOOKUP($C38,'Corporate Roster - ''25'!$C$9:$C$59,'Corporate Roster - ''25'!E$9:E$59,0)</f>
        <v>38939</v>
      </c>
      <c r="F38" s="64" t="str">
        <f>_xlfn.XLOOKUP($C38,'Corporate Roster - ''25'!$C$9:$C$59,'Corporate Roster - ''25'!F$9:F$59,0)</f>
        <v>-</v>
      </c>
      <c r="G38" s="261">
        <f>_xlfn.XLOOKUP($C38,'Corporate Roster - ''25'!$C$9:$C$59,'Corporate Roster - ''25'!G$9:G$59,0)</f>
        <v>132000</v>
      </c>
      <c r="I38" s="32">
        <f t="shared" si="3"/>
        <v>11000</v>
      </c>
      <c r="J38" s="10">
        <f t="shared" si="3"/>
        <v>11000</v>
      </c>
      <c r="K38" s="10">
        <f t="shared" si="3"/>
        <v>11000</v>
      </c>
      <c r="L38" s="10">
        <f t="shared" si="3"/>
        <v>11000</v>
      </c>
      <c r="M38" s="10">
        <f t="shared" si="3"/>
        <v>11000</v>
      </c>
      <c r="N38" s="10">
        <f t="shared" si="3"/>
        <v>11000</v>
      </c>
      <c r="O38" s="10">
        <f t="shared" si="3"/>
        <v>11000</v>
      </c>
      <c r="P38" s="10">
        <f t="shared" si="3"/>
        <v>11000</v>
      </c>
      <c r="Q38" s="10">
        <f t="shared" si="3"/>
        <v>11000</v>
      </c>
      <c r="R38" s="10">
        <f t="shared" si="3"/>
        <v>11000</v>
      </c>
      <c r="S38" s="10">
        <f t="shared" si="3"/>
        <v>11000</v>
      </c>
      <c r="T38" s="33">
        <f t="shared" si="3"/>
        <v>11000</v>
      </c>
    </row>
    <row r="39" spans="3:20" x14ac:dyDescent="0.2">
      <c r="C39" t="s">
        <v>65</v>
      </c>
      <c r="D39" t="s">
        <v>86</v>
      </c>
      <c r="E39" s="64">
        <f>_xlfn.XLOOKUP($C39,'Corporate Roster - ''25'!$C$9:$C$59,'Corporate Roster - ''25'!E$9:E$59,0)</f>
        <v>42100</v>
      </c>
      <c r="F39" s="64" t="str">
        <f>_xlfn.XLOOKUP($C39,'Corporate Roster - ''25'!$C$9:$C$59,'Corporate Roster - ''25'!F$9:F$59,0)</f>
        <v>-</v>
      </c>
      <c r="G39" s="261">
        <f>_xlfn.XLOOKUP($C39,'Corporate Roster - ''25'!$C$9:$C$59,'Corporate Roster - ''25'!G$9:G$59,0)</f>
        <v>132000</v>
      </c>
      <c r="I39" s="32">
        <f t="shared" si="3"/>
        <v>11000</v>
      </c>
      <c r="J39" s="10">
        <f t="shared" si="3"/>
        <v>11000</v>
      </c>
      <c r="K39" s="10">
        <f t="shared" si="3"/>
        <v>11000</v>
      </c>
      <c r="L39" s="10">
        <f t="shared" si="3"/>
        <v>11000</v>
      </c>
      <c r="M39" s="10">
        <f t="shared" si="3"/>
        <v>11000</v>
      </c>
      <c r="N39" s="10">
        <f t="shared" si="3"/>
        <v>11000</v>
      </c>
      <c r="O39" s="10">
        <f t="shared" si="3"/>
        <v>11000</v>
      </c>
      <c r="P39" s="10">
        <f t="shared" si="3"/>
        <v>11000</v>
      </c>
      <c r="Q39" s="10">
        <f t="shared" si="3"/>
        <v>11000</v>
      </c>
      <c r="R39" s="10">
        <f t="shared" si="3"/>
        <v>11000</v>
      </c>
      <c r="S39" s="10">
        <f t="shared" si="3"/>
        <v>11000</v>
      </c>
      <c r="T39" s="33">
        <f t="shared" si="3"/>
        <v>11000</v>
      </c>
    </row>
    <row r="40" spans="3:20" x14ac:dyDescent="0.2">
      <c r="C40" t="s">
        <v>119</v>
      </c>
      <c r="D40" t="s">
        <v>110</v>
      </c>
      <c r="E40" s="64">
        <f>_xlfn.XLOOKUP($C40,'Corporate Roster - ''25'!$C$9:$C$59,'Corporate Roster - ''25'!E$9:E$59,0)</f>
        <v>42772</v>
      </c>
      <c r="F40" s="64" t="str">
        <f>_xlfn.XLOOKUP($C40,'Corporate Roster - ''25'!$C$9:$C$59,'Corporate Roster - ''25'!F$9:F$59,0)</f>
        <v>-</v>
      </c>
      <c r="G40" s="261">
        <f>_xlfn.XLOOKUP($C40,'Corporate Roster - ''25'!$C$9:$C$59,'Corporate Roster - ''25'!G$9:G$59,0)</f>
        <v>94000</v>
      </c>
      <c r="I40" s="32">
        <f t="shared" ref="I40:T55" si="4">IF(AND(I$6&gt;$E40,I$6&lt;$F40),$G40/12,0)</f>
        <v>7833.333333333333</v>
      </c>
      <c r="J40" s="10">
        <f t="shared" si="4"/>
        <v>7833.333333333333</v>
      </c>
      <c r="K40" s="10">
        <f t="shared" si="4"/>
        <v>7833.333333333333</v>
      </c>
      <c r="L40" s="10">
        <f t="shared" si="4"/>
        <v>7833.333333333333</v>
      </c>
      <c r="M40" s="10">
        <f t="shared" si="4"/>
        <v>7833.333333333333</v>
      </c>
      <c r="N40" s="10">
        <f t="shared" si="4"/>
        <v>7833.333333333333</v>
      </c>
      <c r="O40" s="10">
        <f t="shared" si="4"/>
        <v>7833.333333333333</v>
      </c>
      <c r="P40" s="10">
        <f t="shared" si="4"/>
        <v>7833.333333333333</v>
      </c>
      <c r="Q40" s="10">
        <f t="shared" si="4"/>
        <v>7833.333333333333</v>
      </c>
      <c r="R40" s="10">
        <f t="shared" si="4"/>
        <v>7833.333333333333</v>
      </c>
      <c r="S40" s="10">
        <f t="shared" si="4"/>
        <v>7833.333333333333</v>
      </c>
      <c r="T40" s="33">
        <f t="shared" si="4"/>
        <v>7833.333333333333</v>
      </c>
    </row>
    <row r="41" spans="3:20" x14ac:dyDescent="0.2">
      <c r="C41" t="s">
        <v>120</v>
      </c>
      <c r="D41" t="s">
        <v>110</v>
      </c>
      <c r="E41" s="64">
        <f>_xlfn.XLOOKUP($C41,'Corporate Roster - ''25'!$C$9:$C$59,'Corporate Roster - ''25'!E$9:E$59,0)</f>
        <v>41160</v>
      </c>
      <c r="F41" s="64" t="str">
        <f>_xlfn.XLOOKUP($C41,'Corporate Roster - ''25'!$C$9:$C$59,'Corporate Roster - ''25'!F$9:F$59,0)</f>
        <v>-</v>
      </c>
      <c r="G41" s="261">
        <f>_xlfn.XLOOKUP($C41,'Corporate Roster - ''25'!$C$9:$C$59,'Corporate Roster - ''25'!G$9:G$59,0)</f>
        <v>94000</v>
      </c>
      <c r="I41" s="32">
        <f t="shared" si="4"/>
        <v>7833.333333333333</v>
      </c>
      <c r="J41" s="10">
        <f t="shared" si="4"/>
        <v>7833.333333333333</v>
      </c>
      <c r="K41" s="10">
        <f t="shared" si="4"/>
        <v>7833.333333333333</v>
      </c>
      <c r="L41" s="10">
        <f t="shared" si="4"/>
        <v>7833.333333333333</v>
      </c>
      <c r="M41" s="10">
        <f t="shared" si="4"/>
        <v>7833.333333333333</v>
      </c>
      <c r="N41" s="10">
        <f t="shared" si="4"/>
        <v>7833.333333333333</v>
      </c>
      <c r="O41" s="10">
        <f t="shared" si="4"/>
        <v>7833.333333333333</v>
      </c>
      <c r="P41" s="10">
        <f t="shared" si="4"/>
        <v>7833.333333333333</v>
      </c>
      <c r="Q41" s="10">
        <f t="shared" si="4"/>
        <v>7833.333333333333</v>
      </c>
      <c r="R41" s="10">
        <f t="shared" si="4"/>
        <v>7833.333333333333</v>
      </c>
      <c r="S41" s="10">
        <f t="shared" si="4"/>
        <v>7833.333333333333</v>
      </c>
      <c r="T41" s="33">
        <f t="shared" si="4"/>
        <v>7833.333333333333</v>
      </c>
    </row>
    <row r="42" spans="3:20" x14ac:dyDescent="0.2">
      <c r="C42" t="s">
        <v>121</v>
      </c>
      <c r="D42" t="s">
        <v>99</v>
      </c>
      <c r="E42" s="64">
        <f>_xlfn.XLOOKUP($C42,'Corporate Roster - ''25'!$C$9:$C$59,'Corporate Roster - ''25'!E$9:E$59,0)</f>
        <v>44972</v>
      </c>
      <c r="F42" s="64" t="str">
        <f>_xlfn.XLOOKUP($C42,'Corporate Roster - ''25'!$C$9:$C$59,'Corporate Roster - ''25'!F$9:F$59,0)</f>
        <v>-</v>
      </c>
      <c r="G42" s="261">
        <f>_xlfn.XLOOKUP($C42,'Corporate Roster - ''25'!$C$9:$C$59,'Corporate Roster - ''25'!G$9:G$59,0)</f>
        <v>88000</v>
      </c>
      <c r="I42" s="32">
        <f t="shared" si="4"/>
        <v>7333.333333333333</v>
      </c>
      <c r="J42" s="10">
        <f t="shared" si="4"/>
        <v>7333.333333333333</v>
      </c>
      <c r="K42" s="10">
        <f t="shared" si="4"/>
        <v>7333.333333333333</v>
      </c>
      <c r="L42" s="10">
        <f t="shared" si="4"/>
        <v>7333.333333333333</v>
      </c>
      <c r="M42" s="10">
        <f t="shared" si="4"/>
        <v>7333.333333333333</v>
      </c>
      <c r="N42" s="10">
        <f t="shared" si="4"/>
        <v>7333.333333333333</v>
      </c>
      <c r="O42" s="10">
        <f t="shared" si="4"/>
        <v>7333.333333333333</v>
      </c>
      <c r="P42" s="10">
        <f t="shared" si="4"/>
        <v>7333.333333333333</v>
      </c>
      <c r="Q42" s="10">
        <f t="shared" si="4"/>
        <v>7333.333333333333</v>
      </c>
      <c r="R42" s="10">
        <f t="shared" si="4"/>
        <v>7333.333333333333</v>
      </c>
      <c r="S42" s="10">
        <f t="shared" si="4"/>
        <v>7333.333333333333</v>
      </c>
      <c r="T42" s="33">
        <f t="shared" si="4"/>
        <v>7333.333333333333</v>
      </c>
    </row>
    <row r="43" spans="3:20" x14ac:dyDescent="0.2">
      <c r="C43" t="s">
        <v>151</v>
      </c>
      <c r="D43" t="s">
        <v>90</v>
      </c>
      <c r="E43" s="64">
        <f>_xlfn.XLOOKUP($C43,'Corporate Roster - ''25'!$C$9:$C$59,'Corporate Roster - ''25'!E$9:E$59,0)</f>
        <v>42189</v>
      </c>
      <c r="F43" s="64" t="str">
        <f>_xlfn.XLOOKUP($C43,'Corporate Roster - ''25'!$C$9:$C$59,'Corporate Roster - ''25'!F$9:F$59,0)</f>
        <v>-</v>
      </c>
      <c r="G43" s="261">
        <f>_xlfn.XLOOKUP($C43,'Corporate Roster - ''25'!$C$9:$C$59,'Corporate Roster - ''25'!G$9:G$59,0)</f>
        <v>143000</v>
      </c>
      <c r="I43" s="32">
        <f t="shared" si="4"/>
        <v>11916.666666666666</v>
      </c>
      <c r="J43" s="10">
        <f t="shared" si="4"/>
        <v>11916.666666666666</v>
      </c>
      <c r="K43" s="10">
        <f t="shared" si="4"/>
        <v>11916.666666666666</v>
      </c>
      <c r="L43" s="10">
        <f t="shared" si="4"/>
        <v>11916.666666666666</v>
      </c>
      <c r="M43" s="10">
        <f t="shared" si="4"/>
        <v>11916.666666666666</v>
      </c>
      <c r="N43" s="10">
        <f t="shared" si="4"/>
        <v>11916.666666666666</v>
      </c>
      <c r="O43" s="10">
        <f t="shared" si="4"/>
        <v>11916.666666666666</v>
      </c>
      <c r="P43" s="10">
        <f t="shared" si="4"/>
        <v>11916.666666666666</v>
      </c>
      <c r="Q43" s="10">
        <f t="shared" si="4"/>
        <v>11916.666666666666</v>
      </c>
      <c r="R43" s="10">
        <f t="shared" si="4"/>
        <v>11916.666666666666</v>
      </c>
      <c r="S43" s="10">
        <f t="shared" si="4"/>
        <v>11916.666666666666</v>
      </c>
      <c r="T43" s="33">
        <f t="shared" si="4"/>
        <v>11916.666666666666</v>
      </c>
    </row>
    <row r="44" spans="3:20" x14ac:dyDescent="0.2">
      <c r="C44" t="s">
        <v>123</v>
      </c>
      <c r="D44" t="s">
        <v>99</v>
      </c>
      <c r="E44" s="64">
        <f>_xlfn.XLOOKUP($C44,'Corporate Roster - ''25'!$C$9:$C$59,'Corporate Roster - ''25'!E$9:E$59,0)</f>
        <v>44716</v>
      </c>
      <c r="F44" s="64" t="str">
        <f>_xlfn.XLOOKUP($C44,'Corporate Roster - ''25'!$C$9:$C$59,'Corporate Roster - ''25'!F$9:F$59,0)</f>
        <v>-</v>
      </c>
      <c r="G44" s="261">
        <f>_xlfn.XLOOKUP($C44,'Corporate Roster - ''25'!$C$9:$C$59,'Corporate Roster - ''25'!G$9:G$59,0)</f>
        <v>88000</v>
      </c>
      <c r="I44" s="32">
        <f t="shared" si="4"/>
        <v>7333.333333333333</v>
      </c>
      <c r="J44" s="10">
        <f t="shared" si="4"/>
        <v>7333.333333333333</v>
      </c>
      <c r="K44" s="10">
        <f t="shared" si="4"/>
        <v>7333.333333333333</v>
      </c>
      <c r="L44" s="10">
        <f t="shared" si="4"/>
        <v>7333.333333333333</v>
      </c>
      <c r="M44" s="10">
        <f t="shared" si="4"/>
        <v>7333.333333333333</v>
      </c>
      <c r="N44" s="10">
        <f t="shared" si="4"/>
        <v>7333.333333333333</v>
      </c>
      <c r="O44" s="10">
        <f t="shared" si="4"/>
        <v>7333.333333333333</v>
      </c>
      <c r="P44" s="10">
        <f t="shared" si="4"/>
        <v>7333.333333333333</v>
      </c>
      <c r="Q44" s="10">
        <f t="shared" si="4"/>
        <v>7333.333333333333</v>
      </c>
      <c r="R44" s="10">
        <f t="shared" si="4"/>
        <v>7333.333333333333</v>
      </c>
      <c r="S44" s="10">
        <f t="shared" si="4"/>
        <v>7333.333333333333</v>
      </c>
      <c r="T44" s="33">
        <f t="shared" si="4"/>
        <v>7333.333333333333</v>
      </c>
    </row>
    <row r="45" spans="3:20" x14ac:dyDescent="0.2">
      <c r="C45" t="s">
        <v>124</v>
      </c>
      <c r="D45" t="s">
        <v>99</v>
      </c>
      <c r="E45" s="64">
        <f>_xlfn.XLOOKUP($C45,'Corporate Roster - ''25'!$C$9:$C$59,'Corporate Roster - ''25'!E$9:E$59,0)</f>
        <v>38697</v>
      </c>
      <c r="F45" s="64" t="str">
        <f>_xlfn.XLOOKUP($C45,'Corporate Roster - ''25'!$C$9:$C$59,'Corporate Roster - ''25'!F$9:F$59,0)</f>
        <v>-</v>
      </c>
      <c r="G45" s="261">
        <f>_xlfn.XLOOKUP($C45,'Corporate Roster - ''25'!$C$9:$C$59,'Corporate Roster - ''25'!G$9:G$59,0)</f>
        <v>88000</v>
      </c>
      <c r="I45" s="32">
        <f t="shared" si="4"/>
        <v>7333.333333333333</v>
      </c>
      <c r="J45" s="10">
        <f t="shared" si="4"/>
        <v>7333.333333333333</v>
      </c>
      <c r="K45" s="10">
        <f t="shared" si="4"/>
        <v>7333.333333333333</v>
      </c>
      <c r="L45" s="10">
        <f t="shared" si="4"/>
        <v>7333.333333333333</v>
      </c>
      <c r="M45" s="10">
        <f t="shared" si="4"/>
        <v>7333.333333333333</v>
      </c>
      <c r="N45" s="10">
        <f t="shared" si="4"/>
        <v>7333.333333333333</v>
      </c>
      <c r="O45" s="10">
        <f t="shared" si="4"/>
        <v>7333.333333333333</v>
      </c>
      <c r="P45" s="10">
        <f t="shared" si="4"/>
        <v>7333.333333333333</v>
      </c>
      <c r="Q45" s="10">
        <f t="shared" si="4"/>
        <v>7333.333333333333</v>
      </c>
      <c r="R45" s="10">
        <f t="shared" si="4"/>
        <v>7333.333333333333</v>
      </c>
      <c r="S45" s="10">
        <f t="shared" si="4"/>
        <v>7333.333333333333</v>
      </c>
      <c r="T45" s="33">
        <f t="shared" si="4"/>
        <v>7333.333333333333</v>
      </c>
    </row>
    <row r="46" spans="3:20" x14ac:dyDescent="0.2">
      <c r="C46" t="s">
        <v>125</v>
      </c>
      <c r="D46" t="s">
        <v>99</v>
      </c>
      <c r="E46" s="64">
        <f>_xlfn.XLOOKUP($C46,'Corporate Roster - ''25'!$C$9:$C$59,'Corporate Roster - ''25'!E$9:E$59,0)</f>
        <v>43863</v>
      </c>
      <c r="F46" s="64" t="str">
        <f>_xlfn.XLOOKUP($C46,'Corporate Roster - ''25'!$C$9:$C$59,'Corporate Roster - ''25'!F$9:F$59,0)</f>
        <v>-</v>
      </c>
      <c r="G46" s="261">
        <f>_xlfn.XLOOKUP($C46,'Corporate Roster - ''25'!$C$9:$C$59,'Corporate Roster - ''25'!G$9:G$59,0)</f>
        <v>88000</v>
      </c>
      <c r="I46" s="32">
        <f t="shared" si="4"/>
        <v>7333.333333333333</v>
      </c>
      <c r="J46" s="10">
        <f t="shared" si="4"/>
        <v>7333.333333333333</v>
      </c>
      <c r="K46" s="10">
        <f t="shared" si="4"/>
        <v>7333.333333333333</v>
      </c>
      <c r="L46" s="10">
        <f t="shared" si="4"/>
        <v>7333.333333333333</v>
      </c>
      <c r="M46" s="10">
        <f t="shared" si="4"/>
        <v>7333.333333333333</v>
      </c>
      <c r="N46" s="10">
        <f t="shared" si="4"/>
        <v>7333.333333333333</v>
      </c>
      <c r="O46" s="10">
        <f t="shared" si="4"/>
        <v>7333.333333333333</v>
      </c>
      <c r="P46" s="10">
        <f t="shared" si="4"/>
        <v>7333.333333333333</v>
      </c>
      <c r="Q46" s="10">
        <f t="shared" si="4"/>
        <v>7333.333333333333</v>
      </c>
      <c r="R46" s="10">
        <f t="shared" si="4"/>
        <v>7333.333333333333</v>
      </c>
      <c r="S46" s="10">
        <f t="shared" si="4"/>
        <v>7333.333333333333</v>
      </c>
      <c r="T46" s="33">
        <f t="shared" si="4"/>
        <v>7333.333333333333</v>
      </c>
    </row>
    <row r="47" spans="3:20" x14ac:dyDescent="0.2">
      <c r="C47" t="s">
        <v>126</v>
      </c>
      <c r="D47" t="s">
        <v>110</v>
      </c>
      <c r="E47" s="64">
        <f>_xlfn.XLOOKUP($C47,'Corporate Roster - ''25'!$C$9:$C$59,'Corporate Roster - ''25'!E$9:E$59,0)</f>
        <v>40847</v>
      </c>
      <c r="F47" s="64" t="str">
        <f>_xlfn.XLOOKUP($C47,'Corporate Roster - ''25'!$C$9:$C$59,'Corporate Roster - ''25'!F$9:F$59,0)</f>
        <v>-</v>
      </c>
      <c r="G47" s="261">
        <f>_xlfn.XLOOKUP($C47,'Corporate Roster - ''25'!$C$9:$C$59,'Corporate Roster - ''25'!G$9:G$59,0)</f>
        <v>94000</v>
      </c>
      <c r="I47" s="32">
        <f t="shared" si="4"/>
        <v>7833.333333333333</v>
      </c>
      <c r="J47" s="10">
        <f t="shared" si="4"/>
        <v>7833.333333333333</v>
      </c>
      <c r="K47" s="10">
        <f t="shared" si="4"/>
        <v>7833.333333333333</v>
      </c>
      <c r="L47" s="10">
        <f t="shared" si="4"/>
        <v>7833.333333333333</v>
      </c>
      <c r="M47" s="10">
        <f t="shared" si="4"/>
        <v>7833.333333333333</v>
      </c>
      <c r="N47" s="10">
        <f t="shared" si="4"/>
        <v>7833.333333333333</v>
      </c>
      <c r="O47" s="10">
        <f t="shared" si="4"/>
        <v>7833.333333333333</v>
      </c>
      <c r="P47" s="10">
        <f t="shared" si="4"/>
        <v>7833.333333333333</v>
      </c>
      <c r="Q47" s="10">
        <f t="shared" si="4"/>
        <v>7833.333333333333</v>
      </c>
      <c r="R47" s="10">
        <f t="shared" si="4"/>
        <v>7833.333333333333</v>
      </c>
      <c r="S47" s="10">
        <f t="shared" si="4"/>
        <v>7833.333333333333</v>
      </c>
      <c r="T47" s="33">
        <f t="shared" si="4"/>
        <v>7833.333333333333</v>
      </c>
    </row>
    <row r="48" spans="3:20" x14ac:dyDescent="0.2">
      <c r="C48" t="s">
        <v>127</v>
      </c>
      <c r="D48" t="s">
        <v>110</v>
      </c>
      <c r="E48" s="64">
        <f>_xlfn.XLOOKUP($C48,'Corporate Roster - ''25'!$C$9:$C$59,'Corporate Roster - ''25'!E$9:E$59,0)</f>
        <v>39385</v>
      </c>
      <c r="F48" s="64" t="str">
        <f>_xlfn.XLOOKUP($C48,'Corporate Roster - ''25'!$C$9:$C$59,'Corporate Roster - ''25'!F$9:F$59,0)</f>
        <v>-</v>
      </c>
      <c r="G48" s="261">
        <f>_xlfn.XLOOKUP($C48,'Corporate Roster - ''25'!$C$9:$C$59,'Corporate Roster - ''25'!G$9:G$59,0)</f>
        <v>94000</v>
      </c>
      <c r="I48" s="32">
        <f t="shared" si="4"/>
        <v>7833.333333333333</v>
      </c>
      <c r="J48" s="10">
        <f t="shared" si="4"/>
        <v>7833.333333333333</v>
      </c>
      <c r="K48" s="10">
        <f t="shared" si="4"/>
        <v>7833.333333333333</v>
      </c>
      <c r="L48" s="10">
        <f t="shared" si="4"/>
        <v>7833.333333333333</v>
      </c>
      <c r="M48" s="10">
        <f t="shared" si="4"/>
        <v>7833.333333333333</v>
      </c>
      <c r="N48" s="10">
        <f t="shared" si="4"/>
        <v>7833.333333333333</v>
      </c>
      <c r="O48" s="10">
        <f t="shared" si="4"/>
        <v>7833.333333333333</v>
      </c>
      <c r="P48" s="10">
        <f t="shared" si="4"/>
        <v>7833.333333333333</v>
      </c>
      <c r="Q48" s="10">
        <f t="shared" si="4"/>
        <v>7833.333333333333</v>
      </c>
      <c r="R48" s="10">
        <f t="shared" si="4"/>
        <v>7833.333333333333</v>
      </c>
      <c r="S48" s="10">
        <f t="shared" si="4"/>
        <v>7833.333333333333</v>
      </c>
      <c r="T48" s="33">
        <f t="shared" si="4"/>
        <v>7833.333333333333</v>
      </c>
    </row>
    <row r="49" spans="2:21" x14ac:dyDescent="0.2">
      <c r="C49" t="s">
        <v>128</v>
      </c>
      <c r="D49" t="s">
        <v>90</v>
      </c>
      <c r="E49" s="64">
        <f>_xlfn.XLOOKUP($C49,'Corporate Roster - ''25'!$C$9:$C$59,'Corporate Roster - ''25'!E$9:E$59,0)</f>
        <v>39936</v>
      </c>
      <c r="F49" s="64" t="str">
        <f>_xlfn.XLOOKUP($C49,'Corporate Roster - ''25'!$C$9:$C$59,'Corporate Roster - ''25'!F$9:F$59,0)</f>
        <v>-</v>
      </c>
      <c r="G49" s="261">
        <f>_xlfn.XLOOKUP($C49,'Corporate Roster - ''25'!$C$9:$C$59,'Corporate Roster - ''25'!G$9:G$59,0)</f>
        <v>143000</v>
      </c>
      <c r="I49" s="32">
        <f t="shared" si="4"/>
        <v>11916.666666666666</v>
      </c>
      <c r="J49" s="10">
        <f t="shared" si="4"/>
        <v>11916.666666666666</v>
      </c>
      <c r="K49" s="10">
        <f t="shared" si="4"/>
        <v>11916.666666666666</v>
      </c>
      <c r="L49" s="10">
        <f t="shared" si="4"/>
        <v>11916.666666666666</v>
      </c>
      <c r="M49" s="10">
        <f t="shared" si="4"/>
        <v>11916.666666666666</v>
      </c>
      <c r="N49" s="10">
        <f t="shared" si="4"/>
        <v>11916.666666666666</v>
      </c>
      <c r="O49" s="10">
        <f t="shared" si="4"/>
        <v>11916.666666666666</v>
      </c>
      <c r="P49" s="10">
        <f t="shared" si="4"/>
        <v>11916.666666666666</v>
      </c>
      <c r="Q49" s="10">
        <f t="shared" si="4"/>
        <v>11916.666666666666</v>
      </c>
      <c r="R49" s="10">
        <f t="shared" si="4"/>
        <v>11916.666666666666</v>
      </c>
      <c r="S49" s="10">
        <f t="shared" si="4"/>
        <v>11916.666666666666</v>
      </c>
      <c r="T49" s="33">
        <f t="shared" si="4"/>
        <v>11916.666666666666</v>
      </c>
    </row>
    <row r="50" spans="2:21" x14ac:dyDescent="0.2">
      <c r="C50" t="s">
        <v>129</v>
      </c>
      <c r="D50" t="s">
        <v>99</v>
      </c>
      <c r="E50" s="64">
        <f>_xlfn.XLOOKUP($C50,'Corporate Roster - ''25'!$C$9:$C$59,'Corporate Roster - ''25'!E$9:E$59,0)</f>
        <v>43887</v>
      </c>
      <c r="F50" s="64" t="str">
        <f>_xlfn.XLOOKUP($C50,'Corporate Roster - ''25'!$C$9:$C$59,'Corporate Roster - ''25'!F$9:F$59,0)</f>
        <v>-</v>
      </c>
      <c r="G50" s="261">
        <f>_xlfn.XLOOKUP($C50,'Corporate Roster - ''25'!$C$9:$C$59,'Corporate Roster - ''25'!G$9:G$59,0)</f>
        <v>88000</v>
      </c>
      <c r="I50" s="32">
        <f t="shared" si="4"/>
        <v>7333.333333333333</v>
      </c>
      <c r="J50" s="10">
        <f t="shared" si="4"/>
        <v>7333.333333333333</v>
      </c>
      <c r="K50" s="10">
        <f t="shared" si="4"/>
        <v>7333.333333333333</v>
      </c>
      <c r="L50" s="10">
        <f t="shared" si="4"/>
        <v>7333.333333333333</v>
      </c>
      <c r="M50" s="10">
        <f t="shared" si="4"/>
        <v>7333.333333333333</v>
      </c>
      <c r="N50" s="10">
        <f t="shared" si="4"/>
        <v>7333.333333333333</v>
      </c>
      <c r="O50" s="10">
        <f t="shared" si="4"/>
        <v>7333.333333333333</v>
      </c>
      <c r="P50" s="10">
        <f t="shared" si="4"/>
        <v>7333.333333333333</v>
      </c>
      <c r="Q50" s="10">
        <f t="shared" si="4"/>
        <v>7333.333333333333</v>
      </c>
      <c r="R50" s="10">
        <f t="shared" si="4"/>
        <v>7333.333333333333</v>
      </c>
      <c r="S50" s="10">
        <f t="shared" si="4"/>
        <v>7333.333333333333</v>
      </c>
      <c r="T50" s="33">
        <f t="shared" si="4"/>
        <v>7333.333333333333</v>
      </c>
    </row>
    <row r="51" spans="2:21" x14ac:dyDescent="0.2">
      <c r="C51" t="s">
        <v>122</v>
      </c>
      <c r="D51" t="s">
        <v>99</v>
      </c>
      <c r="E51" s="64">
        <f>_xlfn.XLOOKUP($C51,'Corporate Roster - ''25'!$C$9:$C$59,'Corporate Roster - ''25'!E$9:E$59,0)</f>
        <v>44041</v>
      </c>
      <c r="F51" s="64" t="str">
        <f>_xlfn.XLOOKUP($C51,'Corporate Roster - ''25'!$C$9:$C$59,'Corporate Roster - ''25'!F$9:F$59,0)</f>
        <v>-</v>
      </c>
      <c r="G51" s="261">
        <f>_xlfn.XLOOKUP($C51,'Corporate Roster - ''25'!$C$9:$C$59,'Corporate Roster - ''25'!G$9:G$59,0)</f>
        <v>88000</v>
      </c>
      <c r="I51" s="32">
        <f t="shared" si="4"/>
        <v>7333.333333333333</v>
      </c>
      <c r="J51" s="10">
        <f t="shared" si="4"/>
        <v>7333.333333333333</v>
      </c>
      <c r="K51" s="10">
        <f t="shared" si="4"/>
        <v>7333.333333333333</v>
      </c>
      <c r="L51" s="10">
        <f t="shared" si="4"/>
        <v>7333.333333333333</v>
      </c>
      <c r="M51" s="10">
        <f t="shared" si="4"/>
        <v>7333.333333333333</v>
      </c>
      <c r="N51" s="10">
        <f t="shared" si="4"/>
        <v>7333.333333333333</v>
      </c>
      <c r="O51" s="10">
        <f t="shared" si="4"/>
        <v>7333.333333333333</v>
      </c>
      <c r="P51" s="10">
        <f t="shared" si="4"/>
        <v>7333.333333333333</v>
      </c>
      <c r="Q51" s="10">
        <f t="shared" si="4"/>
        <v>7333.333333333333</v>
      </c>
      <c r="R51" s="10">
        <f t="shared" si="4"/>
        <v>7333.333333333333</v>
      </c>
      <c r="S51" s="10">
        <f t="shared" si="4"/>
        <v>7333.333333333333</v>
      </c>
      <c r="T51" s="33">
        <f t="shared" si="4"/>
        <v>7333.333333333333</v>
      </c>
    </row>
    <row r="52" spans="2:21" x14ac:dyDescent="0.2">
      <c r="C52" t="s">
        <v>236</v>
      </c>
      <c r="D52" t="s">
        <v>242</v>
      </c>
      <c r="E52" s="64">
        <f>_xlfn.XLOOKUP($C52,'Corporate Roster - ''25'!$C$9:$C$59,'Corporate Roster - ''25'!E$9:E$59,0)</f>
        <v>45658</v>
      </c>
      <c r="F52" s="64" t="str">
        <f>_xlfn.XLOOKUP($C52,'Corporate Roster - ''25'!$C$9:$C$59,'Corporate Roster - ''25'!F$9:F$59,0)</f>
        <v>-</v>
      </c>
      <c r="G52" s="261">
        <f>_xlfn.XLOOKUP($C52,'Corporate Roster - ''25'!$C$9:$C$59,'Corporate Roster - ''25'!G$9:G$59,0)</f>
        <v>250000</v>
      </c>
      <c r="I52" s="32">
        <f t="shared" si="4"/>
        <v>20833.333333333332</v>
      </c>
      <c r="J52" s="10">
        <f t="shared" si="4"/>
        <v>20833.333333333332</v>
      </c>
      <c r="K52" s="10">
        <f t="shared" si="4"/>
        <v>20833.333333333332</v>
      </c>
      <c r="L52" s="10">
        <f t="shared" si="4"/>
        <v>20833.333333333332</v>
      </c>
      <c r="M52" s="10">
        <f t="shared" si="4"/>
        <v>20833.333333333332</v>
      </c>
      <c r="N52" s="10">
        <f t="shared" si="4"/>
        <v>20833.333333333332</v>
      </c>
      <c r="O52" s="10">
        <f t="shared" si="4"/>
        <v>20833.333333333332</v>
      </c>
      <c r="P52" s="10">
        <f t="shared" si="4"/>
        <v>20833.333333333332</v>
      </c>
      <c r="Q52" s="10">
        <f t="shared" si="4"/>
        <v>20833.333333333332</v>
      </c>
      <c r="R52" s="10">
        <f t="shared" si="4"/>
        <v>20833.333333333332</v>
      </c>
      <c r="S52" s="10">
        <f t="shared" si="4"/>
        <v>20833.333333333332</v>
      </c>
      <c r="T52" s="33">
        <f t="shared" si="4"/>
        <v>20833.333333333332</v>
      </c>
    </row>
    <row r="53" spans="2:21" x14ac:dyDescent="0.2">
      <c r="C53" t="s">
        <v>238</v>
      </c>
      <c r="D53" t="s">
        <v>243</v>
      </c>
      <c r="E53" s="64">
        <f>_xlfn.XLOOKUP($C53,'Corporate Roster - ''25'!$C$9:$C$59,'Corporate Roster - ''25'!E$9:E$59,0)</f>
        <v>45658</v>
      </c>
      <c r="F53" s="64" t="str">
        <f>_xlfn.XLOOKUP($C53,'Corporate Roster - ''25'!$C$9:$C$59,'Corporate Roster - ''25'!F$9:F$59,0)</f>
        <v>-</v>
      </c>
      <c r="G53" s="261">
        <f>_xlfn.XLOOKUP($C53,'Corporate Roster - ''25'!$C$9:$C$59,'Corporate Roster - ''25'!G$9:G$59,0)</f>
        <v>130000</v>
      </c>
      <c r="I53" s="32">
        <f t="shared" si="4"/>
        <v>10833.333333333334</v>
      </c>
      <c r="J53" s="10">
        <f t="shared" si="4"/>
        <v>10833.333333333334</v>
      </c>
      <c r="K53" s="10">
        <f t="shared" si="4"/>
        <v>10833.333333333334</v>
      </c>
      <c r="L53" s="10">
        <f t="shared" si="4"/>
        <v>10833.333333333334</v>
      </c>
      <c r="M53" s="10">
        <f t="shared" si="4"/>
        <v>10833.333333333334</v>
      </c>
      <c r="N53" s="10">
        <f t="shared" si="4"/>
        <v>10833.333333333334</v>
      </c>
      <c r="O53" s="10">
        <f t="shared" si="4"/>
        <v>10833.333333333334</v>
      </c>
      <c r="P53" s="10">
        <f t="shared" si="4"/>
        <v>10833.333333333334</v>
      </c>
      <c r="Q53" s="10">
        <f t="shared" si="4"/>
        <v>10833.333333333334</v>
      </c>
      <c r="R53" s="10">
        <f t="shared" si="4"/>
        <v>10833.333333333334</v>
      </c>
      <c r="S53" s="10">
        <f t="shared" si="4"/>
        <v>10833.333333333334</v>
      </c>
      <c r="T53" s="33">
        <f t="shared" si="4"/>
        <v>10833.333333333334</v>
      </c>
    </row>
    <row r="54" spans="2:21" x14ac:dyDescent="0.2">
      <c r="C54" t="s">
        <v>237</v>
      </c>
      <c r="D54" t="s">
        <v>244</v>
      </c>
      <c r="E54" s="64">
        <f>_xlfn.XLOOKUP($C54,'Corporate Roster - ''25'!$C$9:$C$59,'Corporate Roster - ''25'!E$9:E$59,0)</f>
        <v>45658</v>
      </c>
      <c r="F54" s="64" t="str">
        <f>_xlfn.XLOOKUP($C54,'Corporate Roster - ''25'!$C$9:$C$59,'Corporate Roster - ''25'!F$9:F$59,0)</f>
        <v>-</v>
      </c>
      <c r="G54" s="261">
        <f>_xlfn.XLOOKUP($C54,'Corporate Roster - ''25'!$C$9:$C$59,'Corporate Roster - ''25'!G$9:G$59,0)</f>
        <v>160000</v>
      </c>
      <c r="I54" s="32">
        <f t="shared" si="4"/>
        <v>13333.333333333334</v>
      </c>
      <c r="J54" s="10">
        <f t="shared" si="4"/>
        <v>13333.333333333334</v>
      </c>
      <c r="K54" s="10">
        <f t="shared" si="4"/>
        <v>13333.333333333334</v>
      </c>
      <c r="L54" s="10">
        <f t="shared" si="4"/>
        <v>13333.333333333334</v>
      </c>
      <c r="M54" s="10">
        <f t="shared" si="4"/>
        <v>13333.333333333334</v>
      </c>
      <c r="N54" s="10">
        <f t="shared" si="4"/>
        <v>13333.333333333334</v>
      </c>
      <c r="O54" s="10">
        <f t="shared" si="4"/>
        <v>13333.333333333334</v>
      </c>
      <c r="P54" s="10">
        <f t="shared" si="4"/>
        <v>13333.333333333334</v>
      </c>
      <c r="Q54" s="10">
        <f t="shared" si="4"/>
        <v>13333.333333333334</v>
      </c>
      <c r="R54" s="10">
        <f t="shared" si="4"/>
        <v>13333.333333333334</v>
      </c>
      <c r="S54" s="10">
        <f t="shared" si="4"/>
        <v>13333.333333333334</v>
      </c>
      <c r="T54" s="33">
        <f t="shared" si="4"/>
        <v>13333.333333333334</v>
      </c>
    </row>
    <row r="55" spans="2:21" x14ac:dyDescent="0.2">
      <c r="C55" t="s">
        <v>239</v>
      </c>
      <c r="D55" t="s">
        <v>245</v>
      </c>
      <c r="E55" s="64">
        <f>_xlfn.XLOOKUP($C55,'Corporate Roster - ''25'!$C$9:$C$59,'Corporate Roster - ''25'!E$9:E$59,0)</f>
        <v>45689</v>
      </c>
      <c r="F55" s="64" t="str">
        <f>_xlfn.XLOOKUP($C55,'Corporate Roster - ''25'!$C$9:$C$59,'Corporate Roster - ''25'!F$9:F$59,0)</f>
        <v>-</v>
      </c>
      <c r="G55" s="261">
        <f>_xlfn.XLOOKUP($C55,'Corporate Roster - ''25'!$C$9:$C$59,'Corporate Roster - ''25'!G$9:G$59,0)</f>
        <v>225000</v>
      </c>
      <c r="I55" s="32">
        <f t="shared" si="4"/>
        <v>0</v>
      </c>
      <c r="J55" s="10">
        <f t="shared" si="4"/>
        <v>18750</v>
      </c>
      <c r="K55" s="10">
        <f t="shared" si="4"/>
        <v>18750</v>
      </c>
      <c r="L55" s="10">
        <f t="shared" si="4"/>
        <v>18750</v>
      </c>
      <c r="M55" s="10">
        <f t="shared" si="4"/>
        <v>18750</v>
      </c>
      <c r="N55" s="10">
        <f t="shared" si="4"/>
        <v>18750</v>
      </c>
      <c r="O55" s="10">
        <f t="shared" si="4"/>
        <v>18750</v>
      </c>
      <c r="P55" s="10">
        <f t="shared" si="4"/>
        <v>18750</v>
      </c>
      <c r="Q55" s="10">
        <f t="shared" si="4"/>
        <v>18750</v>
      </c>
      <c r="R55" s="10">
        <f t="shared" si="4"/>
        <v>18750</v>
      </c>
      <c r="S55" s="10">
        <f t="shared" si="4"/>
        <v>18750</v>
      </c>
      <c r="T55" s="33">
        <f t="shared" si="4"/>
        <v>18750</v>
      </c>
    </row>
    <row r="56" spans="2:21" x14ac:dyDescent="0.2">
      <c r="C56" t="s">
        <v>240</v>
      </c>
      <c r="D56" t="s">
        <v>246</v>
      </c>
      <c r="E56" s="64">
        <f>_xlfn.XLOOKUP($C56,'Corporate Roster - ''25'!$C$9:$C$59,'Corporate Roster - ''25'!E$9:E$59,0)</f>
        <v>45689</v>
      </c>
      <c r="F56" s="64" t="str">
        <f>_xlfn.XLOOKUP($C56,'Corporate Roster - ''25'!$C$9:$C$59,'Corporate Roster - ''25'!F$9:F$59,0)</f>
        <v>-</v>
      </c>
      <c r="G56" s="261">
        <f>_xlfn.XLOOKUP($C56,'Corporate Roster - ''25'!$C$9:$C$59,'Corporate Roster - ''25'!G$9:G$59,0)</f>
        <v>130000</v>
      </c>
      <c r="I56" s="32">
        <f t="shared" ref="I56:T57" si="5">IF(AND(I$6&gt;$E56,I$6&lt;$F56),$G56/12,0)</f>
        <v>0</v>
      </c>
      <c r="J56" s="10">
        <f t="shared" si="5"/>
        <v>10833.333333333334</v>
      </c>
      <c r="K56" s="10">
        <f t="shared" si="5"/>
        <v>10833.333333333334</v>
      </c>
      <c r="L56" s="10">
        <f t="shared" si="5"/>
        <v>10833.333333333334</v>
      </c>
      <c r="M56" s="10">
        <f t="shared" si="5"/>
        <v>10833.333333333334</v>
      </c>
      <c r="N56" s="10">
        <f t="shared" si="5"/>
        <v>10833.333333333334</v>
      </c>
      <c r="O56" s="10">
        <f t="shared" si="5"/>
        <v>10833.333333333334</v>
      </c>
      <c r="P56" s="10">
        <f t="shared" si="5"/>
        <v>10833.333333333334</v>
      </c>
      <c r="Q56" s="10">
        <f t="shared" si="5"/>
        <v>10833.333333333334</v>
      </c>
      <c r="R56" s="10">
        <f t="shared" si="5"/>
        <v>10833.333333333334</v>
      </c>
      <c r="S56" s="10">
        <f t="shared" si="5"/>
        <v>10833.333333333334</v>
      </c>
      <c r="T56" s="33">
        <f t="shared" si="5"/>
        <v>10833.333333333334</v>
      </c>
    </row>
    <row r="57" spans="2:21" x14ac:dyDescent="0.2">
      <c r="C57" t="s">
        <v>241</v>
      </c>
      <c r="D57" t="s">
        <v>247</v>
      </c>
      <c r="E57" s="64">
        <f>_xlfn.XLOOKUP($C57,'Corporate Roster - ''25'!$C$9:$C$59,'Corporate Roster - ''25'!E$9:E$59,0)</f>
        <v>45689</v>
      </c>
      <c r="F57" s="335" t="str">
        <f>_xlfn.XLOOKUP($C57,'Corporate Roster - ''25'!$C$9:$C$59,'Corporate Roster - ''25'!F$9:F$59,0)</f>
        <v>-</v>
      </c>
      <c r="G57" s="261">
        <f>_xlfn.XLOOKUP($C57,'Corporate Roster - ''25'!$C$9:$C$59,'Corporate Roster - ''25'!G$9:G$59,0)</f>
        <v>80000</v>
      </c>
      <c r="I57" s="32">
        <f t="shared" si="5"/>
        <v>0</v>
      </c>
      <c r="J57" s="10">
        <f t="shared" si="5"/>
        <v>6666.666666666667</v>
      </c>
      <c r="K57" s="10">
        <f t="shared" si="5"/>
        <v>6666.666666666667</v>
      </c>
      <c r="L57" s="10">
        <f t="shared" si="5"/>
        <v>6666.666666666667</v>
      </c>
      <c r="M57" s="10">
        <f t="shared" si="5"/>
        <v>6666.666666666667</v>
      </c>
      <c r="N57" s="10">
        <f t="shared" si="5"/>
        <v>6666.666666666667</v>
      </c>
      <c r="O57" s="10">
        <f t="shared" si="5"/>
        <v>6666.666666666667</v>
      </c>
      <c r="P57" s="10">
        <f t="shared" si="5"/>
        <v>6666.666666666667</v>
      </c>
      <c r="Q57" s="10">
        <f t="shared" si="5"/>
        <v>6666.666666666667</v>
      </c>
      <c r="R57" s="10">
        <f t="shared" si="5"/>
        <v>6666.666666666667</v>
      </c>
      <c r="S57" s="10">
        <f t="shared" si="5"/>
        <v>6666.666666666667</v>
      </c>
      <c r="T57" s="33">
        <f t="shared" si="5"/>
        <v>6666.666666666667</v>
      </c>
    </row>
    <row r="58" spans="2:21" x14ac:dyDescent="0.2">
      <c r="C58" s="8" t="s">
        <v>279</v>
      </c>
      <c r="D58" s="252"/>
      <c r="E58" s="252"/>
      <c r="F58" s="337"/>
      <c r="G58" s="336">
        <f>SUM(G7:G57)</f>
        <v>7092000</v>
      </c>
      <c r="I58" s="263">
        <f t="shared" ref="I58:T58" si="6">SUM(I7:I57)</f>
        <v>554749.99999999988</v>
      </c>
      <c r="J58" s="263">
        <f t="shared" si="6"/>
        <v>590999.99999999988</v>
      </c>
      <c r="K58" s="263">
        <f t="shared" si="6"/>
        <v>590999.99999999988</v>
      </c>
      <c r="L58" s="263">
        <f t="shared" si="6"/>
        <v>590999.99999999988</v>
      </c>
      <c r="M58" s="263">
        <f t="shared" si="6"/>
        <v>590999.99999999988</v>
      </c>
      <c r="N58" s="263">
        <f t="shared" si="6"/>
        <v>590999.99999999988</v>
      </c>
      <c r="O58" s="263">
        <f t="shared" si="6"/>
        <v>590999.99999999988</v>
      </c>
      <c r="P58" s="263">
        <f t="shared" si="6"/>
        <v>590999.99999999988</v>
      </c>
      <c r="Q58" s="263">
        <f t="shared" si="6"/>
        <v>590999.99999999988</v>
      </c>
      <c r="R58" s="263">
        <f t="shared" si="6"/>
        <v>590999.99999999988</v>
      </c>
      <c r="S58" s="263">
        <f t="shared" si="6"/>
        <v>590999.99999999988</v>
      </c>
      <c r="T58" s="263">
        <f t="shared" si="6"/>
        <v>590999.99999999988</v>
      </c>
    </row>
    <row r="61" spans="2:21" ht="13.5" thickBot="1" x14ac:dyDescent="0.25">
      <c r="B61" s="48" t="s">
        <v>0</v>
      </c>
      <c r="C61" s="1"/>
      <c r="D61" s="1"/>
      <c r="E61" s="1"/>
      <c r="F61" s="1"/>
      <c r="G61" s="1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3">
        <f ca="1">TODAY()</f>
        <v>45999</v>
      </c>
      <c r="U61" s="1"/>
    </row>
    <row r="62" spans="2:21" x14ac:dyDescent="0.2">
      <c r="B62" s="47"/>
      <c r="C62" t="s">
        <v>156</v>
      </c>
      <c r="H62" s="6"/>
      <c r="T62" s="53" t="s">
        <v>228</v>
      </c>
    </row>
    <row r="63" spans="2:21" x14ac:dyDescent="0.2">
      <c r="B63" s="47"/>
      <c r="H63" s="6"/>
    </row>
    <row r="64" spans="2:21" ht="15" customHeight="1" x14ac:dyDescent="0.2">
      <c r="B64" s="47"/>
      <c r="E64" s="77" t="s">
        <v>143</v>
      </c>
      <c r="F64" s="77" t="s">
        <v>144</v>
      </c>
      <c r="G64" s="227" t="s">
        <v>154</v>
      </c>
      <c r="H64" s="52" t="s">
        <v>56</v>
      </c>
      <c r="I64" s="20">
        <v>2025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2"/>
    </row>
    <row r="65" spans="3:23" ht="15" x14ac:dyDescent="0.35">
      <c r="C65" s="59" t="s">
        <v>57</v>
      </c>
      <c r="D65" s="59" t="s">
        <v>58</v>
      </c>
      <c r="E65" s="59" t="s">
        <v>142</v>
      </c>
      <c r="F65" s="59" t="s">
        <v>142</v>
      </c>
      <c r="G65" s="259">
        <v>46022</v>
      </c>
      <c r="H65" s="51"/>
      <c r="I65" s="4">
        <v>45688</v>
      </c>
      <c r="J65" s="19">
        <f>EOMONTH(I65,1)</f>
        <v>45716</v>
      </c>
      <c r="K65" s="19">
        <f t="shared" ref="K65" si="7">EOMONTH(J65,1)</f>
        <v>45747</v>
      </c>
      <c r="L65" s="19">
        <f t="shared" ref="L65" si="8">EOMONTH(K65,1)</f>
        <v>45777</v>
      </c>
      <c r="M65" s="19">
        <f t="shared" ref="M65" si="9">EOMONTH(L65,1)</f>
        <v>45808</v>
      </c>
      <c r="N65" s="19">
        <f t="shared" ref="N65" si="10">EOMONTH(M65,1)</f>
        <v>45838</v>
      </c>
      <c r="O65" s="19">
        <f t="shared" ref="O65" si="11">EOMONTH(N65,1)</f>
        <v>45869</v>
      </c>
      <c r="P65" s="19">
        <f t="shared" ref="P65" si="12">EOMONTH(O65,1)</f>
        <v>45900</v>
      </c>
      <c r="Q65" s="19">
        <f t="shared" ref="Q65" si="13">EOMONTH(P65,1)</f>
        <v>45930</v>
      </c>
      <c r="R65" s="19">
        <f t="shared" ref="R65" si="14">EOMONTH(Q65,1)</f>
        <v>45961</v>
      </c>
      <c r="S65" s="19">
        <f t="shared" ref="S65" si="15">EOMONTH(R65,1)</f>
        <v>45991</v>
      </c>
      <c r="T65" s="5">
        <f t="shared" ref="T65" si="16">EOMONTH(S65,1)</f>
        <v>46022</v>
      </c>
    </row>
    <row r="66" spans="3:23" x14ac:dyDescent="0.2">
      <c r="C66" t="s">
        <v>137</v>
      </c>
      <c r="D66" t="s">
        <v>66</v>
      </c>
      <c r="E66" s="64">
        <f>_xlfn.XLOOKUP($C66,'Corporate Roster - ''25'!$C$9:$C$59,'Corporate Roster - ''25'!E$9:E$59,0)</f>
        <v>40848</v>
      </c>
      <c r="F66" s="64" t="str">
        <f>_xlfn.XLOOKUP($C66,'Corporate Roster - ''25'!$C$9:$C$59,'Corporate Roster - ''25'!F$9:F$59,0)</f>
        <v>-</v>
      </c>
      <c r="G66" s="260">
        <f>_xlfn.XLOOKUP($C66,'Corporate Roster - ''25'!$C$9:$C$59,'Corporate Roster - ''25'!H$9:H$59,0)</f>
        <v>165000</v>
      </c>
      <c r="I66" s="56">
        <v>0</v>
      </c>
      <c r="J66" s="55">
        <v>0</v>
      </c>
      <c r="K66" s="55">
        <v>0</v>
      </c>
      <c r="L66" s="55">
        <v>0</v>
      </c>
      <c r="M66" s="55">
        <v>0</v>
      </c>
      <c r="N66" s="55">
        <v>0</v>
      </c>
      <c r="O66" s="55">
        <v>0</v>
      </c>
      <c r="P66" s="55">
        <v>0</v>
      </c>
      <c r="Q66" s="55">
        <v>0</v>
      </c>
      <c r="R66" s="55">
        <v>0</v>
      </c>
      <c r="S66" s="55">
        <v>0</v>
      </c>
      <c r="T66" s="61">
        <f>MIN(YEARFRAC(T$65,$E66),1)*$G66</f>
        <v>165000</v>
      </c>
      <c r="W66" s="55"/>
    </row>
    <row r="67" spans="3:23" x14ac:dyDescent="0.2">
      <c r="C67" t="s">
        <v>67</v>
      </c>
      <c r="D67" t="s">
        <v>68</v>
      </c>
      <c r="E67" s="64">
        <f>_xlfn.XLOOKUP($C67,'Corporate Roster - ''25'!$C$9:$C$59,'Corporate Roster - ''25'!E$9:E$59,0)</f>
        <v>41718</v>
      </c>
      <c r="F67" s="64" t="str">
        <f>_xlfn.XLOOKUP($C67,'Corporate Roster - ''25'!$C$9:$C$59,'Corporate Roster - ''25'!F$9:F$59,0)</f>
        <v>-</v>
      </c>
      <c r="G67" s="261">
        <f>_xlfn.XLOOKUP($C67,'Corporate Roster - ''25'!$C$9:$C$59,'Corporate Roster - ''25'!H$9:H$59,0)</f>
        <v>110000</v>
      </c>
      <c r="I67" s="32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33">
        <f t="shared" ref="T67:T109" si="17">MIN(YEARFRAC(T$65,E67),1)*$G67</f>
        <v>110000</v>
      </c>
      <c r="W67" s="55"/>
    </row>
    <row r="68" spans="3:23" x14ac:dyDescent="0.2">
      <c r="C68" t="s">
        <v>69</v>
      </c>
      <c r="D68" t="s">
        <v>70</v>
      </c>
      <c r="E68" s="64">
        <f>_xlfn.XLOOKUP($C68,'Corporate Roster - ''25'!$C$9:$C$59,'Corporate Roster - ''25'!E$9:E$59,0)</f>
        <v>39601</v>
      </c>
      <c r="F68" s="64" t="str">
        <f>_xlfn.XLOOKUP($C68,'Corporate Roster - ''25'!$C$9:$C$59,'Corporate Roster - ''25'!F$9:F$59,0)</f>
        <v>-</v>
      </c>
      <c r="G68" s="261">
        <f>_xlfn.XLOOKUP($C68,'Corporate Roster - ''25'!$C$9:$C$59,'Corporate Roster - ''25'!H$9:H$59,0)</f>
        <v>110000</v>
      </c>
      <c r="I68" s="32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33">
        <f t="shared" si="17"/>
        <v>110000</v>
      </c>
      <c r="W68" s="55"/>
    </row>
    <row r="69" spans="3:23" x14ac:dyDescent="0.2">
      <c r="C69" t="s">
        <v>71</v>
      </c>
      <c r="D69" t="s">
        <v>72</v>
      </c>
      <c r="E69" s="64">
        <f>_xlfn.XLOOKUP($C69,'Corporate Roster - ''25'!$C$9:$C$59,'Corporate Roster - ''25'!E$9:E$59,0)</f>
        <v>44453</v>
      </c>
      <c r="F69" s="64" t="str">
        <f>_xlfn.XLOOKUP($C69,'Corporate Roster - ''25'!$C$9:$C$59,'Corporate Roster - ''25'!F$9:F$59,0)</f>
        <v>-</v>
      </c>
      <c r="G69" s="261">
        <f>_xlfn.XLOOKUP($C69,'Corporate Roster - ''25'!$C$9:$C$59,'Corporate Roster - ''25'!H$9:H$59,0)</f>
        <v>92000</v>
      </c>
      <c r="I69" s="32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33">
        <f t="shared" si="17"/>
        <v>92000</v>
      </c>
      <c r="W69" s="55"/>
    </row>
    <row r="70" spans="3:23" x14ac:dyDescent="0.2">
      <c r="C70" t="s">
        <v>145</v>
      </c>
      <c r="D70" t="s">
        <v>74</v>
      </c>
      <c r="E70" s="64">
        <f>_xlfn.XLOOKUP($C70,'Corporate Roster - ''25'!$C$9:$C$59,'Corporate Roster - ''25'!E$9:E$59,0)</f>
        <v>39783</v>
      </c>
      <c r="F70" s="64" t="str">
        <f>_xlfn.XLOOKUP($C70,'Corporate Roster - ''25'!$C$9:$C$59,'Corporate Roster - ''25'!F$9:F$59,0)</f>
        <v>-</v>
      </c>
      <c r="G70" s="261">
        <f>_xlfn.XLOOKUP($C70,'Corporate Roster - ''25'!$C$9:$C$59,'Corporate Roster - ''25'!H$9:H$59,0)</f>
        <v>66000</v>
      </c>
      <c r="I70" s="32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33">
        <f t="shared" si="17"/>
        <v>66000</v>
      </c>
      <c r="W70" s="55"/>
    </row>
    <row r="71" spans="3:23" x14ac:dyDescent="0.2">
      <c r="C71" t="s">
        <v>146</v>
      </c>
      <c r="D71" t="s">
        <v>76</v>
      </c>
      <c r="E71" s="64">
        <f>_xlfn.XLOOKUP($C71,'Corporate Roster - ''25'!$C$9:$C$59,'Corporate Roster - ''25'!E$9:E$59,0)</f>
        <v>42573</v>
      </c>
      <c r="F71" s="64" t="str">
        <f>_xlfn.XLOOKUP($C71,'Corporate Roster - ''25'!$C$9:$C$59,'Corporate Roster - ''25'!F$9:F$59,0)</f>
        <v>-</v>
      </c>
      <c r="G71" s="261">
        <f>_xlfn.XLOOKUP($C71,'Corporate Roster - ''25'!$C$9:$C$59,'Corporate Roster - ''25'!H$9:H$59,0)</f>
        <v>66000</v>
      </c>
      <c r="I71" s="32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33">
        <f t="shared" si="17"/>
        <v>66000</v>
      </c>
      <c r="W71" s="55"/>
    </row>
    <row r="72" spans="3:23" x14ac:dyDescent="0.2">
      <c r="C72" t="s">
        <v>77</v>
      </c>
      <c r="D72" t="s">
        <v>78</v>
      </c>
      <c r="E72" s="64">
        <f>_xlfn.XLOOKUP($C72,'Corporate Roster - ''25'!$C$9:$C$59,'Corporate Roster - ''25'!E$9:E$59,0)</f>
        <v>38481</v>
      </c>
      <c r="F72" s="64" t="str">
        <f>_xlfn.XLOOKUP($C72,'Corporate Roster - ''25'!$C$9:$C$59,'Corporate Roster - ''25'!F$9:F$59,0)</f>
        <v>-</v>
      </c>
      <c r="G72" s="261">
        <f>_xlfn.XLOOKUP($C72,'Corporate Roster - ''25'!$C$9:$C$59,'Corporate Roster - ''25'!H$9:H$59,0)</f>
        <v>50000</v>
      </c>
      <c r="I72" s="32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33">
        <f t="shared" si="17"/>
        <v>50000</v>
      </c>
      <c r="W72" s="55"/>
    </row>
    <row r="73" spans="3:23" x14ac:dyDescent="0.2">
      <c r="C73" t="s">
        <v>79</v>
      </c>
      <c r="D73" t="s">
        <v>80</v>
      </c>
      <c r="E73" s="64">
        <f>_xlfn.XLOOKUP($C73,'Corporate Roster - ''25'!$C$9:$C$59,'Corporate Roster - ''25'!E$9:E$59,0)</f>
        <v>38427</v>
      </c>
      <c r="F73" s="64" t="str">
        <f>_xlfn.XLOOKUP($C73,'Corporate Roster - ''25'!$C$9:$C$59,'Corporate Roster - ''25'!F$9:F$59,0)</f>
        <v>-</v>
      </c>
      <c r="G73" s="261">
        <f>_xlfn.XLOOKUP($C73,'Corporate Roster - ''25'!$C$9:$C$59,'Corporate Roster - ''25'!H$9:H$59,0)</f>
        <v>35000</v>
      </c>
      <c r="I73" s="32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33">
        <f t="shared" si="17"/>
        <v>35000</v>
      </c>
      <c r="W73" s="55"/>
    </row>
    <row r="74" spans="3:23" x14ac:dyDescent="0.2">
      <c r="C74" t="s">
        <v>147</v>
      </c>
      <c r="D74" t="s">
        <v>82</v>
      </c>
      <c r="E74" s="64">
        <f>_xlfn.XLOOKUP($C74,'Corporate Roster - ''25'!$C$9:$C$59,'Corporate Roster - ''25'!E$9:E$59,0)</f>
        <v>42696</v>
      </c>
      <c r="F74" s="64" t="str">
        <f>_xlfn.XLOOKUP($C74,'Corporate Roster - ''25'!$C$9:$C$59,'Corporate Roster - ''25'!F$9:F$59,0)</f>
        <v>-</v>
      </c>
      <c r="G74" s="261">
        <f>_xlfn.XLOOKUP($C74,'Corporate Roster - ''25'!$C$9:$C$59,'Corporate Roster - ''25'!H$9:H$59,0)</f>
        <v>35000</v>
      </c>
      <c r="I74" s="32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33">
        <f t="shared" si="17"/>
        <v>35000</v>
      </c>
      <c r="W74" s="55"/>
    </row>
    <row r="75" spans="3:23" x14ac:dyDescent="0.2">
      <c r="C75" t="s">
        <v>83</v>
      </c>
      <c r="D75" t="s">
        <v>84</v>
      </c>
      <c r="E75" s="64">
        <f>_xlfn.XLOOKUP($C75,'Corporate Roster - ''25'!$C$9:$C$59,'Corporate Roster - ''25'!E$9:E$59,0)</f>
        <v>45248</v>
      </c>
      <c r="F75" s="64" t="str">
        <f>_xlfn.XLOOKUP($C75,'Corporate Roster - ''25'!$C$9:$C$59,'Corporate Roster - ''25'!F$9:F$59,0)</f>
        <v>-</v>
      </c>
      <c r="G75" s="261">
        <f>_xlfn.XLOOKUP($C75,'Corporate Roster - ''25'!$C$9:$C$59,'Corporate Roster - ''25'!H$9:H$59,0)</f>
        <v>25000</v>
      </c>
      <c r="I75" s="32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33">
        <f t="shared" si="17"/>
        <v>25000</v>
      </c>
      <c r="W75" s="55"/>
    </row>
    <row r="76" spans="3:23" x14ac:dyDescent="0.2">
      <c r="C76" t="s">
        <v>85</v>
      </c>
      <c r="D76" t="s">
        <v>86</v>
      </c>
      <c r="E76" s="64">
        <f>_xlfn.XLOOKUP($C76,'Corporate Roster - ''25'!$C$9:$C$59,'Corporate Roster - ''25'!E$9:E$59,0)</f>
        <v>42458</v>
      </c>
      <c r="F76" s="64" t="str">
        <f>_xlfn.XLOOKUP($C76,'Corporate Roster - ''25'!$C$9:$C$59,'Corporate Roster - ''25'!F$9:F$59,0)</f>
        <v>-</v>
      </c>
      <c r="G76" s="261">
        <f>_xlfn.XLOOKUP($C76,'Corporate Roster - ''25'!$C$9:$C$59,'Corporate Roster - ''25'!H$9:H$59,0)</f>
        <v>13000</v>
      </c>
      <c r="I76" s="32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33">
        <f t="shared" si="17"/>
        <v>13000</v>
      </c>
      <c r="W76" s="55"/>
    </row>
    <row r="77" spans="3:23" x14ac:dyDescent="0.2">
      <c r="C77" t="s">
        <v>87</v>
      </c>
      <c r="D77" t="s">
        <v>88</v>
      </c>
      <c r="E77" s="64">
        <f>_xlfn.XLOOKUP($C77,'Corporate Roster - ''25'!$C$9:$C$59,'Corporate Roster - ''25'!E$9:E$59,0)</f>
        <v>41921</v>
      </c>
      <c r="F77" s="64" t="str">
        <f>_xlfn.XLOOKUP($C77,'Corporate Roster - ''25'!$C$9:$C$59,'Corporate Roster - ''25'!F$9:F$59,0)</f>
        <v>-</v>
      </c>
      <c r="G77" s="261">
        <f>_xlfn.XLOOKUP($C77,'Corporate Roster - ''25'!$C$9:$C$59,'Corporate Roster - ''25'!H$9:H$59,0)</f>
        <v>14000</v>
      </c>
      <c r="I77" s="32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33">
        <f t="shared" si="17"/>
        <v>14000</v>
      </c>
      <c r="W77" s="55"/>
    </row>
    <row r="78" spans="3:23" x14ac:dyDescent="0.2">
      <c r="C78" t="s">
        <v>89</v>
      </c>
      <c r="D78" t="s">
        <v>90</v>
      </c>
      <c r="E78" s="64">
        <f>_xlfn.XLOOKUP($C78,'Corporate Roster - ''25'!$C$9:$C$59,'Corporate Roster - ''25'!E$9:E$59,0)</f>
        <v>40143</v>
      </c>
      <c r="F78" s="64" t="str">
        <f>_xlfn.XLOOKUP($C78,'Corporate Roster - ''25'!$C$9:$C$59,'Corporate Roster - ''25'!F$9:F$59,0)</f>
        <v>-</v>
      </c>
      <c r="G78" s="261">
        <f>_xlfn.XLOOKUP($C78,'Corporate Roster - ''25'!$C$9:$C$59,'Corporate Roster - ''25'!H$9:H$59,0)</f>
        <v>14000</v>
      </c>
      <c r="I78" s="32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33">
        <f t="shared" si="17"/>
        <v>14000</v>
      </c>
      <c r="W78" s="55"/>
    </row>
    <row r="79" spans="3:23" x14ac:dyDescent="0.2">
      <c r="C79" t="s">
        <v>81</v>
      </c>
      <c r="D79" t="s">
        <v>91</v>
      </c>
      <c r="E79" s="64">
        <f>_xlfn.XLOOKUP($C79,'Corporate Roster - ''25'!$C$9:$C$59,'Corporate Roster - ''25'!E$9:E$59,0)</f>
        <v>40811</v>
      </c>
      <c r="F79" s="64" t="str">
        <f>_xlfn.XLOOKUP($C79,'Corporate Roster - ''25'!$C$9:$C$59,'Corporate Roster - ''25'!F$9:F$59,0)</f>
        <v>-</v>
      </c>
      <c r="G79" s="261">
        <f>_xlfn.XLOOKUP($C79,'Corporate Roster - ''25'!$C$9:$C$59,'Corporate Roster - ''25'!H$9:H$59,0)</f>
        <v>12000</v>
      </c>
      <c r="I79" s="32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33">
        <f t="shared" si="17"/>
        <v>12000</v>
      </c>
      <c r="W79" s="55"/>
    </row>
    <row r="80" spans="3:23" x14ac:dyDescent="0.2">
      <c r="C80" t="s">
        <v>92</v>
      </c>
      <c r="D80" t="s">
        <v>93</v>
      </c>
      <c r="E80" s="64">
        <f>_xlfn.XLOOKUP($C80,'Corporate Roster - ''25'!$C$9:$C$59,'Corporate Roster - ''25'!E$9:E$59,0)</f>
        <v>43400</v>
      </c>
      <c r="F80" s="64" t="str">
        <f>_xlfn.XLOOKUP($C80,'Corporate Roster - ''25'!$C$9:$C$59,'Corporate Roster - ''25'!F$9:F$59,0)</f>
        <v>-</v>
      </c>
      <c r="G80" s="261">
        <f>_xlfn.XLOOKUP($C80,'Corporate Roster - ''25'!$C$9:$C$59,'Corporate Roster - ''25'!H$9:H$59,0)</f>
        <v>13000</v>
      </c>
      <c r="I80" s="32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33">
        <f t="shared" si="17"/>
        <v>13000</v>
      </c>
      <c r="W80" s="55"/>
    </row>
    <row r="81" spans="3:23" x14ac:dyDescent="0.2">
      <c r="C81" t="s">
        <v>94</v>
      </c>
      <c r="D81" t="s">
        <v>95</v>
      </c>
      <c r="E81" s="64">
        <f>_xlfn.XLOOKUP($C81,'Corporate Roster - ''25'!$C$9:$C$59,'Corporate Roster - ''25'!E$9:E$59,0)</f>
        <v>40031</v>
      </c>
      <c r="F81" s="64" t="str">
        <f>_xlfn.XLOOKUP($C81,'Corporate Roster - ''25'!$C$9:$C$59,'Corporate Roster - ''25'!F$9:F$59,0)</f>
        <v>-</v>
      </c>
      <c r="G81" s="261">
        <f>_xlfn.XLOOKUP($C81,'Corporate Roster - ''25'!$C$9:$C$59,'Corporate Roster - ''25'!H$9:H$59,0)</f>
        <v>15000</v>
      </c>
      <c r="I81" s="32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33">
        <f t="shared" si="17"/>
        <v>15000</v>
      </c>
      <c r="W81" s="55"/>
    </row>
    <row r="82" spans="3:23" x14ac:dyDescent="0.2">
      <c r="C82" t="s">
        <v>96</v>
      </c>
      <c r="D82" t="s">
        <v>97</v>
      </c>
      <c r="E82" s="64">
        <f>_xlfn.XLOOKUP($C82,'Corporate Roster - ''25'!$C$9:$C$59,'Corporate Roster - ''25'!E$9:E$59,0)</f>
        <v>44978</v>
      </c>
      <c r="F82" s="64" t="str">
        <f>_xlfn.XLOOKUP($C82,'Corporate Roster - ''25'!$C$9:$C$59,'Corporate Roster - ''25'!F$9:F$59,0)</f>
        <v>-</v>
      </c>
      <c r="G82" s="261">
        <f>_xlfn.XLOOKUP($C82,'Corporate Roster - ''25'!$C$9:$C$59,'Corporate Roster - ''25'!H$9:H$59,0)</f>
        <v>11000</v>
      </c>
      <c r="I82" s="32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33">
        <f t="shared" si="17"/>
        <v>11000</v>
      </c>
      <c r="W82" s="55"/>
    </row>
    <row r="83" spans="3:23" x14ac:dyDescent="0.2">
      <c r="C83" t="s">
        <v>98</v>
      </c>
      <c r="D83" t="s">
        <v>99</v>
      </c>
      <c r="E83" s="64">
        <f>_xlfn.XLOOKUP($C83,'Corporate Roster - ''25'!$C$9:$C$59,'Corporate Roster - ''25'!E$9:E$59,0)</f>
        <v>41398</v>
      </c>
      <c r="F83" s="64" t="str">
        <f>_xlfn.XLOOKUP($C83,'Corporate Roster - ''25'!$C$9:$C$59,'Corporate Roster - ''25'!F$9:F$59,0)</f>
        <v>-</v>
      </c>
      <c r="G83" s="261">
        <f>_xlfn.XLOOKUP($C83,'Corporate Roster - ''25'!$C$9:$C$59,'Corporate Roster - ''25'!H$9:H$59,0)</f>
        <v>4000</v>
      </c>
      <c r="I83" s="32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33">
        <f t="shared" si="17"/>
        <v>4000</v>
      </c>
      <c r="W83" s="55"/>
    </row>
    <row r="84" spans="3:23" x14ac:dyDescent="0.2">
      <c r="C84" t="s">
        <v>100</v>
      </c>
      <c r="D84" t="s">
        <v>101</v>
      </c>
      <c r="E84" s="64">
        <f>_xlfn.XLOOKUP($C84,'Corporate Roster - ''25'!$C$9:$C$59,'Corporate Roster - ''25'!E$9:E$59,0)</f>
        <v>40362</v>
      </c>
      <c r="F84" s="64" t="str">
        <f>_xlfn.XLOOKUP($C84,'Corporate Roster - ''25'!$C$9:$C$59,'Corporate Roster - ''25'!F$9:F$59,0)</f>
        <v>-</v>
      </c>
      <c r="G84" s="261">
        <f>_xlfn.XLOOKUP($C84,'Corporate Roster - ''25'!$C$9:$C$59,'Corporate Roster - ''25'!H$9:H$59,0)</f>
        <v>4000</v>
      </c>
      <c r="I84" s="32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33">
        <f t="shared" si="17"/>
        <v>4000</v>
      </c>
      <c r="W84" s="55"/>
    </row>
    <row r="85" spans="3:23" x14ac:dyDescent="0.2">
      <c r="C85" t="s">
        <v>102</v>
      </c>
      <c r="D85" t="s">
        <v>103</v>
      </c>
      <c r="E85" s="64">
        <f>_xlfn.XLOOKUP($C85,'Corporate Roster - ''25'!$C$9:$C$59,'Corporate Roster - ''25'!E$9:E$59,0)</f>
        <v>45063</v>
      </c>
      <c r="F85" s="64" t="str">
        <f>_xlfn.XLOOKUP($C85,'Corporate Roster - ''25'!$C$9:$C$59,'Corporate Roster - ''25'!F$9:F$59,0)</f>
        <v>-</v>
      </c>
      <c r="G85" s="261">
        <f>_xlfn.XLOOKUP($C85,'Corporate Roster - ''25'!$C$9:$C$59,'Corporate Roster - ''25'!H$9:H$59,0)</f>
        <v>5000</v>
      </c>
      <c r="I85" s="32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33">
        <f t="shared" si="17"/>
        <v>5000</v>
      </c>
      <c r="W85" s="55"/>
    </row>
    <row r="86" spans="3:23" x14ac:dyDescent="0.2">
      <c r="C86" t="s">
        <v>104</v>
      </c>
      <c r="D86" t="s">
        <v>105</v>
      </c>
      <c r="E86" s="64">
        <f>_xlfn.XLOOKUP($C86,'Corporate Roster - ''25'!$C$9:$C$59,'Corporate Roster - ''25'!E$9:E$59,0)</f>
        <v>44169</v>
      </c>
      <c r="F86" s="64" t="str">
        <f>_xlfn.XLOOKUP($C86,'Corporate Roster - ''25'!$C$9:$C$59,'Corporate Roster - ''25'!F$9:F$59,0)</f>
        <v>-</v>
      </c>
      <c r="G86" s="261">
        <f>_xlfn.XLOOKUP($C86,'Corporate Roster - ''25'!$C$9:$C$59,'Corporate Roster - ''25'!H$9:H$59,0)</f>
        <v>3000</v>
      </c>
      <c r="I86" s="32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33">
        <f t="shared" si="17"/>
        <v>3000</v>
      </c>
      <c r="W86" s="55"/>
    </row>
    <row r="87" spans="3:23" x14ac:dyDescent="0.2">
      <c r="C87" t="s">
        <v>148</v>
      </c>
      <c r="D87" t="s">
        <v>107</v>
      </c>
      <c r="E87" s="64">
        <f>_xlfn.XLOOKUP($C87,'Corporate Roster - ''25'!$C$9:$C$59,'Corporate Roster - ''25'!E$9:E$59,0)</f>
        <v>45017</v>
      </c>
      <c r="F87" s="64" t="str">
        <f>_xlfn.XLOOKUP($C87,'Corporate Roster - ''25'!$C$9:$C$59,'Corporate Roster - ''25'!F$9:F$59,0)</f>
        <v>-</v>
      </c>
      <c r="G87" s="261">
        <f>_xlfn.XLOOKUP($C87,'Corporate Roster - ''25'!$C$9:$C$59,'Corporate Roster - ''25'!H$9:H$59,0)</f>
        <v>4000</v>
      </c>
      <c r="I87" s="32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33">
        <f t="shared" si="17"/>
        <v>4000</v>
      </c>
      <c r="W87" s="55"/>
    </row>
    <row r="88" spans="3:23" x14ac:dyDescent="0.2">
      <c r="C88" t="s">
        <v>108</v>
      </c>
      <c r="D88" t="s">
        <v>109</v>
      </c>
      <c r="E88" s="64">
        <f>_xlfn.XLOOKUP($C88,'Corporate Roster - ''25'!$C$9:$C$59,'Corporate Roster - ''25'!E$9:E$59,0)</f>
        <v>40157</v>
      </c>
      <c r="F88" s="64" t="str">
        <f>_xlfn.XLOOKUP($C88,'Corporate Roster - ''25'!$C$9:$C$59,'Corporate Roster - ''25'!F$9:F$59,0)</f>
        <v>-</v>
      </c>
      <c r="G88" s="261">
        <f>_xlfn.XLOOKUP($C88,'Corporate Roster - ''25'!$C$9:$C$59,'Corporate Roster - ''25'!H$9:H$59,0)</f>
        <v>4000</v>
      </c>
      <c r="I88" s="32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33">
        <f t="shared" si="17"/>
        <v>4000</v>
      </c>
      <c r="W88" s="55"/>
    </row>
    <row r="89" spans="3:23" x14ac:dyDescent="0.2">
      <c r="C89" t="s">
        <v>73</v>
      </c>
      <c r="D89" t="s">
        <v>110</v>
      </c>
      <c r="E89" s="64">
        <f>_xlfn.XLOOKUP($C89,'Corporate Roster - ''25'!$C$9:$C$59,'Corporate Roster - ''25'!E$9:E$59,0)</f>
        <v>45335</v>
      </c>
      <c r="F89" s="64" t="str">
        <f>_xlfn.XLOOKUP($C89,'Corporate Roster - ''25'!$C$9:$C$59,'Corporate Roster - ''25'!F$9:F$59,0)</f>
        <v>-</v>
      </c>
      <c r="G89" s="261">
        <f>_xlfn.XLOOKUP($C89,'Corporate Roster - ''25'!$C$9:$C$59,'Corporate Roster - ''25'!H$9:H$59,0)</f>
        <v>5000</v>
      </c>
      <c r="I89" s="32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33">
        <f t="shared" si="17"/>
        <v>5000</v>
      </c>
      <c r="W89" s="55"/>
    </row>
    <row r="90" spans="3:23" x14ac:dyDescent="0.2">
      <c r="C90" t="s">
        <v>111</v>
      </c>
      <c r="D90" t="s">
        <v>112</v>
      </c>
      <c r="E90" s="64">
        <f>_xlfn.XLOOKUP($C90,'Corporate Roster - ''25'!$C$9:$C$59,'Corporate Roster - ''25'!E$9:E$59,0)</f>
        <v>44694</v>
      </c>
      <c r="F90" s="64" t="str">
        <f>_xlfn.XLOOKUP($C90,'Corporate Roster - ''25'!$C$9:$C$59,'Corporate Roster - ''25'!F$9:F$59,0)</f>
        <v>-</v>
      </c>
      <c r="G90" s="261">
        <f>_xlfn.XLOOKUP($C90,'Corporate Roster - ''25'!$C$9:$C$59,'Corporate Roster - ''25'!H$9:H$59,0)</f>
        <v>5000</v>
      </c>
      <c r="I90" s="32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33">
        <f t="shared" si="17"/>
        <v>5000</v>
      </c>
      <c r="W90" s="55"/>
    </row>
    <row r="91" spans="3:23" x14ac:dyDescent="0.2">
      <c r="C91" t="s">
        <v>149</v>
      </c>
      <c r="D91" t="s">
        <v>110</v>
      </c>
      <c r="E91" s="64">
        <f>_xlfn.XLOOKUP($C91,'Corporate Roster - ''25'!$C$9:$C$59,'Corporate Roster - ''25'!E$9:E$59,0)</f>
        <v>45368</v>
      </c>
      <c r="F91" s="64" t="str">
        <f>_xlfn.XLOOKUP($C91,'Corporate Roster - ''25'!$C$9:$C$59,'Corporate Roster - ''25'!F$9:F$59,0)</f>
        <v>-</v>
      </c>
      <c r="G91" s="261">
        <f>_xlfn.XLOOKUP($C91,'Corporate Roster - ''25'!$C$9:$C$59,'Corporate Roster - ''25'!H$9:H$59,0)</f>
        <v>5000</v>
      </c>
      <c r="I91" s="32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33">
        <f t="shared" si="17"/>
        <v>5000</v>
      </c>
      <c r="W91" s="55"/>
    </row>
    <row r="92" spans="3:23" x14ac:dyDescent="0.2">
      <c r="C92" t="s">
        <v>150</v>
      </c>
      <c r="D92" t="s">
        <v>95</v>
      </c>
      <c r="E92" s="64">
        <f>_xlfn.XLOOKUP($C92,'Corporate Roster - ''25'!$C$9:$C$59,'Corporate Roster - ''25'!E$9:E$59,0)</f>
        <v>40489</v>
      </c>
      <c r="F92" s="64" t="str">
        <f>_xlfn.XLOOKUP($C92,'Corporate Roster - ''25'!$C$9:$C$59,'Corporate Roster - ''25'!F$9:F$59,0)</f>
        <v>-</v>
      </c>
      <c r="G92" s="261">
        <f>_xlfn.XLOOKUP($C92,'Corporate Roster - ''25'!$C$9:$C$59,'Corporate Roster - ''25'!H$9:H$59,0)</f>
        <v>15000</v>
      </c>
      <c r="I92" s="32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33">
        <f t="shared" si="17"/>
        <v>15000</v>
      </c>
      <c r="W92" s="55"/>
    </row>
    <row r="93" spans="3:23" x14ac:dyDescent="0.2">
      <c r="C93" t="s">
        <v>115</v>
      </c>
      <c r="D93" t="s">
        <v>112</v>
      </c>
      <c r="E93" s="64">
        <f>_xlfn.XLOOKUP($C93,'Corporate Roster - ''25'!$C$9:$C$59,'Corporate Roster - ''25'!E$9:E$59,0)</f>
        <v>45236</v>
      </c>
      <c r="F93" s="64" t="str">
        <f>_xlfn.XLOOKUP($C93,'Corporate Roster - ''25'!$C$9:$C$59,'Corporate Roster - ''25'!F$9:F$59,0)</f>
        <v>-</v>
      </c>
      <c r="G93" s="261">
        <f>_xlfn.XLOOKUP($C93,'Corporate Roster - ''25'!$C$9:$C$59,'Corporate Roster - ''25'!H$9:H$59,0)</f>
        <v>5000</v>
      </c>
      <c r="I93" s="32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33">
        <f t="shared" si="17"/>
        <v>5000</v>
      </c>
      <c r="W93" s="55"/>
    </row>
    <row r="94" spans="3:23" x14ac:dyDescent="0.2">
      <c r="C94" t="s">
        <v>116</v>
      </c>
      <c r="D94" t="s">
        <v>110</v>
      </c>
      <c r="E94" s="64">
        <f>_xlfn.XLOOKUP($C94,'Corporate Roster - ''25'!$C$9:$C$59,'Corporate Roster - ''25'!E$9:E$59,0)</f>
        <v>40015</v>
      </c>
      <c r="F94" s="64" t="str">
        <f>_xlfn.XLOOKUP($C94,'Corporate Roster - ''25'!$C$9:$C$59,'Corporate Roster - ''25'!F$9:F$59,0)</f>
        <v>-</v>
      </c>
      <c r="G94" s="261">
        <f>_xlfn.XLOOKUP($C94,'Corporate Roster - ''25'!$C$9:$C$59,'Corporate Roster - ''25'!H$9:H$59,0)</f>
        <v>5000</v>
      </c>
      <c r="I94" s="32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33">
        <f t="shared" si="17"/>
        <v>5000</v>
      </c>
      <c r="W94" s="55"/>
    </row>
    <row r="95" spans="3:23" x14ac:dyDescent="0.2">
      <c r="C95" t="s">
        <v>106</v>
      </c>
      <c r="D95" t="s">
        <v>90</v>
      </c>
      <c r="E95" s="64">
        <f>_xlfn.XLOOKUP($C95,'Corporate Roster - ''25'!$C$9:$C$59,'Corporate Roster - ''25'!E$9:E$59,0)</f>
        <v>40345</v>
      </c>
      <c r="F95" s="64" t="str">
        <f>_xlfn.XLOOKUP($C95,'Corporate Roster - ''25'!$C$9:$C$59,'Corporate Roster - ''25'!F$9:F$59,0)</f>
        <v>-</v>
      </c>
      <c r="G95" s="261">
        <f>_xlfn.XLOOKUP($C95,'Corporate Roster - ''25'!$C$9:$C$59,'Corporate Roster - ''25'!H$9:H$59,0)</f>
        <v>14000</v>
      </c>
      <c r="I95" s="32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33">
        <f t="shared" si="17"/>
        <v>14000</v>
      </c>
      <c r="W95" s="55"/>
    </row>
    <row r="96" spans="3:23" x14ac:dyDescent="0.2">
      <c r="C96" t="s">
        <v>117</v>
      </c>
      <c r="D96" t="s">
        <v>110</v>
      </c>
      <c r="E96" s="64">
        <f>_xlfn.XLOOKUP($C96,'Corporate Roster - ''25'!$C$9:$C$59,'Corporate Roster - ''25'!E$9:E$59,0)</f>
        <v>44824</v>
      </c>
      <c r="F96" s="64" t="str">
        <f>_xlfn.XLOOKUP($C96,'Corporate Roster - ''25'!$C$9:$C$59,'Corporate Roster - ''25'!F$9:F$59,0)</f>
        <v>-</v>
      </c>
      <c r="G96" s="261">
        <f>_xlfn.XLOOKUP($C96,'Corporate Roster - ''25'!$C$9:$C$59,'Corporate Roster - ''25'!H$9:H$59,0)</f>
        <v>5000</v>
      </c>
      <c r="I96" s="32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33">
        <f t="shared" si="17"/>
        <v>5000</v>
      </c>
      <c r="W96" s="55"/>
    </row>
    <row r="97" spans="3:23" x14ac:dyDescent="0.2">
      <c r="C97" t="s">
        <v>118</v>
      </c>
      <c r="D97" t="s">
        <v>86</v>
      </c>
      <c r="E97" s="64">
        <f>_xlfn.XLOOKUP($C97,'Corporate Roster - ''25'!$C$9:$C$59,'Corporate Roster - ''25'!E$9:E$59,0)</f>
        <v>38939</v>
      </c>
      <c r="F97" s="64" t="str">
        <f>_xlfn.XLOOKUP($C97,'Corporate Roster - ''25'!$C$9:$C$59,'Corporate Roster - ''25'!F$9:F$59,0)</f>
        <v>-</v>
      </c>
      <c r="G97" s="261">
        <f>_xlfn.XLOOKUP($C97,'Corporate Roster - ''25'!$C$9:$C$59,'Corporate Roster - ''25'!H$9:H$59,0)</f>
        <v>13000</v>
      </c>
      <c r="I97" s="32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33">
        <f t="shared" si="17"/>
        <v>13000</v>
      </c>
      <c r="W97" s="55"/>
    </row>
    <row r="98" spans="3:23" x14ac:dyDescent="0.2">
      <c r="C98" t="s">
        <v>65</v>
      </c>
      <c r="D98" t="s">
        <v>86</v>
      </c>
      <c r="E98" s="64">
        <f>_xlfn.XLOOKUP($C98,'Corporate Roster - ''25'!$C$9:$C$59,'Corporate Roster - ''25'!E$9:E$59,0)</f>
        <v>42100</v>
      </c>
      <c r="F98" s="64" t="str">
        <f>_xlfn.XLOOKUP($C98,'Corporate Roster - ''25'!$C$9:$C$59,'Corporate Roster - ''25'!F$9:F$59,0)</f>
        <v>-</v>
      </c>
      <c r="G98" s="261">
        <f>_xlfn.XLOOKUP($C98,'Corporate Roster - ''25'!$C$9:$C$59,'Corporate Roster - ''25'!H$9:H$59,0)</f>
        <v>13000</v>
      </c>
      <c r="I98" s="32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33">
        <f t="shared" si="17"/>
        <v>13000</v>
      </c>
      <c r="W98" s="55"/>
    </row>
    <row r="99" spans="3:23" x14ac:dyDescent="0.2">
      <c r="C99" t="s">
        <v>119</v>
      </c>
      <c r="D99" t="s">
        <v>110</v>
      </c>
      <c r="E99" s="64">
        <f>_xlfn.XLOOKUP($C99,'Corporate Roster - ''25'!$C$9:$C$59,'Corporate Roster - ''25'!E$9:E$59,0)</f>
        <v>42772</v>
      </c>
      <c r="F99" s="64" t="str">
        <f>_xlfn.XLOOKUP($C99,'Corporate Roster - ''25'!$C$9:$C$59,'Corporate Roster - ''25'!F$9:F$59,0)</f>
        <v>-</v>
      </c>
      <c r="G99" s="261">
        <f>_xlfn.XLOOKUP($C99,'Corporate Roster - ''25'!$C$9:$C$59,'Corporate Roster - ''25'!H$9:H$59,0)</f>
        <v>5000</v>
      </c>
      <c r="I99" s="32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33">
        <f t="shared" si="17"/>
        <v>5000</v>
      </c>
      <c r="W99" s="55"/>
    </row>
    <row r="100" spans="3:23" x14ac:dyDescent="0.2">
      <c r="C100" t="s">
        <v>120</v>
      </c>
      <c r="D100" t="s">
        <v>110</v>
      </c>
      <c r="E100" s="64">
        <f>_xlfn.XLOOKUP($C100,'Corporate Roster - ''25'!$C$9:$C$59,'Corporate Roster - ''25'!E$9:E$59,0)</f>
        <v>41160</v>
      </c>
      <c r="F100" s="64" t="str">
        <f>_xlfn.XLOOKUP($C100,'Corporate Roster - ''25'!$C$9:$C$59,'Corporate Roster - ''25'!F$9:F$59,0)</f>
        <v>-</v>
      </c>
      <c r="G100" s="261">
        <f>_xlfn.XLOOKUP($C100,'Corporate Roster - ''25'!$C$9:$C$59,'Corporate Roster - ''25'!H$9:H$59,0)</f>
        <v>5000</v>
      </c>
      <c r="I100" s="32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33">
        <f t="shared" si="17"/>
        <v>5000</v>
      </c>
      <c r="W100" s="55"/>
    </row>
    <row r="101" spans="3:23" x14ac:dyDescent="0.2">
      <c r="C101" t="s">
        <v>121</v>
      </c>
      <c r="D101" t="s">
        <v>99</v>
      </c>
      <c r="E101" s="64">
        <f>_xlfn.XLOOKUP($C101,'Corporate Roster - ''25'!$C$9:$C$59,'Corporate Roster - ''25'!E$9:E$59,0)</f>
        <v>44972</v>
      </c>
      <c r="F101" s="64" t="str">
        <f>_xlfn.XLOOKUP($C101,'Corporate Roster - ''25'!$C$9:$C$59,'Corporate Roster - ''25'!F$9:F$59,0)</f>
        <v>-</v>
      </c>
      <c r="G101" s="261">
        <f>_xlfn.XLOOKUP($C101,'Corporate Roster - ''25'!$C$9:$C$59,'Corporate Roster - ''25'!H$9:H$59,0)</f>
        <v>4000</v>
      </c>
      <c r="I101" s="32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33">
        <f t="shared" si="17"/>
        <v>4000</v>
      </c>
      <c r="W101" s="55"/>
    </row>
    <row r="102" spans="3:23" x14ac:dyDescent="0.2">
      <c r="C102" t="s">
        <v>151</v>
      </c>
      <c r="D102" t="s">
        <v>90</v>
      </c>
      <c r="E102" s="64">
        <f>_xlfn.XLOOKUP($C102,'Corporate Roster - ''25'!$C$9:$C$59,'Corporate Roster - ''25'!E$9:E$59,0)</f>
        <v>42189</v>
      </c>
      <c r="F102" s="64" t="str">
        <f>_xlfn.XLOOKUP($C102,'Corporate Roster - ''25'!$C$9:$C$59,'Corporate Roster - ''25'!F$9:F$59,0)</f>
        <v>-</v>
      </c>
      <c r="G102" s="261">
        <f>_xlfn.XLOOKUP($C102,'Corporate Roster - ''25'!$C$9:$C$59,'Corporate Roster - ''25'!H$9:H$59,0)</f>
        <v>14000</v>
      </c>
      <c r="I102" s="32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33">
        <f t="shared" si="17"/>
        <v>14000</v>
      </c>
      <c r="W102" s="55"/>
    </row>
    <row r="103" spans="3:23" x14ac:dyDescent="0.2">
      <c r="C103" t="s">
        <v>123</v>
      </c>
      <c r="D103" t="s">
        <v>99</v>
      </c>
      <c r="E103" s="64">
        <f>_xlfn.XLOOKUP($C103,'Corporate Roster - ''25'!$C$9:$C$59,'Corporate Roster - ''25'!E$9:E$59,0)</f>
        <v>44716</v>
      </c>
      <c r="F103" s="64" t="str">
        <f>_xlfn.XLOOKUP($C103,'Corporate Roster - ''25'!$C$9:$C$59,'Corporate Roster - ''25'!F$9:F$59,0)</f>
        <v>-</v>
      </c>
      <c r="G103" s="261">
        <f>_xlfn.XLOOKUP($C103,'Corporate Roster - ''25'!$C$9:$C$59,'Corporate Roster - ''25'!H$9:H$59,0)</f>
        <v>4000</v>
      </c>
      <c r="I103" s="32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33">
        <f t="shared" si="17"/>
        <v>4000</v>
      </c>
      <c r="W103" s="55"/>
    </row>
    <row r="104" spans="3:23" x14ac:dyDescent="0.2">
      <c r="C104" t="s">
        <v>124</v>
      </c>
      <c r="D104" t="s">
        <v>99</v>
      </c>
      <c r="E104" s="64">
        <f>_xlfn.XLOOKUP($C104,'Corporate Roster - ''25'!$C$9:$C$59,'Corporate Roster - ''25'!E$9:E$59,0)</f>
        <v>38697</v>
      </c>
      <c r="F104" s="64" t="str">
        <f>_xlfn.XLOOKUP($C104,'Corporate Roster - ''25'!$C$9:$C$59,'Corporate Roster - ''25'!F$9:F$59,0)</f>
        <v>-</v>
      </c>
      <c r="G104" s="261">
        <f>_xlfn.XLOOKUP($C104,'Corporate Roster - ''25'!$C$9:$C$59,'Corporate Roster - ''25'!H$9:H$59,0)</f>
        <v>4000</v>
      </c>
      <c r="I104" s="32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33">
        <f t="shared" si="17"/>
        <v>4000</v>
      </c>
      <c r="W104" s="55"/>
    </row>
    <row r="105" spans="3:23" x14ac:dyDescent="0.2">
      <c r="C105" t="s">
        <v>125</v>
      </c>
      <c r="D105" t="s">
        <v>99</v>
      </c>
      <c r="E105" s="64">
        <f>_xlfn.XLOOKUP($C105,'Corporate Roster - ''25'!$C$9:$C$59,'Corporate Roster - ''25'!E$9:E$59,0)</f>
        <v>43863</v>
      </c>
      <c r="F105" s="64" t="str">
        <f>_xlfn.XLOOKUP($C105,'Corporate Roster - ''25'!$C$9:$C$59,'Corporate Roster - ''25'!F$9:F$59,0)</f>
        <v>-</v>
      </c>
      <c r="G105" s="261">
        <f>_xlfn.XLOOKUP($C105,'Corporate Roster - ''25'!$C$9:$C$59,'Corporate Roster - ''25'!H$9:H$59,0)</f>
        <v>4000</v>
      </c>
      <c r="I105" s="32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33">
        <f t="shared" si="17"/>
        <v>4000</v>
      </c>
      <c r="W105" s="55"/>
    </row>
    <row r="106" spans="3:23" x14ac:dyDescent="0.2">
      <c r="C106" t="s">
        <v>126</v>
      </c>
      <c r="D106" t="s">
        <v>110</v>
      </c>
      <c r="E106" s="64">
        <f>_xlfn.XLOOKUP($C106,'Corporate Roster - ''25'!$C$9:$C$59,'Corporate Roster - ''25'!E$9:E$59,0)</f>
        <v>40847</v>
      </c>
      <c r="F106" s="64" t="str">
        <f>_xlfn.XLOOKUP($C106,'Corporate Roster - ''25'!$C$9:$C$59,'Corporate Roster - ''25'!F$9:F$59,0)</f>
        <v>-</v>
      </c>
      <c r="G106" s="261">
        <f>_xlfn.XLOOKUP($C106,'Corporate Roster - ''25'!$C$9:$C$59,'Corporate Roster - ''25'!H$9:H$59,0)</f>
        <v>5000</v>
      </c>
      <c r="I106" s="32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33">
        <f t="shared" si="17"/>
        <v>5000</v>
      </c>
      <c r="W106" s="55"/>
    </row>
    <row r="107" spans="3:23" x14ac:dyDescent="0.2">
      <c r="C107" t="s">
        <v>127</v>
      </c>
      <c r="D107" t="s">
        <v>110</v>
      </c>
      <c r="E107" s="64">
        <f>_xlfn.XLOOKUP($C107,'Corporate Roster - ''25'!$C$9:$C$59,'Corporate Roster - ''25'!E$9:E$59,0)</f>
        <v>39385</v>
      </c>
      <c r="F107" s="64" t="str">
        <f>_xlfn.XLOOKUP($C107,'Corporate Roster - ''25'!$C$9:$C$59,'Corporate Roster - ''25'!F$9:F$59,0)</f>
        <v>-</v>
      </c>
      <c r="G107" s="261">
        <f>_xlfn.XLOOKUP($C107,'Corporate Roster - ''25'!$C$9:$C$59,'Corporate Roster - ''25'!H$9:H$59,0)</f>
        <v>5000</v>
      </c>
      <c r="I107" s="32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33">
        <f t="shared" si="17"/>
        <v>5000</v>
      </c>
      <c r="W107" s="55"/>
    </row>
    <row r="108" spans="3:23" x14ac:dyDescent="0.2">
      <c r="C108" t="s">
        <v>128</v>
      </c>
      <c r="D108" t="s">
        <v>90</v>
      </c>
      <c r="E108" s="64">
        <f>_xlfn.XLOOKUP($C108,'Corporate Roster - ''25'!$C$9:$C$59,'Corporate Roster - ''25'!E$9:E$59,0)</f>
        <v>39936</v>
      </c>
      <c r="F108" s="64" t="str">
        <f>_xlfn.XLOOKUP($C108,'Corporate Roster - ''25'!$C$9:$C$59,'Corporate Roster - ''25'!F$9:F$59,0)</f>
        <v>-</v>
      </c>
      <c r="G108" s="261">
        <f>_xlfn.XLOOKUP($C108,'Corporate Roster - ''25'!$C$9:$C$59,'Corporate Roster - ''25'!H$9:H$59,0)</f>
        <v>14000</v>
      </c>
      <c r="I108" s="32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33">
        <f t="shared" si="17"/>
        <v>14000</v>
      </c>
      <c r="W108" s="55"/>
    </row>
    <row r="109" spans="3:23" x14ac:dyDescent="0.2">
      <c r="C109" t="s">
        <v>129</v>
      </c>
      <c r="D109" t="s">
        <v>99</v>
      </c>
      <c r="E109" s="64">
        <f>_xlfn.XLOOKUP($C109,'Corporate Roster - ''25'!$C$9:$C$59,'Corporate Roster - ''25'!E$9:E$59,0)</f>
        <v>43887</v>
      </c>
      <c r="F109" s="64" t="str">
        <f>_xlfn.XLOOKUP($C109,'Corporate Roster - ''25'!$C$9:$C$59,'Corporate Roster - ''25'!F$9:F$59,0)</f>
        <v>-</v>
      </c>
      <c r="G109" s="261">
        <f>_xlfn.XLOOKUP($C109,'Corporate Roster - ''25'!$C$9:$C$59,'Corporate Roster - ''25'!H$9:H$59,0)</f>
        <v>4000</v>
      </c>
      <c r="I109" s="32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33">
        <f t="shared" si="17"/>
        <v>4000</v>
      </c>
      <c r="W109" s="55"/>
    </row>
    <row r="110" spans="3:23" x14ac:dyDescent="0.2">
      <c r="C110" t="s">
        <v>122</v>
      </c>
      <c r="D110" t="s">
        <v>99</v>
      </c>
      <c r="E110" s="64">
        <f>_xlfn.XLOOKUP($C110,'Corporate Roster - ''25'!$C$9:$C$59,'Corporate Roster - ''25'!E$9:E$59,0)</f>
        <v>44041</v>
      </c>
      <c r="F110" s="64" t="str">
        <f>_xlfn.XLOOKUP($C110,'Corporate Roster - ''25'!$C$9:$C$59,'Corporate Roster - ''25'!F$9:F$59,0)</f>
        <v>-</v>
      </c>
      <c r="G110" s="261">
        <f>_xlfn.XLOOKUP($C110,'Corporate Roster - ''25'!$C$9:$C$59,'Corporate Roster - ''25'!H$9:H$59,0)</f>
        <v>4000</v>
      </c>
      <c r="I110" s="32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33">
        <f t="shared" ref="T110:T116" si="18">MIN(YEARFRAC(T$65,E110),1)*$G110</f>
        <v>4000</v>
      </c>
      <c r="W110" s="55"/>
    </row>
    <row r="111" spans="3:23" x14ac:dyDescent="0.2">
      <c r="C111" t="s">
        <v>236</v>
      </c>
      <c r="D111" t="s">
        <v>242</v>
      </c>
      <c r="E111" s="64">
        <f>_xlfn.XLOOKUP($C111,'Corporate Roster - ''25'!$C$9:$C$59,'Corporate Roster - ''25'!E$9:E$59,0)</f>
        <v>45658</v>
      </c>
      <c r="F111" s="64" t="str">
        <f>_xlfn.XLOOKUP($C111,'Corporate Roster - ''25'!$C$9:$C$59,'Corporate Roster - ''25'!F$9:F$59,0)</f>
        <v>-</v>
      </c>
      <c r="G111" s="261">
        <f>_xlfn.XLOOKUP($C111,'Corporate Roster - ''25'!$C$9:$C$59,'Corporate Roster - ''25'!H$9:H$59,0)</f>
        <v>100000</v>
      </c>
      <c r="I111" s="32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33">
        <f t="shared" si="18"/>
        <v>100000</v>
      </c>
      <c r="W111" s="55"/>
    </row>
    <row r="112" spans="3:23" x14ac:dyDescent="0.2">
      <c r="C112" t="s">
        <v>238</v>
      </c>
      <c r="D112" t="s">
        <v>243</v>
      </c>
      <c r="E112" s="64">
        <f>_xlfn.XLOOKUP($C112,'Corporate Roster - ''25'!$C$9:$C$59,'Corporate Roster - ''25'!E$9:E$59,0)</f>
        <v>45658</v>
      </c>
      <c r="F112" s="64" t="str">
        <f>_xlfn.XLOOKUP($C112,'Corporate Roster - ''25'!$C$9:$C$59,'Corporate Roster - ''25'!F$9:F$59,0)</f>
        <v>-</v>
      </c>
      <c r="G112" s="261">
        <f>_xlfn.XLOOKUP($C112,'Corporate Roster - ''25'!$C$9:$C$59,'Corporate Roster - ''25'!H$9:H$59,0)</f>
        <v>13000</v>
      </c>
      <c r="I112" s="32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33">
        <f t="shared" si="18"/>
        <v>13000</v>
      </c>
      <c r="W112" s="55"/>
    </row>
    <row r="113" spans="2:23" x14ac:dyDescent="0.2">
      <c r="C113" t="s">
        <v>237</v>
      </c>
      <c r="D113" t="s">
        <v>244</v>
      </c>
      <c r="E113" s="64">
        <f>_xlfn.XLOOKUP($C113,'Corporate Roster - ''25'!$C$9:$C$59,'Corporate Roster - ''25'!E$9:E$59,0)</f>
        <v>45658</v>
      </c>
      <c r="F113" s="64" t="str">
        <f>_xlfn.XLOOKUP($C113,'Corporate Roster - ''25'!$C$9:$C$59,'Corporate Roster - ''25'!F$9:F$59,0)</f>
        <v>-</v>
      </c>
      <c r="G113" s="261">
        <f>_xlfn.XLOOKUP($C113,'Corporate Roster - ''25'!$C$9:$C$59,'Corporate Roster - ''25'!H$9:H$59,0)</f>
        <v>32000</v>
      </c>
      <c r="I113" s="32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33">
        <f t="shared" si="18"/>
        <v>32000</v>
      </c>
      <c r="W113" s="55"/>
    </row>
    <row r="114" spans="2:23" x14ac:dyDescent="0.2">
      <c r="C114" t="s">
        <v>239</v>
      </c>
      <c r="D114" t="s">
        <v>245</v>
      </c>
      <c r="E114" s="64">
        <f>_xlfn.XLOOKUP($C114,'Corporate Roster - ''25'!$C$9:$C$59,'Corporate Roster - ''25'!E$9:E$59,0)</f>
        <v>45689</v>
      </c>
      <c r="F114" s="64" t="str">
        <f>_xlfn.XLOOKUP($C114,'Corporate Roster - ''25'!$C$9:$C$59,'Corporate Roster - ''25'!F$9:F$59,0)</f>
        <v>-</v>
      </c>
      <c r="G114" s="261">
        <f>_xlfn.XLOOKUP($C114,'Corporate Roster - ''25'!$C$9:$C$59,'Corporate Roster - ''25'!H$9:H$59,0)</f>
        <v>100000</v>
      </c>
      <c r="I114" s="32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33">
        <f t="shared" si="18"/>
        <v>91666.666666666657</v>
      </c>
      <c r="W114" s="55"/>
    </row>
    <row r="115" spans="2:23" x14ac:dyDescent="0.2">
      <c r="C115" t="s">
        <v>240</v>
      </c>
      <c r="D115" t="s">
        <v>246</v>
      </c>
      <c r="E115" s="64">
        <f>_xlfn.XLOOKUP($C115,'Corporate Roster - ''25'!$C$9:$C$59,'Corporate Roster - ''25'!E$9:E$59,0)</f>
        <v>45689</v>
      </c>
      <c r="F115" s="64" t="str">
        <f>_xlfn.XLOOKUP($C115,'Corporate Roster - ''25'!$C$9:$C$59,'Corporate Roster - ''25'!F$9:F$59,0)</f>
        <v>-</v>
      </c>
      <c r="G115" s="261">
        <f>_xlfn.XLOOKUP($C115,'Corporate Roster - ''25'!$C$9:$C$59,'Corporate Roster - ''25'!H$9:H$59,0)</f>
        <v>13000</v>
      </c>
      <c r="I115" s="32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33">
        <f t="shared" si="18"/>
        <v>11916.666666666666</v>
      </c>
      <c r="W115" s="55"/>
    </row>
    <row r="116" spans="2:23" x14ac:dyDescent="0.2">
      <c r="C116" t="s">
        <v>241</v>
      </c>
      <c r="D116" t="s">
        <v>247</v>
      </c>
      <c r="E116" s="64">
        <f>_xlfn.XLOOKUP($C116,'Corporate Roster - ''25'!$C$9:$C$59,'Corporate Roster - ''25'!E$9:E$59,0)</f>
        <v>45689</v>
      </c>
      <c r="F116" s="64" t="str">
        <f>_xlfn.XLOOKUP($C116,'Corporate Roster - ''25'!$C$9:$C$59,'Corporate Roster - ''25'!F$9:F$59,0)</f>
        <v>-</v>
      </c>
      <c r="G116" s="261">
        <f>_xlfn.XLOOKUP($C116,'Corporate Roster - ''25'!$C$9:$C$59,'Corporate Roster - ''25'!H$9:H$59,0)</f>
        <v>20000</v>
      </c>
      <c r="I116" s="32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33">
        <f t="shared" si="18"/>
        <v>18333.333333333332</v>
      </c>
      <c r="W116" s="55"/>
    </row>
    <row r="117" spans="2:23" x14ac:dyDescent="0.2">
      <c r="C117" s="8" t="s">
        <v>279</v>
      </c>
      <c r="D117" s="252"/>
      <c r="E117" s="252"/>
      <c r="F117" s="337"/>
      <c r="G117" s="262">
        <f>SUM(G66:G116)</f>
        <v>1305000</v>
      </c>
      <c r="I117" s="264">
        <v>0</v>
      </c>
      <c r="J117" s="265">
        <v>0</v>
      </c>
      <c r="K117" s="265">
        <v>0</v>
      </c>
      <c r="L117" s="265">
        <v>0</v>
      </c>
      <c r="M117" s="265">
        <v>0</v>
      </c>
      <c r="N117" s="265">
        <v>0</v>
      </c>
      <c r="O117" s="265">
        <v>0</v>
      </c>
      <c r="P117" s="265">
        <v>0</v>
      </c>
      <c r="Q117" s="265">
        <v>0</v>
      </c>
      <c r="R117" s="265">
        <v>0</v>
      </c>
      <c r="S117" s="265">
        <v>0</v>
      </c>
      <c r="T117" s="263">
        <f>SUM(T66:T116)</f>
        <v>1293916.6666666667</v>
      </c>
    </row>
    <row r="119" spans="2:23" x14ac:dyDescent="0.2">
      <c r="T119" s="55"/>
    </row>
    <row r="120" spans="2:23" ht="13.5" thickBot="1" x14ac:dyDescent="0.25">
      <c r="B120" s="48" t="s">
        <v>0</v>
      </c>
      <c r="C120" s="1"/>
      <c r="D120" s="1"/>
      <c r="E120" s="1"/>
      <c r="F120" s="1"/>
      <c r="G120" s="1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3">
        <f ca="1">TODAY()</f>
        <v>45999</v>
      </c>
      <c r="U120" s="1"/>
    </row>
    <row r="121" spans="2:23" x14ac:dyDescent="0.2">
      <c r="B121" s="47"/>
      <c r="C121" t="s">
        <v>153</v>
      </c>
      <c r="H121" s="6"/>
      <c r="T121" s="53" t="s">
        <v>228</v>
      </c>
    </row>
    <row r="122" spans="2:23" x14ac:dyDescent="0.2">
      <c r="B122" s="47"/>
      <c r="H122" s="6"/>
    </row>
    <row r="123" spans="2:23" ht="15" customHeight="1" x14ac:dyDescent="0.2">
      <c r="B123" s="47"/>
      <c r="E123" s="77" t="s">
        <v>143</v>
      </c>
      <c r="F123" s="77" t="s">
        <v>144</v>
      </c>
      <c r="G123" s="227" t="s">
        <v>154</v>
      </c>
      <c r="H123" s="52" t="s">
        <v>56</v>
      </c>
      <c r="I123" s="20">
        <v>2025</v>
      </c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2"/>
    </row>
    <row r="124" spans="2:23" ht="15" x14ac:dyDescent="0.35">
      <c r="C124" s="59" t="s">
        <v>57</v>
      </c>
      <c r="D124" s="59" t="s">
        <v>58</v>
      </c>
      <c r="E124" s="59" t="s">
        <v>142</v>
      </c>
      <c r="F124" s="59" t="s">
        <v>142</v>
      </c>
      <c r="G124" s="259">
        <v>46022</v>
      </c>
      <c r="H124" s="51"/>
      <c r="I124" s="4">
        <v>45688</v>
      </c>
      <c r="J124" s="19">
        <f>EOMONTH(I124,1)</f>
        <v>45716</v>
      </c>
      <c r="K124" s="19">
        <f t="shared" ref="K124" si="19">EOMONTH(J124,1)</f>
        <v>45747</v>
      </c>
      <c r="L124" s="19">
        <f t="shared" ref="L124" si="20">EOMONTH(K124,1)</f>
        <v>45777</v>
      </c>
      <c r="M124" s="19">
        <f t="shared" ref="M124" si="21">EOMONTH(L124,1)</f>
        <v>45808</v>
      </c>
      <c r="N124" s="19">
        <f t="shared" ref="N124" si="22">EOMONTH(M124,1)</f>
        <v>45838</v>
      </c>
      <c r="O124" s="19">
        <f t="shared" ref="O124" si="23">EOMONTH(N124,1)</f>
        <v>45869</v>
      </c>
      <c r="P124" s="19">
        <f t="shared" ref="P124" si="24">EOMONTH(O124,1)</f>
        <v>45900</v>
      </c>
      <c r="Q124" s="19">
        <f t="shared" ref="Q124" si="25">EOMONTH(P124,1)</f>
        <v>45930</v>
      </c>
      <c r="R124" s="19">
        <f t="shared" ref="R124" si="26">EOMONTH(Q124,1)</f>
        <v>45961</v>
      </c>
      <c r="S124" s="19">
        <f t="shared" ref="S124" si="27">EOMONTH(R124,1)</f>
        <v>45991</v>
      </c>
      <c r="T124" s="5">
        <f t="shared" ref="T124" si="28">EOMONTH(S124,1)</f>
        <v>46022</v>
      </c>
    </row>
    <row r="125" spans="2:23" x14ac:dyDescent="0.2">
      <c r="C125" t="s">
        <v>137</v>
      </c>
      <c r="D125" t="s">
        <v>66</v>
      </c>
      <c r="E125" s="64">
        <f>_xlfn.XLOOKUP($C125,'Corporate Roster - ''25'!$C$9:$C$59,'Corporate Roster - ''25'!E$9:E$59,0)</f>
        <v>40848</v>
      </c>
      <c r="F125" s="64" t="str">
        <f>_xlfn.XLOOKUP($C125,'Corporate Roster - ''25'!$C$9:$C$59,'Corporate Roster - ''25'!F$9:F$59,0)</f>
        <v>-</v>
      </c>
      <c r="G125" s="260">
        <f>_xlfn.XLOOKUP($C125,'Corporate Roster - ''25'!$C$9:$C$59,'Corporate Roster - ''25'!J$9:J$59,0)</f>
        <v>99000</v>
      </c>
      <c r="I125" s="56">
        <f t="shared" ref="I125:T125" si="29">I7/$G7*$G125</f>
        <v>8250</v>
      </c>
      <c r="J125" s="55">
        <f t="shared" si="29"/>
        <v>8250</v>
      </c>
      <c r="K125" s="55">
        <f t="shared" si="29"/>
        <v>8250</v>
      </c>
      <c r="L125" s="55">
        <f t="shared" si="29"/>
        <v>8250</v>
      </c>
      <c r="M125" s="55">
        <f t="shared" si="29"/>
        <v>8250</v>
      </c>
      <c r="N125" s="55">
        <f t="shared" si="29"/>
        <v>8250</v>
      </c>
      <c r="O125" s="55">
        <f t="shared" si="29"/>
        <v>8250</v>
      </c>
      <c r="P125" s="55">
        <f t="shared" si="29"/>
        <v>8250</v>
      </c>
      <c r="Q125" s="55">
        <f t="shared" si="29"/>
        <v>8250</v>
      </c>
      <c r="R125" s="55">
        <f t="shared" si="29"/>
        <v>8250</v>
      </c>
      <c r="S125" s="55">
        <f t="shared" si="29"/>
        <v>8250</v>
      </c>
      <c r="T125" s="61">
        <f t="shared" si="29"/>
        <v>8250</v>
      </c>
    </row>
    <row r="126" spans="2:23" x14ac:dyDescent="0.2">
      <c r="C126" t="s">
        <v>67</v>
      </c>
      <c r="D126" t="s">
        <v>68</v>
      </c>
      <c r="E126" s="64">
        <f>_xlfn.XLOOKUP($C126,'Corporate Roster - ''25'!$C$9:$C$59,'Corporate Roster - ''25'!E$9:E$59,0)</f>
        <v>41718</v>
      </c>
      <c r="F126" s="64" t="str">
        <f>_xlfn.XLOOKUP($C126,'Corporate Roster - ''25'!$C$9:$C$59,'Corporate Roster - ''25'!F$9:F$59,0)</f>
        <v>-</v>
      </c>
      <c r="G126" s="261">
        <f>_xlfn.XLOOKUP($C126,'Corporate Roster - ''25'!$C$9:$C$59,'Corporate Roster - ''25'!J$9:J$59,0)</f>
        <v>83000</v>
      </c>
      <c r="I126" s="32">
        <f t="shared" ref="I126:T126" si="30">I8/$G8*$G126</f>
        <v>6916.6666666666679</v>
      </c>
      <c r="J126" s="10">
        <f t="shared" si="30"/>
        <v>6916.6666666666679</v>
      </c>
      <c r="K126" s="10">
        <f t="shared" si="30"/>
        <v>6916.6666666666679</v>
      </c>
      <c r="L126" s="10">
        <f t="shared" si="30"/>
        <v>6916.6666666666679</v>
      </c>
      <c r="M126" s="10">
        <f t="shared" si="30"/>
        <v>6916.6666666666679</v>
      </c>
      <c r="N126" s="10">
        <f t="shared" si="30"/>
        <v>6916.6666666666679</v>
      </c>
      <c r="O126" s="10">
        <f t="shared" si="30"/>
        <v>6916.6666666666679</v>
      </c>
      <c r="P126" s="10">
        <f t="shared" si="30"/>
        <v>6916.6666666666679</v>
      </c>
      <c r="Q126" s="10">
        <f t="shared" si="30"/>
        <v>6916.6666666666679</v>
      </c>
      <c r="R126" s="10">
        <f t="shared" si="30"/>
        <v>6916.6666666666679</v>
      </c>
      <c r="S126" s="10">
        <f t="shared" si="30"/>
        <v>6916.6666666666679</v>
      </c>
      <c r="T126" s="33">
        <f t="shared" si="30"/>
        <v>6916.6666666666679</v>
      </c>
    </row>
    <row r="127" spans="2:23" x14ac:dyDescent="0.2">
      <c r="C127" t="s">
        <v>69</v>
      </c>
      <c r="D127" t="s">
        <v>70</v>
      </c>
      <c r="E127" s="64">
        <f>_xlfn.XLOOKUP($C127,'Corporate Roster - ''25'!$C$9:$C$59,'Corporate Roster - ''25'!E$9:E$59,0)</f>
        <v>39601</v>
      </c>
      <c r="F127" s="64" t="str">
        <f>_xlfn.XLOOKUP($C127,'Corporate Roster - ''25'!$C$9:$C$59,'Corporate Roster - ''25'!F$9:F$59,0)</f>
        <v>-</v>
      </c>
      <c r="G127" s="261">
        <f>_xlfn.XLOOKUP($C127,'Corporate Roster - ''25'!$C$9:$C$59,'Corporate Roster - ''25'!J$9:J$59,0)</f>
        <v>83000</v>
      </c>
      <c r="I127" s="32">
        <f t="shared" ref="I127:T127" si="31">I9/$G9*$G127</f>
        <v>6916.6666666666679</v>
      </c>
      <c r="J127" s="10">
        <f t="shared" si="31"/>
        <v>6916.6666666666679</v>
      </c>
      <c r="K127" s="10">
        <f t="shared" si="31"/>
        <v>6916.6666666666679</v>
      </c>
      <c r="L127" s="10">
        <f t="shared" si="31"/>
        <v>6916.6666666666679</v>
      </c>
      <c r="M127" s="10">
        <f t="shared" si="31"/>
        <v>6916.6666666666679</v>
      </c>
      <c r="N127" s="10">
        <f t="shared" si="31"/>
        <v>6916.6666666666679</v>
      </c>
      <c r="O127" s="10">
        <f t="shared" si="31"/>
        <v>6916.6666666666679</v>
      </c>
      <c r="P127" s="10">
        <f t="shared" si="31"/>
        <v>6916.6666666666679</v>
      </c>
      <c r="Q127" s="10">
        <f t="shared" si="31"/>
        <v>6916.6666666666679</v>
      </c>
      <c r="R127" s="10">
        <f t="shared" si="31"/>
        <v>6916.6666666666679</v>
      </c>
      <c r="S127" s="10">
        <f t="shared" si="31"/>
        <v>6916.6666666666679</v>
      </c>
      <c r="T127" s="33">
        <f t="shared" si="31"/>
        <v>6916.6666666666679</v>
      </c>
    </row>
    <row r="128" spans="2:23" x14ac:dyDescent="0.2">
      <c r="C128" t="s">
        <v>71</v>
      </c>
      <c r="D128" t="s">
        <v>72</v>
      </c>
      <c r="E128" s="64">
        <f>_xlfn.XLOOKUP($C128,'Corporate Roster - ''25'!$C$9:$C$59,'Corporate Roster - ''25'!E$9:E$59,0)</f>
        <v>44453</v>
      </c>
      <c r="F128" s="64" t="str">
        <f>_xlfn.XLOOKUP($C128,'Corporate Roster - ''25'!$C$9:$C$59,'Corporate Roster - ''25'!F$9:F$59,0)</f>
        <v>-</v>
      </c>
      <c r="G128" s="261">
        <f>_xlfn.XLOOKUP($C128,'Corporate Roster - ''25'!$C$9:$C$59,'Corporate Roster - ''25'!J$9:J$59,0)</f>
        <v>79000</v>
      </c>
      <c r="I128" s="32">
        <f t="shared" ref="I128:T128" si="32">I10/$G10*$G128</f>
        <v>6583.333333333333</v>
      </c>
      <c r="J128" s="10">
        <f t="shared" si="32"/>
        <v>6583.333333333333</v>
      </c>
      <c r="K128" s="10">
        <f t="shared" si="32"/>
        <v>6583.333333333333</v>
      </c>
      <c r="L128" s="10">
        <f t="shared" si="32"/>
        <v>6583.333333333333</v>
      </c>
      <c r="M128" s="10">
        <f t="shared" si="32"/>
        <v>6583.333333333333</v>
      </c>
      <c r="N128" s="10">
        <f t="shared" si="32"/>
        <v>6583.333333333333</v>
      </c>
      <c r="O128" s="10">
        <f t="shared" si="32"/>
        <v>6583.333333333333</v>
      </c>
      <c r="P128" s="10">
        <f t="shared" si="32"/>
        <v>6583.333333333333</v>
      </c>
      <c r="Q128" s="10">
        <f t="shared" si="32"/>
        <v>6583.333333333333</v>
      </c>
      <c r="R128" s="10">
        <f t="shared" si="32"/>
        <v>6583.333333333333</v>
      </c>
      <c r="S128" s="10">
        <f t="shared" si="32"/>
        <v>6583.333333333333</v>
      </c>
      <c r="T128" s="33">
        <f t="shared" si="32"/>
        <v>6583.333333333333</v>
      </c>
    </row>
    <row r="129" spans="3:20" x14ac:dyDescent="0.2">
      <c r="C129" t="s">
        <v>145</v>
      </c>
      <c r="D129" t="s">
        <v>74</v>
      </c>
      <c r="E129" s="64">
        <f>_xlfn.XLOOKUP($C129,'Corporate Roster - ''25'!$C$9:$C$59,'Corporate Roster - ''25'!E$9:E$59,0)</f>
        <v>39783</v>
      </c>
      <c r="F129" s="64" t="str">
        <f>_xlfn.XLOOKUP($C129,'Corporate Roster - ''25'!$C$9:$C$59,'Corporate Roster - ''25'!F$9:F$59,0)</f>
        <v>-</v>
      </c>
      <c r="G129" s="261">
        <f>_xlfn.XLOOKUP($C129,'Corporate Roster - ''25'!$C$9:$C$59,'Corporate Roster - ''25'!J$9:J$59,0)</f>
        <v>66000</v>
      </c>
      <c r="I129" s="32">
        <f t="shared" ref="I129:T129" si="33">I11/$G11*$G129</f>
        <v>5500</v>
      </c>
      <c r="J129" s="10">
        <f t="shared" si="33"/>
        <v>5500</v>
      </c>
      <c r="K129" s="10">
        <f t="shared" si="33"/>
        <v>5500</v>
      </c>
      <c r="L129" s="10">
        <f t="shared" si="33"/>
        <v>5500</v>
      </c>
      <c r="M129" s="10">
        <f t="shared" si="33"/>
        <v>5500</v>
      </c>
      <c r="N129" s="10">
        <f t="shared" si="33"/>
        <v>5500</v>
      </c>
      <c r="O129" s="10">
        <f t="shared" si="33"/>
        <v>5500</v>
      </c>
      <c r="P129" s="10">
        <f t="shared" si="33"/>
        <v>5500</v>
      </c>
      <c r="Q129" s="10">
        <f t="shared" si="33"/>
        <v>5500</v>
      </c>
      <c r="R129" s="10">
        <f t="shared" si="33"/>
        <v>5500</v>
      </c>
      <c r="S129" s="10">
        <f t="shared" si="33"/>
        <v>5500</v>
      </c>
      <c r="T129" s="33">
        <f t="shared" si="33"/>
        <v>5500</v>
      </c>
    </row>
    <row r="130" spans="3:20" x14ac:dyDescent="0.2">
      <c r="C130" t="s">
        <v>146</v>
      </c>
      <c r="D130" t="s">
        <v>76</v>
      </c>
      <c r="E130" s="64">
        <f>_xlfn.XLOOKUP($C130,'Corporate Roster - ''25'!$C$9:$C$59,'Corporate Roster - ''25'!E$9:E$59,0)</f>
        <v>42573</v>
      </c>
      <c r="F130" s="64" t="str">
        <f>_xlfn.XLOOKUP($C130,'Corporate Roster - ''25'!$C$9:$C$59,'Corporate Roster - ''25'!F$9:F$59,0)</f>
        <v>-</v>
      </c>
      <c r="G130" s="261">
        <f>_xlfn.XLOOKUP($C130,'Corporate Roster - ''25'!$C$9:$C$59,'Corporate Roster - ''25'!J$9:J$59,0)</f>
        <v>66000</v>
      </c>
      <c r="I130" s="32">
        <f t="shared" ref="I130:T130" si="34">I12/$G12*$G130</f>
        <v>5500</v>
      </c>
      <c r="J130" s="10">
        <f t="shared" si="34"/>
        <v>5500</v>
      </c>
      <c r="K130" s="10">
        <f t="shared" si="34"/>
        <v>5500</v>
      </c>
      <c r="L130" s="10">
        <f t="shared" si="34"/>
        <v>5500</v>
      </c>
      <c r="M130" s="10">
        <f t="shared" si="34"/>
        <v>5500</v>
      </c>
      <c r="N130" s="10">
        <f t="shared" si="34"/>
        <v>5500</v>
      </c>
      <c r="O130" s="10">
        <f t="shared" si="34"/>
        <v>5500</v>
      </c>
      <c r="P130" s="10">
        <f t="shared" si="34"/>
        <v>5500</v>
      </c>
      <c r="Q130" s="10">
        <f t="shared" si="34"/>
        <v>5500</v>
      </c>
      <c r="R130" s="10">
        <f t="shared" si="34"/>
        <v>5500</v>
      </c>
      <c r="S130" s="10">
        <f t="shared" si="34"/>
        <v>5500</v>
      </c>
      <c r="T130" s="33">
        <f t="shared" si="34"/>
        <v>5500</v>
      </c>
    </row>
    <row r="131" spans="3:20" x14ac:dyDescent="0.2">
      <c r="C131" t="s">
        <v>77</v>
      </c>
      <c r="D131" t="s">
        <v>78</v>
      </c>
      <c r="E131" s="64">
        <f>_xlfn.XLOOKUP($C131,'Corporate Roster - ''25'!$C$9:$C$59,'Corporate Roster - ''25'!E$9:E$59,0)</f>
        <v>38481</v>
      </c>
      <c r="F131" s="64" t="str">
        <f>_xlfn.XLOOKUP($C131,'Corporate Roster - ''25'!$C$9:$C$59,'Corporate Roster - ''25'!F$9:F$59,0)</f>
        <v>-</v>
      </c>
      <c r="G131" s="261">
        <f>_xlfn.XLOOKUP($C131,'Corporate Roster - ''25'!$C$9:$C$59,'Corporate Roster - ''25'!J$9:J$59,0)</f>
        <v>59000</v>
      </c>
      <c r="I131" s="32">
        <f t="shared" ref="I131:T131" si="35">I13/$G13*$G131</f>
        <v>4916.6666666666661</v>
      </c>
      <c r="J131" s="10">
        <f t="shared" si="35"/>
        <v>4916.6666666666661</v>
      </c>
      <c r="K131" s="10">
        <f t="shared" si="35"/>
        <v>4916.6666666666661</v>
      </c>
      <c r="L131" s="10">
        <f t="shared" si="35"/>
        <v>4916.6666666666661</v>
      </c>
      <c r="M131" s="10">
        <f t="shared" si="35"/>
        <v>4916.6666666666661</v>
      </c>
      <c r="N131" s="10">
        <f t="shared" si="35"/>
        <v>4916.6666666666661</v>
      </c>
      <c r="O131" s="10">
        <f t="shared" si="35"/>
        <v>4916.6666666666661</v>
      </c>
      <c r="P131" s="10">
        <f t="shared" si="35"/>
        <v>4916.6666666666661</v>
      </c>
      <c r="Q131" s="10">
        <f t="shared" si="35"/>
        <v>4916.6666666666661</v>
      </c>
      <c r="R131" s="10">
        <f t="shared" si="35"/>
        <v>4916.6666666666661</v>
      </c>
      <c r="S131" s="10">
        <f t="shared" si="35"/>
        <v>4916.6666666666661</v>
      </c>
      <c r="T131" s="33">
        <f t="shared" si="35"/>
        <v>4916.6666666666661</v>
      </c>
    </row>
    <row r="132" spans="3:20" x14ac:dyDescent="0.2">
      <c r="C132" t="s">
        <v>79</v>
      </c>
      <c r="D132" t="s">
        <v>80</v>
      </c>
      <c r="E132" s="64">
        <f>_xlfn.XLOOKUP($C132,'Corporate Roster - ''25'!$C$9:$C$59,'Corporate Roster - ''25'!E$9:E$59,0)</f>
        <v>38427</v>
      </c>
      <c r="F132" s="64" t="str">
        <f>_xlfn.XLOOKUP($C132,'Corporate Roster - ''25'!$C$9:$C$59,'Corporate Roster - ''25'!F$9:F$59,0)</f>
        <v>-</v>
      </c>
      <c r="G132" s="261">
        <f>_xlfn.XLOOKUP($C132,'Corporate Roster - ''25'!$C$9:$C$59,'Corporate Roster - ''25'!J$9:J$59,0)</f>
        <v>53000</v>
      </c>
      <c r="I132" s="32">
        <f t="shared" ref="I132:T132" si="36">I14/$G14*$G132</f>
        <v>4416.6666666666661</v>
      </c>
      <c r="J132" s="10">
        <f t="shared" si="36"/>
        <v>4416.6666666666661</v>
      </c>
      <c r="K132" s="10">
        <f t="shared" si="36"/>
        <v>4416.6666666666661</v>
      </c>
      <c r="L132" s="10">
        <f t="shared" si="36"/>
        <v>4416.6666666666661</v>
      </c>
      <c r="M132" s="10">
        <f t="shared" si="36"/>
        <v>4416.6666666666661</v>
      </c>
      <c r="N132" s="10">
        <f t="shared" si="36"/>
        <v>4416.6666666666661</v>
      </c>
      <c r="O132" s="10">
        <f t="shared" si="36"/>
        <v>4416.6666666666661</v>
      </c>
      <c r="P132" s="10">
        <f t="shared" si="36"/>
        <v>4416.6666666666661</v>
      </c>
      <c r="Q132" s="10">
        <f t="shared" si="36"/>
        <v>4416.6666666666661</v>
      </c>
      <c r="R132" s="10">
        <f t="shared" si="36"/>
        <v>4416.6666666666661</v>
      </c>
      <c r="S132" s="10">
        <f t="shared" si="36"/>
        <v>4416.6666666666661</v>
      </c>
      <c r="T132" s="33">
        <f t="shared" si="36"/>
        <v>4416.6666666666661</v>
      </c>
    </row>
    <row r="133" spans="3:20" x14ac:dyDescent="0.2">
      <c r="C133" t="s">
        <v>147</v>
      </c>
      <c r="D133" t="s">
        <v>82</v>
      </c>
      <c r="E133" s="64">
        <f>_xlfn.XLOOKUP($C133,'Corporate Roster - ''25'!$C$9:$C$59,'Corporate Roster - ''25'!E$9:E$59,0)</f>
        <v>42696</v>
      </c>
      <c r="F133" s="64" t="str">
        <f>_xlfn.XLOOKUP($C133,'Corporate Roster - ''25'!$C$9:$C$59,'Corporate Roster - ''25'!F$9:F$59,0)</f>
        <v>-</v>
      </c>
      <c r="G133" s="261">
        <f>_xlfn.XLOOKUP($C133,'Corporate Roster - ''25'!$C$9:$C$59,'Corporate Roster - ''25'!J$9:J$59,0)</f>
        <v>53000</v>
      </c>
      <c r="I133" s="32">
        <f t="shared" ref="I133:T133" si="37">I15/$G15*$G133</f>
        <v>4416.6666666666661</v>
      </c>
      <c r="J133" s="10">
        <f t="shared" si="37"/>
        <v>4416.6666666666661</v>
      </c>
      <c r="K133" s="10">
        <f t="shared" si="37"/>
        <v>4416.6666666666661</v>
      </c>
      <c r="L133" s="10">
        <f t="shared" si="37"/>
        <v>4416.6666666666661</v>
      </c>
      <c r="M133" s="10">
        <f t="shared" si="37"/>
        <v>4416.6666666666661</v>
      </c>
      <c r="N133" s="10">
        <f t="shared" si="37"/>
        <v>4416.6666666666661</v>
      </c>
      <c r="O133" s="10">
        <f t="shared" si="37"/>
        <v>4416.6666666666661</v>
      </c>
      <c r="P133" s="10">
        <f t="shared" si="37"/>
        <v>4416.6666666666661</v>
      </c>
      <c r="Q133" s="10">
        <f t="shared" si="37"/>
        <v>4416.6666666666661</v>
      </c>
      <c r="R133" s="10">
        <f t="shared" si="37"/>
        <v>4416.6666666666661</v>
      </c>
      <c r="S133" s="10">
        <f t="shared" si="37"/>
        <v>4416.6666666666661</v>
      </c>
      <c r="T133" s="33">
        <f t="shared" si="37"/>
        <v>4416.6666666666661</v>
      </c>
    </row>
    <row r="134" spans="3:20" x14ac:dyDescent="0.2">
      <c r="C134" t="s">
        <v>83</v>
      </c>
      <c r="D134" t="s">
        <v>84</v>
      </c>
      <c r="E134" s="64">
        <f>_xlfn.XLOOKUP($C134,'Corporate Roster - ''25'!$C$9:$C$59,'Corporate Roster - ''25'!E$9:E$59,0)</f>
        <v>45248</v>
      </c>
      <c r="F134" s="64" t="str">
        <f>_xlfn.XLOOKUP($C134,'Corporate Roster - ''25'!$C$9:$C$59,'Corporate Roster - ''25'!F$9:F$59,0)</f>
        <v>-</v>
      </c>
      <c r="G134" s="261">
        <f>_xlfn.XLOOKUP($C134,'Corporate Roster - ''25'!$C$9:$C$59,'Corporate Roster - ''25'!J$9:J$59,0)</f>
        <v>50000</v>
      </c>
      <c r="I134" s="32">
        <f t="shared" ref="I134:T134" si="38">I16/$G16*$G134</f>
        <v>4166.6666666666661</v>
      </c>
      <c r="J134" s="10">
        <f t="shared" si="38"/>
        <v>4166.6666666666661</v>
      </c>
      <c r="K134" s="10">
        <f t="shared" si="38"/>
        <v>4166.6666666666661</v>
      </c>
      <c r="L134" s="10">
        <f t="shared" si="38"/>
        <v>4166.6666666666661</v>
      </c>
      <c r="M134" s="10">
        <f t="shared" si="38"/>
        <v>4166.6666666666661</v>
      </c>
      <c r="N134" s="10">
        <f t="shared" si="38"/>
        <v>4166.6666666666661</v>
      </c>
      <c r="O134" s="10">
        <f t="shared" si="38"/>
        <v>4166.6666666666661</v>
      </c>
      <c r="P134" s="10">
        <f t="shared" si="38"/>
        <v>4166.6666666666661</v>
      </c>
      <c r="Q134" s="10">
        <f t="shared" si="38"/>
        <v>4166.6666666666661</v>
      </c>
      <c r="R134" s="10">
        <f t="shared" si="38"/>
        <v>4166.6666666666661</v>
      </c>
      <c r="S134" s="10">
        <f t="shared" si="38"/>
        <v>4166.6666666666661</v>
      </c>
      <c r="T134" s="33">
        <f t="shared" si="38"/>
        <v>4166.6666666666661</v>
      </c>
    </row>
    <row r="135" spans="3:20" x14ac:dyDescent="0.2">
      <c r="C135" t="s">
        <v>85</v>
      </c>
      <c r="D135" t="s">
        <v>86</v>
      </c>
      <c r="E135" s="64">
        <f>_xlfn.XLOOKUP($C135,'Corporate Roster - ''25'!$C$9:$C$59,'Corporate Roster - ''25'!E$9:E$59,0)</f>
        <v>42458</v>
      </c>
      <c r="F135" s="64" t="str">
        <f>_xlfn.XLOOKUP($C135,'Corporate Roster - ''25'!$C$9:$C$59,'Corporate Roster - ''25'!F$9:F$59,0)</f>
        <v>-</v>
      </c>
      <c r="G135" s="261">
        <f>_xlfn.XLOOKUP($C135,'Corporate Roster - ''25'!$C$9:$C$59,'Corporate Roster - ''25'!J$9:J$59,0)</f>
        <v>40000</v>
      </c>
      <c r="I135" s="32">
        <f t="shared" ref="I135:T135" si="39">I17/$G17*$G135</f>
        <v>3333.333333333333</v>
      </c>
      <c r="J135" s="10">
        <f t="shared" si="39"/>
        <v>3333.333333333333</v>
      </c>
      <c r="K135" s="10">
        <f t="shared" si="39"/>
        <v>3333.333333333333</v>
      </c>
      <c r="L135" s="10">
        <f t="shared" si="39"/>
        <v>3333.333333333333</v>
      </c>
      <c r="M135" s="10">
        <f t="shared" si="39"/>
        <v>3333.333333333333</v>
      </c>
      <c r="N135" s="10">
        <f t="shared" si="39"/>
        <v>3333.333333333333</v>
      </c>
      <c r="O135" s="10">
        <f t="shared" si="39"/>
        <v>3333.333333333333</v>
      </c>
      <c r="P135" s="10">
        <f t="shared" si="39"/>
        <v>3333.333333333333</v>
      </c>
      <c r="Q135" s="10">
        <f t="shared" si="39"/>
        <v>3333.333333333333</v>
      </c>
      <c r="R135" s="10">
        <f t="shared" si="39"/>
        <v>3333.333333333333</v>
      </c>
      <c r="S135" s="10">
        <f t="shared" si="39"/>
        <v>3333.333333333333</v>
      </c>
      <c r="T135" s="33">
        <f t="shared" si="39"/>
        <v>3333.333333333333</v>
      </c>
    </row>
    <row r="136" spans="3:20" x14ac:dyDescent="0.2">
      <c r="C136" t="s">
        <v>87</v>
      </c>
      <c r="D136" t="s">
        <v>88</v>
      </c>
      <c r="E136" s="64">
        <f>_xlfn.XLOOKUP($C136,'Corporate Roster - ''25'!$C$9:$C$59,'Corporate Roster - ''25'!E$9:E$59,0)</f>
        <v>41921</v>
      </c>
      <c r="F136" s="64" t="str">
        <f>_xlfn.XLOOKUP($C136,'Corporate Roster - ''25'!$C$9:$C$59,'Corporate Roster - ''25'!F$9:F$59,0)</f>
        <v>-</v>
      </c>
      <c r="G136" s="261">
        <f>_xlfn.XLOOKUP($C136,'Corporate Roster - ''25'!$C$9:$C$59,'Corporate Roster - ''25'!J$9:J$59,0)</f>
        <v>43000</v>
      </c>
      <c r="I136" s="32">
        <f t="shared" ref="I136:T136" si="40">I18/$G18*$G136</f>
        <v>3583.333333333333</v>
      </c>
      <c r="J136" s="10">
        <f t="shared" si="40"/>
        <v>3583.333333333333</v>
      </c>
      <c r="K136" s="10">
        <f t="shared" si="40"/>
        <v>3583.333333333333</v>
      </c>
      <c r="L136" s="10">
        <f t="shared" si="40"/>
        <v>3583.333333333333</v>
      </c>
      <c r="M136" s="10">
        <f t="shared" si="40"/>
        <v>3583.333333333333</v>
      </c>
      <c r="N136" s="10">
        <f t="shared" si="40"/>
        <v>3583.333333333333</v>
      </c>
      <c r="O136" s="10">
        <f t="shared" si="40"/>
        <v>3583.333333333333</v>
      </c>
      <c r="P136" s="10">
        <f t="shared" si="40"/>
        <v>3583.333333333333</v>
      </c>
      <c r="Q136" s="10">
        <f t="shared" si="40"/>
        <v>3583.333333333333</v>
      </c>
      <c r="R136" s="10">
        <f t="shared" si="40"/>
        <v>3583.333333333333</v>
      </c>
      <c r="S136" s="10">
        <f t="shared" si="40"/>
        <v>3583.333333333333</v>
      </c>
      <c r="T136" s="33">
        <f t="shared" si="40"/>
        <v>3583.333333333333</v>
      </c>
    </row>
    <row r="137" spans="3:20" x14ac:dyDescent="0.2">
      <c r="C137" t="s">
        <v>89</v>
      </c>
      <c r="D137" t="s">
        <v>90</v>
      </c>
      <c r="E137" s="64">
        <f>_xlfn.XLOOKUP($C137,'Corporate Roster - ''25'!$C$9:$C$59,'Corporate Roster - ''25'!E$9:E$59,0)</f>
        <v>40143</v>
      </c>
      <c r="F137" s="64" t="str">
        <f>_xlfn.XLOOKUP($C137,'Corporate Roster - ''25'!$C$9:$C$59,'Corporate Roster - ''25'!F$9:F$59,0)</f>
        <v>-</v>
      </c>
      <c r="G137" s="261">
        <f>_xlfn.XLOOKUP($C137,'Corporate Roster - ''25'!$C$9:$C$59,'Corporate Roster - ''25'!J$9:J$59,0)</f>
        <v>43000</v>
      </c>
      <c r="I137" s="32">
        <f t="shared" ref="I137:T137" si="41">I19/$G19*$G137</f>
        <v>3583.333333333333</v>
      </c>
      <c r="J137" s="10">
        <f t="shared" si="41"/>
        <v>3583.333333333333</v>
      </c>
      <c r="K137" s="10">
        <f t="shared" si="41"/>
        <v>3583.333333333333</v>
      </c>
      <c r="L137" s="10">
        <f t="shared" si="41"/>
        <v>3583.333333333333</v>
      </c>
      <c r="M137" s="10">
        <f t="shared" si="41"/>
        <v>3583.333333333333</v>
      </c>
      <c r="N137" s="10">
        <f t="shared" si="41"/>
        <v>3583.333333333333</v>
      </c>
      <c r="O137" s="10">
        <f t="shared" si="41"/>
        <v>3583.333333333333</v>
      </c>
      <c r="P137" s="10">
        <f t="shared" si="41"/>
        <v>3583.333333333333</v>
      </c>
      <c r="Q137" s="10">
        <f t="shared" si="41"/>
        <v>3583.333333333333</v>
      </c>
      <c r="R137" s="10">
        <f t="shared" si="41"/>
        <v>3583.333333333333</v>
      </c>
      <c r="S137" s="10">
        <f t="shared" si="41"/>
        <v>3583.333333333333</v>
      </c>
      <c r="T137" s="33">
        <f t="shared" si="41"/>
        <v>3583.333333333333</v>
      </c>
    </row>
    <row r="138" spans="3:20" x14ac:dyDescent="0.2">
      <c r="C138" t="s">
        <v>81</v>
      </c>
      <c r="D138" t="s">
        <v>91</v>
      </c>
      <c r="E138" s="64">
        <f>_xlfn.XLOOKUP($C138,'Corporate Roster - ''25'!$C$9:$C$59,'Corporate Roster - ''25'!E$9:E$59,0)</f>
        <v>40811</v>
      </c>
      <c r="F138" s="64" t="str">
        <f>_xlfn.XLOOKUP($C138,'Corporate Roster - ''25'!$C$9:$C$59,'Corporate Roster - ''25'!F$9:F$59,0)</f>
        <v>-</v>
      </c>
      <c r="G138" s="261">
        <f>_xlfn.XLOOKUP($C138,'Corporate Roster - ''25'!$C$9:$C$59,'Corporate Roster - ''25'!J$9:J$59,0)</f>
        <v>36000</v>
      </c>
      <c r="I138" s="32">
        <f t="shared" ref="I138:T138" si="42">I20/$G20*$G138</f>
        <v>3000.0000000000005</v>
      </c>
      <c r="J138" s="10">
        <f t="shared" si="42"/>
        <v>3000.0000000000005</v>
      </c>
      <c r="K138" s="10">
        <f t="shared" si="42"/>
        <v>3000.0000000000005</v>
      </c>
      <c r="L138" s="10">
        <f t="shared" si="42"/>
        <v>3000.0000000000005</v>
      </c>
      <c r="M138" s="10">
        <f t="shared" si="42"/>
        <v>3000.0000000000005</v>
      </c>
      <c r="N138" s="10">
        <f t="shared" si="42"/>
        <v>3000.0000000000005</v>
      </c>
      <c r="O138" s="10">
        <f t="shared" si="42"/>
        <v>3000.0000000000005</v>
      </c>
      <c r="P138" s="10">
        <f t="shared" si="42"/>
        <v>3000.0000000000005</v>
      </c>
      <c r="Q138" s="10">
        <f t="shared" si="42"/>
        <v>3000.0000000000005</v>
      </c>
      <c r="R138" s="10">
        <f t="shared" si="42"/>
        <v>3000.0000000000005</v>
      </c>
      <c r="S138" s="10">
        <f t="shared" si="42"/>
        <v>3000.0000000000005</v>
      </c>
      <c r="T138" s="33">
        <f t="shared" si="42"/>
        <v>3000.0000000000005</v>
      </c>
    </row>
    <row r="139" spans="3:20" x14ac:dyDescent="0.2">
      <c r="C139" t="s">
        <v>92</v>
      </c>
      <c r="D139" t="s">
        <v>93</v>
      </c>
      <c r="E139" s="64">
        <f>_xlfn.XLOOKUP($C139,'Corporate Roster - ''25'!$C$9:$C$59,'Corporate Roster - ''25'!E$9:E$59,0)</f>
        <v>43400</v>
      </c>
      <c r="F139" s="64" t="str">
        <f>_xlfn.XLOOKUP($C139,'Corporate Roster - ''25'!$C$9:$C$59,'Corporate Roster - ''25'!F$9:F$59,0)</f>
        <v>-</v>
      </c>
      <c r="G139" s="261">
        <f>_xlfn.XLOOKUP($C139,'Corporate Roster - ''25'!$C$9:$C$59,'Corporate Roster - ''25'!J$9:J$59,0)</f>
        <v>40000</v>
      </c>
      <c r="I139" s="32">
        <f t="shared" ref="I139:T139" si="43">I21/$G21*$G139</f>
        <v>3333.333333333333</v>
      </c>
      <c r="J139" s="10">
        <f t="shared" si="43"/>
        <v>3333.333333333333</v>
      </c>
      <c r="K139" s="10">
        <f t="shared" si="43"/>
        <v>3333.333333333333</v>
      </c>
      <c r="L139" s="10">
        <f t="shared" si="43"/>
        <v>3333.333333333333</v>
      </c>
      <c r="M139" s="10">
        <f t="shared" si="43"/>
        <v>3333.333333333333</v>
      </c>
      <c r="N139" s="10">
        <f t="shared" si="43"/>
        <v>3333.333333333333</v>
      </c>
      <c r="O139" s="10">
        <f t="shared" si="43"/>
        <v>3333.333333333333</v>
      </c>
      <c r="P139" s="10">
        <f t="shared" si="43"/>
        <v>3333.333333333333</v>
      </c>
      <c r="Q139" s="10">
        <f t="shared" si="43"/>
        <v>3333.333333333333</v>
      </c>
      <c r="R139" s="10">
        <f t="shared" si="43"/>
        <v>3333.333333333333</v>
      </c>
      <c r="S139" s="10">
        <f t="shared" si="43"/>
        <v>3333.333333333333</v>
      </c>
      <c r="T139" s="33">
        <f t="shared" si="43"/>
        <v>3333.333333333333</v>
      </c>
    </row>
    <row r="140" spans="3:20" x14ac:dyDescent="0.2">
      <c r="C140" t="s">
        <v>94</v>
      </c>
      <c r="D140" t="s">
        <v>95</v>
      </c>
      <c r="E140" s="64">
        <f>_xlfn.XLOOKUP($C140,'Corporate Roster - ''25'!$C$9:$C$59,'Corporate Roster - ''25'!E$9:E$59,0)</f>
        <v>40031</v>
      </c>
      <c r="F140" s="64" t="str">
        <f>_xlfn.XLOOKUP($C140,'Corporate Roster - ''25'!$C$9:$C$59,'Corporate Roster - ''25'!F$9:F$59,0)</f>
        <v>-</v>
      </c>
      <c r="G140" s="261">
        <f>_xlfn.XLOOKUP($C140,'Corporate Roster - ''25'!$C$9:$C$59,'Corporate Roster - ''25'!J$9:J$59,0)</f>
        <v>46000</v>
      </c>
      <c r="I140" s="32">
        <f t="shared" ref="I140:T140" si="44">I22/$G22*$G140</f>
        <v>3833.3333333333339</v>
      </c>
      <c r="J140" s="10">
        <f t="shared" si="44"/>
        <v>3833.3333333333339</v>
      </c>
      <c r="K140" s="10">
        <f t="shared" si="44"/>
        <v>3833.3333333333339</v>
      </c>
      <c r="L140" s="10">
        <f t="shared" si="44"/>
        <v>3833.3333333333339</v>
      </c>
      <c r="M140" s="10">
        <f t="shared" si="44"/>
        <v>3833.3333333333339</v>
      </c>
      <c r="N140" s="10">
        <f t="shared" si="44"/>
        <v>3833.3333333333339</v>
      </c>
      <c r="O140" s="10">
        <f t="shared" si="44"/>
        <v>3833.3333333333339</v>
      </c>
      <c r="P140" s="10">
        <f t="shared" si="44"/>
        <v>3833.3333333333339</v>
      </c>
      <c r="Q140" s="10">
        <f t="shared" si="44"/>
        <v>3833.3333333333339</v>
      </c>
      <c r="R140" s="10">
        <f t="shared" si="44"/>
        <v>3833.3333333333339</v>
      </c>
      <c r="S140" s="10">
        <f t="shared" si="44"/>
        <v>3833.3333333333339</v>
      </c>
      <c r="T140" s="33">
        <f t="shared" si="44"/>
        <v>3833.3333333333339</v>
      </c>
    </row>
    <row r="141" spans="3:20" x14ac:dyDescent="0.2">
      <c r="C141" t="s">
        <v>96</v>
      </c>
      <c r="D141" t="s">
        <v>97</v>
      </c>
      <c r="E141" s="64">
        <f>_xlfn.XLOOKUP($C141,'Corporate Roster - ''25'!$C$9:$C$59,'Corporate Roster - ''25'!E$9:E$59,0)</f>
        <v>44978</v>
      </c>
      <c r="F141" s="64" t="str">
        <f>_xlfn.XLOOKUP($C141,'Corporate Roster - ''25'!$C$9:$C$59,'Corporate Roster - ''25'!F$9:F$59,0)</f>
        <v>-</v>
      </c>
      <c r="G141" s="261">
        <f>_xlfn.XLOOKUP($C141,'Corporate Roster - ''25'!$C$9:$C$59,'Corporate Roster - ''25'!J$9:J$59,0)</f>
        <v>33000</v>
      </c>
      <c r="I141" s="32">
        <f t="shared" ref="I141:T141" si="45">I23/$G23*$G141</f>
        <v>2750</v>
      </c>
      <c r="J141" s="10">
        <f t="shared" si="45"/>
        <v>2750</v>
      </c>
      <c r="K141" s="10">
        <f t="shared" si="45"/>
        <v>2750</v>
      </c>
      <c r="L141" s="10">
        <f t="shared" si="45"/>
        <v>2750</v>
      </c>
      <c r="M141" s="10">
        <f t="shared" si="45"/>
        <v>2750</v>
      </c>
      <c r="N141" s="10">
        <f t="shared" si="45"/>
        <v>2750</v>
      </c>
      <c r="O141" s="10">
        <f t="shared" si="45"/>
        <v>2750</v>
      </c>
      <c r="P141" s="10">
        <f t="shared" si="45"/>
        <v>2750</v>
      </c>
      <c r="Q141" s="10">
        <f t="shared" si="45"/>
        <v>2750</v>
      </c>
      <c r="R141" s="10">
        <f t="shared" si="45"/>
        <v>2750</v>
      </c>
      <c r="S141" s="10">
        <f t="shared" si="45"/>
        <v>2750</v>
      </c>
      <c r="T141" s="33">
        <f t="shared" si="45"/>
        <v>2750</v>
      </c>
    </row>
    <row r="142" spans="3:20" x14ac:dyDescent="0.2">
      <c r="C142" t="s">
        <v>98</v>
      </c>
      <c r="D142" t="s">
        <v>99</v>
      </c>
      <c r="E142" s="64">
        <f>_xlfn.XLOOKUP($C142,'Corporate Roster - ''25'!$C$9:$C$59,'Corporate Roster - ''25'!E$9:E$59,0)</f>
        <v>41398</v>
      </c>
      <c r="F142" s="64" t="str">
        <f>_xlfn.XLOOKUP($C142,'Corporate Roster - ''25'!$C$9:$C$59,'Corporate Roster - ''25'!F$9:F$59,0)</f>
        <v>-</v>
      </c>
      <c r="G142" s="261">
        <f>_xlfn.XLOOKUP($C142,'Corporate Roster - ''25'!$C$9:$C$59,'Corporate Roster - ''25'!J$9:J$59,0)</f>
        <v>26000</v>
      </c>
      <c r="I142" s="32">
        <f t="shared" ref="I142:T142" si="46">I24/$G24*$G142</f>
        <v>2166.6666666666665</v>
      </c>
      <c r="J142" s="10">
        <f t="shared" si="46"/>
        <v>2166.6666666666665</v>
      </c>
      <c r="K142" s="10">
        <f t="shared" si="46"/>
        <v>2166.6666666666665</v>
      </c>
      <c r="L142" s="10">
        <f t="shared" si="46"/>
        <v>2166.6666666666665</v>
      </c>
      <c r="M142" s="10">
        <f t="shared" si="46"/>
        <v>2166.6666666666665</v>
      </c>
      <c r="N142" s="10">
        <f t="shared" si="46"/>
        <v>2166.6666666666665</v>
      </c>
      <c r="O142" s="10">
        <f t="shared" si="46"/>
        <v>2166.6666666666665</v>
      </c>
      <c r="P142" s="10">
        <f t="shared" si="46"/>
        <v>2166.6666666666665</v>
      </c>
      <c r="Q142" s="10">
        <f t="shared" si="46"/>
        <v>2166.6666666666665</v>
      </c>
      <c r="R142" s="10">
        <f t="shared" si="46"/>
        <v>2166.6666666666665</v>
      </c>
      <c r="S142" s="10">
        <f t="shared" si="46"/>
        <v>2166.6666666666665</v>
      </c>
      <c r="T142" s="33">
        <f t="shared" si="46"/>
        <v>2166.6666666666665</v>
      </c>
    </row>
    <row r="143" spans="3:20" x14ac:dyDescent="0.2">
      <c r="C143" t="s">
        <v>100</v>
      </c>
      <c r="D143" t="s">
        <v>101</v>
      </c>
      <c r="E143" s="64">
        <f>_xlfn.XLOOKUP($C143,'Corporate Roster - ''25'!$C$9:$C$59,'Corporate Roster - ''25'!E$9:E$59,0)</f>
        <v>40362</v>
      </c>
      <c r="F143" s="64" t="str">
        <f>_xlfn.XLOOKUP($C143,'Corporate Roster - ''25'!$C$9:$C$59,'Corporate Roster - ''25'!F$9:F$59,0)</f>
        <v>-</v>
      </c>
      <c r="G143" s="261">
        <f>_xlfn.XLOOKUP($C143,'Corporate Roster - ''25'!$C$9:$C$59,'Corporate Roster - ''25'!J$9:J$59,0)</f>
        <v>25000</v>
      </c>
      <c r="I143" s="32">
        <f t="shared" ref="I143:T143" si="47">I25/$G25*$G143</f>
        <v>2083.3333333333335</v>
      </c>
      <c r="J143" s="10">
        <f t="shared" si="47"/>
        <v>2083.3333333333335</v>
      </c>
      <c r="K143" s="10">
        <f t="shared" si="47"/>
        <v>2083.3333333333335</v>
      </c>
      <c r="L143" s="10">
        <f t="shared" si="47"/>
        <v>2083.3333333333335</v>
      </c>
      <c r="M143" s="10">
        <f t="shared" si="47"/>
        <v>2083.3333333333335</v>
      </c>
      <c r="N143" s="10">
        <f t="shared" si="47"/>
        <v>2083.3333333333335</v>
      </c>
      <c r="O143" s="10">
        <f t="shared" si="47"/>
        <v>2083.3333333333335</v>
      </c>
      <c r="P143" s="10">
        <f t="shared" si="47"/>
        <v>2083.3333333333335</v>
      </c>
      <c r="Q143" s="10">
        <f t="shared" si="47"/>
        <v>2083.3333333333335</v>
      </c>
      <c r="R143" s="10">
        <f t="shared" si="47"/>
        <v>2083.3333333333335</v>
      </c>
      <c r="S143" s="10">
        <f t="shared" si="47"/>
        <v>2083.3333333333335</v>
      </c>
      <c r="T143" s="33">
        <f t="shared" si="47"/>
        <v>2083.3333333333335</v>
      </c>
    </row>
    <row r="144" spans="3:20" x14ac:dyDescent="0.2">
      <c r="C144" t="s">
        <v>102</v>
      </c>
      <c r="D144" t="s">
        <v>103</v>
      </c>
      <c r="E144" s="64">
        <f>_xlfn.XLOOKUP($C144,'Corporate Roster - ''25'!$C$9:$C$59,'Corporate Roster - ''25'!E$9:E$59,0)</f>
        <v>45063</v>
      </c>
      <c r="F144" s="64" t="str">
        <f>_xlfn.XLOOKUP($C144,'Corporate Roster - ''25'!$C$9:$C$59,'Corporate Roster - ''25'!F$9:F$59,0)</f>
        <v>-</v>
      </c>
      <c r="G144" s="261">
        <f>_xlfn.XLOOKUP($C144,'Corporate Roster - ''25'!$C$9:$C$59,'Corporate Roster - ''25'!J$9:J$59,0)</f>
        <v>28000</v>
      </c>
      <c r="I144" s="32">
        <f t="shared" ref="I144:T144" si="48">I26/$G26*$G144</f>
        <v>2333.333333333333</v>
      </c>
      <c r="J144" s="10">
        <f t="shared" si="48"/>
        <v>2333.333333333333</v>
      </c>
      <c r="K144" s="10">
        <f t="shared" si="48"/>
        <v>2333.333333333333</v>
      </c>
      <c r="L144" s="10">
        <f t="shared" si="48"/>
        <v>2333.333333333333</v>
      </c>
      <c r="M144" s="10">
        <f t="shared" si="48"/>
        <v>2333.333333333333</v>
      </c>
      <c r="N144" s="10">
        <f t="shared" si="48"/>
        <v>2333.333333333333</v>
      </c>
      <c r="O144" s="10">
        <f t="shared" si="48"/>
        <v>2333.333333333333</v>
      </c>
      <c r="P144" s="10">
        <f t="shared" si="48"/>
        <v>2333.333333333333</v>
      </c>
      <c r="Q144" s="10">
        <f t="shared" si="48"/>
        <v>2333.333333333333</v>
      </c>
      <c r="R144" s="10">
        <f t="shared" si="48"/>
        <v>2333.333333333333</v>
      </c>
      <c r="S144" s="10">
        <f t="shared" si="48"/>
        <v>2333.333333333333</v>
      </c>
      <c r="T144" s="33">
        <f t="shared" si="48"/>
        <v>2333.333333333333</v>
      </c>
    </row>
    <row r="145" spans="3:20" x14ac:dyDescent="0.2">
      <c r="C145" t="s">
        <v>104</v>
      </c>
      <c r="D145" t="s">
        <v>105</v>
      </c>
      <c r="E145" s="64">
        <f>_xlfn.XLOOKUP($C145,'Corporate Roster - ''25'!$C$9:$C$59,'Corporate Roster - ''25'!E$9:E$59,0)</f>
        <v>44169</v>
      </c>
      <c r="F145" s="64" t="str">
        <f>_xlfn.XLOOKUP($C145,'Corporate Roster - ''25'!$C$9:$C$59,'Corporate Roster - ''25'!F$9:F$59,0)</f>
        <v>-</v>
      </c>
      <c r="G145" s="261">
        <f>_xlfn.XLOOKUP($C145,'Corporate Roster - ''25'!$C$9:$C$59,'Corporate Roster - ''25'!J$9:J$59,0)</f>
        <v>20000</v>
      </c>
      <c r="I145" s="32">
        <f t="shared" ref="I145:T145" si="49">I27/$G27*$G145</f>
        <v>1666.6666666666665</v>
      </c>
      <c r="J145" s="10">
        <f t="shared" si="49"/>
        <v>1666.6666666666665</v>
      </c>
      <c r="K145" s="10">
        <f t="shared" si="49"/>
        <v>1666.6666666666665</v>
      </c>
      <c r="L145" s="10">
        <f t="shared" si="49"/>
        <v>1666.6666666666665</v>
      </c>
      <c r="M145" s="10">
        <f t="shared" si="49"/>
        <v>1666.6666666666665</v>
      </c>
      <c r="N145" s="10">
        <f t="shared" si="49"/>
        <v>1666.6666666666665</v>
      </c>
      <c r="O145" s="10">
        <f t="shared" si="49"/>
        <v>1666.6666666666665</v>
      </c>
      <c r="P145" s="10">
        <f t="shared" si="49"/>
        <v>1666.6666666666665</v>
      </c>
      <c r="Q145" s="10">
        <f t="shared" si="49"/>
        <v>1666.6666666666665</v>
      </c>
      <c r="R145" s="10">
        <f t="shared" si="49"/>
        <v>1666.6666666666665</v>
      </c>
      <c r="S145" s="10">
        <f t="shared" si="49"/>
        <v>1666.6666666666665</v>
      </c>
      <c r="T145" s="33">
        <f t="shared" si="49"/>
        <v>1666.6666666666665</v>
      </c>
    </row>
    <row r="146" spans="3:20" x14ac:dyDescent="0.2">
      <c r="C146" t="s">
        <v>148</v>
      </c>
      <c r="D146" t="s">
        <v>107</v>
      </c>
      <c r="E146" s="64">
        <f>_xlfn.XLOOKUP($C146,'Corporate Roster - ''25'!$C$9:$C$59,'Corporate Roster - ''25'!E$9:E$59,0)</f>
        <v>45017</v>
      </c>
      <c r="F146" s="64" t="str">
        <f>_xlfn.XLOOKUP($C146,'Corporate Roster - ''25'!$C$9:$C$59,'Corporate Roster - ''25'!F$9:F$59,0)</f>
        <v>-</v>
      </c>
      <c r="G146" s="261">
        <f>_xlfn.XLOOKUP($C146,'Corporate Roster - ''25'!$C$9:$C$59,'Corporate Roster - ''25'!J$9:J$59,0)</f>
        <v>23000</v>
      </c>
      <c r="I146" s="32">
        <f t="shared" ref="I146:T146" si="50">I28/$G28*$G146</f>
        <v>1916.666666666667</v>
      </c>
      <c r="J146" s="10">
        <f t="shared" si="50"/>
        <v>1916.666666666667</v>
      </c>
      <c r="K146" s="10">
        <f t="shared" si="50"/>
        <v>1916.666666666667</v>
      </c>
      <c r="L146" s="10">
        <f t="shared" si="50"/>
        <v>1916.666666666667</v>
      </c>
      <c r="M146" s="10">
        <f t="shared" si="50"/>
        <v>1916.666666666667</v>
      </c>
      <c r="N146" s="10">
        <f t="shared" si="50"/>
        <v>1916.666666666667</v>
      </c>
      <c r="O146" s="10">
        <f t="shared" si="50"/>
        <v>1916.666666666667</v>
      </c>
      <c r="P146" s="10">
        <f t="shared" si="50"/>
        <v>1916.666666666667</v>
      </c>
      <c r="Q146" s="10">
        <f t="shared" si="50"/>
        <v>1916.666666666667</v>
      </c>
      <c r="R146" s="10">
        <f t="shared" si="50"/>
        <v>1916.666666666667</v>
      </c>
      <c r="S146" s="10">
        <f t="shared" si="50"/>
        <v>1916.666666666667</v>
      </c>
      <c r="T146" s="33">
        <f t="shared" si="50"/>
        <v>1916.666666666667</v>
      </c>
    </row>
    <row r="147" spans="3:20" x14ac:dyDescent="0.2">
      <c r="C147" t="s">
        <v>108</v>
      </c>
      <c r="D147" t="s">
        <v>109</v>
      </c>
      <c r="E147" s="64">
        <f>_xlfn.XLOOKUP($C147,'Corporate Roster - ''25'!$C$9:$C$59,'Corporate Roster - ''25'!E$9:E$59,0)</f>
        <v>40157</v>
      </c>
      <c r="F147" s="64" t="str">
        <f>_xlfn.XLOOKUP($C147,'Corporate Roster - ''25'!$C$9:$C$59,'Corporate Roster - ''25'!F$9:F$59,0)</f>
        <v>-</v>
      </c>
      <c r="G147" s="261">
        <f>_xlfn.XLOOKUP($C147,'Corporate Roster - ''25'!$C$9:$C$59,'Corporate Roster - ''25'!J$9:J$59,0)</f>
        <v>25000</v>
      </c>
      <c r="I147" s="32">
        <f t="shared" ref="I147:T147" si="51">I29/$G29*$G147</f>
        <v>2083.3333333333335</v>
      </c>
      <c r="J147" s="10">
        <f t="shared" si="51"/>
        <v>2083.3333333333335</v>
      </c>
      <c r="K147" s="10">
        <f t="shared" si="51"/>
        <v>2083.3333333333335</v>
      </c>
      <c r="L147" s="10">
        <f t="shared" si="51"/>
        <v>2083.3333333333335</v>
      </c>
      <c r="M147" s="10">
        <f t="shared" si="51"/>
        <v>2083.3333333333335</v>
      </c>
      <c r="N147" s="10">
        <f t="shared" si="51"/>
        <v>2083.3333333333335</v>
      </c>
      <c r="O147" s="10">
        <f t="shared" si="51"/>
        <v>2083.3333333333335</v>
      </c>
      <c r="P147" s="10">
        <f t="shared" si="51"/>
        <v>2083.3333333333335</v>
      </c>
      <c r="Q147" s="10">
        <f t="shared" si="51"/>
        <v>2083.3333333333335</v>
      </c>
      <c r="R147" s="10">
        <f t="shared" si="51"/>
        <v>2083.3333333333335</v>
      </c>
      <c r="S147" s="10">
        <f t="shared" si="51"/>
        <v>2083.3333333333335</v>
      </c>
      <c r="T147" s="33">
        <f t="shared" si="51"/>
        <v>2083.3333333333335</v>
      </c>
    </row>
    <row r="148" spans="3:20" x14ac:dyDescent="0.2">
      <c r="C148" t="s">
        <v>73</v>
      </c>
      <c r="D148" t="s">
        <v>110</v>
      </c>
      <c r="E148" s="64">
        <f>_xlfn.XLOOKUP($C148,'Corporate Roster - ''25'!$C$9:$C$59,'Corporate Roster - ''25'!E$9:E$59,0)</f>
        <v>45335</v>
      </c>
      <c r="F148" s="64" t="str">
        <f>_xlfn.XLOOKUP($C148,'Corporate Roster - ''25'!$C$9:$C$59,'Corporate Roster - ''25'!F$9:F$59,0)</f>
        <v>-</v>
      </c>
      <c r="G148" s="261">
        <f>_xlfn.XLOOKUP($C148,'Corporate Roster - ''25'!$C$9:$C$59,'Corporate Roster - ''25'!J$9:J$59,0)</f>
        <v>28000</v>
      </c>
      <c r="I148" s="32">
        <f t="shared" ref="I148:T148" si="52">I30/$G30*$G148</f>
        <v>2333.333333333333</v>
      </c>
      <c r="J148" s="10">
        <f t="shared" si="52"/>
        <v>2333.333333333333</v>
      </c>
      <c r="K148" s="10">
        <f t="shared" si="52"/>
        <v>2333.333333333333</v>
      </c>
      <c r="L148" s="10">
        <f t="shared" si="52"/>
        <v>2333.333333333333</v>
      </c>
      <c r="M148" s="10">
        <f t="shared" si="52"/>
        <v>2333.333333333333</v>
      </c>
      <c r="N148" s="10">
        <f t="shared" si="52"/>
        <v>2333.333333333333</v>
      </c>
      <c r="O148" s="10">
        <f t="shared" si="52"/>
        <v>2333.333333333333</v>
      </c>
      <c r="P148" s="10">
        <f t="shared" si="52"/>
        <v>2333.333333333333</v>
      </c>
      <c r="Q148" s="10">
        <f t="shared" si="52"/>
        <v>2333.333333333333</v>
      </c>
      <c r="R148" s="10">
        <f t="shared" si="52"/>
        <v>2333.333333333333</v>
      </c>
      <c r="S148" s="10">
        <f t="shared" si="52"/>
        <v>2333.333333333333</v>
      </c>
      <c r="T148" s="33">
        <f t="shared" si="52"/>
        <v>2333.333333333333</v>
      </c>
    </row>
    <row r="149" spans="3:20" x14ac:dyDescent="0.2">
      <c r="C149" t="s">
        <v>111</v>
      </c>
      <c r="D149" t="s">
        <v>112</v>
      </c>
      <c r="E149" s="64">
        <f>_xlfn.XLOOKUP($C149,'Corporate Roster - ''25'!$C$9:$C$59,'Corporate Roster - ''25'!E$9:E$59,0)</f>
        <v>44694</v>
      </c>
      <c r="F149" s="64" t="str">
        <f>_xlfn.XLOOKUP($C149,'Corporate Roster - ''25'!$C$9:$C$59,'Corporate Roster - ''25'!F$9:F$59,0)</f>
        <v>-</v>
      </c>
      <c r="G149" s="261">
        <f>_xlfn.XLOOKUP($C149,'Corporate Roster - ''25'!$C$9:$C$59,'Corporate Roster - ''25'!J$9:J$59,0)</f>
        <v>31000</v>
      </c>
      <c r="I149" s="32">
        <f t="shared" ref="I149:T149" si="53">I31/$G31*$G149</f>
        <v>2583.333333333333</v>
      </c>
      <c r="J149" s="10">
        <f t="shared" si="53"/>
        <v>2583.333333333333</v>
      </c>
      <c r="K149" s="10">
        <f t="shared" si="53"/>
        <v>2583.333333333333</v>
      </c>
      <c r="L149" s="10">
        <f t="shared" si="53"/>
        <v>2583.333333333333</v>
      </c>
      <c r="M149" s="10">
        <f t="shared" si="53"/>
        <v>2583.333333333333</v>
      </c>
      <c r="N149" s="10">
        <f t="shared" si="53"/>
        <v>2583.333333333333</v>
      </c>
      <c r="O149" s="10">
        <f t="shared" si="53"/>
        <v>2583.333333333333</v>
      </c>
      <c r="P149" s="10">
        <f t="shared" si="53"/>
        <v>2583.333333333333</v>
      </c>
      <c r="Q149" s="10">
        <f t="shared" si="53"/>
        <v>2583.333333333333</v>
      </c>
      <c r="R149" s="10">
        <f t="shared" si="53"/>
        <v>2583.333333333333</v>
      </c>
      <c r="S149" s="10">
        <f t="shared" si="53"/>
        <v>2583.333333333333</v>
      </c>
      <c r="T149" s="33">
        <f t="shared" si="53"/>
        <v>2583.333333333333</v>
      </c>
    </row>
    <row r="150" spans="3:20" x14ac:dyDescent="0.2">
      <c r="C150" t="s">
        <v>149</v>
      </c>
      <c r="D150" t="s">
        <v>110</v>
      </c>
      <c r="E150" s="64">
        <f>_xlfn.XLOOKUP($C150,'Corporate Roster - ''25'!$C$9:$C$59,'Corporate Roster - ''25'!E$9:E$59,0)</f>
        <v>45368</v>
      </c>
      <c r="F150" s="64" t="str">
        <f>_xlfn.XLOOKUP($C150,'Corporate Roster - ''25'!$C$9:$C$59,'Corporate Roster - ''25'!F$9:F$59,0)</f>
        <v>-</v>
      </c>
      <c r="G150" s="261">
        <f>_xlfn.XLOOKUP($C150,'Corporate Roster - ''25'!$C$9:$C$59,'Corporate Roster - ''25'!J$9:J$59,0)</f>
        <v>28000</v>
      </c>
      <c r="I150" s="32">
        <f t="shared" ref="I150:T150" si="54">I32/$G32*$G150</f>
        <v>2333.333333333333</v>
      </c>
      <c r="J150" s="10">
        <f t="shared" si="54"/>
        <v>2333.333333333333</v>
      </c>
      <c r="K150" s="10">
        <f t="shared" si="54"/>
        <v>2333.333333333333</v>
      </c>
      <c r="L150" s="10">
        <f t="shared" si="54"/>
        <v>2333.333333333333</v>
      </c>
      <c r="M150" s="10">
        <f t="shared" si="54"/>
        <v>2333.333333333333</v>
      </c>
      <c r="N150" s="10">
        <f t="shared" si="54"/>
        <v>2333.333333333333</v>
      </c>
      <c r="O150" s="10">
        <f t="shared" si="54"/>
        <v>2333.333333333333</v>
      </c>
      <c r="P150" s="10">
        <f t="shared" si="54"/>
        <v>2333.333333333333</v>
      </c>
      <c r="Q150" s="10">
        <f t="shared" si="54"/>
        <v>2333.333333333333</v>
      </c>
      <c r="R150" s="10">
        <f t="shared" si="54"/>
        <v>2333.333333333333</v>
      </c>
      <c r="S150" s="10">
        <f t="shared" si="54"/>
        <v>2333.333333333333</v>
      </c>
      <c r="T150" s="33">
        <f t="shared" si="54"/>
        <v>2333.333333333333</v>
      </c>
    </row>
    <row r="151" spans="3:20" x14ac:dyDescent="0.2">
      <c r="C151" t="s">
        <v>150</v>
      </c>
      <c r="D151" t="s">
        <v>95</v>
      </c>
      <c r="E151" s="64">
        <f>_xlfn.XLOOKUP($C151,'Corporate Roster - ''25'!$C$9:$C$59,'Corporate Roster - ''25'!E$9:E$59,0)</f>
        <v>40489</v>
      </c>
      <c r="F151" s="64" t="str">
        <f>_xlfn.XLOOKUP($C151,'Corporate Roster - ''25'!$C$9:$C$59,'Corporate Roster - ''25'!F$9:F$59,0)</f>
        <v>-</v>
      </c>
      <c r="G151" s="261">
        <f>_xlfn.XLOOKUP($C151,'Corporate Roster - ''25'!$C$9:$C$59,'Corporate Roster - ''25'!J$9:J$59,0)</f>
        <v>46000</v>
      </c>
      <c r="I151" s="32">
        <f t="shared" ref="I151:T151" si="55">I33/$G33*$G151</f>
        <v>3833.3333333333339</v>
      </c>
      <c r="J151" s="10">
        <f t="shared" si="55"/>
        <v>3833.3333333333339</v>
      </c>
      <c r="K151" s="10">
        <f t="shared" si="55"/>
        <v>3833.3333333333339</v>
      </c>
      <c r="L151" s="10">
        <f t="shared" si="55"/>
        <v>3833.3333333333339</v>
      </c>
      <c r="M151" s="10">
        <f t="shared" si="55"/>
        <v>3833.3333333333339</v>
      </c>
      <c r="N151" s="10">
        <f t="shared" si="55"/>
        <v>3833.3333333333339</v>
      </c>
      <c r="O151" s="10">
        <f t="shared" si="55"/>
        <v>3833.3333333333339</v>
      </c>
      <c r="P151" s="10">
        <f t="shared" si="55"/>
        <v>3833.3333333333339</v>
      </c>
      <c r="Q151" s="10">
        <f t="shared" si="55"/>
        <v>3833.3333333333339</v>
      </c>
      <c r="R151" s="10">
        <f t="shared" si="55"/>
        <v>3833.3333333333339</v>
      </c>
      <c r="S151" s="10">
        <f t="shared" si="55"/>
        <v>3833.3333333333339</v>
      </c>
      <c r="T151" s="33">
        <f t="shared" si="55"/>
        <v>3833.3333333333339</v>
      </c>
    </row>
    <row r="152" spans="3:20" x14ac:dyDescent="0.2">
      <c r="C152" t="s">
        <v>115</v>
      </c>
      <c r="D152" t="s">
        <v>112</v>
      </c>
      <c r="E152" s="64">
        <f>_xlfn.XLOOKUP($C152,'Corporate Roster - ''25'!$C$9:$C$59,'Corporate Roster - ''25'!E$9:E$59,0)</f>
        <v>45236</v>
      </c>
      <c r="F152" s="64" t="str">
        <f>_xlfn.XLOOKUP($C152,'Corporate Roster - ''25'!$C$9:$C$59,'Corporate Roster - ''25'!F$9:F$59,0)</f>
        <v>-</v>
      </c>
      <c r="G152" s="261">
        <f>_xlfn.XLOOKUP($C152,'Corporate Roster - ''25'!$C$9:$C$59,'Corporate Roster - ''25'!J$9:J$59,0)</f>
        <v>31000</v>
      </c>
      <c r="I152" s="32">
        <f t="shared" ref="I152:T152" si="56">I34/$G34*$G152</f>
        <v>2583.333333333333</v>
      </c>
      <c r="J152" s="10">
        <f t="shared" si="56"/>
        <v>2583.333333333333</v>
      </c>
      <c r="K152" s="10">
        <f t="shared" si="56"/>
        <v>2583.333333333333</v>
      </c>
      <c r="L152" s="10">
        <f t="shared" si="56"/>
        <v>2583.333333333333</v>
      </c>
      <c r="M152" s="10">
        <f t="shared" si="56"/>
        <v>2583.333333333333</v>
      </c>
      <c r="N152" s="10">
        <f t="shared" si="56"/>
        <v>2583.333333333333</v>
      </c>
      <c r="O152" s="10">
        <f t="shared" si="56"/>
        <v>2583.333333333333</v>
      </c>
      <c r="P152" s="10">
        <f t="shared" si="56"/>
        <v>2583.333333333333</v>
      </c>
      <c r="Q152" s="10">
        <f t="shared" si="56"/>
        <v>2583.333333333333</v>
      </c>
      <c r="R152" s="10">
        <f t="shared" si="56"/>
        <v>2583.333333333333</v>
      </c>
      <c r="S152" s="10">
        <f t="shared" si="56"/>
        <v>2583.333333333333</v>
      </c>
      <c r="T152" s="33">
        <f t="shared" si="56"/>
        <v>2583.333333333333</v>
      </c>
    </row>
    <row r="153" spans="3:20" x14ac:dyDescent="0.2">
      <c r="C153" t="s">
        <v>116</v>
      </c>
      <c r="D153" t="s">
        <v>110</v>
      </c>
      <c r="E153" s="64">
        <f>_xlfn.XLOOKUP($C153,'Corporate Roster - ''25'!$C$9:$C$59,'Corporate Roster - ''25'!E$9:E$59,0)</f>
        <v>40015</v>
      </c>
      <c r="F153" s="64" t="str">
        <f>_xlfn.XLOOKUP($C153,'Corporate Roster - ''25'!$C$9:$C$59,'Corporate Roster - ''25'!F$9:F$59,0)</f>
        <v>-</v>
      </c>
      <c r="G153" s="261">
        <f>_xlfn.XLOOKUP($C153,'Corporate Roster - ''25'!$C$9:$C$59,'Corporate Roster - ''25'!J$9:J$59,0)</f>
        <v>28000</v>
      </c>
      <c r="I153" s="32">
        <f t="shared" ref="I153:T153" si="57">I35/$G35*$G153</f>
        <v>2333.333333333333</v>
      </c>
      <c r="J153" s="10">
        <f t="shared" si="57"/>
        <v>2333.333333333333</v>
      </c>
      <c r="K153" s="10">
        <f t="shared" si="57"/>
        <v>2333.333333333333</v>
      </c>
      <c r="L153" s="10">
        <f t="shared" si="57"/>
        <v>2333.333333333333</v>
      </c>
      <c r="M153" s="10">
        <f t="shared" si="57"/>
        <v>2333.333333333333</v>
      </c>
      <c r="N153" s="10">
        <f t="shared" si="57"/>
        <v>2333.333333333333</v>
      </c>
      <c r="O153" s="10">
        <f t="shared" si="57"/>
        <v>2333.333333333333</v>
      </c>
      <c r="P153" s="10">
        <f t="shared" si="57"/>
        <v>2333.333333333333</v>
      </c>
      <c r="Q153" s="10">
        <f t="shared" si="57"/>
        <v>2333.333333333333</v>
      </c>
      <c r="R153" s="10">
        <f t="shared" si="57"/>
        <v>2333.333333333333</v>
      </c>
      <c r="S153" s="10">
        <f t="shared" si="57"/>
        <v>2333.333333333333</v>
      </c>
      <c r="T153" s="33">
        <f t="shared" si="57"/>
        <v>2333.333333333333</v>
      </c>
    </row>
    <row r="154" spans="3:20" x14ac:dyDescent="0.2">
      <c r="C154" t="s">
        <v>106</v>
      </c>
      <c r="D154" t="s">
        <v>90</v>
      </c>
      <c r="E154" s="64">
        <f>_xlfn.XLOOKUP($C154,'Corporate Roster - ''25'!$C$9:$C$59,'Corporate Roster - ''25'!E$9:E$59,0)</f>
        <v>40345</v>
      </c>
      <c r="F154" s="64" t="str">
        <f>_xlfn.XLOOKUP($C154,'Corporate Roster - ''25'!$C$9:$C$59,'Corporate Roster - ''25'!F$9:F$59,0)</f>
        <v>-</v>
      </c>
      <c r="G154" s="261">
        <f>_xlfn.XLOOKUP($C154,'Corporate Roster - ''25'!$C$9:$C$59,'Corporate Roster - ''25'!J$9:J$59,0)</f>
        <v>43000</v>
      </c>
      <c r="I154" s="32">
        <f t="shared" ref="I154:T154" si="58">I36/$G36*$G154</f>
        <v>3583.333333333333</v>
      </c>
      <c r="J154" s="10">
        <f t="shared" si="58"/>
        <v>3583.333333333333</v>
      </c>
      <c r="K154" s="10">
        <f t="shared" si="58"/>
        <v>3583.333333333333</v>
      </c>
      <c r="L154" s="10">
        <f t="shared" si="58"/>
        <v>3583.333333333333</v>
      </c>
      <c r="M154" s="10">
        <f t="shared" si="58"/>
        <v>3583.333333333333</v>
      </c>
      <c r="N154" s="10">
        <f t="shared" si="58"/>
        <v>3583.333333333333</v>
      </c>
      <c r="O154" s="10">
        <f t="shared" si="58"/>
        <v>3583.333333333333</v>
      </c>
      <c r="P154" s="10">
        <f t="shared" si="58"/>
        <v>3583.333333333333</v>
      </c>
      <c r="Q154" s="10">
        <f t="shared" si="58"/>
        <v>3583.333333333333</v>
      </c>
      <c r="R154" s="10">
        <f t="shared" si="58"/>
        <v>3583.333333333333</v>
      </c>
      <c r="S154" s="10">
        <f t="shared" si="58"/>
        <v>3583.333333333333</v>
      </c>
      <c r="T154" s="33">
        <f t="shared" si="58"/>
        <v>3583.333333333333</v>
      </c>
    </row>
    <row r="155" spans="3:20" x14ac:dyDescent="0.2">
      <c r="C155" t="s">
        <v>117</v>
      </c>
      <c r="D155" t="s">
        <v>110</v>
      </c>
      <c r="E155" s="64">
        <f>_xlfn.XLOOKUP($C155,'Corporate Roster - ''25'!$C$9:$C$59,'Corporate Roster - ''25'!E$9:E$59,0)</f>
        <v>44824</v>
      </c>
      <c r="F155" s="64" t="str">
        <f>_xlfn.XLOOKUP($C155,'Corporate Roster - ''25'!$C$9:$C$59,'Corporate Roster - ''25'!F$9:F$59,0)</f>
        <v>-</v>
      </c>
      <c r="G155" s="261">
        <f>_xlfn.XLOOKUP($C155,'Corporate Roster - ''25'!$C$9:$C$59,'Corporate Roster - ''25'!J$9:J$59,0)</f>
        <v>28000</v>
      </c>
      <c r="I155" s="32">
        <f t="shared" ref="I155:T155" si="59">I37/$G37*$G155</f>
        <v>2333.333333333333</v>
      </c>
      <c r="J155" s="10">
        <f t="shared" si="59"/>
        <v>2333.333333333333</v>
      </c>
      <c r="K155" s="10">
        <f t="shared" si="59"/>
        <v>2333.333333333333</v>
      </c>
      <c r="L155" s="10">
        <f t="shared" si="59"/>
        <v>2333.333333333333</v>
      </c>
      <c r="M155" s="10">
        <f t="shared" si="59"/>
        <v>2333.333333333333</v>
      </c>
      <c r="N155" s="10">
        <f t="shared" si="59"/>
        <v>2333.333333333333</v>
      </c>
      <c r="O155" s="10">
        <f t="shared" si="59"/>
        <v>2333.333333333333</v>
      </c>
      <c r="P155" s="10">
        <f t="shared" si="59"/>
        <v>2333.333333333333</v>
      </c>
      <c r="Q155" s="10">
        <f t="shared" si="59"/>
        <v>2333.333333333333</v>
      </c>
      <c r="R155" s="10">
        <f t="shared" si="59"/>
        <v>2333.333333333333</v>
      </c>
      <c r="S155" s="10">
        <f t="shared" si="59"/>
        <v>2333.333333333333</v>
      </c>
      <c r="T155" s="33">
        <f t="shared" si="59"/>
        <v>2333.333333333333</v>
      </c>
    </row>
    <row r="156" spans="3:20" x14ac:dyDescent="0.2">
      <c r="C156" t="s">
        <v>118</v>
      </c>
      <c r="D156" t="s">
        <v>86</v>
      </c>
      <c r="E156" s="64">
        <f>_xlfn.XLOOKUP($C156,'Corporate Roster - ''25'!$C$9:$C$59,'Corporate Roster - ''25'!E$9:E$59,0)</f>
        <v>38939</v>
      </c>
      <c r="F156" s="64" t="str">
        <f>_xlfn.XLOOKUP($C156,'Corporate Roster - ''25'!$C$9:$C$59,'Corporate Roster - ''25'!F$9:F$59,0)</f>
        <v>-</v>
      </c>
      <c r="G156" s="261">
        <f>_xlfn.XLOOKUP($C156,'Corporate Roster - ''25'!$C$9:$C$59,'Corporate Roster - ''25'!J$9:J$59,0)</f>
        <v>40000</v>
      </c>
      <c r="I156" s="32">
        <f t="shared" ref="I156:T156" si="60">I38/$G38*$G156</f>
        <v>3333.333333333333</v>
      </c>
      <c r="J156" s="10">
        <f t="shared" si="60"/>
        <v>3333.333333333333</v>
      </c>
      <c r="K156" s="10">
        <f t="shared" si="60"/>
        <v>3333.333333333333</v>
      </c>
      <c r="L156" s="10">
        <f t="shared" si="60"/>
        <v>3333.333333333333</v>
      </c>
      <c r="M156" s="10">
        <f t="shared" si="60"/>
        <v>3333.333333333333</v>
      </c>
      <c r="N156" s="10">
        <f t="shared" si="60"/>
        <v>3333.333333333333</v>
      </c>
      <c r="O156" s="10">
        <f t="shared" si="60"/>
        <v>3333.333333333333</v>
      </c>
      <c r="P156" s="10">
        <f t="shared" si="60"/>
        <v>3333.333333333333</v>
      </c>
      <c r="Q156" s="10">
        <f t="shared" si="60"/>
        <v>3333.333333333333</v>
      </c>
      <c r="R156" s="10">
        <f t="shared" si="60"/>
        <v>3333.333333333333</v>
      </c>
      <c r="S156" s="10">
        <f t="shared" si="60"/>
        <v>3333.333333333333</v>
      </c>
      <c r="T156" s="33">
        <f t="shared" si="60"/>
        <v>3333.333333333333</v>
      </c>
    </row>
    <row r="157" spans="3:20" x14ac:dyDescent="0.2">
      <c r="C157" t="s">
        <v>65</v>
      </c>
      <c r="D157" t="s">
        <v>86</v>
      </c>
      <c r="E157" s="64">
        <f>_xlfn.XLOOKUP($C157,'Corporate Roster - ''25'!$C$9:$C$59,'Corporate Roster - ''25'!E$9:E$59,0)</f>
        <v>42100</v>
      </c>
      <c r="F157" s="64" t="str">
        <f>_xlfn.XLOOKUP($C157,'Corporate Roster - ''25'!$C$9:$C$59,'Corporate Roster - ''25'!F$9:F$59,0)</f>
        <v>-</v>
      </c>
      <c r="G157" s="261">
        <f>_xlfn.XLOOKUP($C157,'Corporate Roster - ''25'!$C$9:$C$59,'Corporate Roster - ''25'!J$9:J$59,0)</f>
        <v>40000</v>
      </c>
      <c r="I157" s="32">
        <f t="shared" ref="I157:T157" si="61">I39/$G39*$G157</f>
        <v>3333.333333333333</v>
      </c>
      <c r="J157" s="10">
        <f t="shared" si="61"/>
        <v>3333.333333333333</v>
      </c>
      <c r="K157" s="10">
        <f t="shared" si="61"/>
        <v>3333.333333333333</v>
      </c>
      <c r="L157" s="10">
        <f t="shared" si="61"/>
        <v>3333.333333333333</v>
      </c>
      <c r="M157" s="10">
        <f t="shared" si="61"/>
        <v>3333.333333333333</v>
      </c>
      <c r="N157" s="10">
        <f t="shared" si="61"/>
        <v>3333.333333333333</v>
      </c>
      <c r="O157" s="10">
        <f t="shared" si="61"/>
        <v>3333.333333333333</v>
      </c>
      <c r="P157" s="10">
        <f t="shared" si="61"/>
        <v>3333.333333333333</v>
      </c>
      <c r="Q157" s="10">
        <f t="shared" si="61"/>
        <v>3333.333333333333</v>
      </c>
      <c r="R157" s="10">
        <f t="shared" si="61"/>
        <v>3333.333333333333</v>
      </c>
      <c r="S157" s="10">
        <f t="shared" si="61"/>
        <v>3333.333333333333</v>
      </c>
      <c r="T157" s="33">
        <f t="shared" si="61"/>
        <v>3333.333333333333</v>
      </c>
    </row>
    <row r="158" spans="3:20" x14ac:dyDescent="0.2">
      <c r="C158" t="s">
        <v>119</v>
      </c>
      <c r="D158" t="s">
        <v>110</v>
      </c>
      <c r="E158" s="64">
        <f>_xlfn.XLOOKUP($C158,'Corporate Roster - ''25'!$C$9:$C$59,'Corporate Roster - ''25'!E$9:E$59,0)</f>
        <v>42772</v>
      </c>
      <c r="F158" s="64" t="str">
        <f>_xlfn.XLOOKUP($C158,'Corporate Roster - ''25'!$C$9:$C$59,'Corporate Roster - ''25'!F$9:F$59,0)</f>
        <v>-</v>
      </c>
      <c r="G158" s="261">
        <f>_xlfn.XLOOKUP($C158,'Corporate Roster - ''25'!$C$9:$C$59,'Corporate Roster - ''25'!J$9:J$59,0)</f>
        <v>28000</v>
      </c>
      <c r="I158" s="32">
        <f t="shared" ref="I158:T158" si="62">I40/$G40*$G158</f>
        <v>2333.333333333333</v>
      </c>
      <c r="J158" s="10">
        <f t="shared" si="62"/>
        <v>2333.333333333333</v>
      </c>
      <c r="K158" s="10">
        <f t="shared" si="62"/>
        <v>2333.333333333333</v>
      </c>
      <c r="L158" s="10">
        <f t="shared" si="62"/>
        <v>2333.333333333333</v>
      </c>
      <c r="M158" s="10">
        <f t="shared" si="62"/>
        <v>2333.333333333333</v>
      </c>
      <c r="N158" s="10">
        <f t="shared" si="62"/>
        <v>2333.333333333333</v>
      </c>
      <c r="O158" s="10">
        <f t="shared" si="62"/>
        <v>2333.333333333333</v>
      </c>
      <c r="P158" s="10">
        <f t="shared" si="62"/>
        <v>2333.333333333333</v>
      </c>
      <c r="Q158" s="10">
        <f t="shared" si="62"/>
        <v>2333.333333333333</v>
      </c>
      <c r="R158" s="10">
        <f t="shared" si="62"/>
        <v>2333.333333333333</v>
      </c>
      <c r="S158" s="10">
        <f t="shared" si="62"/>
        <v>2333.333333333333</v>
      </c>
      <c r="T158" s="33">
        <f t="shared" si="62"/>
        <v>2333.333333333333</v>
      </c>
    </row>
    <row r="159" spans="3:20" x14ac:dyDescent="0.2">
      <c r="C159" t="s">
        <v>120</v>
      </c>
      <c r="D159" t="s">
        <v>110</v>
      </c>
      <c r="E159" s="64">
        <f>_xlfn.XLOOKUP($C159,'Corporate Roster - ''25'!$C$9:$C$59,'Corporate Roster - ''25'!E$9:E$59,0)</f>
        <v>41160</v>
      </c>
      <c r="F159" s="64" t="str">
        <f>_xlfn.XLOOKUP($C159,'Corporate Roster - ''25'!$C$9:$C$59,'Corporate Roster - ''25'!F$9:F$59,0)</f>
        <v>-</v>
      </c>
      <c r="G159" s="261">
        <f>_xlfn.XLOOKUP($C159,'Corporate Roster - ''25'!$C$9:$C$59,'Corporate Roster - ''25'!J$9:J$59,0)</f>
        <v>28000</v>
      </c>
      <c r="I159" s="32">
        <f t="shared" ref="I159:T159" si="63">I41/$G41*$G159</f>
        <v>2333.333333333333</v>
      </c>
      <c r="J159" s="10">
        <f t="shared" si="63"/>
        <v>2333.333333333333</v>
      </c>
      <c r="K159" s="10">
        <f t="shared" si="63"/>
        <v>2333.333333333333</v>
      </c>
      <c r="L159" s="10">
        <f t="shared" si="63"/>
        <v>2333.333333333333</v>
      </c>
      <c r="M159" s="10">
        <f t="shared" si="63"/>
        <v>2333.333333333333</v>
      </c>
      <c r="N159" s="10">
        <f t="shared" si="63"/>
        <v>2333.333333333333</v>
      </c>
      <c r="O159" s="10">
        <f t="shared" si="63"/>
        <v>2333.333333333333</v>
      </c>
      <c r="P159" s="10">
        <f t="shared" si="63"/>
        <v>2333.333333333333</v>
      </c>
      <c r="Q159" s="10">
        <f t="shared" si="63"/>
        <v>2333.333333333333</v>
      </c>
      <c r="R159" s="10">
        <f t="shared" si="63"/>
        <v>2333.333333333333</v>
      </c>
      <c r="S159" s="10">
        <f t="shared" si="63"/>
        <v>2333.333333333333</v>
      </c>
      <c r="T159" s="33">
        <f t="shared" si="63"/>
        <v>2333.333333333333</v>
      </c>
    </row>
    <row r="160" spans="3:20" x14ac:dyDescent="0.2">
      <c r="C160" t="s">
        <v>121</v>
      </c>
      <c r="D160" t="s">
        <v>99</v>
      </c>
      <c r="E160" s="64">
        <f>_xlfn.XLOOKUP($C160,'Corporate Roster - ''25'!$C$9:$C$59,'Corporate Roster - ''25'!E$9:E$59,0)</f>
        <v>44972</v>
      </c>
      <c r="F160" s="64" t="str">
        <f>_xlfn.XLOOKUP($C160,'Corporate Roster - ''25'!$C$9:$C$59,'Corporate Roster - ''25'!F$9:F$59,0)</f>
        <v>-</v>
      </c>
      <c r="G160" s="261">
        <f>_xlfn.XLOOKUP($C160,'Corporate Roster - ''25'!$C$9:$C$59,'Corporate Roster - ''25'!J$9:J$59,0)</f>
        <v>26000</v>
      </c>
      <c r="I160" s="32">
        <f t="shared" ref="I160:T160" si="64">I42/$G42*$G160</f>
        <v>2166.6666666666665</v>
      </c>
      <c r="J160" s="10">
        <f t="shared" si="64"/>
        <v>2166.6666666666665</v>
      </c>
      <c r="K160" s="10">
        <f t="shared" si="64"/>
        <v>2166.6666666666665</v>
      </c>
      <c r="L160" s="10">
        <f t="shared" si="64"/>
        <v>2166.6666666666665</v>
      </c>
      <c r="M160" s="10">
        <f t="shared" si="64"/>
        <v>2166.6666666666665</v>
      </c>
      <c r="N160" s="10">
        <f t="shared" si="64"/>
        <v>2166.6666666666665</v>
      </c>
      <c r="O160" s="10">
        <f t="shared" si="64"/>
        <v>2166.6666666666665</v>
      </c>
      <c r="P160" s="10">
        <f t="shared" si="64"/>
        <v>2166.6666666666665</v>
      </c>
      <c r="Q160" s="10">
        <f t="shared" si="64"/>
        <v>2166.6666666666665</v>
      </c>
      <c r="R160" s="10">
        <f t="shared" si="64"/>
        <v>2166.6666666666665</v>
      </c>
      <c r="S160" s="10">
        <f t="shared" si="64"/>
        <v>2166.6666666666665</v>
      </c>
      <c r="T160" s="33">
        <f t="shared" si="64"/>
        <v>2166.6666666666665</v>
      </c>
    </row>
    <row r="161" spans="3:20" x14ac:dyDescent="0.2">
      <c r="C161" t="s">
        <v>151</v>
      </c>
      <c r="D161" t="s">
        <v>90</v>
      </c>
      <c r="E161" s="64">
        <f>_xlfn.XLOOKUP($C161,'Corporate Roster - ''25'!$C$9:$C$59,'Corporate Roster - ''25'!E$9:E$59,0)</f>
        <v>42189</v>
      </c>
      <c r="F161" s="64" t="str">
        <f>_xlfn.XLOOKUP($C161,'Corporate Roster - ''25'!$C$9:$C$59,'Corporate Roster - ''25'!F$9:F$59,0)</f>
        <v>-</v>
      </c>
      <c r="G161" s="261">
        <f>_xlfn.XLOOKUP($C161,'Corporate Roster - ''25'!$C$9:$C$59,'Corporate Roster - ''25'!J$9:J$59,0)</f>
        <v>43000</v>
      </c>
      <c r="I161" s="32">
        <f t="shared" ref="I161:T161" si="65">I43/$G43*$G161</f>
        <v>3583.333333333333</v>
      </c>
      <c r="J161" s="10">
        <f t="shared" si="65"/>
        <v>3583.333333333333</v>
      </c>
      <c r="K161" s="10">
        <f t="shared" si="65"/>
        <v>3583.333333333333</v>
      </c>
      <c r="L161" s="10">
        <f t="shared" si="65"/>
        <v>3583.333333333333</v>
      </c>
      <c r="M161" s="10">
        <f t="shared" si="65"/>
        <v>3583.333333333333</v>
      </c>
      <c r="N161" s="10">
        <f t="shared" si="65"/>
        <v>3583.333333333333</v>
      </c>
      <c r="O161" s="10">
        <f t="shared" si="65"/>
        <v>3583.333333333333</v>
      </c>
      <c r="P161" s="10">
        <f t="shared" si="65"/>
        <v>3583.333333333333</v>
      </c>
      <c r="Q161" s="10">
        <f t="shared" si="65"/>
        <v>3583.333333333333</v>
      </c>
      <c r="R161" s="10">
        <f t="shared" si="65"/>
        <v>3583.333333333333</v>
      </c>
      <c r="S161" s="10">
        <f t="shared" si="65"/>
        <v>3583.333333333333</v>
      </c>
      <c r="T161" s="33">
        <f t="shared" si="65"/>
        <v>3583.333333333333</v>
      </c>
    </row>
    <row r="162" spans="3:20" x14ac:dyDescent="0.2">
      <c r="C162" t="s">
        <v>123</v>
      </c>
      <c r="D162" t="s">
        <v>99</v>
      </c>
      <c r="E162" s="64">
        <f>_xlfn.XLOOKUP($C162,'Corporate Roster - ''25'!$C$9:$C$59,'Corporate Roster - ''25'!E$9:E$59,0)</f>
        <v>44716</v>
      </c>
      <c r="F162" s="64" t="str">
        <f>_xlfn.XLOOKUP($C162,'Corporate Roster - ''25'!$C$9:$C$59,'Corporate Roster - ''25'!F$9:F$59,0)</f>
        <v>-</v>
      </c>
      <c r="G162" s="261">
        <f>_xlfn.XLOOKUP($C162,'Corporate Roster - ''25'!$C$9:$C$59,'Corporate Roster - ''25'!J$9:J$59,0)</f>
        <v>26000</v>
      </c>
      <c r="I162" s="32">
        <f t="shared" ref="I162:T162" si="66">I44/$G44*$G162</f>
        <v>2166.6666666666665</v>
      </c>
      <c r="J162" s="10">
        <f t="shared" si="66"/>
        <v>2166.6666666666665</v>
      </c>
      <c r="K162" s="10">
        <f t="shared" si="66"/>
        <v>2166.6666666666665</v>
      </c>
      <c r="L162" s="10">
        <f t="shared" si="66"/>
        <v>2166.6666666666665</v>
      </c>
      <c r="M162" s="10">
        <f t="shared" si="66"/>
        <v>2166.6666666666665</v>
      </c>
      <c r="N162" s="10">
        <f t="shared" si="66"/>
        <v>2166.6666666666665</v>
      </c>
      <c r="O162" s="10">
        <f t="shared" si="66"/>
        <v>2166.6666666666665</v>
      </c>
      <c r="P162" s="10">
        <f t="shared" si="66"/>
        <v>2166.6666666666665</v>
      </c>
      <c r="Q162" s="10">
        <f t="shared" si="66"/>
        <v>2166.6666666666665</v>
      </c>
      <c r="R162" s="10">
        <f t="shared" si="66"/>
        <v>2166.6666666666665</v>
      </c>
      <c r="S162" s="10">
        <f t="shared" si="66"/>
        <v>2166.6666666666665</v>
      </c>
      <c r="T162" s="33">
        <f t="shared" si="66"/>
        <v>2166.6666666666665</v>
      </c>
    </row>
    <row r="163" spans="3:20" x14ac:dyDescent="0.2">
      <c r="C163" t="s">
        <v>124</v>
      </c>
      <c r="D163" t="s">
        <v>99</v>
      </c>
      <c r="E163" s="64">
        <f>_xlfn.XLOOKUP($C163,'Corporate Roster - ''25'!$C$9:$C$59,'Corporate Roster - ''25'!E$9:E$59,0)</f>
        <v>38697</v>
      </c>
      <c r="F163" s="64" t="str">
        <f>_xlfn.XLOOKUP($C163,'Corporate Roster - ''25'!$C$9:$C$59,'Corporate Roster - ''25'!F$9:F$59,0)</f>
        <v>-</v>
      </c>
      <c r="G163" s="261">
        <f>_xlfn.XLOOKUP($C163,'Corporate Roster - ''25'!$C$9:$C$59,'Corporate Roster - ''25'!J$9:J$59,0)</f>
        <v>26000</v>
      </c>
      <c r="I163" s="32">
        <f t="shared" ref="I163:T163" si="67">I45/$G45*$G163</f>
        <v>2166.6666666666665</v>
      </c>
      <c r="J163" s="10">
        <f t="shared" si="67"/>
        <v>2166.6666666666665</v>
      </c>
      <c r="K163" s="10">
        <f t="shared" si="67"/>
        <v>2166.6666666666665</v>
      </c>
      <c r="L163" s="10">
        <f t="shared" si="67"/>
        <v>2166.6666666666665</v>
      </c>
      <c r="M163" s="10">
        <f t="shared" si="67"/>
        <v>2166.6666666666665</v>
      </c>
      <c r="N163" s="10">
        <f t="shared" si="67"/>
        <v>2166.6666666666665</v>
      </c>
      <c r="O163" s="10">
        <f t="shared" si="67"/>
        <v>2166.6666666666665</v>
      </c>
      <c r="P163" s="10">
        <f t="shared" si="67"/>
        <v>2166.6666666666665</v>
      </c>
      <c r="Q163" s="10">
        <f t="shared" si="67"/>
        <v>2166.6666666666665</v>
      </c>
      <c r="R163" s="10">
        <f t="shared" si="67"/>
        <v>2166.6666666666665</v>
      </c>
      <c r="S163" s="10">
        <f t="shared" si="67"/>
        <v>2166.6666666666665</v>
      </c>
      <c r="T163" s="33">
        <f t="shared" si="67"/>
        <v>2166.6666666666665</v>
      </c>
    </row>
    <row r="164" spans="3:20" x14ac:dyDescent="0.2">
      <c r="C164" t="s">
        <v>125</v>
      </c>
      <c r="D164" t="s">
        <v>99</v>
      </c>
      <c r="E164" s="64">
        <f>_xlfn.XLOOKUP($C164,'Corporate Roster - ''25'!$C$9:$C$59,'Corporate Roster - ''25'!E$9:E$59,0)</f>
        <v>43863</v>
      </c>
      <c r="F164" s="64" t="str">
        <f>_xlfn.XLOOKUP($C164,'Corporate Roster - ''25'!$C$9:$C$59,'Corporate Roster - ''25'!F$9:F$59,0)</f>
        <v>-</v>
      </c>
      <c r="G164" s="261">
        <f>_xlfn.XLOOKUP($C164,'Corporate Roster - ''25'!$C$9:$C$59,'Corporate Roster - ''25'!J$9:J$59,0)</f>
        <v>26000</v>
      </c>
      <c r="I164" s="32">
        <f t="shared" ref="I164:T164" si="68">I46/$G46*$G164</f>
        <v>2166.6666666666665</v>
      </c>
      <c r="J164" s="10">
        <f t="shared" si="68"/>
        <v>2166.6666666666665</v>
      </c>
      <c r="K164" s="10">
        <f t="shared" si="68"/>
        <v>2166.6666666666665</v>
      </c>
      <c r="L164" s="10">
        <f t="shared" si="68"/>
        <v>2166.6666666666665</v>
      </c>
      <c r="M164" s="10">
        <f t="shared" si="68"/>
        <v>2166.6666666666665</v>
      </c>
      <c r="N164" s="10">
        <f t="shared" si="68"/>
        <v>2166.6666666666665</v>
      </c>
      <c r="O164" s="10">
        <f t="shared" si="68"/>
        <v>2166.6666666666665</v>
      </c>
      <c r="P164" s="10">
        <f t="shared" si="68"/>
        <v>2166.6666666666665</v>
      </c>
      <c r="Q164" s="10">
        <f t="shared" si="68"/>
        <v>2166.6666666666665</v>
      </c>
      <c r="R164" s="10">
        <f t="shared" si="68"/>
        <v>2166.6666666666665</v>
      </c>
      <c r="S164" s="10">
        <f t="shared" si="68"/>
        <v>2166.6666666666665</v>
      </c>
      <c r="T164" s="33">
        <f t="shared" si="68"/>
        <v>2166.6666666666665</v>
      </c>
    </row>
    <row r="165" spans="3:20" x14ac:dyDescent="0.2">
      <c r="C165" t="s">
        <v>126</v>
      </c>
      <c r="D165" t="s">
        <v>110</v>
      </c>
      <c r="E165" s="64">
        <f>_xlfn.XLOOKUP($C165,'Corporate Roster - ''25'!$C$9:$C$59,'Corporate Roster - ''25'!E$9:E$59,0)</f>
        <v>40847</v>
      </c>
      <c r="F165" s="64" t="str">
        <f>_xlfn.XLOOKUP($C165,'Corporate Roster - ''25'!$C$9:$C$59,'Corporate Roster - ''25'!F$9:F$59,0)</f>
        <v>-</v>
      </c>
      <c r="G165" s="261">
        <f>_xlfn.XLOOKUP($C165,'Corporate Roster - ''25'!$C$9:$C$59,'Corporate Roster - ''25'!J$9:J$59,0)</f>
        <v>28000</v>
      </c>
      <c r="I165" s="32">
        <f t="shared" ref="I165:T165" si="69">I47/$G47*$G165</f>
        <v>2333.333333333333</v>
      </c>
      <c r="J165" s="10">
        <f t="shared" si="69"/>
        <v>2333.333333333333</v>
      </c>
      <c r="K165" s="10">
        <f t="shared" si="69"/>
        <v>2333.333333333333</v>
      </c>
      <c r="L165" s="10">
        <f t="shared" si="69"/>
        <v>2333.333333333333</v>
      </c>
      <c r="M165" s="10">
        <f t="shared" si="69"/>
        <v>2333.333333333333</v>
      </c>
      <c r="N165" s="10">
        <f t="shared" si="69"/>
        <v>2333.333333333333</v>
      </c>
      <c r="O165" s="10">
        <f t="shared" si="69"/>
        <v>2333.333333333333</v>
      </c>
      <c r="P165" s="10">
        <f t="shared" si="69"/>
        <v>2333.333333333333</v>
      </c>
      <c r="Q165" s="10">
        <f t="shared" si="69"/>
        <v>2333.333333333333</v>
      </c>
      <c r="R165" s="10">
        <f t="shared" si="69"/>
        <v>2333.333333333333</v>
      </c>
      <c r="S165" s="10">
        <f t="shared" si="69"/>
        <v>2333.333333333333</v>
      </c>
      <c r="T165" s="33">
        <f t="shared" si="69"/>
        <v>2333.333333333333</v>
      </c>
    </row>
    <row r="166" spans="3:20" x14ac:dyDescent="0.2">
      <c r="C166" t="s">
        <v>127</v>
      </c>
      <c r="D166" t="s">
        <v>110</v>
      </c>
      <c r="E166" s="64">
        <f>_xlfn.XLOOKUP($C166,'Corporate Roster - ''25'!$C$9:$C$59,'Corporate Roster - ''25'!E$9:E$59,0)</f>
        <v>39385</v>
      </c>
      <c r="F166" s="64" t="str">
        <f>_xlfn.XLOOKUP($C166,'Corporate Roster - ''25'!$C$9:$C$59,'Corporate Roster - ''25'!F$9:F$59,0)</f>
        <v>-</v>
      </c>
      <c r="G166" s="261">
        <f>_xlfn.XLOOKUP($C166,'Corporate Roster - ''25'!$C$9:$C$59,'Corporate Roster - ''25'!J$9:J$59,0)</f>
        <v>28000</v>
      </c>
      <c r="I166" s="32">
        <f t="shared" ref="I166:T166" si="70">I48/$G48*$G166</f>
        <v>2333.333333333333</v>
      </c>
      <c r="J166" s="10">
        <f t="shared" si="70"/>
        <v>2333.333333333333</v>
      </c>
      <c r="K166" s="10">
        <f t="shared" si="70"/>
        <v>2333.333333333333</v>
      </c>
      <c r="L166" s="10">
        <f t="shared" si="70"/>
        <v>2333.333333333333</v>
      </c>
      <c r="M166" s="10">
        <f t="shared" si="70"/>
        <v>2333.333333333333</v>
      </c>
      <c r="N166" s="10">
        <f t="shared" si="70"/>
        <v>2333.333333333333</v>
      </c>
      <c r="O166" s="10">
        <f t="shared" si="70"/>
        <v>2333.333333333333</v>
      </c>
      <c r="P166" s="10">
        <f t="shared" si="70"/>
        <v>2333.333333333333</v>
      </c>
      <c r="Q166" s="10">
        <f t="shared" si="70"/>
        <v>2333.333333333333</v>
      </c>
      <c r="R166" s="10">
        <f t="shared" si="70"/>
        <v>2333.333333333333</v>
      </c>
      <c r="S166" s="10">
        <f t="shared" si="70"/>
        <v>2333.333333333333</v>
      </c>
      <c r="T166" s="33">
        <f t="shared" si="70"/>
        <v>2333.333333333333</v>
      </c>
    </row>
    <row r="167" spans="3:20" x14ac:dyDescent="0.2">
      <c r="C167" t="s">
        <v>128</v>
      </c>
      <c r="D167" t="s">
        <v>90</v>
      </c>
      <c r="E167" s="64">
        <f>_xlfn.XLOOKUP($C167,'Corporate Roster - ''25'!$C$9:$C$59,'Corporate Roster - ''25'!E$9:E$59,0)</f>
        <v>39936</v>
      </c>
      <c r="F167" s="64" t="str">
        <f>_xlfn.XLOOKUP($C167,'Corporate Roster - ''25'!$C$9:$C$59,'Corporate Roster - ''25'!F$9:F$59,0)</f>
        <v>-</v>
      </c>
      <c r="G167" s="261">
        <f>_xlfn.XLOOKUP($C167,'Corporate Roster - ''25'!$C$9:$C$59,'Corporate Roster - ''25'!J$9:J$59,0)</f>
        <v>43000</v>
      </c>
      <c r="I167" s="32">
        <f t="shared" ref="I167:T167" si="71">I49/$G49*$G167</f>
        <v>3583.333333333333</v>
      </c>
      <c r="J167" s="10">
        <f t="shared" si="71"/>
        <v>3583.333333333333</v>
      </c>
      <c r="K167" s="10">
        <f t="shared" si="71"/>
        <v>3583.333333333333</v>
      </c>
      <c r="L167" s="10">
        <f t="shared" si="71"/>
        <v>3583.333333333333</v>
      </c>
      <c r="M167" s="10">
        <f t="shared" si="71"/>
        <v>3583.333333333333</v>
      </c>
      <c r="N167" s="10">
        <f t="shared" si="71"/>
        <v>3583.333333333333</v>
      </c>
      <c r="O167" s="10">
        <f t="shared" si="71"/>
        <v>3583.333333333333</v>
      </c>
      <c r="P167" s="10">
        <f t="shared" si="71"/>
        <v>3583.333333333333</v>
      </c>
      <c r="Q167" s="10">
        <f t="shared" si="71"/>
        <v>3583.333333333333</v>
      </c>
      <c r="R167" s="10">
        <f t="shared" si="71"/>
        <v>3583.333333333333</v>
      </c>
      <c r="S167" s="10">
        <f t="shared" si="71"/>
        <v>3583.333333333333</v>
      </c>
      <c r="T167" s="33">
        <f t="shared" si="71"/>
        <v>3583.333333333333</v>
      </c>
    </row>
    <row r="168" spans="3:20" x14ac:dyDescent="0.2">
      <c r="C168" t="s">
        <v>129</v>
      </c>
      <c r="D168" t="s">
        <v>99</v>
      </c>
      <c r="E168" s="64">
        <f>_xlfn.XLOOKUP($C168,'Corporate Roster - ''25'!$C$9:$C$59,'Corporate Roster - ''25'!E$9:E$59,0)</f>
        <v>43887</v>
      </c>
      <c r="F168" s="64" t="str">
        <f>_xlfn.XLOOKUP($C168,'Corporate Roster - ''25'!$C$9:$C$59,'Corporate Roster - ''25'!F$9:F$59,0)</f>
        <v>-</v>
      </c>
      <c r="G168" s="261">
        <f>_xlfn.XLOOKUP($C168,'Corporate Roster - ''25'!$C$9:$C$59,'Corporate Roster - ''25'!J$9:J$59,0)</f>
        <v>26000</v>
      </c>
      <c r="I168" s="32">
        <f t="shared" ref="I168:T168" si="72">I50/$G50*$G168</f>
        <v>2166.6666666666665</v>
      </c>
      <c r="J168" s="10">
        <f t="shared" si="72"/>
        <v>2166.6666666666665</v>
      </c>
      <c r="K168" s="10">
        <f t="shared" si="72"/>
        <v>2166.6666666666665</v>
      </c>
      <c r="L168" s="10">
        <f t="shared" si="72"/>
        <v>2166.6666666666665</v>
      </c>
      <c r="M168" s="10">
        <f t="shared" si="72"/>
        <v>2166.6666666666665</v>
      </c>
      <c r="N168" s="10">
        <f t="shared" si="72"/>
        <v>2166.6666666666665</v>
      </c>
      <c r="O168" s="10">
        <f t="shared" si="72"/>
        <v>2166.6666666666665</v>
      </c>
      <c r="P168" s="10">
        <f t="shared" si="72"/>
        <v>2166.6666666666665</v>
      </c>
      <c r="Q168" s="10">
        <f t="shared" si="72"/>
        <v>2166.6666666666665</v>
      </c>
      <c r="R168" s="10">
        <f t="shared" si="72"/>
        <v>2166.6666666666665</v>
      </c>
      <c r="S168" s="10">
        <f t="shared" si="72"/>
        <v>2166.6666666666665</v>
      </c>
      <c r="T168" s="33">
        <f t="shared" si="72"/>
        <v>2166.6666666666665</v>
      </c>
    </row>
    <row r="169" spans="3:20" x14ac:dyDescent="0.2">
      <c r="C169" t="s">
        <v>122</v>
      </c>
      <c r="D169" t="s">
        <v>99</v>
      </c>
      <c r="E169" s="64">
        <f>_xlfn.XLOOKUP($C169,'Corporate Roster - ''25'!$C$9:$C$59,'Corporate Roster - ''25'!E$9:E$59,0)</f>
        <v>44041</v>
      </c>
      <c r="F169" s="64" t="str">
        <f>_xlfn.XLOOKUP($C169,'Corporate Roster - ''25'!$C$9:$C$59,'Corporate Roster - ''25'!F$9:F$59,0)</f>
        <v>-</v>
      </c>
      <c r="G169" s="261">
        <f>_xlfn.XLOOKUP($C169,'Corporate Roster - ''25'!$C$9:$C$59,'Corporate Roster - ''25'!J$9:J$59,0)</f>
        <v>26000</v>
      </c>
      <c r="I169" s="32">
        <f t="shared" ref="I169:T169" si="73">I51/$G51*$G169</f>
        <v>2166.6666666666665</v>
      </c>
      <c r="J169" s="10">
        <f t="shared" si="73"/>
        <v>2166.6666666666665</v>
      </c>
      <c r="K169" s="10">
        <f t="shared" si="73"/>
        <v>2166.6666666666665</v>
      </c>
      <c r="L169" s="10">
        <f t="shared" si="73"/>
        <v>2166.6666666666665</v>
      </c>
      <c r="M169" s="10">
        <f t="shared" si="73"/>
        <v>2166.6666666666665</v>
      </c>
      <c r="N169" s="10">
        <f t="shared" si="73"/>
        <v>2166.6666666666665</v>
      </c>
      <c r="O169" s="10">
        <f t="shared" si="73"/>
        <v>2166.6666666666665</v>
      </c>
      <c r="P169" s="10">
        <f t="shared" si="73"/>
        <v>2166.6666666666665</v>
      </c>
      <c r="Q169" s="10">
        <f t="shared" si="73"/>
        <v>2166.6666666666665</v>
      </c>
      <c r="R169" s="10">
        <f t="shared" si="73"/>
        <v>2166.6666666666665</v>
      </c>
      <c r="S169" s="10">
        <f t="shared" si="73"/>
        <v>2166.6666666666665</v>
      </c>
      <c r="T169" s="33">
        <f t="shared" si="73"/>
        <v>2166.6666666666665</v>
      </c>
    </row>
    <row r="170" spans="3:20" x14ac:dyDescent="0.2">
      <c r="C170" t="s">
        <v>236</v>
      </c>
      <c r="D170" t="s">
        <v>242</v>
      </c>
      <c r="E170" s="64">
        <f>_xlfn.XLOOKUP($C170,'Corporate Roster - ''25'!$C$9:$C$59,'Corporate Roster - ''25'!E$9:E$59,0)</f>
        <v>45658</v>
      </c>
      <c r="F170" s="64" t="str">
        <f>_xlfn.XLOOKUP($C170,'Corporate Roster - ''25'!$C$9:$C$59,'Corporate Roster - ''25'!F$9:F$59,0)</f>
        <v>-</v>
      </c>
      <c r="G170" s="261">
        <f>_xlfn.XLOOKUP($C170,'Corporate Roster - ''25'!$C$9:$C$59,'Corporate Roster - ''25'!J$9:J$59,0)</f>
        <v>75000</v>
      </c>
      <c r="I170" s="32">
        <f t="shared" ref="I170:T170" si="74">I52/$G52*$G170</f>
        <v>6250</v>
      </c>
      <c r="J170" s="10">
        <f t="shared" si="74"/>
        <v>6250</v>
      </c>
      <c r="K170" s="10">
        <f t="shared" si="74"/>
        <v>6250</v>
      </c>
      <c r="L170" s="10">
        <f t="shared" si="74"/>
        <v>6250</v>
      </c>
      <c r="M170" s="10">
        <f t="shared" si="74"/>
        <v>6250</v>
      </c>
      <c r="N170" s="10">
        <f t="shared" si="74"/>
        <v>6250</v>
      </c>
      <c r="O170" s="10">
        <f t="shared" si="74"/>
        <v>6250</v>
      </c>
      <c r="P170" s="10">
        <f t="shared" si="74"/>
        <v>6250</v>
      </c>
      <c r="Q170" s="10">
        <f t="shared" si="74"/>
        <v>6250</v>
      </c>
      <c r="R170" s="10">
        <f t="shared" si="74"/>
        <v>6250</v>
      </c>
      <c r="S170" s="10">
        <f t="shared" si="74"/>
        <v>6250</v>
      </c>
      <c r="T170" s="33">
        <f t="shared" si="74"/>
        <v>6250</v>
      </c>
    </row>
    <row r="171" spans="3:20" x14ac:dyDescent="0.2">
      <c r="C171" t="s">
        <v>238</v>
      </c>
      <c r="D171" t="s">
        <v>243</v>
      </c>
      <c r="E171" s="64">
        <f>_xlfn.XLOOKUP($C171,'Corporate Roster - ''25'!$C$9:$C$59,'Corporate Roster - ''25'!E$9:E$59,0)</f>
        <v>45658</v>
      </c>
      <c r="F171" s="64" t="str">
        <f>_xlfn.XLOOKUP($C171,'Corporate Roster - ''25'!$C$9:$C$59,'Corporate Roster - ''25'!F$9:F$59,0)</f>
        <v>-</v>
      </c>
      <c r="G171" s="261">
        <f>_xlfn.XLOOKUP($C171,'Corporate Roster - ''25'!$C$9:$C$59,'Corporate Roster - ''25'!J$9:J$59,0)</f>
        <v>40000</v>
      </c>
      <c r="I171" s="32">
        <f t="shared" ref="I171:T171" si="75">I53/$G53*$G171</f>
        <v>3333.3333333333335</v>
      </c>
      <c r="J171" s="10">
        <f t="shared" si="75"/>
        <v>3333.3333333333335</v>
      </c>
      <c r="K171" s="10">
        <f t="shared" si="75"/>
        <v>3333.3333333333335</v>
      </c>
      <c r="L171" s="10">
        <f t="shared" si="75"/>
        <v>3333.3333333333335</v>
      </c>
      <c r="M171" s="10">
        <f t="shared" si="75"/>
        <v>3333.3333333333335</v>
      </c>
      <c r="N171" s="10">
        <f t="shared" si="75"/>
        <v>3333.3333333333335</v>
      </c>
      <c r="O171" s="10">
        <f t="shared" si="75"/>
        <v>3333.3333333333335</v>
      </c>
      <c r="P171" s="10">
        <f t="shared" si="75"/>
        <v>3333.3333333333335</v>
      </c>
      <c r="Q171" s="10">
        <f t="shared" si="75"/>
        <v>3333.3333333333335</v>
      </c>
      <c r="R171" s="10">
        <f t="shared" si="75"/>
        <v>3333.3333333333335</v>
      </c>
      <c r="S171" s="10">
        <f t="shared" si="75"/>
        <v>3333.3333333333335</v>
      </c>
      <c r="T171" s="33">
        <f t="shared" si="75"/>
        <v>3333.3333333333335</v>
      </c>
    </row>
    <row r="172" spans="3:20" x14ac:dyDescent="0.2">
      <c r="C172" t="s">
        <v>237</v>
      </c>
      <c r="D172" t="s">
        <v>244</v>
      </c>
      <c r="E172" s="64">
        <f>_xlfn.XLOOKUP($C172,'Corporate Roster - ''25'!$C$9:$C$59,'Corporate Roster - ''25'!E$9:E$59,0)</f>
        <v>45658</v>
      </c>
      <c r="F172" s="64" t="str">
        <f>_xlfn.XLOOKUP($C172,'Corporate Roster - ''25'!$C$9:$C$59,'Corporate Roster - ''25'!F$9:F$59,0)</f>
        <v>-</v>
      </c>
      <c r="G172" s="261">
        <f>_xlfn.XLOOKUP($C172,'Corporate Roster - ''25'!$C$9:$C$59,'Corporate Roster - ''25'!J$9:J$59,0)</f>
        <v>52500</v>
      </c>
      <c r="I172" s="32">
        <f t="shared" ref="I172:T172" si="76">I54/$G54*$G172</f>
        <v>4375.0000000000009</v>
      </c>
      <c r="J172" s="10">
        <f t="shared" si="76"/>
        <v>4375.0000000000009</v>
      </c>
      <c r="K172" s="10">
        <f t="shared" si="76"/>
        <v>4375.0000000000009</v>
      </c>
      <c r="L172" s="10">
        <f t="shared" si="76"/>
        <v>4375.0000000000009</v>
      </c>
      <c r="M172" s="10">
        <f t="shared" si="76"/>
        <v>4375.0000000000009</v>
      </c>
      <c r="N172" s="10">
        <f t="shared" si="76"/>
        <v>4375.0000000000009</v>
      </c>
      <c r="O172" s="10">
        <f t="shared" si="76"/>
        <v>4375.0000000000009</v>
      </c>
      <c r="P172" s="10">
        <f t="shared" si="76"/>
        <v>4375.0000000000009</v>
      </c>
      <c r="Q172" s="10">
        <f t="shared" si="76"/>
        <v>4375.0000000000009</v>
      </c>
      <c r="R172" s="10">
        <f t="shared" si="76"/>
        <v>4375.0000000000009</v>
      </c>
      <c r="S172" s="10">
        <f t="shared" si="76"/>
        <v>4375.0000000000009</v>
      </c>
      <c r="T172" s="33">
        <f t="shared" si="76"/>
        <v>4375.0000000000009</v>
      </c>
    </row>
    <row r="173" spans="3:20" x14ac:dyDescent="0.2">
      <c r="C173" t="s">
        <v>239</v>
      </c>
      <c r="D173" t="s">
        <v>245</v>
      </c>
      <c r="E173" s="64">
        <f>_xlfn.XLOOKUP($C173,'Corporate Roster - ''25'!$C$9:$C$59,'Corporate Roster - ''25'!E$9:E$59,0)</f>
        <v>45689</v>
      </c>
      <c r="F173" s="64" t="str">
        <f>_xlfn.XLOOKUP($C173,'Corporate Roster - ''25'!$C$9:$C$59,'Corporate Roster - ''25'!F$9:F$59,0)</f>
        <v>-</v>
      </c>
      <c r="G173" s="261">
        <f>_xlfn.XLOOKUP($C173,'Corporate Roster - ''25'!$C$9:$C$59,'Corporate Roster - ''25'!J$9:J$59,0)</f>
        <v>75000</v>
      </c>
      <c r="I173" s="32">
        <f t="shared" ref="I173:T173" si="77">I55/$G55*$G173</f>
        <v>0</v>
      </c>
      <c r="J173" s="10">
        <f t="shared" si="77"/>
        <v>6250</v>
      </c>
      <c r="K173" s="10">
        <f t="shared" si="77"/>
        <v>6250</v>
      </c>
      <c r="L173" s="10">
        <f t="shared" si="77"/>
        <v>6250</v>
      </c>
      <c r="M173" s="10">
        <f t="shared" si="77"/>
        <v>6250</v>
      </c>
      <c r="N173" s="10">
        <f t="shared" si="77"/>
        <v>6250</v>
      </c>
      <c r="O173" s="10">
        <f t="shared" si="77"/>
        <v>6250</v>
      </c>
      <c r="P173" s="10">
        <f t="shared" si="77"/>
        <v>6250</v>
      </c>
      <c r="Q173" s="10">
        <f t="shared" si="77"/>
        <v>6250</v>
      </c>
      <c r="R173" s="10">
        <f t="shared" si="77"/>
        <v>6250</v>
      </c>
      <c r="S173" s="10">
        <f t="shared" si="77"/>
        <v>6250</v>
      </c>
      <c r="T173" s="33">
        <f t="shared" si="77"/>
        <v>6250</v>
      </c>
    </row>
    <row r="174" spans="3:20" x14ac:dyDescent="0.2">
      <c r="C174" t="s">
        <v>240</v>
      </c>
      <c r="D174" t="s">
        <v>246</v>
      </c>
      <c r="E174" s="64">
        <f>_xlfn.XLOOKUP($C174,'Corporate Roster - ''25'!$C$9:$C$59,'Corporate Roster - ''25'!E$9:E$59,0)</f>
        <v>45689</v>
      </c>
      <c r="F174" s="64" t="str">
        <f>_xlfn.XLOOKUP($C174,'Corporate Roster - ''25'!$C$9:$C$59,'Corporate Roster - ''25'!F$9:F$59,0)</f>
        <v>-</v>
      </c>
      <c r="G174" s="261">
        <f>_xlfn.XLOOKUP($C174,'Corporate Roster - ''25'!$C$9:$C$59,'Corporate Roster - ''25'!J$9:J$59,0)</f>
        <v>40000</v>
      </c>
      <c r="I174" s="32">
        <f t="shared" ref="I174:T174" si="78">I56/$G56*$G174</f>
        <v>0</v>
      </c>
      <c r="J174" s="10">
        <f t="shared" si="78"/>
        <v>3333.3333333333335</v>
      </c>
      <c r="K174" s="10">
        <f t="shared" si="78"/>
        <v>3333.3333333333335</v>
      </c>
      <c r="L174" s="10">
        <f t="shared" si="78"/>
        <v>3333.3333333333335</v>
      </c>
      <c r="M174" s="10">
        <f t="shared" si="78"/>
        <v>3333.3333333333335</v>
      </c>
      <c r="N174" s="10">
        <f t="shared" si="78"/>
        <v>3333.3333333333335</v>
      </c>
      <c r="O174" s="10">
        <f t="shared" si="78"/>
        <v>3333.3333333333335</v>
      </c>
      <c r="P174" s="10">
        <f t="shared" si="78"/>
        <v>3333.3333333333335</v>
      </c>
      <c r="Q174" s="10">
        <f t="shared" si="78"/>
        <v>3333.3333333333335</v>
      </c>
      <c r="R174" s="10">
        <f t="shared" si="78"/>
        <v>3333.3333333333335</v>
      </c>
      <c r="S174" s="10">
        <f t="shared" si="78"/>
        <v>3333.3333333333335</v>
      </c>
      <c r="T174" s="33">
        <f t="shared" si="78"/>
        <v>3333.3333333333335</v>
      </c>
    </row>
    <row r="175" spans="3:20" x14ac:dyDescent="0.2">
      <c r="C175" t="s">
        <v>241</v>
      </c>
      <c r="D175" t="s">
        <v>247</v>
      </c>
      <c r="E175" s="64">
        <f>_xlfn.XLOOKUP($C175,'Corporate Roster - ''25'!$C$9:$C$59,'Corporate Roster - ''25'!E$9:E$59,0)</f>
        <v>45689</v>
      </c>
      <c r="F175" s="64" t="str">
        <f>_xlfn.XLOOKUP($C175,'Corporate Roster - ''25'!$C$9:$C$59,'Corporate Roster - ''25'!F$9:F$59,0)</f>
        <v>-</v>
      </c>
      <c r="G175" s="261">
        <f>_xlfn.XLOOKUP($C175,'Corporate Roster - ''25'!$C$9:$C$59,'Corporate Roster - ''25'!J$9:J$59,0)</f>
        <v>22500</v>
      </c>
      <c r="I175" s="57">
        <f t="shared" ref="I175:T175" si="79">I57/$G57*$G175</f>
        <v>0</v>
      </c>
      <c r="J175" s="54">
        <f t="shared" si="79"/>
        <v>1875.0000000000002</v>
      </c>
      <c r="K175" s="54">
        <f t="shared" si="79"/>
        <v>1875.0000000000002</v>
      </c>
      <c r="L175" s="54">
        <f t="shared" si="79"/>
        <v>1875.0000000000002</v>
      </c>
      <c r="M175" s="54">
        <f t="shared" si="79"/>
        <v>1875.0000000000002</v>
      </c>
      <c r="N175" s="54">
        <f t="shared" si="79"/>
        <v>1875.0000000000002</v>
      </c>
      <c r="O175" s="54">
        <f t="shared" si="79"/>
        <v>1875.0000000000002</v>
      </c>
      <c r="P175" s="54">
        <f t="shared" si="79"/>
        <v>1875.0000000000002</v>
      </c>
      <c r="Q175" s="54">
        <f t="shared" si="79"/>
        <v>1875.0000000000002</v>
      </c>
      <c r="R175" s="54">
        <f t="shared" si="79"/>
        <v>1875.0000000000002</v>
      </c>
      <c r="S175" s="54">
        <f t="shared" si="79"/>
        <v>1875.0000000000002</v>
      </c>
      <c r="T175" s="62">
        <f t="shared" si="79"/>
        <v>1875.0000000000002</v>
      </c>
    </row>
    <row r="176" spans="3:20" x14ac:dyDescent="0.2">
      <c r="C176" s="8" t="s">
        <v>279</v>
      </c>
      <c r="D176" s="252"/>
      <c r="E176" s="252"/>
      <c r="F176" s="337"/>
      <c r="G176" s="262">
        <f>SUM(G125:G175)</f>
        <v>2121000</v>
      </c>
      <c r="I176" s="34">
        <f t="shared" ref="I176:T176" si="80">SUM(I125:I175)</f>
        <v>165291.6666666666</v>
      </c>
      <c r="J176" s="34">
        <f t="shared" si="80"/>
        <v>176749.99999999994</v>
      </c>
      <c r="K176" s="34">
        <f t="shared" si="80"/>
        <v>176749.99999999994</v>
      </c>
      <c r="L176" s="34">
        <f t="shared" si="80"/>
        <v>176749.99999999994</v>
      </c>
      <c r="M176" s="34">
        <f t="shared" si="80"/>
        <v>176749.99999999994</v>
      </c>
      <c r="N176" s="34">
        <f t="shared" si="80"/>
        <v>176749.99999999994</v>
      </c>
      <c r="O176" s="34">
        <f t="shared" si="80"/>
        <v>176749.99999999994</v>
      </c>
      <c r="P176" s="34">
        <f t="shared" si="80"/>
        <v>176749.99999999994</v>
      </c>
      <c r="Q176" s="34">
        <f t="shared" si="80"/>
        <v>176749.99999999994</v>
      </c>
      <c r="R176" s="34">
        <f t="shared" si="80"/>
        <v>176749.99999999994</v>
      </c>
      <c r="S176" s="34">
        <f t="shared" si="80"/>
        <v>176749.99999999994</v>
      </c>
      <c r="T176" s="34">
        <f t="shared" si="80"/>
        <v>176749.99999999994</v>
      </c>
    </row>
    <row r="179" spans="2:21" ht="13.5" thickBot="1" x14ac:dyDescent="0.25">
      <c r="B179" s="48" t="s">
        <v>0</v>
      </c>
      <c r="C179" s="1"/>
      <c r="D179" s="1"/>
      <c r="E179" s="1"/>
      <c r="F179" s="1"/>
      <c r="G179" s="1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3">
        <f ca="1">TODAY()</f>
        <v>45999</v>
      </c>
      <c r="U179" s="1"/>
    </row>
    <row r="180" spans="2:21" x14ac:dyDescent="0.2">
      <c r="B180" s="47"/>
      <c r="C180" s="24" t="s">
        <v>155</v>
      </c>
      <c r="H180" s="6"/>
      <c r="T180" s="53" t="s">
        <v>228</v>
      </c>
    </row>
    <row r="181" spans="2:21" x14ac:dyDescent="0.2">
      <c r="B181" s="47"/>
      <c r="H181" s="6"/>
    </row>
    <row r="182" spans="2:21" ht="15" customHeight="1" x14ac:dyDescent="0.2">
      <c r="B182" s="47"/>
      <c r="E182" s="77" t="s">
        <v>143</v>
      </c>
      <c r="F182" s="77" t="s">
        <v>144</v>
      </c>
      <c r="G182" s="227" t="s">
        <v>154</v>
      </c>
      <c r="H182" s="52" t="s">
        <v>56</v>
      </c>
      <c r="I182" s="20">
        <v>2025</v>
      </c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2"/>
    </row>
    <row r="183" spans="2:21" ht="15" x14ac:dyDescent="0.35">
      <c r="C183" s="59" t="s">
        <v>57</v>
      </c>
      <c r="D183" s="59" t="s">
        <v>58</v>
      </c>
      <c r="E183" s="59" t="s">
        <v>142</v>
      </c>
      <c r="F183" s="59" t="s">
        <v>142</v>
      </c>
      <c r="G183" s="259">
        <v>46022</v>
      </c>
      <c r="H183" s="51"/>
      <c r="I183" s="4">
        <v>45688</v>
      </c>
      <c r="J183" s="19">
        <f>EOMONTH(I183,1)</f>
        <v>45716</v>
      </c>
      <c r="K183" s="19">
        <f t="shared" ref="K183" si="81">EOMONTH(J183,1)</f>
        <v>45747</v>
      </c>
      <c r="L183" s="19">
        <f t="shared" ref="L183" si="82">EOMONTH(K183,1)</f>
        <v>45777</v>
      </c>
      <c r="M183" s="19">
        <f t="shared" ref="M183" si="83">EOMONTH(L183,1)</f>
        <v>45808</v>
      </c>
      <c r="N183" s="19">
        <f t="shared" ref="N183" si="84">EOMONTH(M183,1)</f>
        <v>45838</v>
      </c>
      <c r="O183" s="19">
        <f t="shared" ref="O183" si="85">EOMONTH(N183,1)</f>
        <v>45869</v>
      </c>
      <c r="P183" s="19">
        <f t="shared" ref="P183" si="86">EOMONTH(O183,1)</f>
        <v>45900</v>
      </c>
      <c r="Q183" s="19">
        <f t="shared" ref="Q183" si="87">EOMONTH(P183,1)</f>
        <v>45930</v>
      </c>
      <c r="R183" s="19">
        <f t="shared" ref="R183" si="88">EOMONTH(Q183,1)</f>
        <v>45961</v>
      </c>
      <c r="S183" s="19">
        <f t="shared" ref="S183" si="89">EOMONTH(R183,1)</f>
        <v>45991</v>
      </c>
      <c r="T183" s="5">
        <f t="shared" ref="T183" si="90">EOMONTH(S183,1)</f>
        <v>46022</v>
      </c>
    </row>
    <row r="184" spans="2:21" x14ac:dyDescent="0.2">
      <c r="C184" t="s">
        <v>137</v>
      </c>
      <c r="D184" t="s">
        <v>66</v>
      </c>
      <c r="E184" s="64">
        <f>_xlfn.XLOOKUP($C184,'Corporate Roster - ''25'!$C$9:$C$59,'Corporate Roster - ''25'!E$9:E$59,0)</f>
        <v>40848</v>
      </c>
      <c r="F184" s="64" t="str">
        <f>_xlfn.XLOOKUP($C184,'Corporate Roster - ''25'!$C$9:$C$59,'Corporate Roster - ''25'!F$9:F$59,0)</f>
        <v>-</v>
      </c>
      <c r="G184" s="260">
        <f>_xlfn.XLOOKUP($C184,'Corporate Roster - ''25'!$C$9:$C$59,'Corporate Roster - ''25'!K$9:K$59,0)</f>
        <v>649000</v>
      </c>
      <c r="I184" s="56">
        <f t="shared" ref="I184:T184" si="91">I7+I66+I125</f>
        <v>40333.333333333328</v>
      </c>
      <c r="J184" s="55">
        <f t="shared" si="91"/>
        <v>40333.333333333328</v>
      </c>
      <c r="K184" s="55">
        <f t="shared" si="91"/>
        <v>40333.333333333328</v>
      </c>
      <c r="L184" s="55">
        <f t="shared" si="91"/>
        <v>40333.333333333328</v>
      </c>
      <c r="M184" s="55">
        <f t="shared" si="91"/>
        <v>40333.333333333328</v>
      </c>
      <c r="N184" s="55">
        <f t="shared" si="91"/>
        <v>40333.333333333328</v>
      </c>
      <c r="O184" s="55">
        <f t="shared" si="91"/>
        <v>40333.333333333328</v>
      </c>
      <c r="P184" s="55">
        <f t="shared" si="91"/>
        <v>40333.333333333328</v>
      </c>
      <c r="Q184" s="55">
        <f t="shared" si="91"/>
        <v>40333.333333333328</v>
      </c>
      <c r="R184" s="55">
        <f t="shared" si="91"/>
        <v>40333.333333333328</v>
      </c>
      <c r="S184" s="55">
        <f t="shared" si="91"/>
        <v>40333.333333333328</v>
      </c>
      <c r="T184" s="61">
        <f t="shared" si="91"/>
        <v>205333.33333333334</v>
      </c>
    </row>
    <row r="185" spans="2:21" x14ac:dyDescent="0.2">
      <c r="C185" t="s">
        <v>67</v>
      </c>
      <c r="D185" t="s">
        <v>68</v>
      </c>
      <c r="E185" s="64">
        <f>_xlfn.XLOOKUP($C185,'Corporate Roster - ''25'!$C$9:$C$59,'Corporate Roster - ''25'!E$9:E$59,0)</f>
        <v>41718</v>
      </c>
      <c r="F185" s="64" t="str">
        <f>_xlfn.XLOOKUP($C185,'Corporate Roster - ''25'!$C$9:$C$59,'Corporate Roster - ''25'!F$9:F$59,0)</f>
        <v>-</v>
      </c>
      <c r="G185" s="261">
        <f>_xlfn.XLOOKUP($C185,'Corporate Roster - ''25'!$C$9:$C$59,'Corporate Roster - ''25'!K$9:K$59,0)</f>
        <v>468000</v>
      </c>
      <c r="I185" s="32">
        <f t="shared" ref="I185:T185" si="92">I8+I67+I126</f>
        <v>29833.333333333336</v>
      </c>
      <c r="J185" s="10">
        <f t="shared" si="92"/>
        <v>29833.333333333336</v>
      </c>
      <c r="K185" s="10">
        <f t="shared" si="92"/>
        <v>29833.333333333336</v>
      </c>
      <c r="L185" s="10">
        <f t="shared" si="92"/>
        <v>29833.333333333336</v>
      </c>
      <c r="M185" s="10">
        <f t="shared" si="92"/>
        <v>29833.333333333336</v>
      </c>
      <c r="N185" s="10">
        <f t="shared" si="92"/>
        <v>29833.333333333336</v>
      </c>
      <c r="O185" s="10">
        <f t="shared" si="92"/>
        <v>29833.333333333336</v>
      </c>
      <c r="P185" s="10">
        <f t="shared" si="92"/>
        <v>29833.333333333336</v>
      </c>
      <c r="Q185" s="10">
        <f t="shared" si="92"/>
        <v>29833.333333333336</v>
      </c>
      <c r="R185" s="10">
        <f t="shared" si="92"/>
        <v>29833.333333333336</v>
      </c>
      <c r="S185" s="10">
        <f t="shared" si="92"/>
        <v>29833.333333333336</v>
      </c>
      <c r="T185" s="33">
        <f t="shared" si="92"/>
        <v>139833.33333333331</v>
      </c>
    </row>
    <row r="186" spans="2:21" x14ac:dyDescent="0.2">
      <c r="C186" t="s">
        <v>69</v>
      </c>
      <c r="D186" t="s">
        <v>70</v>
      </c>
      <c r="E186" s="64">
        <f>_xlfn.XLOOKUP($C186,'Corporate Roster - ''25'!$C$9:$C$59,'Corporate Roster - ''25'!E$9:E$59,0)</f>
        <v>39601</v>
      </c>
      <c r="F186" s="64" t="str">
        <f>_xlfn.XLOOKUP($C186,'Corporate Roster - ''25'!$C$9:$C$59,'Corporate Roster - ''25'!F$9:F$59,0)</f>
        <v>-</v>
      </c>
      <c r="G186" s="261">
        <f>_xlfn.XLOOKUP($C186,'Corporate Roster - ''25'!$C$9:$C$59,'Corporate Roster - ''25'!K$9:K$59,0)</f>
        <v>468000</v>
      </c>
      <c r="I186" s="32">
        <f t="shared" ref="I186:T186" si="93">I9+I68+I127</f>
        <v>29833.333333333336</v>
      </c>
      <c r="J186" s="10">
        <f t="shared" si="93"/>
        <v>29833.333333333336</v>
      </c>
      <c r="K186" s="10">
        <f t="shared" si="93"/>
        <v>29833.333333333336</v>
      </c>
      <c r="L186" s="10">
        <f t="shared" si="93"/>
        <v>29833.333333333336</v>
      </c>
      <c r="M186" s="10">
        <f t="shared" si="93"/>
        <v>29833.333333333336</v>
      </c>
      <c r="N186" s="10">
        <f t="shared" si="93"/>
        <v>29833.333333333336</v>
      </c>
      <c r="O186" s="10">
        <f t="shared" si="93"/>
        <v>29833.333333333336</v>
      </c>
      <c r="P186" s="10">
        <f t="shared" si="93"/>
        <v>29833.333333333336</v>
      </c>
      <c r="Q186" s="10">
        <f t="shared" si="93"/>
        <v>29833.333333333336</v>
      </c>
      <c r="R186" s="10">
        <f t="shared" si="93"/>
        <v>29833.333333333336</v>
      </c>
      <c r="S186" s="10">
        <f t="shared" si="93"/>
        <v>29833.333333333336</v>
      </c>
      <c r="T186" s="33">
        <f t="shared" si="93"/>
        <v>139833.33333333331</v>
      </c>
    </row>
    <row r="187" spans="2:21" x14ac:dyDescent="0.2">
      <c r="C187" t="s">
        <v>71</v>
      </c>
      <c r="D187" t="s">
        <v>72</v>
      </c>
      <c r="E187" s="64">
        <f>_xlfn.XLOOKUP($C187,'Corporate Roster - ''25'!$C$9:$C$59,'Corporate Roster - ''25'!E$9:E$59,0)</f>
        <v>44453</v>
      </c>
      <c r="F187" s="64" t="str">
        <f>_xlfn.XLOOKUP($C187,'Corporate Roster - ''25'!$C$9:$C$59,'Corporate Roster - ''25'!F$9:F$59,0)</f>
        <v>-</v>
      </c>
      <c r="G187" s="261">
        <f>_xlfn.XLOOKUP($C187,'Corporate Roster - ''25'!$C$9:$C$59,'Corporate Roster - ''25'!K$9:K$59,0)</f>
        <v>435000</v>
      </c>
      <c r="I187" s="32">
        <f t="shared" ref="I187:T187" si="94">I10+I69+I128</f>
        <v>28583.333333333332</v>
      </c>
      <c r="J187" s="10">
        <f t="shared" si="94"/>
        <v>28583.333333333332</v>
      </c>
      <c r="K187" s="10">
        <f t="shared" si="94"/>
        <v>28583.333333333332</v>
      </c>
      <c r="L187" s="10">
        <f t="shared" si="94"/>
        <v>28583.333333333332</v>
      </c>
      <c r="M187" s="10">
        <f t="shared" si="94"/>
        <v>28583.333333333332</v>
      </c>
      <c r="N187" s="10">
        <f t="shared" si="94"/>
        <v>28583.333333333332</v>
      </c>
      <c r="O187" s="10">
        <f t="shared" si="94"/>
        <v>28583.333333333332</v>
      </c>
      <c r="P187" s="10">
        <f t="shared" si="94"/>
        <v>28583.333333333332</v>
      </c>
      <c r="Q187" s="10">
        <f t="shared" si="94"/>
        <v>28583.333333333332</v>
      </c>
      <c r="R187" s="10">
        <f t="shared" si="94"/>
        <v>28583.333333333332</v>
      </c>
      <c r="S187" s="10">
        <f t="shared" si="94"/>
        <v>28583.333333333332</v>
      </c>
      <c r="T187" s="33">
        <f t="shared" si="94"/>
        <v>120583.33333333333</v>
      </c>
    </row>
    <row r="188" spans="2:21" x14ac:dyDescent="0.2">
      <c r="C188" t="s">
        <v>145</v>
      </c>
      <c r="D188" t="s">
        <v>74</v>
      </c>
      <c r="E188" s="64">
        <f>_xlfn.XLOOKUP($C188,'Corporate Roster - ''25'!$C$9:$C$59,'Corporate Roster - ''25'!E$9:E$59,0)</f>
        <v>39783</v>
      </c>
      <c r="F188" s="64" t="str">
        <f>_xlfn.XLOOKUP($C188,'Corporate Roster - ''25'!$C$9:$C$59,'Corporate Roster - ''25'!F$9:F$59,0)</f>
        <v>-</v>
      </c>
      <c r="G188" s="261">
        <f>_xlfn.XLOOKUP($C188,'Corporate Roster - ''25'!$C$9:$C$59,'Corporate Roster - ''25'!K$9:K$59,0)</f>
        <v>352000</v>
      </c>
      <c r="I188" s="32">
        <f t="shared" ref="I188:T188" si="95">I11+I70+I129</f>
        <v>23833.333333333332</v>
      </c>
      <c r="J188" s="10">
        <f t="shared" si="95"/>
        <v>23833.333333333332</v>
      </c>
      <c r="K188" s="10">
        <f t="shared" si="95"/>
        <v>23833.333333333332</v>
      </c>
      <c r="L188" s="10">
        <f t="shared" si="95"/>
        <v>23833.333333333332</v>
      </c>
      <c r="M188" s="10">
        <f t="shared" si="95"/>
        <v>23833.333333333332</v>
      </c>
      <c r="N188" s="10">
        <f t="shared" si="95"/>
        <v>23833.333333333332</v>
      </c>
      <c r="O188" s="10">
        <f t="shared" si="95"/>
        <v>23833.333333333332</v>
      </c>
      <c r="P188" s="10">
        <f t="shared" si="95"/>
        <v>23833.333333333332</v>
      </c>
      <c r="Q188" s="10">
        <f t="shared" si="95"/>
        <v>23833.333333333332</v>
      </c>
      <c r="R188" s="10">
        <f t="shared" si="95"/>
        <v>23833.333333333332</v>
      </c>
      <c r="S188" s="10">
        <f t="shared" si="95"/>
        <v>23833.333333333332</v>
      </c>
      <c r="T188" s="33">
        <f t="shared" si="95"/>
        <v>89833.333333333328</v>
      </c>
    </row>
    <row r="189" spans="2:21" x14ac:dyDescent="0.2">
      <c r="C189" t="s">
        <v>146</v>
      </c>
      <c r="D189" t="s">
        <v>76</v>
      </c>
      <c r="E189" s="64">
        <f>_xlfn.XLOOKUP($C189,'Corporate Roster - ''25'!$C$9:$C$59,'Corporate Roster - ''25'!E$9:E$59,0)</f>
        <v>42573</v>
      </c>
      <c r="F189" s="64" t="str">
        <f>_xlfn.XLOOKUP($C189,'Corporate Roster - ''25'!$C$9:$C$59,'Corporate Roster - ''25'!F$9:F$59,0)</f>
        <v>-</v>
      </c>
      <c r="G189" s="261">
        <f>_xlfn.XLOOKUP($C189,'Corporate Roster - ''25'!$C$9:$C$59,'Corporate Roster - ''25'!K$9:K$59,0)</f>
        <v>352000</v>
      </c>
      <c r="I189" s="32">
        <f t="shared" ref="I189:T189" si="96">I12+I71+I130</f>
        <v>23833.333333333332</v>
      </c>
      <c r="J189" s="10">
        <f t="shared" si="96"/>
        <v>23833.333333333332</v>
      </c>
      <c r="K189" s="10">
        <f t="shared" si="96"/>
        <v>23833.333333333332</v>
      </c>
      <c r="L189" s="10">
        <f t="shared" si="96"/>
        <v>23833.333333333332</v>
      </c>
      <c r="M189" s="10">
        <f t="shared" si="96"/>
        <v>23833.333333333332</v>
      </c>
      <c r="N189" s="10">
        <f t="shared" si="96"/>
        <v>23833.333333333332</v>
      </c>
      <c r="O189" s="10">
        <f t="shared" si="96"/>
        <v>23833.333333333332</v>
      </c>
      <c r="P189" s="10">
        <f t="shared" si="96"/>
        <v>23833.333333333332</v>
      </c>
      <c r="Q189" s="10">
        <f t="shared" si="96"/>
        <v>23833.333333333332</v>
      </c>
      <c r="R189" s="10">
        <f t="shared" si="96"/>
        <v>23833.333333333332</v>
      </c>
      <c r="S189" s="10">
        <f t="shared" si="96"/>
        <v>23833.333333333332</v>
      </c>
      <c r="T189" s="33">
        <f t="shared" si="96"/>
        <v>89833.333333333328</v>
      </c>
    </row>
    <row r="190" spans="2:21" x14ac:dyDescent="0.2">
      <c r="C190" t="s">
        <v>77</v>
      </c>
      <c r="D190" t="s">
        <v>78</v>
      </c>
      <c r="E190" s="64">
        <f>_xlfn.XLOOKUP($C190,'Corporate Roster - ''25'!$C$9:$C$59,'Corporate Roster - ''25'!E$9:E$59,0)</f>
        <v>38481</v>
      </c>
      <c r="F190" s="64" t="str">
        <f>_xlfn.XLOOKUP($C190,'Corporate Roster - ''25'!$C$9:$C$59,'Corporate Roster - ''25'!F$9:F$59,0)</f>
        <v>-</v>
      </c>
      <c r="G190" s="261">
        <f>_xlfn.XLOOKUP($C190,'Corporate Roster - ''25'!$C$9:$C$59,'Corporate Roster - ''25'!K$9:K$59,0)</f>
        <v>307000</v>
      </c>
      <c r="I190" s="32">
        <f t="shared" ref="I190:T190" si="97">I13+I72+I131</f>
        <v>21416.666666666664</v>
      </c>
      <c r="J190" s="10">
        <f t="shared" si="97"/>
        <v>21416.666666666664</v>
      </c>
      <c r="K190" s="10">
        <f t="shared" si="97"/>
        <v>21416.666666666664</v>
      </c>
      <c r="L190" s="10">
        <f t="shared" si="97"/>
        <v>21416.666666666664</v>
      </c>
      <c r="M190" s="10">
        <f t="shared" si="97"/>
        <v>21416.666666666664</v>
      </c>
      <c r="N190" s="10">
        <f t="shared" si="97"/>
        <v>21416.666666666664</v>
      </c>
      <c r="O190" s="10">
        <f t="shared" si="97"/>
        <v>21416.666666666664</v>
      </c>
      <c r="P190" s="10">
        <f t="shared" si="97"/>
        <v>21416.666666666664</v>
      </c>
      <c r="Q190" s="10">
        <f t="shared" si="97"/>
        <v>21416.666666666664</v>
      </c>
      <c r="R190" s="10">
        <f t="shared" si="97"/>
        <v>21416.666666666664</v>
      </c>
      <c r="S190" s="10">
        <f t="shared" si="97"/>
        <v>21416.666666666664</v>
      </c>
      <c r="T190" s="33">
        <f t="shared" si="97"/>
        <v>71416.666666666672</v>
      </c>
    </row>
    <row r="191" spans="2:21" x14ac:dyDescent="0.2">
      <c r="C191" t="s">
        <v>79</v>
      </c>
      <c r="D191" t="s">
        <v>80</v>
      </c>
      <c r="E191" s="64">
        <f>_xlfn.XLOOKUP($C191,'Corporate Roster - ''25'!$C$9:$C$59,'Corporate Roster - ''25'!E$9:E$59,0)</f>
        <v>38427</v>
      </c>
      <c r="F191" s="64" t="str">
        <f>_xlfn.XLOOKUP($C191,'Corporate Roster - ''25'!$C$9:$C$59,'Corporate Roster - ''25'!F$9:F$59,0)</f>
        <v>-</v>
      </c>
      <c r="G191" s="261">
        <f>_xlfn.XLOOKUP($C191,'Corporate Roster - ''25'!$C$9:$C$59,'Corporate Roster - ''25'!K$9:K$59,0)</f>
        <v>264000</v>
      </c>
      <c r="I191" s="32">
        <f t="shared" ref="I191:T191" si="98">I14+I73+I132</f>
        <v>19083.333333333332</v>
      </c>
      <c r="J191" s="10">
        <f t="shared" si="98"/>
        <v>19083.333333333332</v>
      </c>
      <c r="K191" s="10">
        <f t="shared" si="98"/>
        <v>19083.333333333332</v>
      </c>
      <c r="L191" s="10">
        <f t="shared" si="98"/>
        <v>19083.333333333332</v>
      </c>
      <c r="M191" s="10">
        <f t="shared" si="98"/>
        <v>19083.333333333332</v>
      </c>
      <c r="N191" s="10">
        <f t="shared" si="98"/>
        <v>19083.333333333332</v>
      </c>
      <c r="O191" s="10">
        <f t="shared" si="98"/>
        <v>19083.333333333332</v>
      </c>
      <c r="P191" s="10">
        <f t="shared" si="98"/>
        <v>19083.333333333332</v>
      </c>
      <c r="Q191" s="10">
        <f t="shared" si="98"/>
        <v>19083.333333333332</v>
      </c>
      <c r="R191" s="10">
        <f t="shared" si="98"/>
        <v>19083.333333333332</v>
      </c>
      <c r="S191" s="10">
        <f t="shared" si="98"/>
        <v>19083.333333333332</v>
      </c>
      <c r="T191" s="33">
        <f t="shared" si="98"/>
        <v>54083.333333333328</v>
      </c>
    </row>
    <row r="192" spans="2:21" x14ac:dyDescent="0.2">
      <c r="C192" t="s">
        <v>147</v>
      </c>
      <c r="D192" t="s">
        <v>82</v>
      </c>
      <c r="E192" s="64">
        <f>_xlfn.XLOOKUP($C192,'Corporate Roster - ''25'!$C$9:$C$59,'Corporate Roster - ''25'!E$9:E$59,0)</f>
        <v>42696</v>
      </c>
      <c r="F192" s="64" t="str">
        <f>_xlfn.XLOOKUP($C192,'Corporate Roster - ''25'!$C$9:$C$59,'Corporate Roster - ''25'!F$9:F$59,0)</f>
        <v>-</v>
      </c>
      <c r="G192" s="261">
        <f>_xlfn.XLOOKUP($C192,'Corporate Roster - ''25'!$C$9:$C$59,'Corporate Roster - ''25'!K$9:K$59,0)</f>
        <v>264000</v>
      </c>
      <c r="I192" s="32">
        <f t="shared" ref="I192:T192" si="99">I15+I74+I133</f>
        <v>19083.333333333332</v>
      </c>
      <c r="J192" s="10">
        <f t="shared" si="99"/>
        <v>19083.333333333332</v>
      </c>
      <c r="K192" s="10">
        <f t="shared" si="99"/>
        <v>19083.333333333332</v>
      </c>
      <c r="L192" s="10">
        <f t="shared" si="99"/>
        <v>19083.333333333332</v>
      </c>
      <c r="M192" s="10">
        <f t="shared" si="99"/>
        <v>19083.333333333332</v>
      </c>
      <c r="N192" s="10">
        <f t="shared" si="99"/>
        <v>19083.333333333332</v>
      </c>
      <c r="O192" s="10">
        <f t="shared" si="99"/>
        <v>19083.333333333332</v>
      </c>
      <c r="P192" s="10">
        <f t="shared" si="99"/>
        <v>19083.333333333332</v>
      </c>
      <c r="Q192" s="10">
        <f t="shared" si="99"/>
        <v>19083.333333333332</v>
      </c>
      <c r="R192" s="10">
        <f t="shared" si="99"/>
        <v>19083.333333333332</v>
      </c>
      <c r="S192" s="10">
        <f t="shared" si="99"/>
        <v>19083.333333333332</v>
      </c>
      <c r="T192" s="33">
        <f t="shared" si="99"/>
        <v>54083.333333333328</v>
      </c>
    </row>
    <row r="193" spans="3:20" x14ac:dyDescent="0.2">
      <c r="C193" t="s">
        <v>83</v>
      </c>
      <c r="D193" t="s">
        <v>84</v>
      </c>
      <c r="E193" s="64">
        <f>_xlfn.XLOOKUP($C193,'Corporate Roster - ''25'!$C$9:$C$59,'Corporate Roster - ''25'!E$9:E$59,0)</f>
        <v>45248</v>
      </c>
      <c r="F193" s="64" t="str">
        <f>_xlfn.XLOOKUP($C193,'Corporate Roster - ''25'!$C$9:$C$59,'Corporate Roster - ''25'!F$9:F$59,0)</f>
        <v>-</v>
      </c>
      <c r="G193" s="261">
        <f>_xlfn.XLOOKUP($C193,'Corporate Roster - ''25'!$C$9:$C$59,'Corporate Roster - ''25'!K$9:K$59,0)</f>
        <v>240000</v>
      </c>
      <c r="I193" s="32">
        <f t="shared" ref="I193:T193" si="100">I16+I75+I134</f>
        <v>17916.666666666664</v>
      </c>
      <c r="J193" s="10">
        <f t="shared" si="100"/>
        <v>17916.666666666664</v>
      </c>
      <c r="K193" s="10">
        <f t="shared" si="100"/>
        <v>17916.666666666664</v>
      </c>
      <c r="L193" s="10">
        <f t="shared" si="100"/>
        <v>17916.666666666664</v>
      </c>
      <c r="M193" s="10">
        <f t="shared" si="100"/>
        <v>17916.666666666664</v>
      </c>
      <c r="N193" s="10">
        <f t="shared" si="100"/>
        <v>17916.666666666664</v>
      </c>
      <c r="O193" s="10">
        <f t="shared" si="100"/>
        <v>17916.666666666664</v>
      </c>
      <c r="P193" s="10">
        <f t="shared" si="100"/>
        <v>17916.666666666664</v>
      </c>
      <c r="Q193" s="10">
        <f t="shared" si="100"/>
        <v>17916.666666666664</v>
      </c>
      <c r="R193" s="10">
        <f t="shared" si="100"/>
        <v>17916.666666666664</v>
      </c>
      <c r="S193" s="10">
        <f t="shared" si="100"/>
        <v>17916.666666666664</v>
      </c>
      <c r="T193" s="33">
        <f t="shared" si="100"/>
        <v>42916.666666666664</v>
      </c>
    </row>
    <row r="194" spans="3:20" x14ac:dyDescent="0.2">
      <c r="C194" t="s">
        <v>85</v>
      </c>
      <c r="D194" t="s">
        <v>86</v>
      </c>
      <c r="E194" s="64">
        <f>_xlfn.XLOOKUP($C194,'Corporate Roster - ''25'!$C$9:$C$59,'Corporate Roster - ''25'!E$9:E$59,0)</f>
        <v>42458</v>
      </c>
      <c r="F194" s="64" t="str">
        <f>_xlfn.XLOOKUP($C194,'Corporate Roster - ''25'!$C$9:$C$59,'Corporate Roster - ''25'!F$9:F$59,0)</f>
        <v>-</v>
      </c>
      <c r="G194" s="261">
        <f>_xlfn.XLOOKUP($C194,'Corporate Roster - ''25'!$C$9:$C$59,'Corporate Roster - ''25'!K$9:K$59,0)</f>
        <v>185000</v>
      </c>
      <c r="I194" s="32">
        <f t="shared" ref="I194:T194" si="101">I17+I76+I135</f>
        <v>14333.333333333332</v>
      </c>
      <c r="J194" s="10">
        <f t="shared" si="101"/>
        <v>14333.333333333332</v>
      </c>
      <c r="K194" s="10">
        <f t="shared" si="101"/>
        <v>14333.333333333332</v>
      </c>
      <c r="L194" s="10">
        <f t="shared" si="101"/>
        <v>14333.333333333332</v>
      </c>
      <c r="M194" s="10">
        <f t="shared" si="101"/>
        <v>14333.333333333332</v>
      </c>
      <c r="N194" s="10">
        <f t="shared" si="101"/>
        <v>14333.333333333332</v>
      </c>
      <c r="O194" s="10">
        <f t="shared" si="101"/>
        <v>14333.333333333332</v>
      </c>
      <c r="P194" s="10">
        <f t="shared" si="101"/>
        <v>14333.333333333332</v>
      </c>
      <c r="Q194" s="10">
        <f t="shared" si="101"/>
        <v>14333.333333333332</v>
      </c>
      <c r="R194" s="10">
        <f t="shared" si="101"/>
        <v>14333.333333333332</v>
      </c>
      <c r="S194" s="10">
        <f t="shared" si="101"/>
        <v>14333.333333333332</v>
      </c>
      <c r="T194" s="33">
        <f t="shared" si="101"/>
        <v>27333.333333333332</v>
      </c>
    </row>
    <row r="195" spans="3:20" x14ac:dyDescent="0.2">
      <c r="C195" t="s">
        <v>87</v>
      </c>
      <c r="D195" t="s">
        <v>88</v>
      </c>
      <c r="E195" s="64">
        <f>_xlfn.XLOOKUP($C195,'Corporate Roster - ''25'!$C$9:$C$59,'Corporate Roster - ''25'!E$9:E$59,0)</f>
        <v>41921</v>
      </c>
      <c r="F195" s="64" t="str">
        <f>_xlfn.XLOOKUP($C195,'Corporate Roster - ''25'!$C$9:$C$59,'Corporate Roster - ''25'!F$9:F$59,0)</f>
        <v>-</v>
      </c>
      <c r="G195" s="261">
        <f>_xlfn.XLOOKUP($C195,'Corporate Roster - ''25'!$C$9:$C$59,'Corporate Roster - ''25'!K$9:K$59,0)</f>
        <v>200000</v>
      </c>
      <c r="I195" s="32">
        <f t="shared" ref="I195:T195" si="102">I18+I77+I136</f>
        <v>15500</v>
      </c>
      <c r="J195" s="10">
        <f t="shared" si="102"/>
        <v>15500</v>
      </c>
      <c r="K195" s="10">
        <f t="shared" si="102"/>
        <v>15500</v>
      </c>
      <c r="L195" s="10">
        <f t="shared" si="102"/>
        <v>15500</v>
      </c>
      <c r="M195" s="10">
        <f t="shared" si="102"/>
        <v>15500</v>
      </c>
      <c r="N195" s="10">
        <f t="shared" si="102"/>
        <v>15500</v>
      </c>
      <c r="O195" s="10">
        <f t="shared" si="102"/>
        <v>15500</v>
      </c>
      <c r="P195" s="10">
        <f t="shared" si="102"/>
        <v>15500</v>
      </c>
      <c r="Q195" s="10">
        <f t="shared" si="102"/>
        <v>15500</v>
      </c>
      <c r="R195" s="10">
        <f t="shared" si="102"/>
        <v>15500</v>
      </c>
      <c r="S195" s="10">
        <f t="shared" si="102"/>
        <v>15500</v>
      </c>
      <c r="T195" s="33">
        <f t="shared" si="102"/>
        <v>29499.999999999996</v>
      </c>
    </row>
    <row r="196" spans="3:20" x14ac:dyDescent="0.2">
      <c r="C196" t="s">
        <v>89</v>
      </c>
      <c r="D196" t="s">
        <v>90</v>
      </c>
      <c r="E196" s="64">
        <f>_xlfn.XLOOKUP($C196,'Corporate Roster - ''25'!$C$9:$C$59,'Corporate Roster - ''25'!E$9:E$59,0)</f>
        <v>40143</v>
      </c>
      <c r="F196" s="64" t="str">
        <f>_xlfn.XLOOKUP($C196,'Corporate Roster - ''25'!$C$9:$C$59,'Corporate Roster - ''25'!F$9:F$59,0)</f>
        <v>-</v>
      </c>
      <c r="G196" s="261">
        <f>_xlfn.XLOOKUP($C196,'Corporate Roster - ''25'!$C$9:$C$59,'Corporate Roster - ''25'!K$9:K$59,0)</f>
        <v>200000</v>
      </c>
      <c r="I196" s="32">
        <f t="shared" ref="I196:T196" si="103">I19+I78+I137</f>
        <v>15500</v>
      </c>
      <c r="J196" s="10">
        <f t="shared" si="103"/>
        <v>15500</v>
      </c>
      <c r="K196" s="10">
        <f t="shared" si="103"/>
        <v>15500</v>
      </c>
      <c r="L196" s="10">
        <f t="shared" si="103"/>
        <v>15500</v>
      </c>
      <c r="M196" s="10">
        <f t="shared" si="103"/>
        <v>15500</v>
      </c>
      <c r="N196" s="10">
        <f t="shared" si="103"/>
        <v>15500</v>
      </c>
      <c r="O196" s="10">
        <f t="shared" si="103"/>
        <v>15500</v>
      </c>
      <c r="P196" s="10">
        <f t="shared" si="103"/>
        <v>15500</v>
      </c>
      <c r="Q196" s="10">
        <f t="shared" si="103"/>
        <v>15500</v>
      </c>
      <c r="R196" s="10">
        <f t="shared" si="103"/>
        <v>15500</v>
      </c>
      <c r="S196" s="10">
        <f t="shared" si="103"/>
        <v>15500</v>
      </c>
      <c r="T196" s="33">
        <f t="shared" si="103"/>
        <v>29499.999999999996</v>
      </c>
    </row>
    <row r="197" spans="3:20" x14ac:dyDescent="0.2">
      <c r="C197" t="s">
        <v>81</v>
      </c>
      <c r="D197" t="s">
        <v>91</v>
      </c>
      <c r="E197" s="64">
        <f>_xlfn.XLOOKUP($C197,'Corporate Roster - ''25'!$C$9:$C$59,'Corporate Roster - ''25'!E$9:E$59,0)</f>
        <v>40811</v>
      </c>
      <c r="F197" s="64" t="str">
        <f>_xlfn.XLOOKUP($C197,'Corporate Roster - ''25'!$C$9:$C$59,'Corporate Roster - ''25'!F$9:F$59,0)</f>
        <v>-</v>
      </c>
      <c r="G197" s="261">
        <f>_xlfn.XLOOKUP($C197,'Corporate Roster - ''25'!$C$9:$C$59,'Corporate Roster - ''25'!K$9:K$59,0)</f>
        <v>169000</v>
      </c>
      <c r="I197" s="32">
        <f t="shared" ref="I197:T197" si="104">I20+I79+I138</f>
        <v>13083.333333333334</v>
      </c>
      <c r="J197" s="10">
        <f t="shared" si="104"/>
        <v>13083.333333333334</v>
      </c>
      <c r="K197" s="10">
        <f t="shared" si="104"/>
        <v>13083.333333333334</v>
      </c>
      <c r="L197" s="10">
        <f t="shared" si="104"/>
        <v>13083.333333333334</v>
      </c>
      <c r="M197" s="10">
        <f t="shared" si="104"/>
        <v>13083.333333333334</v>
      </c>
      <c r="N197" s="10">
        <f t="shared" si="104"/>
        <v>13083.333333333334</v>
      </c>
      <c r="O197" s="10">
        <f t="shared" si="104"/>
        <v>13083.333333333334</v>
      </c>
      <c r="P197" s="10">
        <f t="shared" si="104"/>
        <v>13083.333333333334</v>
      </c>
      <c r="Q197" s="10">
        <f t="shared" si="104"/>
        <v>13083.333333333334</v>
      </c>
      <c r="R197" s="10">
        <f t="shared" si="104"/>
        <v>13083.333333333334</v>
      </c>
      <c r="S197" s="10">
        <f t="shared" si="104"/>
        <v>13083.333333333334</v>
      </c>
      <c r="T197" s="33">
        <f t="shared" si="104"/>
        <v>25083.333333333336</v>
      </c>
    </row>
    <row r="198" spans="3:20" x14ac:dyDescent="0.2">
      <c r="C198" t="s">
        <v>92</v>
      </c>
      <c r="D198" t="s">
        <v>93</v>
      </c>
      <c r="E198" s="64">
        <f>_xlfn.XLOOKUP($C198,'Corporate Roster - ''25'!$C$9:$C$59,'Corporate Roster - ''25'!E$9:E$59,0)</f>
        <v>43400</v>
      </c>
      <c r="F198" s="64" t="str">
        <f>_xlfn.XLOOKUP($C198,'Corporate Roster - ''25'!$C$9:$C$59,'Corporate Roster - ''25'!F$9:F$59,0)</f>
        <v>-</v>
      </c>
      <c r="G198" s="261">
        <f>_xlfn.XLOOKUP($C198,'Corporate Roster - ''25'!$C$9:$C$59,'Corporate Roster - ''25'!K$9:K$59,0)</f>
        <v>185000</v>
      </c>
      <c r="I198" s="32">
        <f t="shared" ref="I198:T198" si="105">I21+I80+I139</f>
        <v>14333.333333333332</v>
      </c>
      <c r="J198" s="10">
        <f t="shared" si="105"/>
        <v>14333.333333333332</v>
      </c>
      <c r="K198" s="10">
        <f t="shared" si="105"/>
        <v>14333.333333333332</v>
      </c>
      <c r="L198" s="10">
        <f t="shared" si="105"/>
        <v>14333.333333333332</v>
      </c>
      <c r="M198" s="10">
        <f t="shared" si="105"/>
        <v>14333.333333333332</v>
      </c>
      <c r="N198" s="10">
        <f t="shared" si="105"/>
        <v>14333.333333333332</v>
      </c>
      <c r="O198" s="10">
        <f t="shared" si="105"/>
        <v>14333.333333333332</v>
      </c>
      <c r="P198" s="10">
        <f t="shared" si="105"/>
        <v>14333.333333333332</v>
      </c>
      <c r="Q198" s="10">
        <f t="shared" si="105"/>
        <v>14333.333333333332</v>
      </c>
      <c r="R198" s="10">
        <f t="shared" si="105"/>
        <v>14333.333333333332</v>
      </c>
      <c r="S198" s="10">
        <f t="shared" si="105"/>
        <v>14333.333333333332</v>
      </c>
      <c r="T198" s="33">
        <f t="shared" si="105"/>
        <v>27333.333333333332</v>
      </c>
    </row>
    <row r="199" spans="3:20" x14ac:dyDescent="0.2">
      <c r="C199" t="s">
        <v>94</v>
      </c>
      <c r="D199" t="s">
        <v>95</v>
      </c>
      <c r="E199" s="64">
        <f>_xlfn.XLOOKUP($C199,'Corporate Roster - ''25'!$C$9:$C$59,'Corporate Roster - ''25'!E$9:E$59,0)</f>
        <v>40031</v>
      </c>
      <c r="F199" s="64" t="str">
        <f>_xlfn.XLOOKUP($C199,'Corporate Roster - ''25'!$C$9:$C$59,'Corporate Roster - ''25'!F$9:F$59,0)</f>
        <v>-</v>
      </c>
      <c r="G199" s="261">
        <f>_xlfn.XLOOKUP($C199,'Corporate Roster - ''25'!$C$9:$C$59,'Corporate Roster - ''25'!K$9:K$59,0)</f>
        <v>215000</v>
      </c>
      <c r="I199" s="32">
        <f t="shared" ref="I199:T199" si="106">I22+I81+I140</f>
        <v>16666.666666666668</v>
      </c>
      <c r="J199" s="10">
        <f t="shared" si="106"/>
        <v>16666.666666666668</v>
      </c>
      <c r="K199" s="10">
        <f t="shared" si="106"/>
        <v>16666.666666666668</v>
      </c>
      <c r="L199" s="10">
        <f t="shared" si="106"/>
        <v>16666.666666666668</v>
      </c>
      <c r="M199" s="10">
        <f t="shared" si="106"/>
        <v>16666.666666666668</v>
      </c>
      <c r="N199" s="10">
        <f t="shared" si="106"/>
        <v>16666.666666666668</v>
      </c>
      <c r="O199" s="10">
        <f t="shared" si="106"/>
        <v>16666.666666666668</v>
      </c>
      <c r="P199" s="10">
        <f t="shared" si="106"/>
        <v>16666.666666666668</v>
      </c>
      <c r="Q199" s="10">
        <f t="shared" si="106"/>
        <v>16666.666666666668</v>
      </c>
      <c r="R199" s="10">
        <f t="shared" si="106"/>
        <v>16666.666666666668</v>
      </c>
      <c r="S199" s="10">
        <f t="shared" si="106"/>
        <v>16666.666666666668</v>
      </c>
      <c r="T199" s="33">
        <f t="shared" si="106"/>
        <v>31666.666666666672</v>
      </c>
    </row>
    <row r="200" spans="3:20" x14ac:dyDescent="0.2">
      <c r="C200" t="s">
        <v>96</v>
      </c>
      <c r="D200" t="s">
        <v>97</v>
      </c>
      <c r="E200" s="64">
        <f>_xlfn.XLOOKUP($C200,'Corporate Roster - ''25'!$C$9:$C$59,'Corporate Roster - ''25'!E$9:E$59,0)</f>
        <v>44978</v>
      </c>
      <c r="F200" s="64" t="str">
        <f>_xlfn.XLOOKUP($C200,'Corporate Roster - ''25'!$C$9:$C$59,'Corporate Roster - ''25'!F$9:F$59,0)</f>
        <v>-</v>
      </c>
      <c r="G200" s="261">
        <f>_xlfn.XLOOKUP($C200,'Corporate Roster - ''25'!$C$9:$C$59,'Corporate Roster - ''25'!K$9:K$59,0)</f>
        <v>154000</v>
      </c>
      <c r="I200" s="32">
        <f t="shared" ref="I200:T200" si="107">I23+I82+I141</f>
        <v>11916.666666666666</v>
      </c>
      <c r="J200" s="10">
        <f t="shared" si="107"/>
        <v>11916.666666666666</v>
      </c>
      <c r="K200" s="10">
        <f t="shared" si="107"/>
        <v>11916.666666666666</v>
      </c>
      <c r="L200" s="10">
        <f t="shared" si="107"/>
        <v>11916.666666666666</v>
      </c>
      <c r="M200" s="10">
        <f t="shared" si="107"/>
        <v>11916.666666666666</v>
      </c>
      <c r="N200" s="10">
        <f t="shared" si="107"/>
        <v>11916.666666666666</v>
      </c>
      <c r="O200" s="10">
        <f t="shared" si="107"/>
        <v>11916.666666666666</v>
      </c>
      <c r="P200" s="10">
        <f t="shared" si="107"/>
        <v>11916.666666666666</v>
      </c>
      <c r="Q200" s="10">
        <f t="shared" si="107"/>
        <v>11916.666666666666</v>
      </c>
      <c r="R200" s="10">
        <f t="shared" si="107"/>
        <v>11916.666666666666</v>
      </c>
      <c r="S200" s="10">
        <f t="shared" si="107"/>
        <v>11916.666666666666</v>
      </c>
      <c r="T200" s="33">
        <f t="shared" si="107"/>
        <v>22916.666666666664</v>
      </c>
    </row>
    <row r="201" spans="3:20" x14ac:dyDescent="0.2">
      <c r="C201" t="s">
        <v>98</v>
      </c>
      <c r="D201" t="s">
        <v>99</v>
      </c>
      <c r="E201" s="64">
        <f>_xlfn.XLOOKUP($C201,'Corporate Roster - ''25'!$C$9:$C$59,'Corporate Roster - ''25'!E$9:E$59,0)</f>
        <v>41398</v>
      </c>
      <c r="F201" s="64" t="str">
        <f>_xlfn.XLOOKUP($C201,'Corporate Roster - ''25'!$C$9:$C$59,'Corporate Roster - ''25'!F$9:F$59,0)</f>
        <v>-</v>
      </c>
      <c r="G201" s="261">
        <f>_xlfn.XLOOKUP($C201,'Corporate Roster - ''25'!$C$9:$C$59,'Corporate Roster - ''25'!K$9:K$59,0)</f>
        <v>118000</v>
      </c>
      <c r="I201" s="32">
        <f t="shared" ref="I201:T201" si="108">I24+I83+I142</f>
        <v>9500</v>
      </c>
      <c r="J201" s="10">
        <f t="shared" si="108"/>
        <v>9500</v>
      </c>
      <c r="K201" s="10">
        <f t="shared" si="108"/>
        <v>9500</v>
      </c>
      <c r="L201" s="10">
        <f t="shared" si="108"/>
        <v>9500</v>
      </c>
      <c r="M201" s="10">
        <f t="shared" si="108"/>
        <v>9500</v>
      </c>
      <c r="N201" s="10">
        <f t="shared" si="108"/>
        <v>9500</v>
      </c>
      <c r="O201" s="10">
        <f t="shared" si="108"/>
        <v>9500</v>
      </c>
      <c r="P201" s="10">
        <f t="shared" si="108"/>
        <v>9500</v>
      </c>
      <c r="Q201" s="10">
        <f t="shared" si="108"/>
        <v>9500</v>
      </c>
      <c r="R201" s="10">
        <f t="shared" si="108"/>
        <v>9500</v>
      </c>
      <c r="S201" s="10">
        <f t="shared" si="108"/>
        <v>9500</v>
      </c>
      <c r="T201" s="33">
        <f t="shared" si="108"/>
        <v>13499.999999999998</v>
      </c>
    </row>
    <row r="202" spans="3:20" x14ac:dyDescent="0.2">
      <c r="C202" t="s">
        <v>100</v>
      </c>
      <c r="D202" t="s">
        <v>101</v>
      </c>
      <c r="E202" s="64">
        <f>_xlfn.XLOOKUP($C202,'Corporate Roster - ''25'!$C$9:$C$59,'Corporate Roster - ''25'!E$9:E$59,0)</f>
        <v>40362</v>
      </c>
      <c r="F202" s="64" t="str">
        <f>_xlfn.XLOOKUP($C202,'Corporate Roster - ''25'!$C$9:$C$59,'Corporate Roster - ''25'!F$9:F$59,0)</f>
        <v>-</v>
      </c>
      <c r="G202" s="261">
        <f>_xlfn.XLOOKUP($C202,'Corporate Roster - ''25'!$C$9:$C$59,'Corporate Roster - ''25'!K$9:K$59,0)</f>
        <v>112000</v>
      </c>
      <c r="I202" s="32">
        <f t="shared" ref="I202:T202" si="109">I25+I84+I143</f>
        <v>9000</v>
      </c>
      <c r="J202" s="10">
        <f t="shared" si="109"/>
        <v>9000</v>
      </c>
      <c r="K202" s="10">
        <f t="shared" si="109"/>
        <v>9000</v>
      </c>
      <c r="L202" s="10">
        <f t="shared" si="109"/>
        <v>9000</v>
      </c>
      <c r="M202" s="10">
        <f t="shared" si="109"/>
        <v>9000</v>
      </c>
      <c r="N202" s="10">
        <f t="shared" si="109"/>
        <v>9000</v>
      </c>
      <c r="O202" s="10">
        <f t="shared" si="109"/>
        <v>9000</v>
      </c>
      <c r="P202" s="10">
        <f t="shared" si="109"/>
        <v>9000</v>
      </c>
      <c r="Q202" s="10">
        <f t="shared" si="109"/>
        <v>9000</v>
      </c>
      <c r="R202" s="10">
        <f t="shared" si="109"/>
        <v>9000</v>
      </c>
      <c r="S202" s="10">
        <f t="shared" si="109"/>
        <v>9000</v>
      </c>
      <c r="T202" s="33">
        <f t="shared" si="109"/>
        <v>13000.000000000002</v>
      </c>
    </row>
    <row r="203" spans="3:20" x14ac:dyDescent="0.2">
      <c r="C203" t="s">
        <v>102</v>
      </c>
      <c r="D203" t="s">
        <v>103</v>
      </c>
      <c r="E203" s="64">
        <f>_xlfn.XLOOKUP($C203,'Corporate Roster - ''25'!$C$9:$C$59,'Corporate Roster - ''25'!E$9:E$59,0)</f>
        <v>45063</v>
      </c>
      <c r="F203" s="64" t="str">
        <f>_xlfn.XLOOKUP($C203,'Corporate Roster - ''25'!$C$9:$C$59,'Corporate Roster - ''25'!F$9:F$59,0)</f>
        <v>-</v>
      </c>
      <c r="G203" s="261">
        <f>_xlfn.XLOOKUP($C203,'Corporate Roster - ''25'!$C$9:$C$59,'Corporate Roster - ''25'!K$9:K$59,0)</f>
        <v>127000</v>
      </c>
      <c r="I203" s="32">
        <f t="shared" ref="I203:T203" si="110">I26+I85+I144</f>
        <v>10166.666666666666</v>
      </c>
      <c r="J203" s="10">
        <f t="shared" si="110"/>
        <v>10166.666666666666</v>
      </c>
      <c r="K203" s="10">
        <f t="shared" si="110"/>
        <v>10166.666666666666</v>
      </c>
      <c r="L203" s="10">
        <f t="shared" si="110"/>
        <v>10166.666666666666</v>
      </c>
      <c r="M203" s="10">
        <f t="shared" si="110"/>
        <v>10166.666666666666</v>
      </c>
      <c r="N203" s="10">
        <f t="shared" si="110"/>
        <v>10166.666666666666</v>
      </c>
      <c r="O203" s="10">
        <f t="shared" si="110"/>
        <v>10166.666666666666</v>
      </c>
      <c r="P203" s="10">
        <f t="shared" si="110"/>
        <v>10166.666666666666</v>
      </c>
      <c r="Q203" s="10">
        <f t="shared" si="110"/>
        <v>10166.666666666666</v>
      </c>
      <c r="R203" s="10">
        <f t="shared" si="110"/>
        <v>10166.666666666666</v>
      </c>
      <c r="S203" s="10">
        <f t="shared" si="110"/>
        <v>10166.666666666666</v>
      </c>
      <c r="T203" s="33">
        <f t="shared" si="110"/>
        <v>15166.666666666664</v>
      </c>
    </row>
    <row r="204" spans="3:20" x14ac:dyDescent="0.2">
      <c r="C204" t="s">
        <v>104</v>
      </c>
      <c r="D204" t="s">
        <v>105</v>
      </c>
      <c r="E204" s="64">
        <f>_xlfn.XLOOKUP($C204,'Corporate Roster - ''25'!$C$9:$C$59,'Corporate Roster - ''25'!E$9:E$59,0)</f>
        <v>44169</v>
      </c>
      <c r="F204" s="64" t="str">
        <f>_xlfn.XLOOKUP($C204,'Corporate Roster - ''25'!$C$9:$C$59,'Corporate Roster - ''25'!F$9:F$59,0)</f>
        <v>-</v>
      </c>
      <c r="G204" s="261">
        <f>_xlfn.XLOOKUP($C204,'Corporate Roster - ''25'!$C$9:$C$59,'Corporate Roster - ''25'!K$9:K$59,0)</f>
        <v>89000</v>
      </c>
      <c r="I204" s="32">
        <f t="shared" ref="I204:T204" si="111">I27+I86+I145</f>
        <v>7166.6666666666661</v>
      </c>
      <c r="J204" s="10">
        <f t="shared" si="111"/>
        <v>7166.6666666666661</v>
      </c>
      <c r="K204" s="10">
        <f t="shared" si="111"/>
        <v>7166.6666666666661</v>
      </c>
      <c r="L204" s="10">
        <f t="shared" si="111"/>
        <v>7166.6666666666661</v>
      </c>
      <c r="M204" s="10">
        <f t="shared" si="111"/>
        <v>7166.6666666666661</v>
      </c>
      <c r="N204" s="10">
        <f t="shared" si="111"/>
        <v>7166.6666666666661</v>
      </c>
      <c r="O204" s="10">
        <f t="shared" si="111"/>
        <v>7166.6666666666661</v>
      </c>
      <c r="P204" s="10">
        <f t="shared" si="111"/>
        <v>7166.6666666666661</v>
      </c>
      <c r="Q204" s="10">
        <f t="shared" si="111"/>
        <v>7166.6666666666661</v>
      </c>
      <c r="R204" s="10">
        <f t="shared" si="111"/>
        <v>7166.6666666666661</v>
      </c>
      <c r="S204" s="10">
        <f t="shared" si="111"/>
        <v>7166.6666666666661</v>
      </c>
      <c r="T204" s="33">
        <f t="shared" si="111"/>
        <v>10166.666666666666</v>
      </c>
    </row>
    <row r="205" spans="3:20" x14ac:dyDescent="0.2">
      <c r="C205" t="s">
        <v>148</v>
      </c>
      <c r="D205" t="s">
        <v>107</v>
      </c>
      <c r="E205" s="64">
        <f>_xlfn.XLOOKUP($C205,'Corporate Roster - ''25'!$C$9:$C$59,'Corporate Roster - ''25'!E$9:E$59,0)</f>
        <v>45017</v>
      </c>
      <c r="F205" s="64" t="str">
        <f>_xlfn.XLOOKUP($C205,'Corporate Roster - ''25'!$C$9:$C$59,'Corporate Roster - ''25'!F$9:F$59,0)</f>
        <v>-</v>
      </c>
      <c r="G205" s="261">
        <f>_xlfn.XLOOKUP($C205,'Corporate Roster - ''25'!$C$9:$C$59,'Corporate Roster - ''25'!K$9:K$59,0)</f>
        <v>104000</v>
      </c>
      <c r="I205" s="32">
        <f t="shared" ref="I205:T205" si="112">I28+I87+I146</f>
        <v>8333.3333333333339</v>
      </c>
      <c r="J205" s="10">
        <f t="shared" si="112"/>
        <v>8333.3333333333339</v>
      </c>
      <c r="K205" s="10">
        <f t="shared" si="112"/>
        <v>8333.3333333333339</v>
      </c>
      <c r="L205" s="10">
        <f t="shared" si="112"/>
        <v>8333.3333333333339</v>
      </c>
      <c r="M205" s="10">
        <f t="shared" si="112"/>
        <v>8333.3333333333339</v>
      </c>
      <c r="N205" s="10">
        <f t="shared" si="112"/>
        <v>8333.3333333333339</v>
      </c>
      <c r="O205" s="10">
        <f t="shared" si="112"/>
        <v>8333.3333333333339</v>
      </c>
      <c r="P205" s="10">
        <f t="shared" si="112"/>
        <v>8333.3333333333339</v>
      </c>
      <c r="Q205" s="10">
        <f t="shared" si="112"/>
        <v>8333.3333333333339</v>
      </c>
      <c r="R205" s="10">
        <f t="shared" si="112"/>
        <v>8333.3333333333339</v>
      </c>
      <c r="S205" s="10">
        <f t="shared" si="112"/>
        <v>8333.3333333333339</v>
      </c>
      <c r="T205" s="33">
        <f t="shared" si="112"/>
        <v>12333.333333333336</v>
      </c>
    </row>
    <row r="206" spans="3:20" x14ac:dyDescent="0.2">
      <c r="C206" t="s">
        <v>108</v>
      </c>
      <c r="D206" t="s">
        <v>109</v>
      </c>
      <c r="E206" s="64">
        <f>_xlfn.XLOOKUP($C206,'Corporate Roster - ''25'!$C$9:$C$59,'Corporate Roster - ''25'!E$9:E$59,0)</f>
        <v>40157</v>
      </c>
      <c r="F206" s="64" t="str">
        <f>_xlfn.XLOOKUP($C206,'Corporate Roster - ''25'!$C$9:$C$59,'Corporate Roster - ''25'!F$9:F$59,0)</f>
        <v>-</v>
      </c>
      <c r="G206" s="261">
        <f>_xlfn.XLOOKUP($C206,'Corporate Roster - ''25'!$C$9:$C$59,'Corporate Roster - ''25'!K$9:K$59,0)</f>
        <v>112000</v>
      </c>
      <c r="I206" s="32">
        <f t="shared" ref="I206:T206" si="113">I29+I88+I147</f>
        <v>9000</v>
      </c>
      <c r="J206" s="10">
        <f t="shared" si="113"/>
        <v>9000</v>
      </c>
      <c r="K206" s="10">
        <f t="shared" si="113"/>
        <v>9000</v>
      </c>
      <c r="L206" s="10">
        <f t="shared" si="113"/>
        <v>9000</v>
      </c>
      <c r="M206" s="10">
        <f t="shared" si="113"/>
        <v>9000</v>
      </c>
      <c r="N206" s="10">
        <f t="shared" si="113"/>
        <v>9000</v>
      </c>
      <c r="O206" s="10">
        <f t="shared" si="113"/>
        <v>9000</v>
      </c>
      <c r="P206" s="10">
        <f t="shared" si="113"/>
        <v>9000</v>
      </c>
      <c r="Q206" s="10">
        <f t="shared" si="113"/>
        <v>9000</v>
      </c>
      <c r="R206" s="10">
        <f t="shared" si="113"/>
        <v>9000</v>
      </c>
      <c r="S206" s="10">
        <f t="shared" si="113"/>
        <v>9000</v>
      </c>
      <c r="T206" s="33">
        <f t="shared" si="113"/>
        <v>13000.000000000002</v>
      </c>
    </row>
    <row r="207" spans="3:20" x14ac:dyDescent="0.2">
      <c r="C207" t="s">
        <v>73</v>
      </c>
      <c r="D207" t="s">
        <v>110</v>
      </c>
      <c r="E207" s="64">
        <f>_xlfn.XLOOKUP($C207,'Corporate Roster - ''25'!$C$9:$C$59,'Corporate Roster - ''25'!E$9:E$59,0)</f>
        <v>45335</v>
      </c>
      <c r="F207" s="64" t="str">
        <f>_xlfn.XLOOKUP($C207,'Corporate Roster - ''25'!$C$9:$C$59,'Corporate Roster - ''25'!F$9:F$59,0)</f>
        <v>-</v>
      </c>
      <c r="G207" s="261">
        <f>_xlfn.XLOOKUP($C207,'Corporate Roster - ''25'!$C$9:$C$59,'Corporate Roster - ''25'!K$9:K$59,0)</f>
        <v>127000</v>
      </c>
      <c r="I207" s="32">
        <f t="shared" ref="I207:T207" si="114">I30+I89+I148</f>
        <v>10166.666666666666</v>
      </c>
      <c r="J207" s="10">
        <f t="shared" si="114"/>
        <v>10166.666666666666</v>
      </c>
      <c r="K207" s="10">
        <f t="shared" si="114"/>
        <v>10166.666666666666</v>
      </c>
      <c r="L207" s="10">
        <f t="shared" si="114"/>
        <v>10166.666666666666</v>
      </c>
      <c r="M207" s="10">
        <f t="shared" si="114"/>
        <v>10166.666666666666</v>
      </c>
      <c r="N207" s="10">
        <f t="shared" si="114"/>
        <v>10166.666666666666</v>
      </c>
      <c r="O207" s="10">
        <f t="shared" si="114"/>
        <v>10166.666666666666</v>
      </c>
      <c r="P207" s="10">
        <f t="shared" si="114"/>
        <v>10166.666666666666</v>
      </c>
      <c r="Q207" s="10">
        <f t="shared" si="114"/>
        <v>10166.666666666666</v>
      </c>
      <c r="R207" s="10">
        <f t="shared" si="114"/>
        <v>10166.666666666666</v>
      </c>
      <c r="S207" s="10">
        <f t="shared" si="114"/>
        <v>10166.666666666666</v>
      </c>
      <c r="T207" s="33">
        <f t="shared" si="114"/>
        <v>15166.666666666664</v>
      </c>
    </row>
    <row r="208" spans="3:20" x14ac:dyDescent="0.2">
      <c r="C208" t="s">
        <v>111</v>
      </c>
      <c r="D208" t="s">
        <v>112</v>
      </c>
      <c r="E208" s="64">
        <f>_xlfn.XLOOKUP($C208,'Corporate Roster - ''25'!$C$9:$C$59,'Corporate Roster - ''25'!E$9:E$59,0)</f>
        <v>44694</v>
      </c>
      <c r="F208" s="64" t="str">
        <f>_xlfn.XLOOKUP($C208,'Corporate Roster - ''25'!$C$9:$C$59,'Corporate Roster - ''25'!F$9:F$59,0)</f>
        <v>-</v>
      </c>
      <c r="G208" s="261">
        <f>_xlfn.XLOOKUP($C208,'Corporate Roster - ''25'!$C$9:$C$59,'Corporate Roster - ''25'!K$9:K$59,0)</f>
        <v>141000</v>
      </c>
      <c r="I208" s="32">
        <f t="shared" ref="I208:T208" si="115">I31+I90+I149</f>
        <v>11333.333333333332</v>
      </c>
      <c r="J208" s="10">
        <f t="shared" si="115"/>
        <v>11333.333333333332</v>
      </c>
      <c r="K208" s="10">
        <f t="shared" si="115"/>
        <v>11333.333333333332</v>
      </c>
      <c r="L208" s="10">
        <f t="shared" si="115"/>
        <v>11333.333333333332</v>
      </c>
      <c r="M208" s="10">
        <f t="shared" si="115"/>
        <v>11333.333333333332</v>
      </c>
      <c r="N208" s="10">
        <f t="shared" si="115"/>
        <v>11333.333333333332</v>
      </c>
      <c r="O208" s="10">
        <f t="shared" si="115"/>
        <v>11333.333333333332</v>
      </c>
      <c r="P208" s="10">
        <f t="shared" si="115"/>
        <v>11333.333333333332</v>
      </c>
      <c r="Q208" s="10">
        <f t="shared" si="115"/>
        <v>11333.333333333332</v>
      </c>
      <c r="R208" s="10">
        <f t="shared" si="115"/>
        <v>11333.333333333332</v>
      </c>
      <c r="S208" s="10">
        <f t="shared" si="115"/>
        <v>11333.333333333332</v>
      </c>
      <c r="T208" s="33">
        <f t="shared" si="115"/>
        <v>16333.333333333332</v>
      </c>
    </row>
    <row r="209" spans="3:20" x14ac:dyDescent="0.2">
      <c r="C209" t="s">
        <v>149</v>
      </c>
      <c r="D209" t="s">
        <v>110</v>
      </c>
      <c r="E209" s="64">
        <f>_xlfn.XLOOKUP($C209,'Corporate Roster - ''25'!$C$9:$C$59,'Corporate Roster - ''25'!E$9:E$59,0)</f>
        <v>45368</v>
      </c>
      <c r="F209" s="64" t="str">
        <f>_xlfn.XLOOKUP($C209,'Corporate Roster - ''25'!$C$9:$C$59,'Corporate Roster - ''25'!F$9:F$59,0)</f>
        <v>-</v>
      </c>
      <c r="G209" s="261">
        <f>_xlfn.XLOOKUP($C209,'Corporate Roster - ''25'!$C$9:$C$59,'Corporate Roster - ''25'!K$9:K$59,0)</f>
        <v>127000</v>
      </c>
      <c r="I209" s="32">
        <f t="shared" ref="I209:T209" si="116">I32+I91+I150</f>
        <v>10166.666666666666</v>
      </c>
      <c r="J209" s="10">
        <f t="shared" si="116"/>
        <v>10166.666666666666</v>
      </c>
      <c r="K209" s="10">
        <f t="shared" si="116"/>
        <v>10166.666666666666</v>
      </c>
      <c r="L209" s="10">
        <f t="shared" si="116"/>
        <v>10166.666666666666</v>
      </c>
      <c r="M209" s="10">
        <f t="shared" si="116"/>
        <v>10166.666666666666</v>
      </c>
      <c r="N209" s="10">
        <f t="shared" si="116"/>
        <v>10166.666666666666</v>
      </c>
      <c r="O209" s="10">
        <f t="shared" si="116"/>
        <v>10166.666666666666</v>
      </c>
      <c r="P209" s="10">
        <f t="shared" si="116"/>
        <v>10166.666666666666</v>
      </c>
      <c r="Q209" s="10">
        <f t="shared" si="116"/>
        <v>10166.666666666666</v>
      </c>
      <c r="R209" s="10">
        <f t="shared" si="116"/>
        <v>10166.666666666666</v>
      </c>
      <c r="S209" s="10">
        <f t="shared" si="116"/>
        <v>10166.666666666666</v>
      </c>
      <c r="T209" s="33">
        <f t="shared" si="116"/>
        <v>15166.666666666664</v>
      </c>
    </row>
    <row r="210" spans="3:20" x14ac:dyDescent="0.2">
      <c r="C210" t="s">
        <v>150</v>
      </c>
      <c r="D210" t="s">
        <v>95</v>
      </c>
      <c r="E210" s="64">
        <f>_xlfn.XLOOKUP($C210,'Corporate Roster - ''25'!$C$9:$C$59,'Corporate Roster - ''25'!E$9:E$59,0)</f>
        <v>40489</v>
      </c>
      <c r="F210" s="64" t="str">
        <f>_xlfn.XLOOKUP($C210,'Corporate Roster - ''25'!$C$9:$C$59,'Corporate Roster - ''25'!F$9:F$59,0)</f>
        <v>-</v>
      </c>
      <c r="G210" s="261">
        <f>_xlfn.XLOOKUP($C210,'Corporate Roster - ''25'!$C$9:$C$59,'Corporate Roster - ''25'!K$9:K$59,0)</f>
        <v>215000</v>
      </c>
      <c r="I210" s="32">
        <f t="shared" ref="I210:T210" si="117">I33+I92+I151</f>
        <v>16666.666666666668</v>
      </c>
      <c r="J210" s="10">
        <f t="shared" si="117"/>
        <v>16666.666666666668</v>
      </c>
      <c r="K210" s="10">
        <f t="shared" si="117"/>
        <v>16666.666666666668</v>
      </c>
      <c r="L210" s="10">
        <f t="shared" si="117"/>
        <v>16666.666666666668</v>
      </c>
      <c r="M210" s="10">
        <f t="shared" si="117"/>
        <v>16666.666666666668</v>
      </c>
      <c r="N210" s="10">
        <f t="shared" si="117"/>
        <v>16666.666666666668</v>
      </c>
      <c r="O210" s="10">
        <f t="shared" si="117"/>
        <v>16666.666666666668</v>
      </c>
      <c r="P210" s="10">
        <f t="shared" si="117"/>
        <v>16666.666666666668</v>
      </c>
      <c r="Q210" s="10">
        <f t="shared" si="117"/>
        <v>16666.666666666668</v>
      </c>
      <c r="R210" s="10">
        <f t="shared" si="117"/>
        <v>16666.666666666668</v>
      </c>
      <c r="S210" s="10">
        <f t="shared" si="117"/>
        <v>16666.666666666668</v>
      </c>
      <c r="T210" s="33">
        <f t="shared" si="117"/>
        <v>31666.666666666672</v>
      </c>
    </row>
    <row r="211" spans="3:20" x14ac:dyDescent="0.2">
      <c r="C211" t="s">
        <v>115</v>
      </c>
      <c r="D211" t="s">
        <v>112</v>
      </c>
      <c r="E211" s="64">
        <f>_xlfn.XLOOKUP($C211,'Corporate Roster - ''25'!$C$9:$C$59,'Corporate Roster - ''25'!E$9:E$59,0)</f>
        <v>45236</v>
      </c>
      <c r="F211" s="64" t="str">
        <f>_xlfn.XLOOKUP($C211,'Corporate Roster - ''25'!$C$9:$C$59,'Corporate Roster - ''25'!F$9:F$59,0)</f>
        <v>-</v>
      </c>
      <c r="G211" s="261">
        <f>_xlfn.XLOOKUP($C211,'Corporate Roster - ''25'!$C$9:$C$59,'Corporate Roster - ''25'!K$9:K$59,0)</f>
        <v>141000</v>
      </c>
      <c r="I211" s="32">
        <f t="shared" ref="I211:T211" si="118">I34+I93+I152</f>
        <v>11333.333333333332</v>
      </c>
      <c r="J211" s="10">
        <f t="shared" si="118"/>
        <v>11333.333333333332</v>
      </c>
      <c r="K211" s="10">
        <f t="shared" si="118"/>
        <v>11333.333333333332</v>
      </c>
      <c r="L211" s="10">
        <f t="shared" si="118"/>
        <v>11333.333333333332</v>
      </c>
      <c r="M211" s="10">
        <f t="shared" si="118"/>
        <v>11333.333333333332</v>
      </c>
      <c r="N211" s="10">
        <f t="shared" si="118"/>
        <v>11333.333333333332</v>
      </c>
      <c r="O211" s="10">
        <f t="shared" si="118"/>
        <v>11333.333333333332</v>
      </c>
      <c r="P211" s="10">
        <f t="shared" si="118"/>
        <v>11333.333333333332</v>
      </c>
      <c r="Q211" s="10">
        <f t="shared" si="118"/>
        <v>11333.333333333332</v>
      </c>
      <c r="R211" s="10">
        <f t="shared" si="118"/>
        <v>11333.333333333332</v>
      </c>
      <c r="S211" s="10">
        <f t="shared" si="118"/>
        <v>11333.333333333332</v>
      </c>
      <c r="T211" s="33">
        <f t="shared" si="118"/>
        <v>16333.333333333332</v>
      </c>
    </row>
    <row r="212" spans="3:20" x14ac:dyDescent="0.2">
      <c r="C212" t="s">
        <v>116</v>
      </c>
      <c r="D212" t="s">
        <v>110</v>
      </c>
      <c r="E212" s="64">
        <f>_xlfn.XLOOKUP($C212,'Corporate Roster - ''25'!$C$9:$C$59,'Corporate Roster - ''25'!E$9:E$59,0)</f>
        <v>40015</v>
      </c>
      <c r="F212" s="64" t="str">
        <f>_xlfn.XLOOKUP($C212,'Corporate Roster - ''25'!$C$9:$C$59,'Corporate Roster - ''25'!F$9:F$59,0)</f>
        <v>-</v>
      </c>
      <c r="G212" s="261">
        <f>_xlfn.XLOOKUP($C212,'Corporate Roster - ''25'!$C$9:$C$59,'Corporate Roster - ''25'!K$9:K$59,0)</f>
        <v>127000</v>
      </c>
      <c r="I212" s="32">
        <f t="shared" ref="I212:T212" si="119">I35+I94+I153</f>
        <v>10166.666666666666</v>
      </c>
      <c r="J212" s="10">
        <f t="shared" si="119"/>
        <v>10166.666666666666</v>
      </c>
      <c r="K212" s="10">
        <f t="shared" si="119"/>
        <v>10166.666666666666</v>
      </c>
      <c r="L212" s="10">
        <f t="shared" si="119"/>
        <v>10166.666666666666</v>
      </c>
      <c r="M212" s="10">
        <f t="shared" si="119"/>
        <v>10166.666666666666</v>
      </c>
      <c r="N212" s="10">
        <f t="shared" si="119"/>
        <v>10166.666666666666</v>
      </c>
      <c r="O212" s="10">
        <f t="shared" si="119"/>
        <v>10166.666666666666</v>
      </c>
      <c r="P212" s="10">
        <f t="shared" si="119"/>
        <v>10166.666666666666</v>
      </c>
      <c r="Q212" s="10">
        <f t="shared" si="119"/>
        <v>10166.666666666666</v>
      </c>
      <c r="R212" s="10">
        <f t="shared" si="119"/>
        <v>10166.666666666666</v>
      </c>
      <c r="S212" s="10">
        <f t="shared" si="119"/>
        <v>10166.666666666666</v>
      </c>
      <c r="T212" s="33">
        <f t="shared" si="119"/>
        <v>15166.666666666664</v>
      </c>
    </row>
    <row r="213" spans="3:20" x14ac:dyDescent="0.2">
      <c r="C213" t="s">
        <v>106</v>
      </c>
      <c r="D213" t="s">
        <v>90</v>
      </c>
      <c r="E213" s="64">
        <f>_xlfn.XLOOKUP($C213,'Corporate Roster - ''25'!$C$9:$C$59,'Corporate Roster - ''25'!E$9:E$59,0)</f>
        <v>40345</v>
      </c>
      <c r="F213" s="64" t="str">
        <f>_xlfn.XLOOKUP($C213,'Corporate Roster - ''25'!$C$9:$C$59,'Corporate Roster - ''25'!F$9:F$59,0)</f>
        <v>-</v>
      </c>
      <c r="G213" s="261">
        <f>_xlfn.XLOOKUP($C213,'Corporate Roster - ''25'!$C$9:$C$59,'Corporate Roster - ''25'!K$9:K$59,0)</f>
        <v>200000</v>
      </c>
      <c r="I213" s="32">
        <f t="shared" ref="I213:T213" si="120">I36+I95+I154</f>
        <v>15500</v>
      </c>
      <c r="J213" s="10">
        <f t="shared" si="120"/>
        <v>15500</v>
      </c>
      <c r="K213" s="10">
        <f t="shared" si="120"/>
        <v>15500</v>
      </c>
      <c r="L213" s="10">
        <f t="shared" si="120"/>
        <v>15500</v>
      </c>
      <c r="M213" s="10">
        <f t="shared" si="120"/>
        <v>15500</v>
      </c>
      <c r="N213" s="10">
        <f t="shared" si="120"/>
        <v>15500</v>
      </c>
      <c r="O213" s="10">
        <f t="shared" si="120"/>
        <v>15500</v>
      </c>
      <c r="P213" s="10">
        <f t="shared" si="120"/>
        <v>15500</v>
      </c>
      <c r="Q213" s="10">
        <f t="shared" si="120"/>
        <v>15500</v>
      </c>
      <c r="R213" s="10">
        <f t="shared" si="120"/>
        <v>15500</v>
      </c>
      <c r="S213" s="10">
        <f t="shared" si="120"/>
        <v>15500</v>
      </c>
      <c r="T213" s="33">
        <f t="shared" si="120"/>
        <v>29499.999999999996</v>
      </c>
    </row>
    <row r="214" spans="3:20" x14ac:dyDescent="0.2">
      <c r="C214" t="s">
        <v>117</v>
      </c>
      <c r="D214" t="s">
        <v>110</v>
      </c>
      <c r="E214" s="64">
        <f>_xlfn.XLOOKUP($C214,'Corporate Roster - ''25'!$C$9:$C$59,'Corporate Roster - ''25'!E$9:E$59,0)</f>
        <v>44824</v>
      </c>
      <c r="F214" s="64" t="str">
        <f>_xlfn.XLOOKUP($C214,'Corporate Roster - ''25'!$C$9:$C$59,'Corporate Roster - ''25'!F$9:F$59,0)</f>
        <v>-</v>
      </c>
      <c r="G214" s="261">
        <f>_xlfn.XLOOKUP($C214,'Corporate Roster - ''25'!$C$9:$C$59,'Corporate Roster - ''25'!K$9:K$59,0)</f>
        <v>127000</v>
      </c>
      <c r="I214" s="32">
        <f t="shared" ref="I214:T214" si="121">I37+I96+I155</f>
        <v>10166.666666666666</v>
      </c>
      <c r="J214" s="10">
        <f t="shared" si="121"/>
        <v>10166.666666666666</v>
      </c>
      <c r="K214" s="10">
        <f t="shared" si="121"/>
        <v>10166.666666666666</v>
      </c>
      <c r="L214" s="10">
        <f t="shared" si="121"/>
        <v>10166.666666666666</v>
      </c>
      <c r="M214" s="10">
        <f t="shared" si="121"/>
        <v>10166.666666666666</v>
      </c>
      <c r="N214" s="10">
        <f t="shared" si="121"/>
        <v>10166.666666666666</v>
      </c>
      <c r="O214" s="10">
        <f t="shared" si="121"/>
        <v>10166.666666666666</v>
      </c>
      <c r="P214" s="10">
        <f t="shared" si="121"/>
        <v>10166.666666666666</v>
      </c>
      <c r="Q214" s="10">
        <f t="shared" si="121"/>
        <v>10166.666666666666</v>
      </c>
      <c r="R214" s="10">
        <f t="shared" si="121"/>
        <v>10166.666666666666</v>
      </c>
      <c r="S214" s="10">
        <f t="shared" si="121"/>
        <v>10166.666666666666</v>
      </c>
      <c r="T214" s="33">
        <f t="shared" si="121"/>
        <v>15166.666666666664</v>
      </c>
    </row>
    <row r="215" spans="3:20" x14ac:dyDescent="0.2">
      <c r="C215" t="s">
        <v>118</v>
      </c>
      <c r="D215" t="s">
        <v>86</v>
      </c>
      <c r="E215" s="64">
        <f>_xlfn.XLOOKUP($C215,'Corporate Roster - ''25'!$C$9:$C$59,'Corporate Roster - ''25'!E$9:E$59,0)</f>
        <v>38939</v>
      </c>
      <c r="F215" s="64" t="str">
        <f>_xlfn.XLOOKUP($C215,'Corporate Roster - ''25'!$C$9:$C$59,'Corporate Roster - ''25'!F$9:F$59,0)</f>
        <v>-</v>
      </c>
      <c r="G215" s="261">
        <f>_xlfn.XLOOKUP($C215,'Corporate Roster - ''25'!$C$9:$C$59,'Corporate Roster - ''25'!K$9:K$59,0)</f>
        <v>185000</v>
      </c>
      <c r="I215" s="32">
        <f t="shared" ref="I215:T215" si="122">I38+I97+I156</f>
        <v>14333.333333333332</v>
      </c>
      <c r="J215" s="10">
        <f t="shared" si="122"/>
        <v>14333.333333333332</v>
      </c>
      <c r="K215" s="10">
        <f t="shared" si="122"/>
        <v>14333.333333333332</v>
      </c>
      <c r="L215" s="10">
        <f t="shared" si="122"/>
        <v>14333.333333333332</v>
      </c>
      <c r="M215" s="10">
        <f t="shared" si="122"/>
        <v>14333.333333333332</v>
      </c>
      <c r="N215" s="10">
        <f t="shared" si="122"/>
        <v>14333.333333333332</v>
      </c>
      <c r="O215" s="10">
        <f t="shared" si="122"/>
        <v>14333.333333333332</v>
      </c>
      <c r="P215" s="10">
        <f t="shared" si="122"/>
        <v>14333.333333333332</v>
      </c>
      <c r="Q215" s="10">
        <f t="shared" si="122"/>
        <v>14333.333333333332</v>
      </c>
      <c r="R215" s="10">
        <f t="shared" si="122"/>
        <v>14333.333333333332</v>
      </c>
      <c r="S215" s="10">
        <f t="shared" si="122"/>
        <v>14333.333333333332</v>
      </c>
      <c r="T215" s="33">
        <f t="shared" si="122"/>
        <v>27333.333333333332</v>
      </c>
    </row>
    <row r="216" spans="3:20" x14ac:dyDescent="0.2">
      <c r="C216" t="s">
        <v>65</v>
      </c>
      <c r="D216" t="s">
        <v>86</v>
      </c>
      <c r="E216" s="64">
        <f>_xlfn.XLOOKUP($C216,'Corporate Roster - ''25'!$C$9:$C$59,'Corporate Roster - ''25'!E$9:E$59,0)</f>
        <v>42100</v>
      </c>
      <c r="F216" s="64" t="str">
        <f>_xlfn.XLOOKUP($C216,'Corporate Roster - ''25'!$C$9:$C$59,'Corporate Roster - ''25'!F$9:F$59,0)</f>
        <v>-</v>
      </c>
      <c r="G216" s="261">
        <f>_xlfn.XLOOKUP($C216,'Corporate Roster - ''25'!$C$9:$C$59,'Corporate Roster - ''25'!K$9:K$59,0)</f>
        <v>185000</v>
      </c>
      <c r="I216" s="32">
        <f t="shared" ref="I216:T216" si="123">I39+I98+I157</f>
        <v>14333.333333333332</v>
      </c>
      <c r="J216" s="10">
        <f t="shared" si="123"/>
        <v>14333.333333333332</v>
      </c>
      <c r="K216" s="10">
        <f t="shared" si="123"/>
        <v>14333.333333333332</v>
      </c>
      <c r="L216" s="10">
        <f t="shared" si="123"/>
        <v>14333.333333333332</v>
      </c>
      <c r="M216" s="10">
        <f t="shared" si="123"/>
        <v>14333.333333333332</v>
      </c>
      <c r="N216" s="10">
        <f t="shared" si="123"/>
        <v>14333.333333333332</v>
      </c>
      <c r="O216" s="10">
        <f t="shared" si="123"/>
        <v>14333.333333333332</v>
      </c>
      <c r="P216" s="10">
        <f t="shared" si="123"/>
        <v>14333.333333333332</v>
      </c>
      <c r="Q216" s="10">
        <f t="shared" si="123"/>
        <v>14333.333333333332</v>
      </c>
      <c r="R216" s="10">
        <f t="shared" si="123"/>
        <v>14333.333333333332</v>
      </c>
      <c r="S216" s="10">
        <f t="shared" si="123"/>
        <v>14333.333333333332</v>
      </c>
      <c r="T216" s="33">
        <f t="shared" si="123"/>
        <v>27333.333333333332</v>
      </c>
    </row>
    <row r="217" spans="3:20" x14ac:dyDescent="0.2">
      <c r="C217" t="s">
        <v>119</v>
      </c>
      <c r="D217" t="s">
        <v>110</v>
      </c>
      <c r="E217" s="64">
        <f>_xlfn.XLOOKUP($C217,'Corporate Roster - ''25'!$C$9:$C$59,'Corporate Roster - ''25'!E$9:E$59,0)</f>
        <v>42772</v>
      </c>
      <c r="F217" s="64" t="str">
        <f>_xlfn.XLOOKUP($C217,'Corporate Roster - ''25'!$C$9:$C$59,'Corporate Roster - ''25'!F$9:F$59,0)</f>
        <v>-</v>
      </c>
      <c r="G217" s="261">
        <f>_xlfn.XLOOKUP($C217,'Corporate Roster - ''25'!$C$9:$C$59,'Corporate Roster - ''25'!K$9:K$59,0)</f>
        <v>127000</v>
      </c>
      <c r="I217" s="32">
        <f t="shared" ref="I217:T217" si="124">I40+I99+I158</f>
        <v>10166.666666666666</v>
      </c>
      <c r="J217" s="10">
        <f t="shared" si="124"/>
        <v>10166.666666666666</v>
      </c>
      <c r="K217" s="10">
        <f t="shared" si="124"/>
        <v>10166.666666666666</v>
      </c>
      <c r="L217" s="10">
        <f t="shared" si="124"/>
        <v>10166.666666666666</v>
      </c>
      <c r="M217" s="10">
        <f t="shared" si="124"/>
        <v>10166.666666666666</v>
      </c>
      <c r="N217" s="10">
        <f t="shared" si="124"/>
        <v>10166.666666666666</v>
      </c>
      <c r="O217" s="10">
        <f t="shared" si="124"/>
        <v>10166.666666666666</v>
      </c>
      <c r="P217" s="10">
        <f t="shared" si="124"/>
        <v>10166.666666666666</v>
      </c>
      <c r="Q217" s="10">
        <f t="shared" si="124"/>
        <v>10166.666666666666</v>
      </c>
      <c r="R217" s="10">
        <f t="shared" si="124"/>
        <v>10166.666666666666</v>
      </c>
      <c r="S217" s="10">
        <f t="shared" si="124"/>
        <v>10166.666666666666</v>
      </c>
      <c r="T217" s="33">
        <f t="shared" si="124"/>
        <v>15166.666666666664</v>
      </c>
    </row>
    <row r="218" spans="3:20" x14ac:dyDescent="0.2">
      <c r="C218" t="s">
        <v>120</v>
      </c>
      <c r="D218" t="s">
        <v>110</v>
      </c>
      <c r="E218" s="64">
        <f>_xlfn.XLOOKUP($C218,'Corporate Roster - ''25'!$C$9:$C$59,'Corporate Roster - ''25'!E$9:E$59,0)</f>
        <v>41160</v>
      </c>
      <c r="F218" s="64" t="str">
        <f>_xlfn.XLOOKUP($C218,'Corporate Roster - ''25'!$C$9:$C$59,'Corporate Roster - ''25'!F$9:F$59,0)</f>
        <v>-</v>
      </c>
      <c r="G218" s="261">
        <f>_xlfn.XLOOKUP($C218,'Corporate Roster - ''25'!$C$9:$C$59,'Corporate Roster - ''25'!K$9:K$59,0)</f>
        <v>127000</v>
      </c>
      <c r="I218" s="32">
        <f t="shared" ref="I218:T218" si="125">I41+I100+I159</f>
        <v>10166.666666666666</v>
      </c>
      <c r="J218" s="10">
        <f t="shared" si="125"/>
        <v>10166.666666666666</v>
      </c>
      <c r="K218" s="10">
        <f t="shared" si="125"/>
        <v>10166.666666666666</v>
      </c>
      <c r="L218" s="10">
        <f t="shared" si="125"/>
        <v>10166.666666666666</v>
      </c>
      <c r="M218" s="10">
        <f t="shared" si="125"/>
        <v>10166.666666666666</v>
      </c>
      <c r="N218" s="10">
        <f t="shared" si="125"/>
        <v>10166.666666666666</v>
      </c>
      <c r="O218" s="10">
        <f t="shared" si="125"/>
        <v>10166.666666666666</v>
      </c>
      <c r="P218" s="10">
        <f t="shared" si="125"/>
        <v>10166.666666666666</v>
      </c>
      <c r="Q218" s="10">
        <f t="shared" si="125"/>
        <v>10166.666666666666</v>
      </c>
      <c r="R218" s="10">
        <f t="shared" si="125"/>
        <v>10166.666666666666</v>
      </c>
      <c r="S218" s="10">
        <f t="shared" si="125"/>
        <v>10166.666666666666</v>
      </c>
      <c r="T218" s="33">
        <f t="shared" si="125"/>
        <v>15166.666666666664</v>
      </c>
    </row>
    <row r="219" spans="3:20" x14ac:dyDescent="0.2">
      <c r="C219" t="s">
        <v>121</v>
      </c>
      <c r="D219" t="s">
        <v>99</v>
      </c>
      <c r="E219" s="64">
        <f>_xlfn.XLOOKUP($C219,'Corporate Roster - ''25'!$C$9:$C$59,'Corporate Roster - ''25'!E$9:E$59,0)</f>
        <v>44972</v>
      </c>
      <c r="F219" s="64" t="str">
        <f>_xlfn.XLOOKUP($C219,'Corporate Roster - ''25'!$C$9:$C$59,'Corporate Roster - ''25'!F$9:F$59,0)</f>
        <v>-</v>
      </c>
      <c r="G219" s="261">
        <f>_xlfn.XLOOKUP($C219,'Corporate Roster - ''25'!$C$9:$C$59,'Corporate Roster - ''25'!K$9:K$59,0)</f>
        <v>118000</v>
      </c>
      <c r="I219" s="32">
        <f t="shared" ref="I219:T219" si="126">I42+I101+I160</f>
        <v>9500</v>
      </c>
      <c r="J219" s="10">
        <f t="shared" si="126"/>
        <v>9500</v>
      </c>
      <c r="K219" s="10">
        <f t="shared" si="126"/>
        <v>9500</v>
      </c>
      <c r="L219" s="10">
        <f t="shared" si="126"/>
        <v>9500</v>
      </c>
      <c r="M219" s="10">
        <f t="shared" si="126"/>
        <v>9500</v>
      </c>
      <c r="N219" s="10">
        <f t="shared" si="126"/>
        <v>9500</v>
      </c>
      <c r="O219" s="10">
        <f t="shared" si="126"/>
        <v>9500</v>
      </c>
      <c r="P219" s="10">
        <f t="shared" si="126"/>
        <v>9500</v>
      </c>
      <c r="Q219" s="10">
        <f t="shared" si="126"/>
        <v>9500</v>
      </c>
      <c r="R219" s="10">
        <f t="shared" si="126"/>
        <v>9500</v>
      </c>
      <c r="S219" s="10">
        <f t="shared" si="126"/>
        <v>9500</v>
      </c>
      <c r="T219" s="33">
        <f t="shared" si="126"/>
        <v>13499.999999999998</v>
      </c>
    </row>
    <row r="220" spans="3:20" x14ac:dyDescent="0.2">
      <c r="C220" t="s">
        <v>151</v>
      </c>
      <c r="D220" t="s">
        <v>90</v>
      </c>
      <c r="E220" s="64">
        <f>_xlfn.XLOOKUP($C220,'Corporate Roster - ''25'!$C$9:$C$59,'Corporate Roster - ''25'!E$9:E$59,0)</f>
        <v>42189</v>
      </c>
      <c r="F220" s="64" t="str">
        <f>_xlfn.XLOOKUP($C220,'Corporate Roster - ''25'!$C$9:$C$59,'Corporate Roster - ''25'!F$9:F$59,0)</f>
        <v>-</v>
      </c>
      <c r="G220" s="261">
        <f>_xlfn.XLOOKUP($C220,'Corporate Roster - ''25'!$C$9:$C$59,'Corporate Roster - ''25'!K$9:K$59,0)</f>
        <v>200000</v>
      </c>
      <c r="I220" s="32">
        <f t="shared" ref="I220:T220" si="127">I43+I102+I161</f>
        <v>15500</v>
      </c>
      <c r="J220" s="10">
        <f t="shared" si="127"/>
        <v>15500</v>
      </c>
      <c r="K220" s="10">
        <f t="shared" si="127"/>
        <v>15500</v>
      </c>
      <c r="L220" s="10">
        <f t="shared" si="127"/>
        <v>15500</v>
      </c>
      <c r="M220" s="10">
        <f t="shared" si="127"/>
        <v>15500</v>
      </c>
      <c r="N220" s="10">
        <f t="shared" si="127"/>
        <v>15500</v>
      </c>
      <c r="O220" s="10">
        <f t="shared" si="127"/>
        <v>15500</v>
      </c>
      <c r="P220" s="10">
        <f t="shared" si="127"/>
        <v>15500</v>
      </c>
      <c r="Q220" s="10">
        <f t="shared" si="127"/>
        <v>15500</v>
      </c>
      <c r="R220" s="10">
        <f t="shared" si="127"/>
        <v>15500</v>
      </c>
      <c r="S220" s="10">
        <f t="shared" si="127"/>
        <v>15500</v>
      </c>
      <c r="T220" s="33">
        <f t="shared" si="127"/>
        <v>29499.999999999996</v>
      </c>
    </row>
    <row r="221" spans="3:20" x14ac:dyDescent="0.2">
      <c r="C221" t="s">
        <v>123</v>
      </c>
      <c r="D221" t="s">
        <v>99</v>
      </c>
      <c r="E221" s="64">
        <f>_xlfn.XLOOKUP($C221,'Corporate Roster - ''25'!$C$9:$C$59,'Corporate Roster - ''25'!E$9:E$59,0)</f>
        <v>44716</v>
      </c>
      <c r="F221" s="64" t="str">
        <f>_xlfn.XLOOKUP($C221,'Corporate Roster - ''25'!$C$9:$C$59,'Corporate Roster - ''25'!F$9:F$59,0)</f>
        <v>-</v>
      </c>
      <c r="G221" s="261">
        <f>_xlfn.XLOOKUP($C221,'Corporate Roster - ''25'!$C$9:$C$59,'Corporate Roster - ''25'!K$9:K$59,0)</f>
        <v>118000</v>
      </c>
      <c r="I221" s="32">
        <f t="shared" ref="I221:T221" si="128">I44+I103+I162</f>
        <v>9500</v>
      </c>
      <c r="J221" s="10">
        <f t="shared" si="128"/>
        <v>9500</v>
      </c>
      <c r="K221" s="10">
        <f t="shared" si="128"/>
        <v>9500</v>
      </c>
      <c r="L221" s="10">
        <f t="shared" si="128"/>
        <v>9500</v>
      </c>
      <c r="M221" s="10">
        <f t="shared" si="128"/>
        <v>9500</v>
      </c>
      <c r="N221" s="10">
        <f t="shared" si="128"/>
        <v>9500</v>
      </c>
      <c r="O221" s="10">
        <f t="shared" si="128"/>
        <v>9500</v>
      </c>
      <c r="P221" s="10">
        <f t="shared" si="128"/>
        <v>9500</v>
      </c>
      <c r="Q221" s="10">
        <f t="shared" si="128"/>
        <v>9500</v>
      </c>
      <c r="R221" s="10">
        <f t="shared" si="128"/>
        <v>9500</v>
      </c>
      <c r="S221" s="10">
        <f t="shared" si="128"/>
        <v>9500</v>
      </c>
      <c r="T221" s="33">
        <f t="shared" si="128"/>
        <v>13499.999999999998</v>
      </c>
    </row>
    <row r="222" spans="3:20" x14ac:dyDescent="0.2">
      <c r="C222" t="s">
        <v>124</v>
      </c>
      <c r="D222" t="s">
        <v>99</v>
      </c>
      <c r="E222" s="64">
        <f>_xlfn.XLOOKUP($C222,'Corporate Roster - ''25'!$C$9:$C$59,'Corporate Roster - ''25'!E$9:E$59,0)</f>
        <v>38697</v>
      </c>
      <c r="F222" s="64" t="str">
        <f>_xlfn.XLOOKUP($C222,'Corporate Roster - ''25'!$C$9:$C$59,'Corporate Roster - ''25'!F$9:F$59,0)</f>
        <v>-</v>
      </c>
      <c r="G222" s="261">
        <f>_xlfn.XLOOKUP($C222,'Corporate Roster - ''25'!$C$9:$C$59,'Corporate Roster - ''25'!K$9:K$59,0)</f>
        <v>118000</v>
      </c>
      <c r="I222" s="32">
        <f t="shared" ref="I222:T222" si="129">I45+I104+I163</f>
        <v>9500</v>
      </c>
      <c r="J222" s="10">
        <f t="shared" si="129"/>
        <v>9500</v>
      </c>
      <c r="K222" s="10">
        <f t="shared" si="129"/>
        <v>9500</v>
      </c>
      <c r="L222" s="10">
        <f t="shared" si="129"/>
        <v>9500</v>
      </c>
      <c r="M222" s="10">
        <f t="shared" si="129"/>
        <v>9500</v>
      </c>
      <c r="N222" s="10">
        <f t="shared" si="129"/>
        <v>9500</v>
      </c>
      <c r="O222" s="10">
        <f t="shared" si="129"/>
        <v>9500</v>
      </c>
      <c r="P222" s="10">
        <f t="shared" si="129"/>
        <v>9500</v>
      </c>
      <c r="Q222" s="10">
        <f t="shared" si="129"/>
        <v>9500</v>
      </c>
      <c r="R222" s="10">
        <f t="shared" si="129"/>
        <v>9500</v>
      </c>
      <c r="S222" s="10">
        <f t="shared" si="129"/>
        <v>9500</v>
      </c>
      <c r="T222" s="33">
        <f t="shared" si="129"/>
        <v>13499.999999999998</v>
      </c>
    </row>
    <row r="223" spans="3:20" x14ac:dyDescent="0.2">
      <c r="C223" t="s">
        <v>125</v>
      </c>
      <c r="D223" t="s">
        <v>99</v>
      </c>
      <c r="E223" s="64">
        <f>_xlfn.XLOOKUP($C223,'Corporate Roster - ''25'!$C$9:$C$59,'Corporate Roster - ''25'!E$9:E$59,0)</f>
        <v>43863</v>
      </c>
      <c r="F223" s="64" t="str">
        <f>_xlfn.XLOOKUP($C223,'Corporate Roster - ''25'!$C$9:$C$59,'Corporate Roster - ''25'!F$9:F$59,0)</f>
        <v>-</v>
      </c>
      <c r="G223" s="261">
        <f>_xlfn.XLOOKUP($C223,'Corporate Roster - ''25'!$C$9:$C$59,'Corporate Roster - ''25'!K$9:K$59,0)</f>
        <v>118000</v>
      </c>
      <c r="I223" s="32">
        <f t="shared" ref="I223:T223" si="130">I46+I105+I164</f>
        <v>9500</v>
      </c>
      <c r="J223" s="10">
        <f t="shared" si="130"/>
        <v>9500</v>
      </c>
      <c r="K223" s="10">
        <f t="shared" si="130"/>
        <v>9500</v>
      </c>
      <c r="L223" s="10">
        <f t="shared" si="130"/>
        <v>9500</v>
      </c>
      <c r="M223" s="10">
        <f t="shared" si="130"/>
        <v>9500</v>
      </c>
      <c r="N223" s="10">
        <f t="shared" si="130"/>
        <v>9500</v>
      </c>
      <c r="O223" s="10">
        <f t="shared" si="130"/>
        <v>9500</v>
      </c>
      <c r="P223" s="10">
        <f t="shared" si="130"/>
        <v>9500</v>
      </c>
      <c r="Q223" s="10">
        <f t="shared" si="130"/>
        <v>9500</v>
      </c>
      <c r="R223" s="10">
        <f t="shared" si="130"/>
        <v>9500</v>
      </c>
      <c r="S223" s="10">
        <f t="shared" si="130"/>
        <v>9500</v>
      </c>
      <c r="T223" s="33">
        <f t="shared" si="130"/>
        <v>13499.999999999998</v>
      </c>
    </row>
    <row r="224" spans="3:20" x14ac:dyDescent="0.2">
      <c r="C224" t="s">
        <v>126</v>
      </c>
      <c r="D224" t="s">
        <v>110</v>
      </c>
      <c r="E224" s="64">
        <f>_xlfn.XLOOKUP($C224,'Corporate Roster - ''25'!$C$9:$C$59,'Corporate Roster - ''25'!E$9:E$59,0)</f>
        <v>40847</v>
      </c>
      <c r="F224" s="64" t="str">
        <f>_xlfn.XLOOKUP($C224,'Corporate Roster - ''25'!$C$9:$C$59,'Corporate Roster - ''25'!F$9:F$59,0)</f>
        <v>-</v>
      </c>
      <c r="G224" s="261">
        <f>_xlfn.XLOOKUP($C224,'Corporate Roster - ''25'!$C$9:$C$59,'Corporate Roster - ''25'!K$9:K$59,0)</f>
        <v>127000</v>
      </c>
      <c r="I224" s="32">
        <f t="shared" ref="I224:T224" si="131">I47+I106+I165</f>
        <v>10166.666666666666</v>
      </c>
      <c r="J224" s="10">
        <f t="shared" si="131"/>
        <v>10166.666666666666</v>
      </c>
      <c r="K224" s="10">
        <f t="shared" si="131"/>
        <v>10166.666666666666</v>
      </c>
      <c r="L224" s="10">
        <f t="shared" si="131"/>
        <v>10166.666666666666</v>
      </c>
      <c r="M224" s="10">
        <f t="shared" si="131"/>
        <v>10166.666666666666</v>
      </c>
      <c r="N224" s="10">
        <f t="shared" si="131"/>
        <v>10166.666666666666</v>
      </c>
      <c r="O224" s="10">
        <f t="shared" si="131"/>
        <v>10166.666666666666</v>
      </c>
      <c r="P224" s="10">
        <f t="shared" si="131"/>
        <v>10166.666666666666</v>
      </c>
      <c r="Q224" s="10">
        <f t="shared" si="131"/>
        <v>10166.666666666666</v>
      </c>
      <c r="R224" s="10">
        <f t="shared" si="131"/>
        <v>10166.666666666666</v>
      </c>
      <c r="S224" s="10">
        <f t="shared" si="131"/>
        <v>10166.666666666666</v>
      </c>
      <c r="T224" s="33">
        <f t="shared" si="131"/>
        <v>15166.666666666664</v>
      </c>
    </row>
    <row r="225" spans="2:21" x14ac:dyDescent="0.2">
      <c r="C225" t="s">
        <v>127</v>
      </c>
      <c r="D225" t="s">
        <v>110</v>
      </c>
      <c r="E225" s="64">
        <f>_xlfn.XLOOKUP($C225,'Corporate Roster - ''25'!$C$9:$C$59,'Corporate Roster - ''25'!E$9:E$59,0)</f>
        <v>39385</v>
      </c>
      <c r="F225" s="64" t="str">
        <f>_xlfn.XLOOKUP($C225,'Corporate Roster - ''25'!$C$9:$C$59,'Corporate Roster - ''25'!F$9:F$59,0)</f>
        <v>-</v>
      </c>
      <c r="G225" s="261">
        <f>_xlfn.XLOOKUP($C225,'Corporate Roster - ''25'!$C$9:$C$59,'Corporate Roster - ''25'!K$9:K$59,0)</f>
        <v>127000</v>
      </c>
      <c r="I225" s="32">
        <f t="shared" ref="I225:T225" si="132">I48+I107+I166</f>
        <v>10166.666666666666</v>
      </c>
      <c r="J225" s="10">
        <f t="shared" si="132"/>
        <v>10166.666666666666</v>
      </c>
      <c r="K225" s="10">
        <f t="shared" si="132"/>
        <v>10166.666666666666</v>
      </c>
      <c r="L225" s="10">
        <f t="shared" si="132"/>
        <v>10166.666666666666</v>
      </c>
      <c r="M225" s="10">
        <f t="shared" si="132"/>
        <v>10166.666666666666</v>
      </c>
      <c r="N225" s="10">
        <f t="shared" si="132"/>
        <v>10166.666666666666</v>
      </c>
      <c r="O225" s="10">
        <f t="shared" si="132"/>
        <v>10166.666666666666</v>
      </c>
      <c r="P225" s="10">
        <f t="shared" si="132"/>
        <v>10166.666666666666</v>
      </c>
      <c r="Q225" s="10">
        <f t="shared" si="132"/>
        <v>10166.666666666666</v>
      </c>
      <c r="R225" s="10">
        <f t="shared" si="132"/>
        <v>10166.666666666666</v>
      </c>
      <c r="S225" s="10">
        <f t="shared" si="132"/>
        <v>10166.666666666666</v>
      </c>
      <c r="T225" s="33">
        <f t="shared" si="132"/>
        <v>15166.666666666664</v>
      </c>
    </row>
    <row r="226" spans="2:21" x14ac:dyDescent="0.2">
      <c r="C226" t="s">
        <v>128</v>
      </c>
      <c r="D226" t="s">
        <v>90</v>
      </c>
      <c r="E226" s="64">
        <f>_xlfn.XLOOKUP($C226,'Corporate Roster - ''25'!$C$9:$C$59,'Corporate Roster - ''25'!E$9:E$59,0)</f>
        <v>39936</v>
      </c>
      <c r="F226" s="64" t="str">
        <f>_xlfn.XLOOKUP($C226,'Corporate Roster - ''25'!$C$9:$C$59,'Corporate Roster - ''25'!F$9:F$59,0)</f>
        <v>-</v>
      </c>
      <c r="G226" s="261">
        <f>_xlfn.XLOOKUP($C226,'Corporate Roster - ''25'!$C$9:$C$59,'Corporate Roster - ''25'!K$9:K$59,0)</f>
        <v>200000</v>
      </c>
      <c r="I226" s="32">
        <f t="shared" ref="I226:T226" si="133">I42+I101+I160</f>
        <v>9500</v>
      </c>
      <c r="J226" s="10">
        <f t="shared" si="133"/>
        <v>9500</v>
      </c>
      <c r="K226" s="10">
        <f t="shared" si="133"/>
        <v>9500</v>
      </c>
      <c r="L226" s="10">
        <f t="shared" si="133"/>
        <v>9500</v>
      </c>
      <c r="M226" s="10">
        <f t="shared" si="133"/>
        <v>9500</v>
      </c>
      <c r="N226" s="10">
        <f t="shared" si="133"/>
        <v>9500</v>
      </c>
      <c r="O226" s="10">
        <f t="shared" si="133"/>
        <v>9500</v>
      </c>
      <c r="P226" s="10">
        <f t="shared" si="133"/>
        <v>9500</v>
      </c>
      <c r="Q226" s="10">
        <f t="shared" si="133"/>
        <v>9500</v>
      </c>
      <c r="R226" s="10">
        <f t="shared" si="133"/>
        <v>9500</v>
      </c>
      <c r="S226" s="10">
        <f t="shared" si="133"/>
        <v>9500</v>
      </c>
      <c r="T226" s="33">
        <f t="shared" si="133"/>
        <v>13499.999999999998</v>
      </c>
    </row>
    <row r="227" spans="2:21" x14ac:dyDescent="0.2">
      <c r="C227" t="s">
        <v>129</v>
      </c>
      <c r="D227" t="s">
        <v>99</v>
      </c>
      <c r="E227" s="64">
        <f>_xlfn.XLOOKUP($C227,'Corporate Roster - ''25'!$C$9:$C$59,'Corporate Roster - ''25'!E$9:E$59,0)</f>
        <v>43887</v>
      </c>
      <c r="F227" s="64" t="str">
        <f>_xlfn.XLOOKUP($C227,'Corporate Roster - ''25'!$C$9:$C$59,'Corporate Roster - ''25'!F$9:F$59,0)</f>
        <v>-</v>
      </c>
      <c r="G227" s="261">
        <f>_xlfn.XLOOKUP($C227,'Corporate Roster - ''25'!$C$9:$C$59,'Corporate Roster - ''25'!K$9:K$59,0)</f>
        <v>118000</v>
      </c>
      <c r="I227" s="32">
        <f t="shared" ref="I227:T227" si="134">I43+I102+I161</f>
        <v>15500</v>
      </c>
      <c r="J227" s="10">
        <f t="shared" si="134"/>
        <v>15500</v>
      </c>
      <c r="K227" s="10">
        <f t="shared" si="134"/>
        <v>15500</v>
      </c>
      <c r="L227" s="10">
        <f t="shared" si="134"/>
        <v>15500</v>
      </c>
      <c r="M227" s="10">
        <f t="shared" si="134"/>
        <v>15500</v>
      </c>
      <c r="N227" s="10">
        <f t="shared" si="134"/>
        <v>15500</v>
      </c>
      <c r="O227" s="10">
        <f t="shared" si="134"/>
        <v>15500</v>
      </c>
      <c r="P227" s="10">
        <f t="shared" si="134"/>
        <v>15500</v>
      </c>
      <c r="Q227" s="10">
        <f t="shared" si="134"/>
        <v>15500</v>
      </c>
      <c r="R227" s="10">
        <f t="shared" si="134"/>
        <v>15500</v>
      </c>
      <c r="S227" s="10">
        <f t="shared" si="134"/>
        <v>15500</v>
      </c>
      <c r="T227" s="33">
        <f t="shared" si="134"/>
        <v>29499.999999999996</v>
      </c>
    </row>
    <row r="228" spans="2:21" x14ac:dyDescent="0.2">
      <c r="C228" t="s">
        <v>122</v>
      </c>
      <c r="D228" t="s">
        <v>99</v>
      </c>
      <c r="E228" s="64">
        <f>_xlfn.XLOOKUP($C228,'Corporate Roster - ''25'!$C$9:$C$59,'Corporate Roster - ''25'!E$9:E$59,0)</f>
        <v>44041</v>
      </c>
      <c r="F228" s="64" t="str">
        <f>_xlfn.XLOOKUP($C228,'Corporate Roster - ''25'!$C$9:$C$59,'Corporate Roster - ''25'!F$9:F$59,0)</f>
        <v>-</v>
      </c>
      <c r="G228" s="261">
        <f>_xlfn.XLOOKUP($C228,'Corporate Roster - ''25'!$C$9:$C$59,'Corporate Roster - ''25'!K$9:K$59,0)</f>
        <v>118000</v>
      </c>
      <c r="I228" s="32">
        <f t="shared" ref="I228:T228" si="135">I44+I103+I162</f>
        <v>9500</v>
      </c>
      <c r="J228" s="10">
        <f t="shared" si="135"/>
        <v>9500</v>
      </c>
      <c r="K228" s="10">
        <f t="shared" si="135"/>
        <v>9500</v>
      </c>
      <c r="L228" s="10">
        <f t="shared" si="135"/>
        <v>9500</v>
      </c>
      <c r="M228" s="10">
        <f t="shared" si="135"/>
        <v>9500</v>
      </c>
      <c r="N228" s="10">
        <f t="shared" si="135"/>
        <v>9500</v>
      </c>
      <c r="O228" s="10">
        <f t="shared" si="135"/>
        <v>9500</v>
      </c>
      <c r="P228" s="10">
        <f t="shared" si="135"/>
        <v>9500</v>
      </c>
      <c r="Q228" s="10">
        <f t="shared" si="135"/>
        <v>9500</v>
      </c>
      <c r="R228" s="10">
        <f t="shared" si="135"/>
        <v>9500</v>
      </c>
      <c r="S228" s="10">
        <f t="shared" si="135"/>
        <v>9500</v>
      </c>
      <c r="T228" s="33">
        <f t="shared" si="135"/>
        <v>13499.999999999998</v>
      </c>
    </row>
    <row r="229" spans="2:21" x14ac:dyDescent="0.2">
      <c r="C229" t="s">
        <v>236</v>
      </c>
      <c r="D229" t="s">
        <v>242</v>
      </c>
      <c r="E229" s="64">
        <f>_xlfn.XLOOKUP($C229,'Corporate Roster - ''25'!$C$9:$C$59,'Corporate Roster - ''25'!E$9:E$59,0)</f>
        <v>45658</v>
      </c>
      <c r="F229" s="64" t="str">
        <f>_xlfn.XLOOKUP($C229,'Corporate Roster - ''25'!$C$9:$C$59,'Corporate Roster - ''25'!F$9:F$59,0)</f>
        <v>-</v>
      </c>
      <c r="G229" s="261">
        <f>_xlfn.XLOOKUP($C229,'Corporate Roster - ''25'!$C$9:$C$59,'Corporate Roster - ''25'!K$9:K$59,0)</f>
        <v>425000</v>
      </c>
      <c r="I229" s="32">
        <f t="shared" ref="I229:T229" si="136">I45+I104+I163</f>
        <v>9500</v>
      </c>
      <c r="J229" s="10">
        <f t="shared" si="136"/>
        <v>9500</v>
      </c>
      <c r="K229" s="10">
        <f t="shared" si="136"/>
        <v>9500</v>
      </c>
      <c r="L229" s="10">
        <f t="shared" si="136"/>
        <v>9500</v>
      </c>
      <c r="M229" s="10">
        <f t="shared" si="136"/>
        <v>9500</v>
      </c>
      <c r="N229" s="10">
        <f t="shared" si="136"/>
        <v>9500</v>
      </c>
      <c r="O229" s="10">
        <f t="shared" si="136"/>
        <v>9500</v>
      </c>
      <c r="P229" s="10">
        <f t="shared" si="136"/>
        <v>9500</v>
      </c>
      <c r="Q229" s="10">
        <f t="shared" si="136"/>
        <v>9500</v>
      </c>
      <c r="R229" s="10">
        <f t="shared" si="136"/>
        <v>9500</v>
      </c>
      <c r="S229" s="10">
        <f t="shared" si="136"/>
        <v>9500</v>
      </c>
      <c r="T229" s="33">
        <f t="shared" si="136"/>
        <v>13499.999999999998</v>
      </c>
    </row>
    <row r="230" spans="2:21" x14ac:dyDescent="0.2">
      <c r="C230" t="s">
        <v>238</v>
      </c>
      <c r="D230" t="s">
        <v>243</v>
      </c>
      <c r="E230" s="64">
        <f>_xlfn.XLOOKUP($C230,'Corporate Roster - ''25'!$C$9:$C$59,'Corporate Roster - ''25'!E$9:E$59,0)</f>
        <v>45658</v>
      </c>
      <c r="F230" s="64" t="str">
        <f>_xlfn.XLOOKUP($C230,'Corporate Roster - ''25'!$C$9:$C$59,'Corporate Roster - ''25'!F$9:F$59,0)</f>
        <v>-</v>
      </c>
      <c r="G230" s="261">
        <f>_xlfn.XLOOKUP($C230,'Corporate Roster - ''25'!$C$9:$C$59,'Corporate Roster - ''25'!K$9:K$59,0)</f>
        <v>183000</v>
      </c>
      <c r="I230" s="32">
        <f t="shared" ref="I230:T230" si="137">I46+I105+I164</f>
        <v>9500</v>
      </c>
      <c r="J230" s="10">
        <f t="shared" si="137"/>
        <v>9500</v>
      </c>
      <c r="K230" s="10">
        <f t="shared" si="137"/>
        <v>9500</v>
      </c>
      <c r="L230" s="10">
        <f t="shared" si="137"/>
        <v>9500</v>
      </c>
      <c r="M230" s="10">
        <f t="shared" si="137"/>
        <v>9500</v>
      </c>
      <c r="N230" s="10">
        <f t="shared" si="137"/>
        <v>9500</v>
      </c>
      <c r="O230" s="10">
        <f t="shared" si="137"/>
        <v>9500</v>
      </c>
      <c r="P230" s="10">
        <f t="shared" si="137"/>
        <v>9500</v>
      </c>
      <c r="Q230" s="10">
        <f t="shared" si="137"/>
        <v>9500</v>
      </c>
      <c r="R230" s="10">
        <f t="shared" si="137"/>
        <v>9500</v>
      </c>
      <c r="S230" s="10">
        <f t="shared" si="137"/>
        <v>9500</v>
      </c>
      <c r="T230" s="33">
        <f t="shared" si="137"/>
        <v>13499.999999999998</v>
      </c>
    </row>
    <row r="231" spans="2:21" x14ac:dyDescent="0.2">
      <c r="C231" t="s">
        <v>237</v>
      </c>
      <c r="D231" t="s">
        <v>244</v>
      </c>
      <c r="E231" s="64">
        <f>_xlfn.XLOOKUP($C231,'Corporate Roster - ''25'!$C$9:$C$59,'Corporate Roster - ''25'!E$9:E$59,0)</f>
        <v>45658</v>
      </c>
      <c r="F231" s="64" t="str">
        <f>_xlfn.XLOOKUP($C231,'Corporate Roster - ''25'!$C$9:$C$59,'Corporate Roster - ''25'!F$9:F$59,0)</f>
        <v>-</v>
      </c>
      <c r="G231" s="261">
        <f>_xlfn.XLOOKUP($C231,'Corporate Roster - ''25'!$C$9:$C$59,'Corporate Roster - ''25'!K$9:K$59,0)</f>
        <v>244500</v>
      </c>
      <c r="I231" s="32">
        <f t="shared" ref="I231:T231" si="138">I47+I106+I165</f>
        <v>10166.666666666666</v>
      </c>
      <c r="J231" s="10">
        <f t="shared" si="138"/>
        <v>10166.666666666666</v>
      </c>
      <c r="K231" s="10">
        <f t="shared" si="138"/>
        <v>10166.666666666666</v>
      </c>
      <c r="L231" s="10">
        <f t="shared" si="138"/>
        <v>10166.666666666666</v>
      </c>
      <c r="M231" s="10">
        <f t="shared" si="138"/>
        <v>10166.666666666666</v>
      </c>
      <c r="N231" s="10">
        <f t="shared" si="138"/>
        <v>10166.666666666666</v>
      </c>
      <c r="O231" s="10">
        <f t="shared" si="138"/>
        <v>10166.666666666666</v>
      </c>
      <c r="P231" s="10">
        <f t="shared" si="138"/>
        <v>10166.666666666666</v>
      </c>
      <c r="Q231" s="10">
        <f t="shared" si="138"/>
        <v>10166.666666666666</v>
      </c>
      <c r="R231" s="10">
        <f t="shared" si="138"/>
        <v>10166.666666666666</v>
      </c>
      <c r="S231" s="10">
        <f t="shared" si="138"/>
        <v>10166.666666666666</v>
      </c>
      <c r="T231" s="33">
        <f t="shared" si="138"/>
        <v>15166.666666666664</v>
      </c>
    </row>
    <row r="232" spans="2:21" x14ac:dyDescent="0.2">
      <c r="C232" t="s">
        <v>239</v>
      </c>
      <c r="D232" t="s">
        <v>245</v>
      </c>
      <c r="E232" s="64">
        <f>_xlfn.XLOOKUP($C232,'Corporate Roster - ''25'!$C$9:$C$59,'Corporate Roster - ''25'!E$9:E$59,0)</f>
        <v>45689</v>
      </c>
      <c r="F232" s="64" t="str">
        <f>_xlfn.XLOOKUP($C232,'Corporate Roster - ''25'!$C$9:$C$59,'Corporate Roster - ''25'!F$9:F$59,0)</f>
        <v>-</v>
      </c>
      <c r="G232" s="261">
        <f>_xlfn.XLOOKUP($C232,'Corporate Roster - ''25'!$C$9:$C$59,'Corporate Roster - ''25'!K$9:K$59,0)</f>
        <v>400000</v>
      </c>
      <c r="I232" s="32">
        <f t="shared" ref="I232:T232" si="139">I48+I107+I166</f>
        <v>10166.666666666666</v>
      </c>
      <c r="J232" s="10">
        <f t="shared" si="139"/>
        <v>10166.666666666666</v>
      </c>
      <c r="K232" s="10">
        <f t="shared" si="139"/>
        <v>10166.666666666666</v>
      </c>
      <c r="L232" s="10">
        <f t="shared" si="139"/>
        <v>10166.666666666666</v>
      </c>
      <c r="M232" s="10">
        <f t="shared" si="139"/>
        <v>10166.666666666666</v>
      </c>
      <c r="N232" s="10">
        <f t="shared" si="139"/>
        <v>10166.666666666666</v>
      </c>
      <c r="O232" s="10">
        <f t="shared" si="139"/>
        <v>10166.666666666666</v>
      </c>
      <c r="P232" s="10">
        <f t="shared" si="139"/>
        <v>10166.666666666666</v>
      </c>
      <c r="Q232" s="10">
        <f t="shared" si="139"/>
        <v>10166.666666666666</v>
      </c>
      <c r="R232" s="10">
        <f t="shared" si="139"/>
        <v>10166.666666666666</v>
      </c>
      <c r="S232" s="10">
        <f t="shared" si="139"/>
        <v>10166.666666666666</v>
      </c>
      <c r="T232" s="33">
        <f t="shared" si="139"/>
        <v>15166.666666666664</v>
      </c>
    </row>
    <row r="233" spans="2:21" x14ac:dyDescent="0.2">
      <c r="C233" t="s">
        <v>240</v>
      </c>
      <c r="D233" t="s">
        <v>246</v>
      </c>
      <c r="E233" s="64">
        <f>_xlfn.XLOOKUP($C233,'Corporate Roster - ''25'!$C$9:$C$59,'Corporate Roster - ''25'!E$9:E$59,0)</f>
        <v>45689</v>
      </c>
      <c r="F233" s="64" t="str">
        <f>_xlfn.XLOOKUP($C233,'Corporate Roster - ''25'!$C$9:$C$59,'Corporate Roster - ''25'!F$9:F$59,0)</f>
        <v>-</v>
      </c>
      <c r="G233" s="261">
        <f>_xlfn.XLOOKUP($C233,'Corporate Roster - ''25'!$C$9:$C$59,'Corporate Roster - ''25'!K$9:K$59,0)</f>
        <v>183000</v>
      </c>
      <c r="I233" s="32">
        <f t="shared" ref="I233:T233" si="140">I49+I108+I167</f>
        <v>15500</v>
      </c>
      <c r="J233" s="10">
        <f t="shared" si="140"/>
        <v>15500</v>
      </c>
      <c r="K233" s="10">
        <f t="shared" si="140"/>
        <v>15500</v>
      </c>
      <c r="L233" s="10">
        <f t="shared" si="140"/>
        <v>15500</v>
      </c>
      <c r="M233" s="10">
        <f t="shared" si="140"/>
        <v>15500</v>
      </c>
      <c r="N233" s="10">
        <f t="shared" si="140"/>
        <v>15500</v>
      </c>
      <c r="O233" s="10">
        <f t="shared" si="140"/>
        <v>15500</v>
      </c>
      <c r="P233" s="10">
        <f t="shared" si="140"/>
        <v>15500</v>
      </c>
      <c r="Q233" s="10">
        <f t="shared" si="140"/>
        <v>15500</v>
      </c>
      <c r="R233" s="10">
        <f t="shared" si="140"/>
        <v>15500</v>
      </c>
      <c r="S233" s="10">
        <f t="shared" si="140"/>
        <v>15500</v>
      </c>
      <c r="T233" s="33">
        <f t="shared" si="140"/>
        <v>29499.999999999996</v>
      </c>
    </row>
    <row r="234" spans="2:21" x14ac:dyDescent="0.2">
      <c r="C234" t="s">
        <v>241</v>
      </c>
      <c r="D234" t="s">
        <v>247</v>
      </c>
      <c r="E234" s="64">
        <f>_xlfn.XLOOKUP($C234,'Corporate Roster - ''25'!$C$9:$C$59,'Corporate Roster - ''25'!E$9:E$59,0)</f>
        <v>45689</v>
      </c>
      <c r="F234" s="64" t="str">
        <f>_xlfn.XLOOKUP($C234,'Corporate Roster - ''25'!$C$9:$C$59,'Corporate Roster - ''25'!F$9:F$59,0)</f>
        <v>-</v>
      </c>
      <c r="G234" s="261">
        <f>_xlfn.XLOOKUP($C234,'Corporate Roster - ''25'!$C$9:$C$59,'Corporate Roster - ''25'!K$9:K$59,0)</f>
        <v>122500</v>
      </c>
      <c r="I234" s="32">
        <f t="shared" ref="I234:T234" si="141">I50+I109+I175</f>
        <v>7333.333333333333</v>
      </c>
      <c r="J234" s="10">
        <f t="shared" si="141"/>
        <v>9208.3333333333339</v>
      </c>
      <c r="K234" s="10">
        <f t="shared" si="141"/>
        <v>9208.3333333333339</v>
      </c>
      <c r="L234" s="10">
        <f t="shared" si="141"/>
        <v>9208.3333333333339</v>
      </c>
      <c r="M234" s="10">
        <f t="shared" si="141"/>
        <v>9208.3333333333339</v>
      </c>
      <c r="N234" s="10">
        <f t="shared" si="141"/>
        <v>9208.3333333333339</v>
      </c>
      <c r="O234" s="10">
        <f t="shared" si="141"/>
        <v>9208.3333333333339</v>
      </c>
      <c r="P234" s="10">
        <f t="shared" si="141"/>
        <v>9208.3333333333339</v>
      </c>
      <c r="Q234" s="10">
        <f t="shared" si="141"/>
        <v>9208.3333333333339</v>
      </c>
      <c r="R234" s="10">
        <f t="shared" si="141"/>
        <v>9208.3333333333339</v>
      </c>
      <c r="S234" s="10">
        <f t="shared" si="141"/>
        <v>9208.3333333333339</v>
      </c>
      <c r="T234" s="33">
        <f t="shared" si="141"/>
        <v>13208.333333333332</v>
      </c>
    </row>
    <row r="235" spans="2:21" x14ac:dyDescent="0.2">
      <c r="C235" s="8" t="s">
        <v>279</v>
      </c>
      <c r="D235" s="252"/>
      <c r="E235" s="252"/>
      <c r="F235" s="337"/>
      <c r="G235" s="262">
        <f>SUM(G184:G234)</f>
        <v>10518000</v>
      </c>
      <c r="I235" s="263">
        <f t="shared" ref="I235:T235" si="142">SUM(I184:I234)</f>
        <v>723249.99999999988</v>
      </c>
      <c r="J235" s="263">
        <f t="shared" si="142"/>
        <v>725124.99999999988</v>
      </c>
      <c r="K235" s="263">
        <f t="shared" si="142"/>
        <v>725124.99999999988</v>
      </c>
      <c r="L235" s="263">
        <f t="shared" si="142"/>
        <v>725124.99999999988</v>
      </c>
      <c r="M235" s="263">
        <f t="shared" si="142"/>
        <v>725124.99999999988</v>
      </c>
      <c r="N235" s="263">
        <f t="shared" si="142"/>
        <v>725124.99999999988</v>
      </c>
      <c r="O235" s="263">
        <f t="shared" si="142"/>
        <v>725124.99999999988</v>
      </c>
      <c r="P235" s="263">
        <f t="shared" si="142"/>
        <v>725124.99999999988</v>
      </c>
      <c r="Q235" s="263">
        <f t="shared" si="142"/>
        <v>725124.99999999988</v>
      </c>
      <c r="R235" s="263">
        <f t="shared" si="142"/>
        <v>725124.99999999988</v>
      </c>
      <c r="S235" s="263">
        <f t="shared" si="142"/>
        <v>725124.99999999988</v>
      </c>
      <c r="T235" s="263">
        <f t="shared" si="142"/>
        <v>1788125.0000000005</v>
      </c>
    </row>
    <row r="238" spans="2:21" ht="13.5" thickBot="1" x14ac:dyDescent="0.25">
      <c r="B238" s="48" t="s">
        <v>0</v>
      </c>
      <c r="C238" s="1"/>
      <c r="D238" s="1"/>
      <c r="E238" s="1"/>
      <c r="F238" s="1"/>
      <c r="G238" s="1"/>
      <c r="H238" s="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3">
        <f ca="1">TODAY()</f>
        <v>45999</v>
      </c>
      <c r="U238" s="1"/>
    </row>
    <row r="239" spans="2:21" x14ac:dyDescent="0.2">
      <c r="B239" s="47"/>
      <c r="C239" t="s">
        <v>157</v>
      </c>
      <c r="H239" s="6"/>
      <c r="T239" s="53" t="s">
        <v>228</v>
      </c>
    </row>
    <row r="240" spans="2:21" x14ac:dyDescent="0.2">
      <c r="B240" s="47"/>
      <c r="H240" s="6"/>
    </row>
    <row r="241" spans="2:20" ht="15" customHeight="1" x14ac:dyDescent="0.2">
      <c r="B241" s="47"/>
      <c r="E241" s="77" t="s">
        <v>143</v>
      </c>
      <c r="F241" s="77" t="s">
        <v>144</v>
      </c>
      <c r="G241" s="227" t="s">
        <v>154</v>
      </c>
      <c r="H241" s="52" t="s">
        <v>56</v>
      </c>
      <c r="I241" s="20">
        <v>2025</v>
      </c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2"/>
    </row>
    <row r="242" spans="2:20" ht="15" x14ac:dyDescent="0.35">
      <c r="C242" s="59" t="s">
        <v>57</v>
      </c>
      <c r="D242" s="59" t="s">
        <v>58</v>
      </c>
      <c r="E242" s="59" t="s">
        <v>142</v>
      </c>
      <c r="F242" s="59" t="s">
        <v>142</v>
      </c>
      <c r="G242" s="259">
        <v>46022</v>
      </c>
      <c r="H242" s="51"/>
      <c r="I242" s="4">
        <v>45688</v>
      </c>
      <c r="J242" s="19">
        <f>EOMONTH(I242,1)</f>
        <v>45716</v>
      </c>
      <c r="K242" s="19">
        <f t="shared" ref="K242" si="143">EOMONTH(J242,1)</f>
        <v>45747</v>
      </c>
      <c r="L242" s="19">
        <f t="shared" ref="L242" si="144">EOMONTH(K242,1)</f>
        <v>45777</v>
      </c>
      <c r="M242" s="19">
        <f t="shared" ref="M242" si="145">EOMONTH(L242,1)</f>
        <v>45808</v>
      </c>
      <c r="N242" s="19">
        <f t="shared" ref="N242" si="146">EOMONTH(M242,1)</f>
        <v>45838</v>
      </c>
      <c r="O242" s="19">
        <f t="shared" ref="O242" si="147">EOMONTH(N242,1)</f>
        <v>45869</v>
      </c>
      <c r="P242" s="19">
        <f t="shared" ref="P242" si="148">EOMONTH(O242,1)</f>
        <v>45900</v>
      </c>
      <c r="Q242" s="19">
        <f t="shared" ref="Q242" si="149">EOMONTH(P242,1)</f>
        <v>45930</v>
      </c>
      <c r="R242" s="19">
        <f t="shared" ref="R242" si="150">EOMONTH(Q242,1)</f>
        <v>45961</v>
      </c>
      <c r="S242" s="19">
        <f t="shared" ref="S242" si="151">EOMONTH(R242,1)</f>
        <v>45991</v>
      </c>
      <c r="T242" s="5">
        <f t="shared" ref="T242" si="152">EOMONTH(S242,1)</f>
        <v>46022</v>
      </c>
    </row>
    <row r="243" spans="2:20" x14ac:dyDescent="0.2">
      <c r="C243" t="s">
        <v>137</v>
      </c>
      <c r="D243" t="s">
        <v>66</v>
      </c>
      <c r="E243" s="64">
        <f>_xlfn.XLOOKUP($C243,'Corporate Roster - ''25'!$C$9:$C$59,'Corporate Roster - ''25'!E$9:E$59,0)</f>
        <v>40848</v>
      </c>
      <c r="F243" s="64" t="str">
        <f>_xlfn.XLOOKUP($C243,'Corporate Roster - ''25'!$C$9:$C$59,'Corporate Roster - ''25'!F$9:F$59,0)</f>
        <v>-</v>
      </c>
      <c r="G243" s="260">
        <f>_xlfn.XLOOKUP($C243,'Corporate Roster - ''25'!$C$9:$C$59,'Corporate Roster - ''25'!H$9:H$59,0)</f>
        <v>165000</v>
      </c>
      <c r="I243" s="56">
        <f t="shared" ref="I243:T243" si="153">IF(I7&gt;0,$G243/12,0)</f>
        <v>13750</v>
      </c>
      <c r="J243" s="55">
        <f t="shared" si="153"/>
        <v>13750</v>
      </c>
      <c r="K243" s="55">
        <f t="shared" si="153"/>
        <v>13750</v>
      </c>
      <c r="L243" s="55">
        <f t="shared" si="153"/>
        <v>13750</v>
      </c>
      <c r="M243" s="55">
        <f t="shared" si="153"/>
        <v>13750</v>
      </c>
      <c r="N243" s="55">
        <f t="shared" si="153"/>
        <v>13750</v>
      </c>
      <c r="O243" s="55">
        <f t="shared" si="153"/>
        <v>13750</v>
      </c>
      <c r="P243" s="55">
        <f t="shared" si="153"/>
        <v>13750</v>
      </c>
      <c r="Q243" s="55">
        <f t="shared" si="153"/>
        <v>13750</v>
      </c>
      <c r="R243" s="55">
        <f t="shared" si="153"/>
        <v>13750</v>
      </c>
      <c r="S243" s="55">
        <f t="shared" si="153"/>
        <v>13750</v>
      </c>
      <c r="T243" s="61">
        <f t="shared" si="153"/>
        <v>13750</v>
      </c>
    </row>
    <row r="244" spans="2:20" x14ac:dyDescent="0.2">
      <c r="C244" t="s">
        <v>67</v>
      </c>
      <c r="D244" t="s">
        <v>68</v>
      </c>
      <c r="E244" s="64">
        <f>_xlfn.XLOOKUP($C244,'Corporate Roster - ''25'!$C$9:$C$59,'Corporate Roster - ''25'!E$9:E$59,0)</f>
        <v>41718</v>
      </c>
      <c r="F244" s="64" t="str">
        <f>_xlfn.XLOOKUP($C244,'Corporate Roster - ''25'!$C$9:$C$59,'Corporate Roster - ''25'!F$9:F$59,0)</f>
        <v>-</v>
      </c>
      <c r="G244" s="261">
        <f>_xlfn.XLOOKUP($C244,'Corporate Roster - ''25'!$C$9:$C$59,'Corporate Roster - ''25'!H$9:H$59,0)</f>
        <v>110000</v>
      </c>
      <c r="I244" s="32">
        <f t="shared" ref="I244:T244" si="154">IF(I8&gt;0,$G244/12,0)</f>
        <v>9166.6666666666661</v>
      </c>
      <c r="J244" s="10">
        <f t="shared" si="154"/>
        <v>9166.6666666666661</v>
      </c>
      <c r="K244" s="10">
        <f t="shared" si="154"/>
        <v>9166.6666666666661</v>
      </c>
      <c r="L244" s="10">
        <f t="shared" si="154"/>
        <v>9166.6666666666661</v>
      </c>
      <c r="M244" s="10">
        <f t="shared" si="154"/>
        <v>9166.6666666666661</v>
      </c>
      <c r="N244" s="10">
        <f t="shared" si="154"/>
        <v>9166.6666666666661</v>
      </c>
      <c r="O244" s="10">
        <f t="shared" si="154"/>
        <v>9166.6666666666661</v>
      </c>
      <c r="P244" s="10">
        <f t="shared" si="154"/>
        <v>9166.6666666666661</v>
      </c>
      <c r="Q244" s="10">
        <f t="shared" si="154"/>
        <v>9166.6666666666661</v>
      </c>
      <c r="R244" s="10">
        <f t="shared" si="154"/>
        <v>9166.6666666666661</v>
      </c>
      <c r="S244" s="10">
        <f t="shared" si="154"/>
        <v>9166.6666666666661</v>
      </c>
      <c r="T244" s="33">
        <f t="shared" si="154"/>
        <v>9166.6666666666661</v>
      </c>
    </row>
    <row r="245" spans="2:20" x14ac:dyDescent="0.2">
      <c r="C245" t="s">
        <v>69</v>
      </c>
      <c r="D245" t="s">
        <v>70</v>
      </c>
      <c r="E245" s="64">
        <f>_xlfn.XLOOKUP($C245,'Corporate Roster - ''25'!$C$9:$C$59,'Corporate Roster - ''25'!E$9:E$59,0)</f>
        <v>39601</v>
      </c>
      <c r="F245" s="64" t="str">
        <f>_xlfn.XLOOKUP($C245,'Corporate Roster - ''25'!$C$9:$C$59,'Corporate Roster - ''25'!F$9:F$59,0)</f>
        <v>-</v>
      </c>
      <c r="G245" s="261">
        <f>_xlfn.XLOOKUP($C245,'Corporate Roster - ''25'!$C$9:$C$59,'Corporate Roster - ''25'!H$9:H$59,0)</f>
        <v>110000</v>
      </c>
      <c r="I245" s="32">
        <f t="shared" ref="I245:T245" si="155">IF(I9&gt;0,$G245/12,0)</f>
        <v>9166.6666666666661</v>
      </c>
      <c r="J245" s="10">
        <f t="shared" si="155"/>
        <v>9166.6666666666661</v>
      </c>
      <c r="K245" s="10">
        <f t="shared" si="155"/>
        <v>9166.6666666666661</v>
      </c>
      <c r="L245" s="10">
        <f t="shared" si="155"/>
        <v>9166.6666666666661</v>
      </c>
      <c r="M245" s="10">
        <f t="shared" si="155"/>
        <v>9166.6666666666661</v>
      </c>
      <c r="N245" s="10">
        <f t="shared" si="155"/>
        <v>9166.6666666666661</v>
      </c>
      <c r="O245" s="10">
        <f t="shared" si="155"/>
        <v>9166.6666666666661</v>
      </c>
      <c r="P245" s="10">
        <f t="shared" si="155"/>
        <v>9166.6666666666661</v>
      </c>
      <c r="Q245" s="10">
        <f t="shared" si="155"/>
        <v>9166.6666666666661</v>
      </c>
      <c r="R245" s="10">
        <f t="shared" si="155"/>
        <v>9166.6666666666661</v>
      </c>
      <c r="S245" s="10">
        <f t="shared" si="155"/>
        <v>9166.6666666666661</v>
      </c>
      <c r="T245" s="33">
        <f t="shared" si="155"/>
        <v>9166.6666666666661</v>
      </c>
    </row>
    <row r="246" spans="2:20" x14ac:dyDescent="0.2">
      <c r="C246" t="s">
        <v>71</v>
      </c>
      <c r="D246" t="s">
        <v>72</v>
      </c>
      <c r="E246" s="64">
        <f>_xlfn.XLOOKUP($C246,'Corporate Roster - ''25'!$C$9:$C$59,'Corporate Roster - ''25'!E$9:E$59,0)</f>
        <v>44453</v>
      </c>
      <c r="F246" s="64" t="str">
        <f>_xlfn.XLOOKUP($C246,'Corporate Roster - ''25'!$C$9:$C$59,'Corporate Roster - ''25'!F$9:F$59,0)</f>
        <v>-</v>
      </c>
      <c r="G246" s="261">
        <f>_xlfn.XLOOKUP($C246,'Corporate Roster - ''25'!$C$9:$C$59,'Corporate Roster - ''25'!H$9:H$59,0)</f>
        <v>92000</v>
      </c>
      <c r="I246" s="32">
        <f t="shared" ref="I246:T246" si="156">IF(I10&gt;0,$G246/12,0)</f>
        <v>7666.666666666667</v>
      </c>
      <c r="J246" s="10">
        <f t="shared" si="156"/>
        <v>7666.666666666667</v>
      </c>
      <c r="K246" s="10">
        <f t="shared" si="156"/>
        <v>7666.666666666667</v>
      </c>
      <c r="L246" s="10">
        <f t="shared" si="156"/>
        <v>7666.666666666667</v>
      </c>
      <c r="M246" s="10">
        <f t="shared" si="156"/>
        <v>7666.666666666667</v>
      </c>
      <c r="N246" s="10">
        <f t="shared" si="156"/>
        <v>7666.666666666667</v>
      </c>
      <c r="O246" s="10">
        <f t="shared" si="156"/>
        <v>7666.666666666667</v>
      </c>
      <c r="P246" s="10">
        <f t="shared" si="156"/>
        <v>7666.666666666667</v>
      </c>
      <c r="Q246" s="10">
        <f t="shared" si="156"/>
        <v>7666.666666666667</v>
      </c>
      <c r="R246" s="10">
        <f t="shared" si="156"/>
        <v>7666.666666666667</v>
      </c>
      <c r="S246" s="10">
        <f t="shared" si="156"/>
        <v>7666.666666666667</v>
      </c>
      <c r="T246" s="33">
        <f t="shared" si="156"/>
        <v>7666.666666666667</v>
      </c>
    </row>
    <row r="247" spans="2:20" x14ac:dyDescent="0.2">
      <c r="C247" t="s">
        <v>145</v>
      </c>
      <c r="D247" t="s">
        <v>74</v>
      </c>
      <c r="E247" s="64">
        <f>_xlfn.XLOOKUP($C247,'Corporate Roster - ''25'!$C$9:$C$59,'Corporate Roster - ''25'!E$9:E$59,0)</f>
        <v>39783</v>
      </c>
      <c r="F247" s="64" t="str">
        <f>_xlfn.XLOOKUP($C247,'Corporate Roster - ''25'!$C$9:$C$59,'Corporate Roster - ''25'!F$9:F$59,0)</f>
        <v>-</v>
      </c>
      <c r="G247" s="261">
        <f>_xlfn.XLOOKUP($C247,'Corporate Roster - ''25'!$C$9:$C$59,'Corporate Roster - ''25'!H$9:H$59,0)</f>
        <v>66000</v>
      </c>
      <c r="I247" s="32">
        <f t="shared" ref="I247:T247" si="157">IF(I11&gt;0,$G247/12,0)</f>
        <v>5500</v>
      </c>
      <c r="J247" s="10">
        <f t="shared" si="157"/>
        <v>5500</v>
      </c>
      <c r="K247" s="10">
        <f t="shared" si="157"/>
        <v>5500</v>
      </c>
      <c r="L247" s="10">
        <f t="shared" si="157"/>
        <v>5500</v>
      </c>
      <c r="M247" s="10">
        <f t="shared" si="157"/>
        <v>5500</v>
      </c>
      <c r="N247" s="10">
        <f t="shared" si="157"/>
        <v>5500</v>
      </c>
      <c r="O247" s="10">
        <f t="shared" si="157"/>
        <v>5500</v>
      </c>
      <c r="P247" s="10">
        <f t="shared" si="157"/>
        <v>5500</v>
      </c>
      <c r="Q247" s="10">
        <f t="shared" si="157"/>
        <v>5500</v>
      </c>
      <c r="R247" s="10">
        <f t="shared" si="157"/>
        <v>5500</v>
      </c>
      <c r="S247" s="10">
        <f t="shared" si="157"/>
        <v>5500</v>
      </c>
      <c r="T247" s="33">
        <f t="shared" si="157"/>
        <v>5500</v>
      </c>
    </row>
    <row r="248" spans="2:20" x14ac:dyDescent="0.2">
      <c r="C248" t="s">
        <v>146</v>
      </c>
      <c r="D248" t="s">
        <v>76</v>
      </c>
      <c r="E248" s="64">
        <f>_xlfn.XLOOKUP($C248,'Corporate Roster - ''25'!$C$9:$C$59,'Corporate Roster - ''25'!E$9:E$59,0)</f>
        <v>42573</v>
      </c>
      <c r="F248" s="64" t="str">
        <f>_xlfn.XLOOKUP($C248,'Corporate Roster - ''25'!$C$9:$C$59,'Corporate Roster - ''25'!F$9:F$59,0)</f>
        <v>-</v>
      </c>
      <c r="G248" s="261">
        <f>_xlfn.XLOOKUP($C248,'Corporate Roster - ''25'!$C$9:$C$59,'Corporate Roster - ''25'!H$9:H$59,0)</f>
        <v>66000</v>
      </c>
      <c r="I248" s="32">
        <f t="shared" ref="I248:T248" si="158">IF(I12&gt;0,$G248/12,0)</f>
        <v>5500</v>
      </c>
      <c r="J248" s="10">
        <f t="shared" si="158"/>
        <v>5500</v>
      </c>
      <c r="K248" s="10">
        <f t="shared" si="158"/>
        <v>5500</v>
      </c>
      <c r="L248" s="10">
        <f t="shared" si="158"/>
        <v>5500</v>
      </c>
      <c r="M248" s="10">
        <f t="shared" si="158"/>
        <v>5500</v>
      </c>
      <c r="N248" s="10">
        <f t="shared" si="158"/>
        <v>5500</v>
      </c>
      <c r="O248" s="10">
        <f t="shared" si="158"/>
        <v>5500</v>
      </c>
      <c r="P248" s="10">
        <f t="shared" si="158"/>
        <v>5500</v>
      </c>
      <c r="Q248" s="10">
        <f t="shared" si="158"/>
        <v>5500</v>
      </c>
      <c r="R248" s="10">
        <f t="shared" si="158"/>
        <v>5500</v>
      </c>
      <c r="S248" s="10">
        <f t="shared" si="158"/>
        <v>5500</v>
      </c>
      <c r="T248" s="33">
        <f t="shared" si="158"/>
        <v>5500</v>
      </c>
    </row>
    <row r="249" spans="2:20" x14ac:dyDescent="0.2">
      <c r="C249" t="s">
        <v>77</v>
      </c>
      <c r="D249" t="s">
        <v>78</v>
      </c>
      <c r="E249" s="64">
        <f>_xlfn.XLOOKUP($C249,'Corporate Roster - ''25'!$C$9:$C$59,'Corporate Roster - ''25'!E$9:E$59,0)</f>
        <v>38481</v>
      </c>
      <c r="F249" s="64" t="str">
        <f>_xlfn.XLOOKUP($C249,'Corporate Roster - ''25'!$C$9:$C$59,'Corporate Roster - ''25'!F$9:F$59,0)</f>
        <v>-</v>
      </c>
      <c r="G249" s="261">
        <f>_xlfn.XLOOKUP($C249,'Corporate Roster - ''25'!$C$9:$C$59,'Corporate Roster - ''25'!H$9:H$59,0)</f>
        <v>50000</v>
      </c>
      <c r="I249" s="32">
        <f t="shared" ref="I249:T249" si="159">IF(I13&gt;0,$G249/12,0)</f>
        <v>4166.666666666667</v>
      </c>
      <c r="J249" s="10">
        <f t="shared" si="159"/>
        <v>4166.666666666667</v>
      </c>
      <c r="K249" s="10">
        <f t="shared" si="159"/>
        <v>4166.666666666667</v>
      </c>
      <c r="L249" s="10">
        <f t="shared" si="159"/>
        <v>4166.666666666667</v>
      </c>
      <c r="M249" s="10">
        <f t="shared" si="159"/>
        <v>4166.666666666667</v>
      </c>
      <c r="N249" s="10">
        <f t="shared" si="159"/>
        <v>4166.666666666667</v>
      </c>
      <c r="O249" s="10">
        <f t="shared" si="159"/>
        <v>4166.666666666667</v>
      </c>
      <c r="P249" s="10">
        <f t="shared" si="159"/>
        <v>4166.666666666667</v>
      </c>
      <c r="Q249" s="10">
        <f t="shared" si="159"/>
        <v>4166.666666666667</v>
      </c>
      <c r="R249" s="10">
        <f t="shared" si="159"/>
        <v>4166.666666666667</v>
      </c>
      <c r="S249" s="10">
        <f t="shared" si="159"/>
        <v>4166.666666666667</v>
      </c>
      <c r="T249" s="33">
        <f t="shared" si="159"/>
        <v>4166.666666666667</v>
      </c>
    </row>
    <row r="250" spans="2:20" x14ac:dyDescent="0.2">
      <c r="C250" t="s">
        <v>79</v>
      </c>
      <c r="D250" t="s">
        <v>80</v>
      </c>
      <c r="E250" s="64">
        <f>_xlfn.XLOOKUP($C250,'Corporate Roster - ''25'!$C$9:$C$59,'Corporate Roster - ''25'!E$9:E$59,0)</f>
        <v>38427</v>
      </c>
      <c r="F250" s="64" t="str">
        <f>_xlfn.XLOOKUP($C250,'Corporate Roster - ''25'!$C$9:$C$59,'Corporate Roster - ''25'!F$9:F$59,0)</f>
        <v>-</v>
      </c>
      <c r="G250" s="261">
        <f>_xlfn.XLOOKUP($C250,'Corporate Roster - ''25'!$C$9:$C$59,'Corporate Roster - ''25'!H$9:H$59,0)</f>
        <v>35000</v>
      </c>
      <c r="I250" s="32">
        <f t="shared" ref="I250:T250" si="160">IF(I14&gt;0,$G250/12,0)</f>
        <v>2916.6666666666665</v>
      </c>
      <c r="J250" s="10">
        <f t="shared" si="160"/>
        <v>2916.6666666666665</v>
      </c>
      <c r="K250" s="10">
        <f t="shared" si="160"/>
        <v>2916.6666666666665</v>
      </c>
      <c r="L250" s="10">
        <f t="shared" si="160"/>
        <v>2916.6666666666665</v>
      </c>
      <c r="M250" s="10">
        <f t="shared" si="160"/>
        <v>2916.6666666666665</v>
      </c>
      <c r="N250" s="10">
        <f t="shared" si="160"/>
        <v>2916.6666666666665</v>
      </c>
      <c r="O250" s="10">
        <f t="shared" si="160"/>
        <v>2916.6666666666665</v>
      </c>
      <c r="P250" s="10">
        <f t="shared" si="160"/>
        <v>2916.6666666666665</v>
      </c>
      <c r="Q250" s="10">
        <f t="shared" si="160"/>
        <v>2916.6666666666665</v>
      </c>
      <c r="R250" s="10">
        <f t="shared" si="160"/>
        <v>2916.6666666666665</v>
      </c>
      <c r="S250" s="10">
        <f t="shared" si="160"/>
        <v>2916.6666666666665</v>
      </c>
      <c r="T250" s="33">
        <f t="shared" si="160"/>
        <v>2916.6666666666665</v>
      </c>
    </row>
    <row r="251" spans="2:20" x14ac:dyDescent="0.2">
      <c r="C251" t="s">
        <v>147</v>
      </c>
      <c r="D251" t="s">
        <v>82</v>
      </c>
      <c r="E251" s="64">
        <f>_xlfn.XLOOKUP($C251,'Corporate Roster - ''25'!$C$9:$C$59,'Corporate Roster - ''25'!E$9:E$59,0)</f>
        <v>42696</v>
      </c>
      <c r="F251" s="64" t="str">
        <f>_xlfn.XLOOKUP($C251,'Corporate Roster - ''25'!$C$9:$C$59,'Corporate Roster - ''25'!F$9:F$59,0)</f>
        <v>-</v>
      </c>
      <c r="G251" s="261">
        <f>_xlfn.XLOOKUP($C251,'Corporate Roster - ''25'!$C$9:$C$59,'Corporate Roster - ''25'!H$9:H$59,0)</f>
        <v>35000</v>
      </c>
      <c r="I251" s="32">
        <f t="shared" ref="I251:T251" si="161">IF(I15&gt;0,$G251/12,0)</f>
        <v>2916.6666666666665</v>
      </c>
      <c r="J251" s="10">
        <f t="shared" si="161"/>
        <v>2916.6666666666665</v>
      </c>
      <c r="K251" s="10">
        <f t="shared" si="161"/>
        <v>2916.6666666666665</v>
      </c>
      <c r="L251" s="10">
        <f t="shared" si="161"/>
        <v>2916.6666666666665</v>
      </c>
      <c r="M251" s="10">
        <f t="shared" si="161"/>
        <v>2916.6666666666665</v>
      </c>
      <c r="N251" s="10">
        <f t="shared" si="161"/>
        <v>2916.6666666666665</v>
      </c>
      <c r="O251" s="10">
        <f t="shared" si="161"/>
        <v>2916.6666666666665</v>
      </c>
      <c r="P251" s="10">
        <f t="shared" si="161"/>
        <v>2916.6666666666665</v>
      </c>
      <c r="Q251" s="10">
        <f t="shared" si="161"/>
        <v>2916.6666666666665</v>
      </c>
      <c r="R251" s="10">
        <f t="shared" si="161"/>
        <v>2916.6666666666665</v>
      </c>
      <c r="S251" s="10">
        <f t="shared" si="161"/>
        <v>2916.6666666666665</v>
      </c>
      <c r="T251" s="33">
        <f t="shared" si="161"/>
        <v>2916.6666666666665</v>
      </c>
    </row>
    <row r="252" spans="2:20" x14ac:dyDescent="0.2">
      <c r="C252" t="s">
        <v>83</v>
      </c>
      <c r="D252" t="s">
        <v>84</v>
      </c>
      <c r="E252" s="64">
        <f>_xlfn.XLOOKUP($C252,'Corporate Roster - ''25'!$C$9:$C$59,'Corporate Roster - ''25'!E$9:E$59,0)</f>
        <v>45248</v>
      </c>
      <c r="F252" s="64" t="str">
        <f>_xlfn.XLOOKUP($C252,'Corporate Roster - ''25'!$C$9:$C$59,'Corporate Roster - ''25'!F$9:F$59,0)</f>
        <v>-</v>
      </c>
      <c r="G252" s="261">
        <f>_xlfn.XLOOKUP($C252,'Corporate Roster - ''25'!$C$9:$C$59,'Corporate Roster - ''25'!H$9:H$59,0)</f>
        <v>25000</v>
      </c>
      <c r="I252" s="32">
        <f t="shared" ref="I252:T252" si="162">IF(I16&gt;0,$G252/12,0)</f>
        <v>2083.3333333333335</v>
      </c>
      <c r="J252" s="10">
        <f t="shared" si="162"/>
        <v>2083.3333333333335</v>
      </c>
      <c r="K252" s="10">
        <f t="shared" si="162"/>
        <v>2083.3333333333335</v>
      </c>
      <c r="L252" s="10">
        <f t="shared" si="162"/>
        <v>2083.3333333333335</v>
      </c>
      <c r="M252" s="10">
        <f t="shared" si="162"/>
        <v>2083.3333333333335</v>
      </c>
      <c r="N252" s="10">
        <f t="shared" si="162"/>
        <v>2083.3333333333335</v>
      </c>
      <c r="O252" s="10">
        <f t="shared" si="162"/>
        <v>2083.3333333333335</v>
      </c>
      <c r="P252" s="10">
        <f t="shared" si="162"/>
        <v>2083.3333333333335</v>
      </c>
      <c r="Q252" s="10">
        <f t="shared" si="162"/>
        <v>2083.3333333333335</v>
      </c>
      <c r="R252" s="10">
        <f t="shared" si="162"/>
        <v>2083.3333333333335</v>
      </c>
      <c r="S252" s="10">
        <f t="shared" si="162"/>
        <v>2083.3333333333335</v>
      </c>
      <c r="T252" s="33">
        <f t="shared" si="162"/>
        <v>2083.3333333333335</v>
      </c>
    </row>
    <row r="253" spans="2:20" x14ac:dyDescent="0.2">
      <c r="C253" t="s">
        <v>85</v>
      </c>
      <c r="D253" t="s">
        <v>86</v>
      </c>
      <c r="E253" s="64">
        <f>_xlfn.XLOOKUP($C253,'Corporate Roster - ''25'!$C$9:$C$59,'Corporate Roster - ''25'!E$9:E$59,0)</f>
        <v>42458</v>
      </c>
      <c r="F253" s="64" t="str">
        <f>_xlfn.XLOOKUP($C253,'Corporate Roster - ''25'!$C$9:$C$59,'Corporate Roster - ''25'!F$9:F$59,0)</f>
        <v>-</v>
      </c>
      <c r="G253" s="261">
        <f>_xlfn.XLOOKUP($C253,'Corporate Roster - ''25'!$C$9:$C$59,'Corporate Roster - ''25'!H$9:H$59,0)</f>
        <v>13000</v>
      </c>
      <c r="I253" s="32">
        <f t="shared" ref="I253:T253" si="163">IF(I17&gt;0,$G253/12,0)</f>
        <v>1083.3333333333333</v>
      </c>
      <c r="J253" s="10">
        <f t="shared" si="163"/>
        <v>1083.3333333333333</v>
      </c>
      <c r="K253" s="10">
        <f t="shared" si="163"/>
        <v>1083.3333333333333</v>
      </c>
      <c r="L253" s="10">
        <f t="shared" si="163"/>
        <v>1083.3333333333333</v>
      </c>
      <c r="M253" s="10">
        <f t="shared" si="163"/>
        <v>1083.3333333333333</v>
      </c>
      <c r="N253" s="10">
        <f t="shared" si="163"/>
        <v>1083.3333333333333</v>
      </c>
      <c r="O253" s="10">
        <f t="shared" si="163"/>
        <v>1083.3333333333333</v>
      </c>
      <c r="P253" s="10">
        <f t="shared" si="163"/>
        <v>1083.3333333333333</v>
      </c>
      <c r="Q253" s="10">
        <f t="shared" si="163"/>
        <v>1083.3333333333333</v>
      </c>
      <c r="R253" s="10">
        <f t="shared" si="163"/>
        <v>1083.3333333333333</v>
      </c>
      <c r="S253" s="10">
        <f t="shared" si="163"/>
        <v>1083.3333333333333</v>
      </c>
      <c r="T253" s="33">
        <f t="shared" si="163"/>
        <v>1083.3333333333333</v>
      </c>
    </row>
    <row r="254" spans="2:20" x14ac:dyDescent="0.2">
      <c r="C254" t="s">
        <v>87</v>
      </c>
      <c r="D254" t="s">
        <v>88</v>
      </c>
      <c r="E254" s="64">
        <f>_xlfn.XLOOKUP($C254,'Corporate Roster - ''25'!$C$9:$C$59,'Corporate Roster - ''25'!E$9:E$59,0)</f>
        <v>41921</v>
      </c>
      <c r="F254" s="64" t="str">
        <f>_xlfn.XLOOKUP($C254,'Corporate Roster - ''25'!$C$9:$C$59,'Corporate Roster - ''25'!F$9:F$59,0)</f>
        <v>-</v>
      </c>
      <c r="G254" s="261">
        <f>_xlfn.XLOOKUP($C254,'Corporate Roster - ''25'!$C$9:$C$59,'Corporate Roster - ''25'!H$9:H$59,0)</f>
        <v>14000</v>
      </c>
      <c r="I254" s="32">
        <f t="shared" ref="I254:T254" si="164">IF(I18&gt;0,$G254/12,0)</f>
        <v>1166.6666666666667</v>
      </c>
      <c r="J254" s="10">
        <f t="shared" si="164"/>
        <v>1166.6666666666667</v>
      </c>
      <c r="K254" s="10">
        <f t="shared" si="164"/>
        <v>1166.6666666666667</v>
      </c>
      <c r="L254" s="10">
        <f t="shared" si="164"/>
        <v>1166.6666666666667</v>
      </c>
      <c r="M254" s="10">
        <f t="shared" si="164"/>
        <v>1166.6666666666667</v>
      </c>
      <c r="N254" s="10">
        <f t="shared" si="164"/>
        <v>1166.6666666666667</v>
      </c>
      <c r="O254" s="10">
        <f t="shared" si="164"/>
        <v>1166.6666666666667</v>
      </c>
      <c r="P254" s="10">
        <f t="shared" si="164"/>
        <v>1166.6666666666667</v>
      </c>
      <c r="Q254" s="10">
        <f t="shared" si="164"/>
        <v>1166.6666666666667</v>
      </c>
      <c r="R254" s="10">
        <f t="shared" si="164"/>
        <v>1166.6666666666667</v>
      </c>
      <c r="S254" s="10">
        <f t="shared" si="164"/>
        <v>1166.6666666666667</v>
      </c>
      <c r="T254" s="33">
        <f t="shared" si="164"/>
        <v>1166.6666666666667</v>
      </c>
    </row>
    <row r="255" spans="2:20" x14ac:dyDescent="0.2">
      <c r="C255" t="s">
        <v>89</v>
      </c>
      <c r="D255" t="s">
        <v>90</v>
      </c>
      <c r="E255" s="64">
        <f>_xlfn.XLOOKUP($C255,'Corporate Roster - ''25'!$C$9:$C$59,'Corporate Roster - ''25'!E$9:E$59,0)</f>
        <v>40143</v>
      </c>
      <c r="F255" s="64" t="str">
        <f>_xlfn.XLOOKUP($C255,'Corporate Roster - ''25'!$C$9:$C$59,'Corporate Roster - ''25'!F$9:F$59,0)</f>
        <v>-</v>
      </c>
      <c r="G255" s="261">
        <f>_xlfn.XLOOKUP($C255,'Corporate Roster - ''25'!$C$9:$C$59,'Corporate Roster - ''25'!H$9:H$59,0)</f>
        <v>14000</v>
      </c>
      <c r="I255" s="32">
        <f t="shared" ref="I255:T255" si="165">IF(I19&gt;0,$G255/12,0)</f>
        <v>1166.6666666666667</v>
      </c>
      <c r="J255" s="10">
        <f t="shared" si="165"/>
        <v>1166.6666666666667</v>
      </c>
      <c r="K255" s="10">
        <f t="shared" si="165"/>
        <v>1166.6666666666667</v>
      </c>
      <c r="L255" s="10">
        <f t="shared" si="165"/>
        <v>1166.6666666666667</v>
      </c>
      <c r="M255" s="10">
        <f t="shared" si="165"/>
        <v>1166.6666666666667</v>
      </c>
      <c r="N255" s="10">
        <f t="shared" si="165"/>
        <v>1166.6666666666667</v>
      </c>
      <c r="O255" s="10">
        <f t="shared" si="165"/>
        <v>1166.6666666666667</v>
      </c>
      <c r="P255" s="10">
        <f t="shared" si="165"/>
        <v>1166.6666666666667</v>
      </c>
      <c r="Q255" s="10">
        <f t="shared" si="165"/>
        <v>1166.6666666666667</v>
      </c>
      <c r="R255" s="10">
        <f t="shared" si="165"/>
        <v>1166.6666666666667</v>
      </c>
      <c r="S255" s="10">
        <f t="shared" si="165"/>
        <v>1166.6666666666667</v>
      </c>
      <c r="T255" s="33">
        <f t="shared" si="165"/>
        <v>1166.6666666666667</v>
      </c>
    </row>
    <row r="256" spans="2:20" x14ac:dyDescent="0.2">
      <c r="C256" t="s">
        <v>81</v>
      </c>
      <c r="D256" t="s">
        <v>91</v>
      </c>
      <c r="E256" s="64">
        <f>_xlfn.XLOOKUP($C256,'Corporate Roster - ''25'!$C$9:$C$59,'Corporate Roster - ''25'!E$9:E$59,0)</f>
        <v>40811</v>
      </c>
      <c r="F256" s="64" t="str">
        <f>_xlfn.XLOOKUP($C256,'Corporate Roster - ''25'!$C$9:$C$59,'Corporate Roster - ''25'!F$9:F$59,0)</f>
        <v>-</v>
      </c>
      <c r="G256" s="261">
        <f>_xlfn.XLOOKUP($C256,'Corporate Roster - ''25'!$C$9:$C$59,'Corporate Roster - ''25'!H$9:H$59,0)</f>
        <v>12000</v>
      </c>
      <c r="I256" s="32">
        <f t="shared" ref="I256:T256" si="166">IF(I20&gt;0,$G256/12,0)</f>
        <v>1000</v>
      </c>
      <c r="J256" s="10">
        <f t="shared" si="166"/>
        <v>1000</v>
      </c>
      <c r="K256" s="10">
        <f t="shared" si="166"/>
        <v>1000</v>
      </c>
      <c r="L256" s="10">
        <f t="shared" si="166"/>
        <v>1000</v>
      </c>
      <c r="M256" s="10">
        <f t="shared" si="166"/>
        <v>1000</v>
      </c>
      <c r="N256" s="10">
        <f t="shared" si="166"/>
        <v>1000</v>
      </c>
      <c r="O256" s="10">
        <f t="shared" si="166"/>
        <v>1000</v>
      </c>
      <c r="P256" s="10">
        <f t="shared" si="166"/>
        <v>1000</v>
      </c>
      <c r="Q256" s="10">
        <f t="shared" si="166"/>
        <v>1000</v>
      </c>
      <c r="R256" s="10">
        <f t="shared" si="166"/>
        <v>1000</v>
      </c>
      <c r="S256" s="10">
        <f t="shared" si="166"/>
        <v>1000</v>
      </c>
      <c r="T256" s="33">
        <f t="shared" si="166"/>
        <v>1000</v>
      </c>
    </row>
    <row r="257" spans="3:20" x14ac:dyDescent="0.2">
      <c r="C257" t="s">
        <v>92</v>
      </c>
      <c r="D257" t="s">
        <v>93</v>
      </c>
      <c r="E257" s="64">
        <f>_xlfn.XLOOKUP($C257,'Corporate Roster - ''25'!$C$9:$C$59,'Corporate Roster - ''25'!E$9:E$59,0)</f>
        <v>43400</v>
      </c>
      <c r="F257" s="64" t="str">
        <f>_xlfn.XLOOKUP($C257,'Corporate Roster - ''25'!$C$9:$C$59,'Corporate Roster - ''25'!F$9:F$59,0)</f>
        <v>-</v>
      </c>
      <c r="G257" s="261">
        <f>_xlfn.XLOOKUP($C257,'Corporate Roster - ''25'!$C$9:$C$59,'Corporate Roster - ''25'!H$9:H$59,0)</f>
        <v>13000</v>
      </c>
      <c r="I257" s="32">
        <f t="shared" ref="I257:T257" si="167">IF(I21&gt;0,$G257/12,0)</f>
        <v>1083.3333333333333</v>
      </c>
      <c r="J257" s="10">
        <f t="shared" si="167"/>
        <v>1083.3333333333333</v>
      </c>
      <c r="K257" s="10">
        <f t="shared" si="167"/>
        <v>1083.3333333333333</v>
      </c>
      <c r="L257" s="10">
        <f t="shared" si="167"/>
        <v>1083.3333333333333</v>
      </c>
      <c r="M257" s="10">
        <f t="shared" si="167"/>
        <v>1083.3333333333333</v>
      </c>
      <c r="N257" s="10">
        <f t="shared" si="167"/>
        <v>1083.3333333333333</v>
      </c>
      <c r="O257" s="10">
        <f t="shared" si="167"/>
        <v>1083.3333333333333</v>
      </c>
      <c r="P257" s="10">
        <f t="shared" si="167"/>
        <v>1083.3333333333333</v>
      </c>
      <c r="Q257" s="10">
        <f t="shared" si="167"/>
        <v>1083.3333333333333</v>
      </c>
      <c r="R257" s="10">
        <f t="shared" si="167"/>
        <v>1083.3333333333333</v>
      </c>
      <c r="S257" s="10">
        <f t="shared" si="167"/>
        <v>1083.3333333333333</v>
      </c>
      <c r="T257" s="33">
        <f t="shared" si="167"/>
        <v>1083.3333333333333</v>
      </c>
    </row>
    <row r="258" spans="3:20" x14ac:dyDescent="0.2">
      <c r="C258" t="s">
        <v>94</v>
      </c>
      <c r="D258" t="s">
        <v>95</v>
      </c>
      <c r="E258" s="64">
        <f>_xlfn.XLOOKUP($C258,'Corporate Roster - ''25'!$C$9:$C$59,'Corporate Roster - ''25'!E$9:E$59,0)</f>
        <v>40031</v>
      </c>
      <c r="F258" s="64" t="str">
        <f>_xlfn.XLOOKUP($C258,'Corporate Roster - ''25'!$C$9:$C$59,'Corporate Roster - ''25'!F$9:F$59,0)</f>
        <v>-</v>
      </c>
      <c r="G258" s="261">
        <f>_xlfn.XLOOKUP($C258,'Corporate Roster - ''25'!$C$9:$C$59,'Corporate Roster - ''25'!H$9:H$59,0)</f>
        <v>15000</v>
      </c>
      <c r="I258" s="32">
        <f t="shared" ref="I258:T258" si="168">IF(I22&gt;0,$G258/12,0)</f>
        <v>1250</v>
      </c>
      <c r="J258" s="10">
        <f t="shared" si="168"/>
        <v>1250</v>
      </c>
      <c r="K258" s="10">
        <f t="shared" si="168"/>
        <v>1250</v>
      </c>
      <c r="L258" s="10">
        <f t="shared" si="168"/>
        <v>1250</v>
      </c>
      <c r="M258" s="10">
        <f t="shared" si="168"/>
        <v>1250</v>
      </c>
      <c r="N258" s="10">
        <f t="shared" si="168"/>
        <v>1250</v>
      </c>
      <c r="O258" s="10">
        <f t="shared" si="168"/>
        <v>1250</v>
      </c>
      <c r="P258" s="10">
        <f t="shared" si="168"/>
        <v>1250</v>
      </c>
      <c r="Q258" s="10">
        <f t="shared" si="168"/>
        <v>1250</v>
      </c>
      <c r="R258" s="10">
        <f t="shared" si="168"/>
        <v>1250</v>
      </c>
      <c r="S258" s="10">
        <f t="shared" si="168"/>
        <v>1250</v>
      </c>
      <c r="T258" s="33">
        <f t="shared" si="168"/>
        <v>1250</v>
      </c>
    </row>
    <row r="259" spans="3:20" x14ac:dyDescent="0.2">
      <c r="C259" t="s">
        <v>96</v>
      </c>
      <c r="D259" t="s">
        <v>97</v>
      </c>
      <c r="E259" s="64">
        <f>_xlfn.XLOOKUP($C259,'Corporate Roster - ''25'!$C$9:$C$59,'Corporate Roster - ''25'!E$9:E$59,0)</f>
        <v>44978</v>
      </c>
      <c r="F259" s="64" t="str">
        <f>_xlfn.XLOOKUP($C259,'Corporate Roster - ''25'!$C$9:$C$59,'Corporate Roster - ''25'!F$9:F$59,0)</f>
        <v>-</v>
      </c>
      <c r="G259" s="261">
        <f>_xlfn.XLOOKUP($C259,'Corporate Roster - ''25'!$C$9:$C$59,'Corporate Roster - ''25'!H$9:H$59,0)</f>
        <v>11000</v>
      </c>
      <c r="I259" s="32">
        <f t="shared" ref="I259:T259" si="169">IF(I23&gt;0,$G259/12,0)</f>
        <v>916.66666666666663</v>
      </c>
      <c r="J259" s="10">
        <f t="shared" si="169"/>
        <v>916.66666666666663</v>
      </c>
      <c r="K259" s="10">
        <f t="shared" si="169"/>
        <v>916.66666666666663</v>
      </c>
      <c r="L259" s="10">
        <f t="shared" si="169"/>
        <v>916.66666666666663</v>
      </c>
      <c r="M259" s="10">
        <f t="shared" si="169"/>
        <v>916.66666666666663</v>
      </c>
      <c r="N259" s="10">
        <f t="shared" si="169"/>
        <v>916.66666666666663</v>
      </c>
      <c r="O259" s="10">
        <f t="shared" si="169"/>
        <v>916.66666666666663</v>
      </c>
      <c r="P259" s="10">
        <f t="shared" si="169"/>
        <v>916.66666666666663</v>
      </c>
      <c r="Q259" s="10">
        <f t="shared" si="169"/>
        <v>916.66666666666663</v>
      </c>
      <c r="R259" s="10">
        <f t="shared" si="169"/>
        <v>916.66666666666663</v>
      </c>
      <c r="S259" s="10">
        <f t="shared" si="169"/>
        <v>916.66666666666663</v>
      </c>
      <c r="T259" s="33">
        <f t="shared" si="169"/>
        <v>916.66666666666663</v>
      </c>
    </row>
    <row r="260" spans="3:20" x14ac:dyDescent="0.2">
      <c r="C260" t="s">
        <v>98</v>
      </c>
      <c r="D260" t="s">
        <v>99</v>
      </c>
      <c r="E260" s="64">
        <f>_xlfn.XLOOKUP($C260,'Corporate Roster - ''25'!$C$9:$C$59,'Corporate Roster - ''25'!E$9:E$59,0)</f>
        <v>41398</v>
      </c>
      <c r="F260" s="64" t="str">
        <f>_xlfn.XLOOKUP($C260,'Corporate Roster - ''25'!$C$9:$C$59,'Corporate Roster - ''25'!F$9:F$59,0)</f>
        <v>-</v>
      </c>
      <c r="G260" s="261">
        <f>_xlfn.XLOOKUP($C260,'Corporate Roster - ''25'!$C$9:$C$59,'Corporate Roster - ''25'!H$9:H$59,0)</f>
        <v>4000</v>
      </c>
      <c r="I260" s="32">
        <f t="shared" ref="I260:T260" si="170">IF(I24&gt;0,$G260/12,0)</f>
        <v>333.33333333333331</v>
      </c>
      <c r="J260" s="10">
        <f t="shared" si="170"/>
        <v>333.33333333333331</v>
      </c>
      <c r="K260" s="10">
        <f t="shared" si="170"/>
        <v>333.33333333333331</v>
      </c>
      <c r="L260" s="10">
        <f t="shared" si="170"/>
        <v>333.33333333333331</v>
      </c>
      <c r="M260" s="10">
        <f t="shared" si="170"/>
        <v>333.33333333333331</v>
      </c>
      <c r="N260" s="10">
        <f t="shared" si="170"/>
        <v>333.33333333333331</v>
      </c>
      <c r="O260" s="10">
        <f t="shared" si="170"/>
        <v>333.33333333333331</v>
      </c>
      <c r="P260" s="10">
        <f t="shared" si="170"/>
        <v>333.33333333333331</v>
      </c>
      <c r="Q260" s="10">
        <f t="shared" si="170"/>
        <v>333.33333333333331</v>
      </c>
      <c r="R260" s="10">
        <f t="shared" si="170"/>
        <v>333.33333333333331</v>
      </c>
      <c r="S260" s="10">
        <f t="shared" si="170"/>
        <v>333.33333333333331</v>
      </c>
      <c r="T260" s="33">
        <f t="shared" si="170"/>
        <v>333.33333333333331</v>
      </c>
    </row>
    <row r="261" spans="3:20" x14ac:dyDescent="0.2">
      <c r="C261" t="s">
        <v>100</v>
      </c>
      <c r="D261" t="s">
        <v>101</v>
      </c>
      <c r="E261" s="64">
        <f>_xlfn.XLOOKUP($C261,'Corporate Roster - ''25'!$C$9:$C$59,'Corporate Roster - ''25'!E$9:E$59,0)</f>
        <v>40362</v>
      </c>
      <c r="F261" s="64" t="str">
        <f>_xlfn.XLOOKUP($C261,'Corporate Roster - ''25'!$C$9:$C$59,'Corporate Roster - ''25'!F$9:F$59,0)</f>
        <v>-</v>
      </c>
      <c r="G261" s="261">
        <f>_xlfn.XLOOKUP($C261,'Corporate Roster - ''25'!$C$9:$C$59,'Corporate Roster - ''25'!H$9:H$59,0)</f>
        <v>4000</v>
      </c>
      <c r="I261" s="32">
        <f t="shared" ref="I261:T261" si="171">IF(I25&gt;0,$G261/12,0)</f>
        <v>333.33333333333331</v>
      </c>
      <c r="J261" s="10">
        <f t="shared" si="171"/>
        <v>333.33333333333331</v>
      </c>
      <c r="K261" s="10">
        <f t="shared" si="171"/>
        <v>333.33333333333331</v>
      </c>
      <c r="L261" s="10">
        <f t="shared" si="171"/>
        <v>333.33333333333331</v>
      </c>
      <c r="M261" s="10">
        <f t="shared" si="171"/>
        <v>333.33333333333331</v>
      </c>
      <c r="N261" s="10">
        <f t="shared" si="171"/>
        <v>333.33333333333331</v>
      </c>
      <c r="O261" s="10">
        <f t="shared" si="171"/>
        <v>333.33333333333331</v>
      </c>
      <c r="P261" s="10">
        <f t="shared" si="171"/>
        <v>333.33333333333331</v>
      </c>
      <c r="Q261" s="10">
        <f t="shared" si="171"/>
        <v>333.33333333333331</v>
      </c>
      <c r="R261" s="10">
        <f t="shared" si="171"/>
        <v>333.33333333333331</v>
      </c>
      <c r="S261" s="10">
        <f t="shared" si="171"/>
        <v>333.33333333333331</v>
      </c>
      <c r="T261" s="33">
        <f t="shared" si="171"/>
        <v>333.33333333333331</v>
      </c>
    </row>
    <row r="262" spans="3:20" x14ac:dyDescent="0.2">
      <c r="C262" t="s">
        <v>102</v>
      </c>
      <c r="D262" t="s">
        <v>103</v>
      </c>
      <c r="E262" s="64">
        <f>_xlfn.XLOOKUP($C262,'Corporate Roster - ''25'!$C$9:$C$59,'Corporate Roster - ''25'!E$9:E$59,0)</f>
        <v>45063</v>
      </c>
      <c r="F262" s="64" t="str">
        <f>_xlfn.XLOOKUP($C262,'Corporate Roster - ''25'!$C$9:$C$59,'Corporate Roster - ''25'!F$9:F$59,0)</f>
        <v>-</v>
      </c>
      <c r="G262" s="261">
        <f>_xlfn.XLOOKUP($C262,'Corporate Roster - ''25'!$C$9:$C$59,'Corporate Roster - ''25'!H$9:H$59,0)</f>
        <v>5000</v>
      </c>
      <c r="I262" s="32">
        <f t="shared" ref="I262:T262" si="172">IF(I26&gt;0,$G262/12,0)</f>
        <v>416.66666666666669</v>
      </c>
      <c r="J262" s="10">
        <f t="shared" si="172"/>
        <v>416.66666666666669</v>
      </c>
      <c r="K262" s="10">
        <f t="shared" si="172"/>
        <v>416.66666666666669</v>
      </c>
      <c r="L262" s="10">
        <f t="shared" si="172"/>
        <v>416.66666666666669</v>
      </c>
      <c r="M262" s="10">
        <f t="shared" si="172"/>
        <v>416.66666666666669</v>
      </c>
      <c r="N262" s="10">
        <f t="shared" si="172"/>
        <v>416.66666666666669</v>
      </c>
      <c r="O262" s="10">
        <f t="shared" si="172"/>
        <v>416.66666666666669</v>
      </c>
      <c r="P262" s="10">
        <f t="shared" si="172"/>
        <v>416.66666666666669</v>
      </c>
      <c r="Q262" s="10">
        <f t="shared" si="172"/>
        <v>416.66666666666669</v>
      </c>
      <c r="R262" s="10">
        <f t="shared" si="172"/>
        <v>416.66666666666669</v>
      </c>
      <c r="S262" s="10">
        <f t="shared" si="172"/>
        <v>416.66666666666669</v>
      </c>
      <c r="T262" s="33">
        <f t="shared" si="172"/>
        <v>416.66666666666669</v>
      </c>
    </row>
    <row r="263" spans="3:20" x14ac:dyDescent="0.2">
      <c r="C263" t="s">
        <v>104</v>
      </c>
      <c r="D263" t="s">
        <v>105</v>
      </c>
      <c r="E263" s="64">
        <f>_xlfn.XLOOKUP($C263,'Corporate Roster - ''25'!$C$9:$C$59,'Corporate Roster - ''25'!E$9:E$59,0)</f>
        <v>44169</v>
      </c>
      <c r="F263" s="64" t="str">
        <f>_xlfn.XLOOKUP($C263,'Corporate Roster - ''25'!$C$9:$C$59,'Corporate Roster - ''25'!F$9:F$59,0)</f>
        <v>-</v>
      </c>
      <c r="G263" s="261">
        <f>_xlfn.XLOOKUP($C263,'Corporate Roster - ''25'!$C$9:$C$59,'Corporate Roster - ''25'!H$9:H$59,0)</f>
        <v>3000</v>
      </c>
      <c r="I263" s="32">
        <f t="shared" ref="I263:T263" si="173">IF(I27&gt;0,$G263/12,0)</f>
        <v>250</v>
      </c>
      <c r="J263" s="10">
        <f t="shared" si="173"/>
        <v>250</v>
      </c>
      <c r="K263" s="10">
        <f t="shared" si="173"/>
        <v>250</v>
      </c>
      <c r="L263" s="10">
        <f t="shared" si="173"/>
        <v>250</v>
      </c>
      <c r="M263" s="10">
        <f t="shared" si="173"/>
        <v>250</v>
      </c>
      <c r="N263" s="10">
        <f t="shared" si="173"/>
        <v>250</v>
      </c>
      <c r="O263" s="10">
        <f t="shared" si="173"/>
        <v>250</v>
      </c>
      <c r="P263" s="10">
        <f t="shared" si="173"/>
        <v>250</v>
      </c>
      <c r="Q263" s="10">
        <f t="shared" si="173"/>
        <v>250</v>
      </c>
      <c r="R263" s="10">
        <f t="shared" si="173"/>
        <v>250</v>
      </c>
      <c r="S263" s="10">
        <f t="shared" si="173"/>
        <v>250</v>
      </c>
      <c r="T263" s="33">
        <f t="shared" si="173"/>
        <v>250</v>
      </c>
    </row>
    <row r="264" spans="3:20" x14ac:dyDescent="0.2">
      <c r="C264" t="s">
        <v>148</v>
      </c>
      <c r="D264" t="s">
        <v>107</v>
      </c>
      <c r="E264" s="64">
        <f>_xlfn.XLOOKUP($C264,'Corporate Roster - ''25'!$C$9:$C$59,'Corporate Roster - ''25'!E$9:E$59,0)</f>
        <v>45017</v>
      </c>
      <c r="F264" s="64" t="str">
        <f>_xlfn.XLOOKUP($C264,'Corporate Roster - ''25'!$C$9:$C$59,'Corporate Roster - ''25'!F$9:F$59,0)</f>
        <v>-</v>
      </c>
      <c r="G264" s="261">
        <f>_xlfn.XLOOKUP($C264,'Corporate Roster - ''25'!$C$9:$C$59,'Corporate Roster - ''25'!H$9:H$59,0)</f>
        <v>4000</v>
      </c>
      <c r="I264" s="32">
        <f t="shared" ref="I264:T264" si="174">IF(I28&gt;0,$G264/12,0)</f>
        <v>333.33333333333331</v>
      </c>
      <c r="J264" s="10">
        <f t="shared" si="174"/>
        <v>333.33333333333331</v>
      </c>
      <c r="K264" s="10">
        <f t="shared" si="174"/>
        <v>333.33333333333331</v>
      </c>
      <c r="L264" s="10">
        <f t="shared" si="174"/>
        <v>333.33333333333331</v>
      </c>
      <c r="M264" s="10">
        <f t="shared" si="174"/>
        <v>333.33333333333331</v>
      </c>
      <c r="N264" s="10">
        <f t="shared" si="174"/>
        <v>333.33333333333331</v>
      </c>
      <c r="O264" s="10">
        <f t="shared" si="174"/>
        <v>333.33333333333331</v>
      </c>
      <c r="P264" s="10">
        <f t="shared" si="174"/>
        <v>333.33333333333331</v>
      </c>
      <c r="Q264" s="10">
        <f t="shared" si="174"/>
        <v>333.33333333333331</v>
      </c>
      <c r="R264" s="10">
        <f t="shared" si="174"/>
        <v>333.33333333333331</v>
      </c>
      <c r="S264" s="10">
        <f t="shared" si="174"/>
        <v>333.33333333333331</v>
      </c>
      <c r="T264" s="33">
        <f t="shared" si="174"/>
        <v>333.33333333333331</v>
      </c>
    </row>
    <row r="265" spans="3:20" x14ac:dyDescent="0.2">
      <c r="C265" t="s">
        <v>108</v>
      </c>
      <c r="D265" t="s">
        <v>109</v>
      </c>
      <c r="E265" s="64">
        <f>_xlfn.XLOOKUP($C265,'Corporate Roster - ''25'!$C$9:$C$59,'Corporate Roster - ''25'!E$9:E$59,0)</f>
        <v>40157</v>
      </c>
      <c r="F265" s="64" t="str">
        <f>_xlfn.XLOOKUP($C265,'Corporate Roster - ''25'!$C$9:$C$59,'Corporate Roster - ''25'!F$9:F$59,0)</f>
        <v>-</v>
      </c>
      <c r="G265" s="261">
        <f>_xlfn.XLOOKUP($C265,'Corporate Roster - ''25'!$C$9:$C$59,'Corporate Roster - ''25'!H$9:H$59,0)</f>
        <v>4000</v>
      </c>
      <c r="I265" s="32">
        <f t="shared" ref="I265:T265" si="175">IF(I29&gt;0,$G265/12,0)</f>
        <v>333.33333333333331</v>
      </c>
      <c r="J265" s="10">
        <f t="shared" si="175"/>
        <v>333.33333333333331</v>
      </c>
      <c r="K265" s="10">
        <f t="shared" si="175"/>
        <v>333.33333333333331</v>
      </c>
      <c r="L265" s="10">
        <f t="shared" si="175"/>
        <v>333.33333333333331</v>
      </c>
      <c r="M265" s="10">
        <f t="shared" si="175"/>
        <v>333.33333333333331</v>
      </c>
      <c r="N265" s="10">
        <f t="shared" si="175"/>
        <v>333.33333333333331</v>
      </c>
      <c r="O265" s="10">
        <f t="shared" si="175"/>
        <v>333.33333333333331</v>
      </c>
      <c r="P265" s="10">
        <f t="shared" si="175"/>
        <v>333.33333333333331</v>
      </c>
      <c r="Q265" s="10">
        <f t="shared" si="175"/>
        <v>333.33333333333331</v>
      </c>
      <c r="R265" s="10">
        <f t="shared" si="175"/>
        <v>333.33333333333331</v>
      </c>
      <c r="S265" s="10">
        <f t="shared" si="175"/>
        <v>333.33333333333331</v>
      </c>
      <c r="T265" s="33">
        <f t="shared" si="175"/>
        <v>333.33333333333331</v>
      </c>
    </row>
    <row r="266" spans="3:20" x14ac:dyDescent="0.2">
      <c r="C266" t="s">
        <v>73</v>
      </c>
      <c r="D266" t="s">
        <v>110</v>
      </c>
      <c r="E266" s="64">
        <f>_xlfn.XLOOKUP($C266,'Corporate Roster - ''25'!$C$9:$C$59,'Corporate Roster - ''25'!E$9:E$59,0)</f>
        <v>45335</v>
      </c>
      <c r="F266" s="64" t="str">
        <f>_xlfn.XLOOKUP($C266,'Corporate Roster - ''25'!$C$9:$C$59,'Corporate Roster - ''25'!F$9:F$59,0)</f>
        <v>-</v>
      </c>
      <c r="G266" s="261">
        <f>_xlfn.XLOOKUP($C266,'Corporate Roster - ''25'!$C$9:$C$59,'Corporate Roster - ''25'!H$9:H$59,0)</f>
        <v>5000</v>
      </c>
      <c r="I266" s="32">
        <f t="shared" ref="I266:T266" si="176">IF(I30&gt;0,$G266/12,0)</f>
        <v>416.66666666666669</v>
      </c>
      <c r="J266" s="10">
        <f t="shared" si="176"/>
        <v>416.66666666666669</v>
      </c>
      <c r="K266" s="10">
        <f t="shared" si="176"/>
        <v>416.66666666666669</v>
      </c>
      <c r="L266" s="10">
        <f t="shared" si="176"/>
        <v>416.66666666666669</v>
      </c>
      <c r="M266" s="10">
        <f t="shared" si="176"/>
        <v>416.66666666666669</v>
      </c>
      <c r="N266" s="10">
        <f t="shared" si="176"/>
        <v>416.66666666666669</v>
      </c>
      <c r="O266" s="10">
        <f t="shared" si="176"/>
        <v>416.66666666666669</v>
      </c>
      <c r="P266" s="10">
        <f t="shared" si="176"/>
        <v>416.66666666666669</v>
      </c>
      <c r="Q266" s="10">
        <f t="shared" si="176"/>
        <v>416.66666666666669</v>
      </c>
      <c r="R266" s="10">
        <f t="shared" si="176"/>
        <v>416.66666666666669</v>
      </c>
      <c r="S266" s="10">
        <f t="shared" si="176"/>
        <v>416.66666666666669</v>
      </c>
      <c r="T266" s="33">
        <f t="shared" si="176"/>
        <v>416.66666666666669</v>
      </c>
    </row>
    <row r="267" spans="3:20" x14ac:dyDescent="0.2">
      <c r="C267" t="s">
        <v>111</v>
      </c>
      <c r="D267" t="s">
        <v>112</v>
      </c>
      <c r="E267" s="64">
        <f>_xlfn.XLOOKUP($C267,'Corporate Roster - ''25'!$C$9:$C$59,'Corporate Roster - ''25'!E$9:E$59,0)</f>
        <v>44694</v>
      </c>
      <c r="F267" s="64" t="str">
        <f>_xlfn.XLOOKUP($C267,'Corporate Roster - ''25'!$C$9:$C$59,'Corporate Roster - ''25'!F$9:F$59,0)</f>
        <v>-</v>
      </c>
      <c r="G267" s="261">
        <f>_xlfn.XLOOKUP($C267,'Corporate Roster - ''25'!$C$9:$C$59,'Corporate Roster - ''25'!H$9:H$59,0)</f>
        <v>5000</v>
      </c>
      <c r="I267" s="32">
        <f t="shared" ref="I267:T267" si="177">IF(I31&gt;0,$G267/12,0)</f>
        <v>416.66666666666669</v>
      </c>
      <c r="J267" s="10">
        <f t="shared" si="177"/>
        <v>416.66666666666669</v>
      </c>
      <c r="K267" s="10">
        <f t="shared" si="177"/>
        <v>416.66666666666669</v>
      </c>
      <c r="L267" s="10">
        <f t="shared" si="177"/>
        <v>416.66666666666669</v>
      </c>
      <c r="M267" s="10">
        <f t="shared" si="177"/>
        <v>416.66666666666669</v>
      </c>
      <c r="N267" s="10">
        <f t="shared" si="177"/>
        <v>416.66666666666669</v>
      </c>
      <c r="O267" s="10">
        <f t="shared" si="177"/>
        <v>416.66666666666669</v>
      </c>
      <c r="P267" s="10">
        <f t="shared" si="177"/>
        <v>416.66666666666669</v>
      </c>
      <c r="Q267" s="10">
        <f t="shared" si="177"/>
        <v>416.66666666666669</v>
      </c>
      <c r="R267" s="10">
        <f t="shared" si="177"/>
        <v>416.66666666666669</v>
      </c>
      <c r="S267" s="10">
        <f t="shared" si="177"/>
        <v>416.66666666666669</v>
      </c>
      <c r="T267" s="33">
        <f t="shared" si="177"/>
        <v>416.66666666666669</v>
      </c>
    </row>
    <row r="268" spans="3:20" x14ac:dyDescent="0.2">
      <c r="C268" t="s">
        <v>149</v>
      </c>
      <c r="D268" t="s">
        <v>110</v>
      </c>
      <c r="E268" s="64">
        <f>_xlfn.XLOOKUP($C268,'Corporate Roster - ''25'!$C$9:$C$59,'Corporate Roster - ''25'!E$9:E$59,0)</f>
        <v>45368</v>
      </c>
      <c r="F268" s="64" t="str">
        <f>_xlfn.XLOOKUP($C268,'Corporate Roster - ''25'!$C$9:$C$59,'Corporate Roster - ''25'!F$9:F$59,0)</f>
        <v>-</v>
      </c>
      <c r="G268" s="261">
        <f>_xlfn.XLOOKUP($C268,'Corporate Roster - ''25'!$C$9:$C$59,'Corporate Roster - ''25'!H$9:H$59,0)</f>
        <v>5000</v>
      </c>
      <c r="I268" s="32">
        <f t="shared" ref="I268:T268" si="178">IF(I32&gt;0,$G268/12,0)</f>
        <v>416.66666666666669</v>
      </c>
      <c r="J268" s="10">
        <f t="shared" si="178"/>
        <v>416.66666666666669</v>
      </c>
      <c r="K268" s="10">
        <f t="shared" si="178"/>
        <v>416.66666666666669</v>
      </c>
      <c r="L268" s="10">
        <f t="shared" si="178"/>
        <v>416.66666666666669</v>
      </c>
      <c r="M268" s="10">
        <f t="shared" si="178"/>
        <v>416.66666666666669</v>
      </c>
      <c r="N268" s="10">
        <f t="shared" si="178"/>
        <v>416.66666666666669</v>
      </c>
      <c r="O268" s="10">
        <f t="shared" si="178"/>
        <v>416.66666666666669</v>
      </c>
      <c r="P268" s="10">
        <f t="shared" si="178"/>
        <v>416.66666666666669</v>
      </c>
      <c r="Q268" s="10">
        <f t="shared" si="178"/>
        <v>416.66666666666669</v>
      </c>
      <c r="R268" s="10">
        <f t="shared" si="178"/>
        <v>416.66666666666669</v>
      </c>
      <c r="S268" s="10">
        <f t="shared" si="178"/>
        <v>416.66666666666669</v>
      </c>
      <c r="T268" s="33">
        <f t="shared" si="178"/>
        <v>416.66666666666669</v>
      </c>
    </row>
    <row r="269" spans="3:20" x14ac:dyDescent="0.2">
      <c r="C269" t="s">
        <v>150</v>
      </c>
      <c r="D269" t="s">
        <v>95</v>
      </c>
      <c r="E269" s="64">
        <f>_xlfn.XLOOKUP($C269,'Corporate Roster - ''25'!$C$9:$C$59,'Corporate Roster - ''25'!E$9:E$59,0)</f>
        <v>40489</v>
      </c>
      <c r="F269" s="64" t="str">
        <f>_xlfn.XLOOKUP($C269,'Corporate Roster - ''25'!$C$9:$C$59,'Corporate Roster - ''25'!F$9:F$59,0)</f>
        <v>-</v>
      </c>
      <c r="G269" s="261">
        <f>_xlfn.XLOOKUP($C269,'Corporate Roster - ''25'!$C$9:$C$59,'Corporate Roster - ''25'!H$9:H$59,0)</f>
        <v>15000</v>
      </c>
      <c r="I269" s="32">
        <f t="shared" ref="I269:T269" si="179">IF(I33&gt;0,$G269/12,0)</f>
        <v>1250</v>
      </c>
      <c r="J269" s="10">
        <f t="shared" si="179"/>
        <v>1250</v>
      </c>
      <c r="K269" s="10">
        <f t="shared" si="179"/>
        <v>1250</v>
      </c>
      <c r="L269" s="10">
        <f t="shared" si="179"/>
        <v>1250</v>
      </c>
      <c r="M269" s="10">
        <f t="shared" si="179"/>
        <v>1250</v>
      </c>
      <c r="N269" s="10">
        <f t="shared" si="179"/>
        <v>1250</v>
      </c>
      <c r="O269" s="10">
        <f t="shared" si="179"/>
        <v>1250</v>
      </c>
      <c r="P269" s="10">
        <f t="shared" si="179"/>
        <v>1250</v>
      </c>
      <c r="Q269" s="10">
        <f t="shared" si="179"/>
        <v>1250</v>
      </c>
      <c r="R269" s="10">
        <f t="shared" si="179"/>
        <v>1250</v>
      </c>
      <c r="S269" s="10">
        <f t="shared" si="179"/>
        <v>1250</v>
      </c>
      <c r="T269" s="33">
        <f t="shared" si="179"/>
        <v>1250</v>
      </c>
    </row>
    <row r="270" spans="3:20" x14ac:dyDescent="0.2">
      <c r="C270" t="s">
        <v>115</v>
      </c>
      <c r="D270" t="s">
        <v>112</v>
      </c>
      <c r="E270" s="64">
        <f>_xlfn.XLOOKUP($C270,'Corporate Roster - ''25'!$C$9:$C$59,'Corporate Roster - ''25'!E$9:E$59,0)</f>
        <v>45236</v>
      </c>
      <c r="F270" s="64" t="str">
        <f>_xlfn.XLOOKUP($C270,'Corporate Roster - ''25'!$C$9:$C$59,'Corporate Roster - ''25'!F$9:F$59,0)</f>
        <v>-</v>
      </c>
      <c r="G270" s="261">
        <f>_xlfn.XLOOKUP($C270,'Corporate Roster - ''25'!$C$9:$C$59,'Corporate Roster - ''25'!H$9:H$59,0)</f>
        <v>5000</v>
      </c>
      <c r="I270" s="32">
        <f t="shared" ref="I270:T270" si="180">IF(I34&gt;0,$G270/12,0)</f>
        <v>416.66666666666669</v>
      </c>
      <c r="J270" s="10">
        <f t="shared" si="180"/>
        <v>416.66666666666669</v>
      </c>
      <c r="K270" s="10">
        <f t="shared" si="180"/>
        <v>416.66666666666669</v>
      </c>
      <c r="L270" s="10">
        <f t="shared" si="180"/>
        <v>416.66666666666669</v>
      </c>
      <c r="M270" s="10">
        <f t="shared" si="180"/>
        <v>416.66666666666669</v>
      </c>
      <c r="N270" s="10">
        <f t="shared" si="180"/>
        <v>416.66666666666669</v>
      </c>
      <c r="O270" s="10">
        <f t="shared" si="180"/>
        <v>416.66666666666669</v>
      </c>
      <c r="P270" s="10">
        <f t="shared" si="180"/>
        <v>416.66666666666669</v>
      </c>
      <c r="Q270" s="10">
        <f t="shared" si="180"/>
        <v>416.66666666666669</v>
      </c>
      <c r="R270" s="10">
        <f t="shared" si="180"/>
        <v>416.66666666666669</v>
      </c>
      <c r="S270" s="10">
        <f t="shared" si="180"/>
        <v>416.66666666666669</v>
      </c>
      <c r="T270" s="33">
        <f t="shared" si="180"/>
        <v>416.66666666666669</v>
      </c>
    </row>
    <row r="271" spans="3:20" x14ac:dyDescent="0.2">
      <c r="C271" t="s">
        <v>116</v>
      </c>
      <c r="D271" t="s">
        <v>110</v>
      </c>
      <c r="E271" s="64">
        <f>_xlfn.XLOOKUP($C271,'Corporate Roster - ''25'!$C$9:$C$59,'Corporate Roster - ''25'!E$9:E$59,0)</f>
        <v>40015</v>
      </c>
      <c r="F271" s="64" t="str">
        <f>_xlfn.XLOOKUP($C271,'Corporate Roster - ''25'!$C$9:$C$59,'Corporate Roster - ''25'!F$9:F$59,0)</f>
        <v>-</v>
      </c>
      <c r="G271" s="261">
        <f>_xlfn.XLOOKUP($C271,'Corporate Roster - ''25'!$C$9:$C$59,'Corporate Roster - ''25'!H$9:H$59,0)</f>
        <v>5000</v>
      </c>
      <c r="I271" s="32">
        <f t="shared" ref="I271:T271" si="181">IF(I35&gt;0,$G271/12,0)</f>
        <v>416.66666666666669</v>
      </c>
      <c r="J271" s="10">
        <f t="shared" si="181"/>
        <v>416.66666666666669</v>
      </c>
      <c r="K271" s="10">
        <f t="shared" si="181"/>
        <v>416.66666666666669</v>
      </c>
      <c r="L271" s="10">
        <f t="shared" si="181"/>
        <v>416.66666666666669</v>
      </c>
      <c r="M271" s="10">
        <f t="shared" si="181"/>
        <v>416.66666666666669</v>
      </c>
      <c r="N271" s="10">
        <f t="shared" si="181"/>
        <v>416.66666666666669</v>
      </c>
      <c r="O271" s="10">
        <f t="shared" si="181"/>
        <v>416.66666666666669</v>
      </c>
      <c r="P271" s="10">
        <f t="shared" si="181"/>
        <v>416.66666666666669</v>
      </c>
      <c r="Q271" s="10">
        <f t="shared" si="181"/>
        <v>416.66666666666669</v>
      </c>
      <c r="R271" s="10">
        <f t="shared" si="181"/>
        <v>416.66666666666669</v>
      </c>
      <c r="S271" s="10">
        <f t="shared" si="181"/>
        <v>416.66666666666669</v>
      </c>
      <c r="T271" s="33">
        <f t="shared" si="181"/>
        <v>416.66666666666669</v>
      </c>
    </row>
    <row r="272" spans="3:20" x14ac:dyDescent="0.2">
      <c r="C272" t="s">
        <v>106</v>
      </c>
      <c r="D272" t="s">
        <v>90</v>
      </c>
      <c r="E272" s="64">
        <f>_xlfn.XLOOKUP($C272,'Corporate Roster - ''25'!$C$9:$C$59,'Corporate Roster - ''25'!E$9:E$59,0)</f>
        <v>40345</v>
      </c>
      <c r="F272" s="64" t="str">
        <f>_xlfn.XLOOKUP($C272,'Corporate Roster - ''25'!$C$9:$C$59,'Corporate Roster - ''25'!F$9:F$59,0)</f>
        <v>-</v>
      </c>
      <c r="G272" s="261">
        <f>_xlfn.XLOOKUP($C272,'Corporate Roster - ''25'!$C$9:$C$59,'Corporate Roster - ''25'!H$9:H$59,0)</f>
        <v>14000</v>
      </c>
      <c r="I272" s="32">
        <f t="shared" ref="I272:T272" si="182">IF(I36&gt;0,$G272/12,0)</f>
        <v>1166.6666666666667</v>
      </c>
      <c r="J272" s="10">
        <f t="shared" si="182"/>
        <v>1166.6666666666667</v>
      </c>
      <c r="K272" s="10">
        <f t="shared" si="182"/>
        <v>1166.6666666666667</v>
      </c>
      <c r="L272" s="10">
        <f t="shared" si="182"/>
        <v>1166.6666666666667</v>
      </c>
      <c r="M272" s="10">
        <f t="shared" si="182"/>
        <v>1166.6666666666667</v>
      </c>
      <c r="N272" s="10">
        <f t="shared" si="182"/>
        <v>1166.6666666666667</v>
      </c>
      <c r="O272" s="10">
        <f t="shared" si="182"/>
        <v>1166.6666666666667</v>
      </c>
      <c r="P272" s="10">
        <f t="shared" si="182"/>
        <v>1166.6666666666667</v>
      </c>
      <c r="Q272" s="10">
        <f t="shared" si="182"/>
        <v>1166.6666666666667</v>
      </c>
      <c r="R272" s="10">
        <f t="shared" si="182"/>
        <v>1166.6666666666667</v>
      </c>
      <c r="S272" s="10">
        <f t="shared" si="182"/>
        <v>1166.6666666666667</v>
      </c>
      <c r="T272" s="33">
        <f t="shared" si="182"/>
        <v>1166.6666666666667</v>
      </c>
    </row>
    <row r="273" spans="3:20" x14ac:dyDescent="0.2">
      <c r="C273" t="s">
        <v>117</v>
      </c>
      <c r="D273" t="s">
        <v>110</v>
      </c>
      <c r="E273" s="64">
        <f>_xlfn.XLOOKUP($C273,'Corporate Roster - ''25'!$C$9:$C$59,'Corporate Roster - ''25'!E$9:E$59,0)</f>
        <v>44824</v>
      </c>
      <c r="F273" s="64" t="str">
        <f>_xlfn.XLOOKUP($C273,'Corporate Roster - ''25'!$C$9:$C$59,'Corporate Roster - ''25'!F$9:F$59,0)</f>
        <v>-</v>
      </c>
      <c r="G273" s="261">
        <f>_xlfn.XLOOKUP($C273,'Corporate Roster - ''25'!$C$9:$C$59,'Corporate Roster - ''25'!H$9:H$59,0)</f>
        <v>5000</v>
      </c>
      <c r="I273" s="32">
        <f t="shared" ref="I273:T273" si="183">IF(I37&gt;0,$G273/12,0)</f>
        <v>416.66666666666669</v>
      </c>
      <c r="J273" s="10">
        <f t="shared" si="183"/>
        <v>416.66666666666669</v>
      </c>
      <c r="K273" s="10">
        <f t="shared" si="183"/>
        <v>416.66666666666669</v>
      </c>
      <c r="L273" s="10">
        <f t="shared" si="183"/>
        <v>416.66666666666669</v>
      </c>
      <c r="M273" s="10">
        <f t="shared" si="183"/>
        <v>416.66666666666669</v>
      </c>
      <c r="N273" s="10">
        <f t="shared" si="183"/>
        <v>416.66666666666669</v>
      </c>
      <c r="O273" s="10">
        <f t="shared" si="183"/>
        <v>416.66666666666669</v>
      </c>
      <c r="P273" s="10">
        <f t="shared" si="183"/>
        <v>416.66666666666669</v>
      </c>
      <c r="Q273" s="10">
        <f t="shared" si="183"/>
        <v>416.66666666666669</v>
      </c>
      <c r="R273" s="10">
        <f t="shared" si="183"/>
        <v>416.66666666666669</v>
      </c>
      <c r="S273" s="10">
        <f t="shared" si="183"/>
        <v>416.66666666666669</v>
      </c>
      <c r="T273" s="33">
        <f t="shared" si="183"/>
        <v>416.66666666666669</v>
      </c>
    </row>
    <row r="274" spans="3:20" x14ac:dyDescent="0.2">
      <c r="C274" t="s">
        <v>118</v>
      </c>
      <c r="D274" t="s">
        <v>86</v>
      </c>
      <c r="E274" s="64">
        <f>_xlfn.XLOOKUP($C274,'Corporate Roster - ''25'!$C$9:$C$59,'Corporate Roster - ''25'!E$9:E$59,0)</f>
        <v>38939</v>
      </c>
      <c r="F274" s="64" t="str">
        <f>_xlfn.XLOOKUP($C274,'Corporate Roster - ''25'!$C$9:$C$59,'Corporate Roster - ''25'!F$9:F$59,0)</f>
        <v>-</v>
      </c>
      <c r="G274" s="261">
        <f>_xlfn.XLOOKUP($C274,'Corporate Roster - ''25'!$C$9:$C$59,'Corporate Roster - ''25'!H$9:H$59,0)</f>
        <v>13000</v>
      </c>
      <c r="I274" s="32">
        <f t="shared" ref="I274:T274" si="184">IF(I38&gt;0,$G274/12,0)</f>
        <v>1083.3333333333333</v>
      </c>
      <c r="J274" s="10">
        <f t="shared" si="184"/>
        <v>1083.3333333333333</v>
      </c>
      <c r="K274" s="10">
        <f t="shared" si="184"/>
        <v>1083.3333333333333</v>
      </c>
      <c r="L274" s="10">
        <f t="shared" si="184"/>
        <v>1083.3333333333333</v>
      </c>
      <c r="M274" s="10">
        <f t="shared" si="184"/>
        <v>1083.3333333333333</v>
      </c>
      <c r="N274" s="10">
        <f t="shared" si="184"/>
        <v>1083.3333333333333</v>
      </c>
      <c r="O274" s="10">
        <f t="shared" si="184"/>
        <v>1083.3333333333333</v>
      </c>
      <c r="P274" s="10">
        <f t="shared" si="184"/>
        <v>1083.3333333333333</v>
      </c>
      <c r="Q274" s="10">
        <f t="shared" si="184"/>
        <v>1083.3333333333333</v>
      </c>
      <c r="R274" s="10">
        <f t="shared" si="184"/>
        <v>1083.3333333333333</v>
      </c>
      <c r="S274" s="10">
        <f t="shared" si="184"/>
        <v>1083.3333333333333</v>
      </c>
      <c r="T274" s="33">
        <f t="shared" si="184"/>
        <v>1083.3333333333333</v>
      </c>
    </row>
    <row r="275" spans="3:20" x14ac:dyDescent="0.2">
      <c r="C275" t="s">
        <v>65</v>
      </c>
      <c r="D275" t="s">
        <v>86</v>
      </c>
      <c r="E275" s="64">
        <f>_xlfn.XLOOKUP($C275,'Corporate Roster - ''25'!$C$9:$C$59,'Corporate Roster - ''25'!E$9:E$59,0)</f>
        <v>42100</v>
      </c>
      <c r="F275" s="64" t="str">
        <f>_xlfn.XLOOKUP($C275,'Corporate Roster - ''25'!$C$9:$C$59,'Corporate Roster - ''25'!F$9:F$59,0)</f>
        <v>-</v>
      </c>
      <c r="G275" s="261">
        <f>_xlfn.XLOOKUP($C275,'Corporate Roster - ''25'!$C$9:$C$59,'Corporate Roster - ''25'!H$9:H$59,0)</f>
        <v>13000</v>
      </c>
      <c r="I275" s="32">
        <f t="shared" ref="I275:T275" si="185">IF(I39&gt;0,$G275/12,0)</f>
        <v>1083.3333333333333</v>
      </c>
      <c r="J275" s="10">
        <f t="shared" si="185"/>
        <v>1083.3333333333333</v>
      </c>
      <c r="K275" s="10">
        <f t="shared" si="185"/>
        <v>1083.3333333333333</v>
      </c>
      <c r="L275" s="10">
        <f t="shared" si="185"/>
        <v>1083.3333333333333</v>
      </c>
      <c r="M275" s="10">
        <f t="shared" si="185"/>
        <v>1083.3333333333333</v>
      </c>
      <c r="N275" s="10">
        <f t="shared" si="185"/>
        <v>1083.3333333333333</v>
      </c>
      <c r="O275" s="10">
        <f t="shared" si="185"/>
        <v>1083.3333333333333</v>
      </c>
      <c r="P275" s="10">
        <f t="shared" si="185"/>
        <v>1083.3333333333333</v>
      </c>
      <c r="Q275" s="10">
        <f t="shared" si="185"/>
        <v>1083.3333333333333</v>
      </c>
      <c r="R275" s="10">
        <f t="shared" si="185"/>
        <v>1083.3333333333333</v>
      </c>
      <c r="S275" s="10">
        <f t="shared" si="185"/>
        <v>1083.3333333333333</v>
      </c>
      <c r="T275" s="33">
        <f t="shared" si="185"/>
        <v>1083.3333333333333</v>
      </c>
    </row>
    <row r="276" spans="3:20" x14ac:dyDescent="0.2">
      <c r="C276" t="s">
        <v>119</v>
      </c>
      <c r="D276" t="s">
        <v>110</v>
      </c>
      <c r="E276" s="64">
        <f>_xlfn.XLOOKUP($C276,'Corporate Roster - ''25'!$C$9:$C$59,'Corporate Roster - ''25'!E$9:E$59,0)</f>
        <v>42772</v>
      </c>
      <c r="F276" s="64" t="str">
        <f>_xlfn.XLOOKUP($C276,'Corporate Roster - ''25'!$C$9:$C$59,'Corporate Roster - ''25'!F$9:F$59,0)</f>
        <v>-</v>
      </c>
      <c r="G276" s="261">
        <f>_xlfn.XLOOKUP($C276,'Corporate Roster - ''25'!$C$9:$C$59,'Corporate Roster - ''25'!H$9:H$59,0)</f>
        <v>5000</v>
      </c>
      <c r="I276" s="32">
        <f t="shared" ref="I276:T276" si="186">IF(I40&gt;0,$G276/12,0)</f>
        <v>416.66666666666669</v>
      </c>
      <c r="J276" s="10">
        <f t="shared" si="186"/>
        <v>416.66666666666669</v>
      </c>
      <c r="K276" s="10">
        <f t="shared" si="186"/>
        <v>416.66666666666669</v>
      </c>
      <c r="L276" s="10">
        <f t="shared" si="186"/>
        <v>416.66666666666669</v>
      </c>
      <c r="M276" s="10">
        <f t="shared" si="186"/>
        <v>416.66666666666669</v>
      </c>
      <c r="N276" s="10">
        <f t="shared" si="186"/>
        <v>416.66666666666669</v>
      </c>
      <c r="O276" s="10">
        <f t="shared" si="186"/>
        <v>416.66666666666669</v>
      </c>
      <c r="P276" s="10">
        <f t="shared" si="186"/>
        <v>416.66666666666669</v>
      </c>
      <c r="Q276" s="10">
        <f t="shared" si="186"/>
        <v>416.66666666666669</v>
      </c>
      <c r="R276" s="10">
        <f t="shared" si="186"/>
        <v>416.66666666666669</v>
      </c>
      <c r="S276" s="10">
        <f t="shared" si="186"/>
        <v>416.66666666666669</v>
      </c>
      <c r="T276" s="33">
        <f t="shared" si="186"/>
        <v>416.66666666666669</v>
      </c>
    </row>
    <row r="277" spans="3:20" x14ac:dyDescent="0.2">
      <c r="C277" t="s">
        <v>120</v>
      </c>
      <c r="D277" t="s">
        <v>110</v>
      </c>
      <c r="E277" s="64">
        <f>_xlfn.XLOOKUP($C277,'Corporate Roster - ''25'!$C$9:$C$59,'Corporate Roster - ''25'!E$9:E$59,0)</f>
        <v>41160</v>
      </c>
      <c r="F277" s="64" t="str">
        <f>_xlfn.XLOOKUP($C277,'Corporate Roster - ''25'!$C$9:$C$59,'Corporate Roster - ''25'!F$9:F$59,0)</f>
        <v>-</v>
      </c>
      <c r="G277" s="261">
        <f>_xlfn.XLOOKUP($C277,'Corporate Roster - ''25'!$C$9:$C$59,'Corporate Roster - ''25'!H$9:H$59,0)</f>
        <v>5000</v>
      </c>
      <c r="I277" s="32">
        <f t="shared" ref="I277:T277" si="187">IF(I41&gt;0,$G277/12,0)</f>
        <v>416.66666666666669</v>
      </c>
      <c r="J277" s="10">
        <f t="shared" si="187"/>
        <v>416.66666666666669</v>
      </c>
      <c r="K277" s="10">
        <f t="shared" si="187"/>
        <v>416.66666666666669</v>
      </c>
      <c r="L277" s="10">
        <f t="shared" si="187"/>
        <v>416.66666666666669</v>
      </c>
      <c r="M277" s="10">
        <f t="shared" si="187"/>
        <v>416.66666666666669</v>
      </c>
      <c r="N277" s="10">
        <f t="shared" si="187"/>
        <v>416.66666666666669</v>
      </c>
      <c r="O277" s="10">
        <f t="shared" si="187"/>
        <v>416.66666666666669</v>
      </c>
      <c r="P277" s="10">
        <f t="shared" si="187"/>
        <v>416.66666666666669</v>
      </c>
      <c r="Q277" s="10">
        <f t="shared" si="187"/>
        <v>416.66666666666669</v>
      </c>
      <c r="R277" s="10">
        <f t="shared" si="187"/>
        <v>416.66666666666669</v>
      </c>
      <c r="S277" s="10">
        <f t="shared" si="187"/>
        <v>416.66666666666669</v>
      </c>
      <c r="T277" s="33">
        <f t="shared" si="187"/>
        <v>416.66666666666669</v>
      </c>
    </row>
    <row r="278" spans="3:20" x14ac:dyDescent="0.2">
      <c r="C278" t="s">
        <v>121</v>
      </c>
      <c r="D278" t="s">
        <v>99</v>
      </c>
      <c r="E278" s="64">
        <f>_xlfn.XLOOKUP($C278,'Corporate Roster - ''25'!$C$9:$C$59,'Corporate Roster - ''25'!E$9:E$59,0)</f>
        <v>44972</v>
      </c>
      <c r="F278" s="64" t="str">
        <f>_xlfn.XLOOKUP($C278,'Corporate Roster - ''25'!$C$9:$C$59,'Corporate Roster - ''25'!F$9:F$59,0)</f>
        <v>-</v>
      </c>
      <c r="G278" s="261">
        <f>_xlfn.XLOOKUP($C278,'Corporate Roster - ''25'!$C$9:$C$59,'Corporate Roster - ''25'!H$9:H$59,0)</f>
        <v>4000</v>
      </c>
      <c r="I278" s="32">
        <f t="shared" ref="I278:T278" si="188">IF(I42&gt;0,$G278/12,0)</f>
        <v>333.33333333333331</v>
      </c>
      <c r="J278" s="10">
        <f t="shared" si="188"/>
        <v>333.33333333333331</v>
      </c>
      <c r="K278" s="10">
        <f t="shared" si="188"/>
        <v>333.33333333333331</v>
      </c>
      <c r="L278" s="10">
        <f t="shared" si="188"/>
        <v>333.33333333333331</v>
      </c>
      <c r="M278" s="10">
        <f t="shared" si="188"/>
        <v>333.33333333333331</v>
      </c>
      <c r="N278" s="10">
        <f t="shared" si="188"/>
        <v>333.33333333333331</v>
      </c>
      <c r="O278" s="10">
        <f t="shared" si="188"/>
        <v>333.33333333333331</v>
      </c>
      <c r="P278" s="10">
        <f t="shared" si="188"/>
        <v>333.33333333333331</v>
      </c>
      <c r="Q278" s="10">
        <f t="shared" si="188"/>
        <v>333.33333333333331</v>
      </c>
      <c r="R278" s="10">
        <f t="shared" si="188"/>
        <v>333.33333333333331</v>
      </c>
      <c r="S278" s="10">
        <f t="shared" si="188"/>
        <v>333.33333333333331</v>
      </c>
      <c r="T278" s="33">
        <f t="shared" si="188"/>
        <v>333.33333333333331</v>
      </c>
    </row>
    <row r="279" spans="3:20" x14ac:dyDescent="0.2">
      <c r="C279" t="s">
        <v>151</v>
      </c>
      <c r="D279" t="s">
        <v>90</v>
      </c>
      <c r="E279" s="64">
        <f>_xlfn.XLOOKUP($C279,'Corporate Roster - ''25'!$C$9:$C$59,'Corporate Roster - ''25'!E$9:E$59,0)</f>
        <v>42189</v>
      </c>
      <c r="F279" s="64" t="str">
        <f>_xlfn.XLOOKUP($C279,'Corporate Roster - ''25'!$C$9:$C$59,'Corporate Roster - ''25'!F$9:F$59,0)</f>
        <v>-</v>
      </c>
      <c r="G279" s="261">
        <f>_xlfn.XLOOKUP($C279,'Corporate Roster - ''25'!$C$9:$C$59,'Corporate Roster - ''25'!H$9:H$59,0)</f>
        <v>14000</v>
      </c>
      <c r="I279" s="32">
        <f t="shared" ref="I279:T279" si="189">IF(I43&gt;0,$G279/12,0)</f>
        <v>1166.6666666666667</v>
      </c>
      <c r="J279" s="10">
        <f t="shared" si="189"/>
        <v>1166.6666666666667</v>
      </c>
      <c r="K279" s="10">
        <f t="shared" si="189"/>
        <v>1166.6666666666667</v>
      </c>
      <c r="L279" s="10">
        <f t="shared" si="189"/>
        <v>1166.6666666666667</v>
      </c>
      <c r="M279" s="10">
        <f t="shared" si="189"/>
        <v>1166.6666666666667</v>
      </c>
      <c r="N279" s="10">
        <f t="shared" si="189"/>
        <v>1166.6666666666667</v>
      </c>
      <c r="O279" s="10">
        <f t="shared" si="189"/>
        <v>1166.6666666666667</v>
      </c>
      <c r="P279" s="10">
        <f t="shared" si="189"/>
        <v>1166.6666666666667</v>
      </c>
      <c r="Q279" s="10">
        <f t="shared" si="189"/>
        <v>1166.6666666666667</v>
      </c>
      <c r="R279" s="10">
        <f t="shared" si="189"/>
        <v>1166.6666666666667</v>
      </c>
      <c r="S279" s="10">
        <f t="shared" si="189"/>
        <v>1166.6666666666667</v>
      </c>
      <c r="T279" s="33">
        <f t="shared" si="189"/>
        <v>1166.6666666666667</v>
      </c>
    </row>
    <row r="280" spans="3:20" x14ac:dyDescent="0.2">
      <c r="C280" t="s">
        <v>123</v>
      </c>
      <c r="D280" t="s">
        <v>99</v>
      </c>
      <c r="E280" s="64">
        <f>_xlfn.XLOOKUP($C280,'Corporate Roster - ''25'!$C$9:$C$59,'Corporate Roster - ''25'!E$9:E$59,0)</f>
        <v>44716</v>
      </c>
      <c r="F280" s="64" t="str">
        <f>_xlfn.XLOOKUP($C280,'Corporate Roster - ''25'!$C$9:$C$59,'Corporate Roster - ''25'!F$9:F$59,0)</f>
        <v>-</v>
      </c>
      <c r="G280" s="261">
        <f>_xlfn.XLOOKUP($C280,'Corporate Roster - ''25'!$C$9:$C$59,'Corporate Roster - ''25'!H$9:H$59,0)</f>
        <v>4000</v>
      </c>
      <c r="I280" s="32">
        <f t="shared" ref="I280:T280" si="190">IF(I44&gt;0,$G280/12,0)</f>
        <v>333.33333333333331</v>
      </c>
      <c r="J280" s="10">
        <f t="shared" si="190"/>
        <v>333.33333333333331</v>
      </c>
      <c r="K280" s="10">
        <f t="shared" si="190"/>
        <v>333.33333333333331</v>
      </c>
      <c r="L280" s="10">
        <f t="shared" si="190"/>
        <v>333.33333333333331</v>
      </c>
      <c r="M280" s="10">
        <f t="shared" si="190"/>
        <v>333.33333333333331</v>
      </c>
      <c r="N280" s="10">
        <f t="shared" si="190"/>
        <v>333.33333333333331</v>
      </c>
      <c r="O280" s="10">
        <f t="shared" si="190"/>
        <v>333.33333333333331</v>
      </c>
      <c r="P280" s="10">
        <f t="shared" si="190"/>
        <v>333.33333333333331</v>
      </c>
      <c r="Q280" s="10">
        <f t="shared" si="190"/>
        <v>333.33333333333331</v>
      </c>
      <c r="R280" s="10">
        <f t="shared" si="190"/>
        <v>333.33333333333331</v>
      </c>
      <c r="S280" s="10">
        <f t="shared" si="190"/>
        <v>333.33333333333331</v>
      </c>
      <c r="T280" s="33">
        <f t="shared" si="190"/>
        <v>333.33333333333331</v>
      </c>
    </row>
    <row r="281" spans="3:20" x14ac:dyDescent="0.2">
      <c r="C281" t="s">
        <v>124</v>
      </c>
      <c r="D281" t="s">
        <v>99</v>
      </c>
      <c r="E281" s="64">
        <f>_xlfn.XLOOKUP($C281,'Corporate Roster - ''25'!$C$9:$C$59,'Corporate Roster - ''25'!E$9:E$59,0)</f>
        <v>38697</v>
      </c>
      <c r="F281" s="64" t="str">
        <f>_xlfn.XLOOKUP($C281,'Corporate Roster - ''25'!$C$9:$C$59,'Corporate Roster - ''25'!F$9:F$59,0)</f>
        <v>-</v>
      </c>
      <c r="G281" s="261">
        <f>_xlfn.XLOOKUP($C281,'Corporate Roster - ''25'!$C$9:$C$59,'Corporate Roster - ''25'!H$9:H$59,0)</f>
        <v>4000</v>
      </c>
      <c r="I281" s="32">
        <f t="shared" ref="I281:T281" si="191">IF(I45&gt;0,$G281/12,0)</f>
        <v>333.33333333333331</v>
      </c>
      <c r="J281" s="10">
        <f t="shared" si="191"/>
        <v>333.33333333333331</v>
      </c>
      <c r="K281" s="10">
        <f t="shared" si="191"/>
        <v>333.33333333333331</v>
      </c>
      <c r="L281" s="10">
        <f t="shared" si="191"/>
        <v>333.33333333333331</v>
      </c>
      <c r="M281" s="10">
        <f t="shared" si="191"/>
        <v>333.33333333333331</v>
      </c>
      <c r="N281" s="10">
        <f t="shared" si="191"/>
        <v>333.33333333333331</v>
      </c>
      <c r="O281" s="10">
        <f t="shared" si="191"/>
        <v>333.33333333333331</v>
      </c>
      <c r="P281" s="10">
        <f t="shared" si="191"/>
        <v>333.33333333333331</v>
      </c>
      <c r="Q281" s="10">
        <f t="shared" si="191"/>
        <v>333.33333333333331</v>
      </c>
      <c r="R281" s="10">
        <f t="shared" si="191"/>
        <v>333.33333333333331</v>
      </c>
      <c r="S281" s="10">
        <f t="shared" si="191"/>
        <v>333.33333333333331</v>
      </c>
      <c r="T281" s="33">
        <f t="shared" si="191"/>
        <v>333.33333333333331</v>
      </c>
    </row>
    <row r="282" spans="3:20" x14ac:dyDescent="0.2">
      <c r="C282" t="s">
        <v>125</v>
      </c>
      <c r="D282" t="s">
        <v>99</v>
      </c>
      <c r="E282" s="64">
        <f>_xlfn.XLOOKUP($C282,'Corporate Roster - ''25'!$C$9:$C$59,'Corporate Roster - ''25'!E$9:E$59,0)</f>
        <v>43863</v>
      </c>
      <c r="F282" s="64" t="str">
        <f>_xlfn.XLOOKUP($C282,'Corporate Roster - ''25'!$C$9:$C$59,'Corporate Roster - ''25'!F$9:F$59,0)</f>
        <v>-</v>
      </c>
      <c r="G282" s="261">
        <f>_xlfn.XLOOKUP($C282,'Corporate Roster - ''25'!$C$9:$C$59,'Corporate Roster - ''25'!H$9:H$59,0)</f>
        <v>4000</v>
      </c>
      <c r="I282" s="32">
        <f t="shared" ref="I282:T282" si="192">IF(I46&gt;0,$G282/12,0)</f>
        <v>333.33333333333331</v>
      </c>
      <c r="J282" s="10">
        <f t="shared" si="192"/>
        <v>333.33333333333331</v>
      </c>
      <c r="K282" s="10">
        <f t="shared" si="192"/>
        <v>333.33333333333331</v>
      </c>
      <c r="L282" s="10">
        <f t="shared" si="192"/>
        <v>333.33333333333331</v>
      </c>
      <c r="M282" s="10">
        <f t="shared" si="192"/>
        <v>333.33333333333331</v>
      </c>
      <c r="N282" s="10">
        <f t="shared" si="192"/>
        <v>333.33333333333331</v>
      </c>
      <c r="O282" s="10">
        <f t="shared" si="192"/>
        <v>333.33333333333331</v>
      </c>
      <c r="P282" s="10">
        <f t="shared" si="192"/>
        <v>333.33333333333331</v>
      </c>
      <c r="Q282" s="10">
        <f t="shared" si="192"/>
        <v>333.33333333333331</v>
      </c>
      <c r="R282" s="10">
        <f t="shared" si="192"/>
        <v>333.33333333333331</v>
      </c>
      <c r="S282" s="10">
        <f t="shared" si="192"/>
        <v>333.33333333333331</v>
      </c>
      <c r="T282" s="33">
        <f t="shared" si="192"/>
        <v>333.33333333333331</v>
      </c>
    </row>
    <row r="283" spans="3:20" x14ac:dyDescent="0.2">
      <c r="C283" t="s">
        <v>126</v>
      </c>
      <c r="D283" t="s">
        <v>110</v>
      </c>
      <c r="E283" s="64">
        <f>_xlfn.XLOOKUP($C283,'Corporate Roster - ''25'!$C$9:$C$59,'Corporate Roster - ''25'!E$9:E$59,0)</f>
        <v>40847</v>
      </c>
      <c r="F283" s="64" t="str">
        <f>_xlfn.XLOOKUP($C283,'Corporate Roster - ''25'!$C$9:$C$59,'Corporate Roster - ''25'!F$9:F$59,0)</f>
        <v>-</v>
      </c>
      <c r="G283" s="261">
        <f>_xlfn.XLOOKUP($C283,'Corporate Roster - ''25'!$C$9:$C$59,'Corporate Roster - ''25'!H$9:H$59,0)</f>
        <v>5000</v>
      </c>
      <c r="I283" s="32">
        <f t="shared" ref="I283:T283" si="193">IF(I47&gt;0,$G283/12,0)</f>
        <v>416.66666666666669</v>
      </c>
      <c r="J283" s="10">
        <f t="shared" si="193"/>
        <v>416.66666666666669</v>
      </c>
      <c r="K283" s="10">
        <f t="shared" si="193"/>
        <v>416.66666666666669</v>
      </c>
      <c r="L283" s="10">
        <f t="shared" si="193"/>
        <v>416.66666666666669</v>
      </c>
      <c r="M283" s="10">
        <f t="shared" si="193"/>
        <v>416.66666666666669</v>
      </c>
      <c r="N283" s="10">
        <f t="shared" si="193"/>
        <v>416.66666666666669</v>
      </c>
      <c r="O283" s="10">
        <f t="shared" si="193"/>
        <v>416.66666666666669</v>
      </c>
      <c r="P283" s="10">
        <f t="shared" si="193"/>
        <v>416.66666666666669</v>
      </c>
      <c r="Q283" s="10">
        <f t="shared" si="193"/>
        <v>416.66666666666669</v>
      </c>
      <c r="R283" s="10">
        <f t="shared" si="193"/>
        <v>416.66666666666669</v>
      </c>
      <c r="S283" s="10">
        <f t="shared" si="193"/>
        <v>416.66666666666669</v>
      </c>
      <c r="T283" s="33">
        <f t="shared" si="193"/>
        <v>416.66666666666669</v>
      </c>
    </row>
    <row r="284" spans="3:20" x14ac:dyDescent="0.2">
      <c r="C284" t="s">
        <v>127</v>
      </c>
      <c r="D284" t="s">
        <v>110</v>
      </c>
      <c r="E284" s="64">
        <f>_xlfn.XLOOKUP($C284,'Corporate Roster - ''25'!$C$9:$C$59,'Corporate Roster - ''25'!E$9:E$59,0)</f>
        <v>39385</v>
      </c>
      <c r="F284" s="64" t="str">
        <f>_xlfn.XLOOKUP($C284,'Corporate Roster - ''25'!$C$9:$C$59,'Corporate Roster - ''25'!F$9:F$59,0)</f>
        <v>-</v>
      </c>
      <c r="G284" s="261">
        <f>_xlfn.XLOOKUP($C284,'Corporate Roster - ''25'!$C$9:$C$59,'Corporate Roster - ''25'!H$9:H$59,0)</f>
        <v>5000</v>
      </c>
      <c r="I284" s="32">
        <f t="shared" ref="I284:T284" si="194">IF(I48&gt;0,$G284/12,0)</f>
        <v>416.66666666666669</v>
      </c>
      <c r="J284" s="10">
        <f t="shared" si="194"/>
        <v>416.66666666666669</v>
      </c>
      <c r="K284" s="10">
        <f t="shared" si="194"/>
        <v>416.66666666666669</v>
      </c>
      <c r="L284" s="10">
        <f t="shared" si="194"/>
        <v>416.66666666666669</v>
      </c>
      <c r="M284" s="10">
        <f t="shared" si="194"/>
        <v>416.66666666666669</v>
      </c>
      <c r="N284" s="10">
        <f t="shared" si="194"/>
        <v>416.66666666666669</v>
      </c>
      <c r="O284" s="10">
        <f t="shared" si="194"/>
        <v>416.66666666666669</v>
      </c>
      <c r="P284" s="10">
        <f t="shared" si="194"/>
        <v>416.66666666666669</v>
      </c>
      <c r="Q284" s="10">
        <f t="shared" si="194"/>
        <v>416.66666666666669</v>
      </c>
      <c r="R284" s="10">
        <f t="shared" si="194"/>
        <v>416.66666666666669</v>
      </c>
      <c r="S284" s="10">
        <f t="shared" si="194"/>
        <v>416.66666666666669</v>
      </c>
      <c r="T284" s="33">
        <f t="shared" si="194"/>
        <v>416.66666666666669</v>
      </c>
    </row>
    <row r="285" spans="3:20" x14ac:dyDescent="0.2">
      <c r="C285" t="s">
        <v>128</v>
      </c>
      <c r="D285" t="s">
        <v>90</v>
      </c>
      <c r="E285" s="64">
        <f>_xlfn.XLOOKUP($C285,'Corporate Roster - ''25'!$C$9:$C$59,'Corporate Roster - ''25'!E$9:E$59,0)</f>
        <v>39936</v>
      </c>
      <c r="F285" s="64" t="str">
        <f>_xlfn.XLOOKUP($C285,'Corporate Roster - ''25'!$C$9:$C$59,'Corporate Roster - ''25'!F$9:F$59,0)</f>
        <v>-</v>
      </c>
      <c r="G285" s="261">
        <f>_xlfn.XLOOKUP($C285,'Corporate Roster - ''25'!$C$9:$C$59,'Corporate Roster - ''25'!H$9:H$59,0)</f>
        <v>14000</v>
      </c>
      <c r="I285" s="32">
        <f t="shared" ref="I285:T285" si="195">IF(I49&gt;0,$G285/12,0)</f>
        <v>1166.6666666666667</v>
      </c>
      <c r="J285" s="10">
        <f t="shared" si="195"/>
        <v>1166.6666666666667</v>
      </c>
      <c r="K285" s="10">
        <f t="shared" si="195"/>
        <v>1166.6666666666667</v>
      </c>
      <c r="L285" s="10">
        <f t="shared" si="195"/>
        <v>1166.6666666666667</v>
      </c>
      <c r="M285" s="10">
        <f t="shared" si="195"/>
        <v>1166.6666666666667</v>
      </c>
      <c r="N285" s="10">
        <f t="shared" si="195"/>
        <v>1166.6666666666667</v>
      </c>
      <c r="O285" s="10">
        <f t="shared" si="195"/>
        <v>1166.6666666666667</v>
      </c>
      <c r="P285" s="10">
        <f t="shared" si="195"/>
        <v>1166.6666666666667</v>
      </c>
      <c r="Q285" s="10">
        <f t="shared" si="195"/>
        <v>1166.6666666666667</v>
      </c>
      <c r="R285" s="10">
        <f t="shared" si="195"/>
        <v>1166.6666666666667</v>
      </c>
      <c r="S285" s="10">
        <f t="shared" si="195"/>
        <v>1166.6666666666667</v>
      </c>
      <c r="T285" s="33">
        <f t="shared" si="195"/>
        <v>1166.6666666666667</v>
      </c>
    </row>
    <row r="286" spans="3:20" x14ac:dyDescent="0.2">
      <c r="C286" t="s">
        <v>129</v>
      </c>
      <c r="D286" t="s">
        <v>99</v>
      </c>
      <c r="E286" s="64">
        <f>_xlfn.XLOOKUP($C286,'Corporate Roster - ''25'!$C$9:$C$59,'Corporate Roster - ''25'!E$9:E$59,0)</f>
        <v>43887</v>
      </c>
      <c r="F286" s="64" t="str">
        <f>_xlfn.XLOOKUP($C286,'Corporate Roster - ''25'!$C$9:$C$59,'Corporate Roster - ''25'!F$9:F$59,0)</f>
        <v>-</v>
      </c>
      <c r="G286" s="261">
        <f>_xlfn.XLOOKUP($C286,'Corporate Roster - ''25'!$C$9:$C$59,'Corporate Roster - ''25'!H$9:H$59,0)</f>
        <v>4000</v>
      </c>
      <c r="I286" s="32">
        <f t="shared" ref="I286:T286" si="196">IF(I50&gt;0,$G286/12,0)</f>
        <v>333.33333333333331</v>
      </c>
      <c r="J286" s="10">
        <f t="shared" si="196"/>
        <v>333.33333333333331</v>
      </c>
      <c r="K286" s="10">
        <f t="shared" si="196"/>
        <v>333.33333333333331</v>
      </c>
      <c r="L286" s="10">
        <f t="shared" si="196"/>
        <v>333.33333333333331</v>
      </c>
      <c r="M286" s="10">
        <f t="shared" si="196"/>
        <v>333.33333333333331</v>
      </c>
      <c r="N286" s="10">
        <f t="shared" si="196"/>
        <v>333.33333333333331</v>
      </c>
      <c r="O286" s="10">
        <f t="shared" si="196"/>
        <v>333.33333333333331</v>
      </c>
      <c r="P286" s="10">
        <f t="shared" si="196"/>
        <v>333.33333333333331</v>
      </c>
      <c r="Q286" s="10">
        <f t="shared" si="196"/>
        <v>333.33333333333331</v>
      </c>
      <c r="R286" s="10">
        <f t="shared" si="196"/>
        <v>333.33333333333331</v>
      </c>
      <c r="S286" s="10">
        <f t="shared" si="196"/>
        <v>333.33333333333331</v>
      </c>
      <c r="T286" s="33">
        <f t="shared" si="196"/>
        <v>333.33333333333331</v>
      </c>
    </row>
    <row r="287" spans="3:20" x14ac:dyDescent="0.2">
      <c r="C287" t="s">
        <v>122</v>
      </c>
      <c r="D287" t="s">
        <v>99</v>
      </c>
      <c r="E287" s="64">
        <f>_xlfn.XLOOKUP($C287,'Corporate Roster - ''25'!$C$9:$C$59,'Corporate Roster - ''25'!E$9:E$59,0)</f>
        <v>44041</v>
      </c>
      <c r="F287" s="64" t="str">
        <f>_xlfn.XLOOKUP($C287,'Corporate Roster - ''25'!$C$9:$C$59,'Corporate Roster - ''25'!F$9:F$59,0)</f>
        <v>-</v>
      </c>
      <c r="G287" s="261">
        <f>_xlfn.XLOOKUP($C287,'Corporate Roster - ''25'!$C$9:$C$59,'Corporate Roster - ''25'!H$9:H$59,0)</f>
        <v>4000</v>
      </c>
      <c r="I287" s="32">
        <f t="shared" ref="I287:T287" si="197">IF(I51&gt;0,$G287/12,0)</f>
        <v>333.33333333333331</v>
      </c>
      <c r="J287" s="10">
        <f t="shared" si="197"/>
        <v>333.33333333333331</v>
      </c>
      <c r="K287" s="10">
        <f t="shared" si="197"/>
        <v>333.33333333333331</v>
      </c>
      <c r="L287" s="10">
        <f t="shared" si="197"/>
        <v>333.33333333333331</v>
      </c>
      <c r="M287" s="10">
        <f t="shared" si="197"/>
        <v>333.33333333333331</v>
      </c>
      <c r="N287" s="10">
        <f t="shared" si="197"/>
        <v>333.33333333333331</v>
      </c>
      <c r="O287" s="10">
        <f t="shared" si="197"/>
        <v>333.33333333333331</v>
      </c>
      <c r="P287" s="10">
        <f t="shared" si="197"/>
        <v>333.33333333333331</v>
      </c>
      <c r="Q287" s="10">
        <f t="shared" si="197"/>
        <v>333.33333333333331</v>
      </c>
      <c r="R287" s="10">
        <f t="shared" si="197"/>
        <v>333.33333333333331</v>
      </c>
      <c r="S287" s="10">
        <f t="shared" si="197"/>
        <v>333.33333333333331</v>
      </c>
      <c r="T287" s="33">
        <f t="shared" si="197"/>
        <v>333.33333333333331</v>
      </c>
    </row>
    <row r="288" spans="3:20" x14ac:dyDescent="0.2">
      <c r="C288" t="s">
        <v>236</v>
      </c>
      <c r="D288" t="s">
        <v>242</v>
      </c>
      <c r="E288" s="64">
        <f>_xlfn.XLOOKUP($C288,'Corporate Roster - ''25'!$C$9:$C$59,'Corporate Roster - ''25'!E$9:E$59,0)</f>
        <v>45658</v>
      </c>
      <c r="F288" s="64" t="str">
        <f>_xlfn.XLOOKUP($C288,'Corporate Roster - ''25'!$C$9:$C$59,'Corporate Roster - ''25'!F$9:F$59,0)</f>
        <v>-</v>
      </c>
      <c r="G288" s="261">
        <f>_xlfn.XLOOKUP($C288,'Corporate Roster - ''25'!$C$9:$C$59,'Corporate Roster - ''25'!H$9:H$59,0)</f>
        <v>100000</v>
      </c>
      <c r="I288" s="32">
        <f t="shared" ref="I288:T288" si="198">IF(I52&gt;0,$G288/12,0)</f>
        <v>8333.3333333333339</v>
      </c>
      <c r="J288" s="10">
        <f t="shared" si="198"/>
        <v>8333.3333333333339</v>
      </c>
      <c r="K288" s="10">
        <f t="shared" si="198"/>
        <v>8333.3333333333339</v>
      </c>
      <c r="L288" s="10">
        <f t="shared" si="198"/>
        <v>8333.3333333333339</v>
      </c>
      <c r="M288" s="10">
        <f t="shared" si="198"/>
        <v>8333.3333333333339</v>
      </c>
      <c r="N288" s="10">
        <f t="shared" si="198"/>
        <v>8333.3333333333339</v>
      </c>
      <c r="O288" s="10">
        <f t="shared" si="198"/>
        <v>8333.3333333333339</v>
      </c>
      <c r="P288" s="10">
        <f t="shared" si="198"/>
        <v>8333.3333333333339</v>
      </c>
      <c r="Q288" s="10">
        <f t="shared" si="198"/>
        <v>8333.3333333333339</v>
      </c>
      <c r="R288" s="10">
        <f t="shared" si="198"/>
        <v>8333.3333333333339</v>
      </c>
      <c r="S288" s="10">
        <f t="shared" si="198"/>
        <v>8333.3333333333339</v>
      </c>
      <c r="T288" s="33">
        <f t="shared" si="198"/>
        <v>8333.3333333333339</v>
      </c>
    </row>
    <row r="289" spans="2:23" x14ac:dyDescent="0.2">
      <c r="C289" t="s">
        <v>238</v>
      </c>
      <c r="D289" t="s">
        <v>243</v>
      </c>
      <c r="E289" s="64">
        <f>_xlfn.XLOOKUP($C289,'Corporate Roster - ''25'!$C$9:$C$59,'Corporate Roster - ''25'!E$9:E$59,0)</f>
        <v>45658</v>
      </c>
      <c r="F289" s="64" t="str">
        <f>_xlfn.XLOOKUP($C289,'Corporate Roster - ''25'!$C$9:$C$59,'Corporate Roster - ''25'!F$9:F$59,0)</f>
        <v>-</v>
      </c>
      <c r="G289" s="261">
        <f>_xlfn.XLOOKUP($C289,'Corporate Roster - ''25'!$C$9:$C$59,'Corporate Roster - ''25'!H$9:H$59,0)</f>
        <v>13000</v>
      </c>
      <c r="I289" s="32">
        <f t="shared" ref="I289:T289" si="199">IF(I53&gt;0,$G289/12,0)</f>
        <v>1083.3333333333333</v>
      </c>
      <c r="J289" s="10">
        <f t="shared" si="199"/>
        <v>1083.3333333333333</v>
      </c>
      <c r="K289" s="10">
        <f t="shared" si="199"/>
        <v>1083.3333333333333</v>
      </c>
      <c r="L289" s="10">
        <f t="shared" si="199"/>
        <v>1083.3333333333333</v>
      </c>
      <c r="M289" s="10">
        <f t="shared" si="199"/>
        <v>1083.3333333333333</v>
      </c>
      <c r="N289" s="10">
        <f t="shared" si="199"/>
        <v>1083.3333333333333</v>
      </c>
      <c r="O289" s="10">
        <f t="shared" si="199"/>
        <v>1083.3333333333333</v>
      </c>
      <c r="P289" s="10">
        <f t="shared" si="199"/>
        <v>1083.3333333333333</v>
      </c>
      <c r="Q289" s="10">
        <f t="shared" si="199"/>
        <v>1083.3333333333333</v>
      </c>
      <c r="R289" s="10">
        <f t="shared" si="199"/>
        <v>1083.3333333333333</v>
      </c>
      <c r="S289" s="10">
        <f t="shared" si="199"/>
        <v>1083.3333333333333</v>
      </c>
      <c r="T289" s="33">
        <f t="shared" si="199"/>
        <v>1083.3333333333333</v>
      </c>
    </row>
    <row r="290" spans="2:23" x14ac:dyDescent="0.2">
      <c r="C290" t="s">
        <v>237</v>
      </c>
      <c r="D290" t="s">
        <v>244</v>
      </c>
      <c r="E290" s="64">
        <f>_xlfn.XLOOKUP($C290,'Corporate Roster - ''25'!$C$9:$C$59,'Corporate Roster - ''25'!E$9:E$59,0)</f>
        <v>45658</v>
      </c>
      <c r="F290" s="64" t="str">
        <f>_xlfn.XLOOKUP($C290,'Corporate Roster - ''25'!$C$9:$C$59,'Corporate Roster - ''25'!F$9:F$59,0)</f>
        <v>-</v>
      </c>
      <c r="G290" s="261">
        <f>_xlfn.XLOOKUP($C290,'Corporate Roster - ''25'!$C$9:$C$59,'Corporate Roster - ''25'!H$9:H$59,0)</f>
        <v>32000</v>
      </c>
      <c r="I290" s="32">
        <f t="shared" ref="I290:T290" si="200">IF(I54&gt;0,$G290/12,0)</f>
        <v>2666.6666666666665</v>
      </c>
      <c r="J290" s="10">
        <f t="shared" si="200"/>
        <v>2666.6666666666665</v>
      </c>
      <c r="K290" s="10">
        <f t="shared" si="200"/>
        <v>2666.6666666666665</v>
      </c>
      <c r="L290" s="10">
        <f t="shared" si="200"/>
        <v>2666.6666666666665</v>
      </c>
      <c r="M290" s="10">
        <f t="shared" si="200"/>
        <v>2666.6666666666665</v>
      </c>
      <c r="N290" s="10">
        <f t="shared" si="200"/>
        <v>2666.6666666666665</v>
      </c>
      <c r="O290" s="10">
        <f t="shared" si="200"/>
        <v>2666.6666666666665</v>
      </c>
      <c r="P290" s="10">
        <f t="shared" si="200"/>
        <v>2666.6666666666665</v>
      </c>
      <c r="Q290" s="10">
        <f t="shared" si="200"/>
        <v>2666.6666666666665</v>
      </c>
      <c r="R290" s="10">
        <f t="shared" si="200"/>
        <v>2666.6666666666665</v>
      </c>
      <c r="S290" s="10">
        <f t="shared" si="200"/>
        <v>2666.6666666666665</v>
      </c>
      <c r="T290" s="33">
        <f t="shared" si="200"/>
        <v>2666.6666666666665</v>
      </c>
    </row>
    <row r="291" spans="2:23" x14ac:dyDescent="0.2">
      <c r="C291" t="s">
        <v>239</v>
      </c>
      <c r="D291" t="s">
        <v>245</v>
      </c>
      <c r="E291" s="64">
        <f>_xlfn.XLOOKUP($C291,'Corporate Roster - ''25'!$C$9:$C$59,'Corporate Roster - ''25'!E$9:E$59,0)</f>
        <v>45689</v>
      </c>
      <c r="F291" s="64" t="str">
        <f>_xlfn.XLOOKUP($C291,'Corporate Roster - ''25'!$C$9:$C$59,'Corporate Roster - ''25'!F$9:F$59,0)</f>
        <v>-</v>
      </c>
      <c r="G291" s="261">
        <f>_xlfn.XLOOKUP($C291,'Corporate Roster - ''25'!$C$9:$C$59,'Corporate Roster - ''25'!H$9:H$59,0)</f>
        <v>100000</v>
      </c>
      <c r="I291" s="32">
        <f t="shared" ref="I291:T291" si="201">IF(I55&gt;0,$G291/12,0)</f>
        <v>0</v>
      </c>
      <c r="J291" s="10">
        <f t="shared" si="201"/>
        <v>8333.3333333333339</v>
      </c>
      <c r="K291" s="10">
        <f t="shared" si="201"/>
        <v>8333.3333333333339</v>
      </c>
      <c r="L291" s="10">
        <f t="shared" si="201"/>
        <v>8333.3333333333339</v>
      </c>
      <c r="M291" s="10">
        <f t="shared" si="201"/>
        <v>8333.3333333333339</v>
      </c>
      <c r="N291" s="10">
        <f t="shared" si="201"/>
        <v>8333.3333333333339</v>
      </c>
      <c r="O291" s="10">
        <f t="shared" si="201"/>
        <v>8333.3333333333339</v>
      </c>
      <c r="P291" s="10">
        <f t="shared" si="201"/>
        <v>8333.3333333333339</v>
      </c>
      <c r="Q291" s="10">
        <f t="shared" si="201"/>
        <v>8333.3333333333339</v>
      </c>
      <c r="R291" s="10">
        <f t="shared" si="201"/>
        <v>8333.3333333333339</v>
      </c>
      <c r="S291" s="10">
        <f t="shared" si="201"/>
        <v>8333.3333333333339</v>
      </c>
      <c r="T291" s="33">
        <f t="shared" si="201"/>
        <v>8333.3333333333339</v>
      </c>
    </row>
    <row r="292" spans="2:23" x14ac:dyDescent="0.2">
      <c r="C292" t="s">
        <v>240</v>
      </c>
      <c r="D292" t="s">
        <v>246</v>
      </c>
      <c r="E292" s="64">
        <f>_xlfn.XLOOKUP($C292,'Corporate Roster - ''25'!$C$9:$C$59,'Corporate Roster - ''25'!E$9:E$59,0)</f>
        <v>45689</v>
      </c>
      <c r="F292" s="64" t="str">
        <f>_xlfn.XLOOKUP($C292,'Corporate Roster - ''25'!$C$9:$C$59,'Corporate Roster - ''25'!F$9:F$59,0)</f>
        <v>-</v>
      </c>
      <c r="G292" s="261">
        <f>_xlfn.XLOOKUP($C292,'Corporate Roster - ''25'!$C$9:$C$59,'Corporate Roster - ''25'!H$9:H$59,0)</f>
        <v>13000</v>
      </c>
      <c r="I292" s="32">
        <f t="shared" ref="I292:T292" si="202">IF(I56&gt;0,$G292/12,0)</f>
        <v>0</v>
      </c>
      <c r="J292" s="10">
        <f t="shared" si="202"/>
        <v>1083.3333333333333</v>
      </c>
      <c r="K292" s="10">
        <f t="shared" si="202"/>
        <v>1083.3333333333333</v>
      </c>
      <c r="L292" s="10">
        <f t="shared" si="202"/>
        <v>1083.3333333333333</v>
      </c>
      <c r="M292" s="10">
        <f t="shared" si="202"/>
        <v>1083.3333333333333</v>
      </c>
      <c r="N292" s="10">
        <f t="shared" si="202"/>
        <v>1083.3333333333333</v>
      </c>
      <c r="O292" s="10">
        <f t="shared" si="202"/>
        <v>1083.3333333333333</v>
      </c>
      <c r="P292" s="10">
        <f t="shared" si="202"/>
        <v>1083.3333333333333</v>
      </c>
      <c r="Q292" s="10">
        <f t="shared" si="202"/>
        <v>1083.3333333333333</v>
      </c>
      <c r="R292" s="10">
        <f t="shared" si="202"/>
        <v>1083.3333333333333</v>
      </c>
      <c r="S292" s="10">
        <f t="shared" si="202"/>
        <v>1083.3333333333333</v>
      </c>
      <c r="T292" s="33">
        <f t="shared" si="202"/>
        <v>1083.3333333333333</v>
      </c>
    </row>
    <row r="293" spans="2:23" x14ac:dyDescent="0.2">
      <c r="C293" t="s">
        <v>241</v>
      </c>
      <c r="D293" t="s">
        <v>247</v>
      </c>
      <c r="E293" s="64">
        <f>_xlfn.XLOOKUP($C293,'Corporate Roster - ''25'!$C$9:$C$59,'Corporate Roster - ''25'!E$9:E$59,0)</f>
        <v>45689</v>
      </c>
      <c r="F293" s="64" t="str">
        <f>_xlfn.XLOOKUP($C293,'Corporate Roster - ''25'!$C$9:$C$59,'Corporate Roster - ''25'!F$9:F$59,0)</f>
        <v>-</v>
      </c>
      <c r="G293" s="261">
        <f>_xlfn.XLOOKUP($C293,'Corporate Roster - ''25'!$C$9:$C$59,'Corporate Roster - ''25'!H$9:H$59,0)</f>
        <v>20000</v>
      </c>
      <c r="I293" s="32">
        <f t="shared" ref="I293:T293" si="203">IF(I57&gt;0,$G293/12,0)</f>
        <v>0</v>
      </c>
      <c r="J293" s="10">
        <f t="shared" si="203"/>
        <v>1666.6666666666667</v>
      </c>
      <c r="K293" s="10">
        <f t="shared" si="203"/>
        <v>1666.6666666666667</v>
      </c>
      <c r="L293" s="10">
        <f t="shared" si="203"/>
        <v>1666.6666666666667</v>
      </c>
      <c r="M293" s="10">
        <f t="shared" si="203"/>
        <v>1666.6666666666667</v>
      </c>
      <c r="N293" s="10">
        <f t="shared" si="203"/>
        <v>1666.6666666666667</v>
      </c>
      <c r="O293" s="10">
        <f t="shared" si="203"/>
        <v>1666.6666666666667</v>
      </c>
      <c r="P293" s="10">
        <f t="shared" si="203"/>
        <v>1666.6666666666667</v>
      </c>
      <c r="Q293" s="10">
        <f t="shared" si="203"/>
        <v>1666.6666666666667</v>
      </c>
      <c r="R293" s="10">
        <f t="shared" si="203"/>
        <v>1666.6666666666667</v>
      </c>
      <c r="S293" s="10">
        <f t="shared" si="203"/>
        <v>1666.6666666666667</v>
      </c>
      <c r="T293" s="33">
        <f t="shared" si="203"/>
        <v>1666.6666666666667</v>
      </c>
    </row>
    <row r="294" spans="2:23" x14ac:dyDescent="0.2">
      <c r="C294" s="8" t="s">
        <v>279</v>
      </c>
      <c r="D294" s="252"/>
      <c r="E294" s="252"/>
      <c r="F294" s="337"/>
      <c r="G294" s="262">
        <f>SUM(G243:G293)</f>
        <v>1305000</v>
      </c>
      <c r="I294" s="263">
        <f t="shared" ref="I294:T294" si="204">SUM(I243:I293)</f>
        <v>97666.666666666657</v>
      </c>
      <c r="J294" s="263">
        <f t="shared" si="204"/>
        <v>108749.99999999999</v>
      </c>
      <c r="K294" s="263">
        <f t="shared" si="204"/>
        <v>108749.99999999999</v>
      </c>
      <c r="L294" s="263">
        <f t="shared" si="204"/>
        <v>108749.99999999999</v>
      </c>
      <c r="M294" s="263">
        <f t="shared" si="204"/>
        <v>108749.99999999999</v>
      </c>
      <c r="N294" s="263">
        <f t="shared" si="204"/>
        <v>108749.99999999999</v>
      </c>
      <c r="O294" s="263">
        <f t="shared" si="204"/>
        <v>108749.99999999999</v>
      </c>
      <c r="P294" s="263">
        <f t="shared" si="204"/>
        <v>108749.99999999999</v>
      </c>
      <c r="Q294" s="263">
        <f t="shared" si="204"/>
        <v>108749.99999999999</v>
      </c>
      <c r="R294" s="263">
        <f t="shared" si="204"/>
        <v>108749.99999999999</v>
      </c>
      <c r="S294" s="263">
        <f t="shared" si="204"/>
        <v>108749.99999999999</v>
      </c>
      <c r="T294" s="263">
        <f t="shared" si="204"/>
        <v>108749.99999999999</v>
      </c>
    </row>
    <row r="296" spans="2:23" x14ac:dyDescent="0.2">
      <c r="T296" s="55"/>
      <c r="V296" s="55"/>
      <c r="W296" s="55"/>
    </row>
    <row r="297" spans="2:23" ht="13.5" thickBot="1" x14ac:dyDescent="0.25">
      <c r="B297" s="48" t="s">
        <v>0</v>
      </c>
      <c r="C297" s="1"/>
      <c r="D297" s="1"/>
      <c r="E297" s="1"/>
      <c r="F297" s="1"/>
      <c r="G297" s="1"/>
      <c r="H297" s="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3">
        <f ca="1">TODAY()</f>
        <v>45999</v>
      </c>
      <c r="U297" s="1"/>
    </row>
    <row r="298" spans="2:23" x14ac:dyDescent="0.2">
      <c r="B298" s="47"/>
      <c r="C298" s="24" t="s">
        <v>158</v>
      </c>
      <c r="H298" s="6"/>
      <c r="T298" s="53" t="s">
        <v>228</v>
      </c>
    </row>
    <row r="299" spans="2:23" x14ac:dyDescent="0.2">
      <c r="B299" s="47"/>
      <c r="H299" s="6"/>
    </row>
    <row r="300" spans="2:23" ht="15" customHeight="1" x14ac:dyDescent="0.2">
      <c r="B300" s="47"/>
      <c r="E300" s="77" t="s">
        <v>143</v>
      </c>
      <c r="F300" s="77" t="s">
        <v>144</v>
      </c>
      <c r="G300" s="227" t="s">
        <v>154</v>
      </c>
      <c r="H300" s="52" t="s">
        <v>56</v>
      </c>
      <c r="I300" s="20">
        <v>2025</v>
      </c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2"/>
    </row>
    <row r="301" spans="2:23" ht="15" x14ac:dyDescent="0.35">
      <c r="C301" s="59" t="s">
        <v>57</v>
      </c>
      <c r="D301" s="59" t="s">
        <v>58</v>
      </c>
      <c r="E301" s="59" t="s">
        <v>142</v>
      </c>
      <c r="F301" s="59" t="s">
        <v>142</v>
      </c>
      <c r="G301" s="259">
        <v>46022</v>
      </c>
      <c r="H301" s="51"/>
      <c r="I301" s="4">
        <v>45688</v>
      </c>
      <c r="J301" s="19">
        <f>EOMONTH(I301,1)</f>
        <v>45716</v>
      </c>
      <c r="K301" s="19">
        <f t="shared" ref="K301" si="205">EOMONTH(J301,1)</f>
        <v>45747</v>
      </c>
      <c r="L301" s="19">
        <f t="shared" ref="L301" si="206">EOMONTH(K301,1)</f>
        <v>45777</v>
      </c>
      <c r="M301" s="19">
        <f t="shared" ref="M301" si="207">EOMONTH(L301,1)</f>
        <v>45808</v>
      </c>
      <c r="N301" s="19">
        <f t="shared" ref="N301" si="208">EOMONTH(M301,1)</f>
        <v>45838</v>
      </c>
      <c r="O301" s="19">
        <f t="shared" ref="O301" si="209">EOMONTH(N301,1)</f>
        <v>45869</v>
      </c>
      <c r="P301" s="19">
        <f t="shared" ref="P301" si="210">EOMONTH(O301,1)</f>
        <v>45900</v>
      </c>
      <c r="Q301" s="19">
        <f t="shared" ref="Q301" si="211">EOMONTH(P301,1)</f>
        <v>45930</v>
      </c>
      <c r="R301" s="19">
        <f t="shared" ref="R301" si="212">EOMONTH(Q301,1)</f>
        <v>45961</v>
      </c>
      <c r="S301" s="19">
        <f t="shared" ref="S301" si="213">EOMONTH(R301,1)</f>
        <v>45991</v>
      </c>
      <c r="T301" s="5">
        <f t="shared" ref="T301" si="214">EOMONTH(S301,1)</f>
        <v>46022</v>
      </c>
    </row>
    <row r="302" spans="2:23" x14ac:dyDescent="0.2">
      <c r="C302" t="s">
        <v>137</v>
      </c>
      <c r="D302" t="s">
        <v>66</v>
      </c>
      <c r="E302" s="64">
        <f>_xlfn.XLOOKUP($C302,'Corporate Roster - ''25'!$C$9:$C$59,'Corporate Roster - ''25'!E$9:E$59,0)</f>
        <v>40848</v>
      </c>
      <c r="F302" s="64" t="str">
        <f>_xlfn.XLOOKUP($C302,'Corporate Roster - ''25'!$C$9:$C$59,'Corporate Roster - ''25'!F$9:F$59,0)</f>
        <v>-</v>
      </c>
      <c r="G302" s="260">
        <f>_xlfn.XLOOKUP($C302,'Corporate Roster - ''25'!$C$9:$C$59,'Corporate Roster - ''25'!K$9:K$59,0)</f>
        <v>649000</v>
      </c>
      <c r="I302" s="56">
        <f t="shared" ref="I302:T302" si="215">I243+I125+I7</f>
        <v>54083.333333333328</v>
      </c>
      <c r="J302" s="55">
        <f t="shared" si="215"/>
        <v>54083.333333333328</v>
      </c>
      <c r="K302" s="55">
        <f t="shared" si="215"/>
        <v>54083.333333333328</v>
      </c>
      <c r="L302" s="55">
        <f t="shared" si="215"/>
        <v>54083.333333333328</v>
      </c>
      <c r="M302" s="55">
        <f t="shared" si="215"/>
        <v>54083.333333333328</v>
      </c>
      <c r="N302" s="55">
        <f t="shared" si="215"/>
        <v>54083.333333333328</v>
      </c>
      <c r="O302" s="55">
        <f t="shared" si="215"/>
        <v>54083.333333333328</v>
      </c>
      <c r="P302" s="55">
        <f t="shared" si="215"/>
        <v>54083.333333333328</v>
      </c>
      <c r="Q302" s="55">
        <f t="shared" si="215"/>
        <v>54083.333333333328</v>
      </c>
      <c r="R302" s="55">
        <f t="shared" si="215"/>
        <v>54083.333333333328</v>
      </c>
      <c r="S302" s="55">
        <f t="shared" si="215"/>
        <v>54083.333333333328</v>
      </c>
      <c r="T302" s="61">
        <f t="shared" si="215"/>
        <v>54083.333333333328</v>
      </c>
    </row>
    <row r="303" spans="2:23" x14ac:dyDescent="0.2">
      <c r="C303" t="s">
        <v>67</v>
      </c>
      <c r="D303" t="s">
        <v>68</v>
      </c>
      <c r="E303" s="64">
        <f>_xlfn.XLOOKUP($C303,'Corporate Roster - ''25'!$C$9:$C$59,'Corporate Roster - ''25'!E$9:E$59,0)</f>
        <v>41718</v>
      </c>
      <c r="F303" s="64" t="str">
        <f>_xlfn.XLOOKUP($C303,'Corporate Roster - ''25'!$C$9:$C$59,'Corporate Roster - ''25'!F$9:F$59,0)</f>
        <v>-</v>
      </c>
      <c r="G303" s="261">
        <f>_xlfn.XLOOKUP($C303,'Corporate Roster - ''25'!$C$9:$C$59,'Corporate Roster - ''25'!K$9:K$59,0)</f>
        <v>468000</v>
      </c>
      <c r="I303" s="32">
        <f t="shared" ref="I303:T303" si="216">I244+I126+I8</f>
        <v>39000</v>
      </c>
      <c r="J303" s="10">
        <f t="shared" si="216"/>
        <v>39000</v>
      </c>
      <c r="K303" s="10">
        <f t="shared" si="216"/>
        <v>39000</v>
      </c>
      <c r="L303" s="10">
        <f t="shared" si="216"/>
        <v>39000</v>
      </c>
      <c r="M303" s="10">
        <f t="shared" si="216"/>
        <v>39000</v>
      </c>
      <c r="N303" s="10">
        <f t="shared" si="216"/>
        <v>39000</v>
      </c>
      <c r="O303" s="10">
        <f t="shared" si="216"/>
        <v>39000</v>
      </c>
      <c r="P303" s="10">
        <f t="shared" si="216"/>
        <v>39000</v>
      </c>
      <c r="Q303" s="10">
        <f t="shared" si="216"/>
        <v>39000</v>
      </c>
      <c r="R303" s="10">
        <f t="shared" si="216"/>
        <v>39000</v>
      </c>
      <c r="S303" s="10">
        <f t="shared" si="216"/>
        <v>39000</v>
      </c>
      <c r="T303" s="33">
        <f t="shared" si="216"/>
        <v>39000</v>
      </c>
    </row>
    <row r="304" spans="2:23" x14ac:dyDescent="0.2">
      <c r="C304" t="s">
        <v>69</v>
      </c>
      <c r="D304" t="s">
        <v>70</v>
      </c>
      <c r="E304" s="64">
        <f>_xlfn.XLOOKUP($C304,'Corporate Roster - ''25'!$C$9:$C$59,'Corporate Roster - ''25'!E$9:E$59,0)</f>
        <v>39601</v>
      </c>
      <c r="F304" s="64" t="str">
        <f>_xlfn.XLOOKUP($C304,'Corporate Roster - ''25'!$C$9:$C$59,'Corporate Roster - ''25'!F$9:F$59,0)</f>
        <v>-</v>
      </c>
      <c r="G304" s="261">
        <f>_xlfn.XLOOKUP($C304,'Corporate Roster - ''25'!$C$9:$C$59,'Corporate Roster - ''25'!K$9:K$59,0)</f>
        <v>468000</v>
      </c>
      <c r="I304" s="32">
        <f t="shared" ref="I304:T304" si="217">I245+I127+I9</f>
        <v>39000</v>
      </c>
      <c r="J304" s="10">
        <f t="shared" si="217"/>
        <v>39000</v>
      </c>
      <c r="K304" s="10">
        <f t="shared" si="217"/>
        <v>39000</v>
      </c>
      <c r="L304" s="10">
        <f t="shared" si="217"/>
        <v>39000</v>
      </c>
      <c r="M304" s="10">
        <f t="shared" si="217"/>
        <v>39000</v>
      </c>
      <c r="N304" s="10">
        <f t="shared" si="217"/>
        <v>39000</v>
      </c>
      <c r="O304" s="10">
        <f t="shared" si="217"/>
        <v>39000</v>
      </c>
      <c r="P304" s="10">
        <f t="shared" si="217"/>
        <v>39000</v>
      </c>
      <c r="Q304" s="10">
        <f t="shared" si="217"/>
        <v>39000</v>
      </c>
      <c r="R304" s="10">
        <f t="shared" si="217"/>
        <v>39000</v>
      </c>
      <c r="S304" s="10">
        <f t="shared" si="217"/>
        <v>39000</v>
      </c>
      <c r="T304" s="33">
        <f t="shared" si="217"/>
        <v>39000</v>
      </c>
    </row>
    <row r="305" spans="3:20" x14ac:dyDescent="0.2">
      <c r="C305" t="s">
        <v>71</v>
      </c>
      <c r="D305" t="s">
        <v>72</v>
      </c>
      <c r="E305" s="64">
        <f>_xlfn.XLOOKUP($C305,'Corporate Roster - ''25'!$C$9:$C$59,'Corporate Roster - ''25'!E$9:E$59,0)</f>
        <v>44453</v>
      </c>
      <c r="F305" s="64" t="str">
        <f>_xlfn.XLOOKUP($C305,'Corporate Roster - ''25'!$C$9:$C$59,'Corporate Roster - ''25'!F$9:F$59,0)</f>
        <v>-</v>
      </c>
      <c r="G305" s="261">
        <f>_xlfn.XLOOKUP($C305,'Corporate Roster - ''25'!$C$9:$C$59,'Corporate Roster - ''25'!K$9:K$59,0)</f>
        <v>435000</v>
      </c>
      <c r="I305" s="32">
        <f t="shared" ref="I305:T305" si="218">I246+I128+I10</f>
        <v>36250</v>
      </c>
      <c r="J305" s="10">
        <f t="shared" si="218"/>
        <v>36250</v>
      </c>
      <c r="K305" s="10">
        <f t="shared" si="218"/>
        <v>36250</v>
      </c>
      <c r="L305" s="10">
        <f t="shared" si="218"/>
        <v>36250</v>
      </c>
      <c r="M305" s="10">
        <f t="shared" si="218"/>
        <v>36250</v>
      </c>
      <c r="N305" s="10">
        <f t="shared" si="218"/>
        <v>36250</v>
      </c>
      <c r="O305" s="10">
        <f t="shared" si="218"/>
        <v>36250</v>
      </c>
      <c r="P305" s="10">
        <f t="shared" si="218"/>
        <v>36250</v>
      </c>
      <c r="Q305" s="10">
        <f t="shared" si="218"/>
        <v>36250</v>
      </c>
      <c r="R305" s="10">
        <f t="shared" si="218"/>
        <v>36250</v>
      </c>
      <c r="S305" s="10">
        <f t="shared" si="218"/>
        <v>36250</v>
      </c>
      <c r="T305" s="33">
        <f t="shared" si="218"/>
        <v>36250</v>
      </c>
    </row>
    <row r="306" spans="3:20" x14ac:dyDescent="0.2">
      <c r="C306" t="s">
        <v>145</v>
      </c>
      <c r="D306" t="s">
        <v>74</v>
      </c>
      <c r="E306" s="64">
        <f>_xlfn.XLOOKUP($C306,'Corporate Roster - ''25'!$C$9:$C$59,'Corporate Roster - ''25'!E$9:E$59,0)</f>
        <v>39783</v>
      </c>
      <c r="F306" s="64" t="str">
        <f>_xlfn.XLOOKUP($C306,'Corporate Roster - ''25'!$C$9:$C$59,'Corporate Roster - ''25'!F$9:F$59,0)</f>
        <v>-</v>
      </c>
      <c r="G306" s="261">
        <f>_xlfn.XLOOKUP($C306,'Corporate Roster - ''25'!$C$9:$C$59,'Corporate Roster - ''25'!K$9:K$59,0)</f>
        <v>352000</v>
      </c>
      <c r="I306" s="32">
        <f t="shared" ref="I306:T306" si="219">I247+I129+I11</f>
        <v>29333.333333333332</v>
      </c>
      <c r="J306" s="10">
        <f t="shared" si="219"/>
        <v>29333.333333333332</v>
      </c>
      <c r="K306" s="10">
        <f t="shared" si="219"/>
        <v>29333.333333333332</v>
      </c>
      <c r="L306" s="10">
        <f t="shared" si="219"/>
        <v>29333.333333333332</v>
      </c>
      <c r="M306" s="10">
        <f t="shared" si="219"/>
        <v>29333.333333333332</v>
      </c>
      <c r="N306" s="10">
        <f t="shared" si="219"/>
        <v>29333.333333333332</v>
      </c>
      <c r="O306" s="10">
        <f t="shared" si="219"/>
        <v>29333.333333333332</v>
      </c>
      <c r="P306" s="10">
        <f t="shared" si="219"/>
        <v>29333.333333333332</v>
      </c>
      <c r="Q306" s="10">
        <f t="shared" si="219"/>
        <v>29333.333333333332</v>
      </c>
      <c r="R306" s="10">
        <f t="shared" si="219"/>
        <v>29333.333333333332</v>
      </c>
      <c r="S306" s="10">
        <f t="shared" si="219"/>
        <v>29333.333333333332</v>
      </c>
      <c r="T306" s="33">
        <f t="shared" si="219"/>
        <v>29333.333333333332</v>
      </c>
    </row>
    <row r="307" spans="3:20" x14ac:dyDescent="0.2">
      <c r="C307" t="s">
        <v>146</v>
      </c>
      <c r="D307" t="s">
        <v>76</v>
      </c>
      <c r="E307" s="64">
        <f>_xlfn.XLOOKUP($C307,'Corporate Roster - ''25'!$C$9:$C$59,'Corporate Roster - ''25'!E$9:E$59,0)</f>
        <v>42573</v>
      </c>
      <c r="F307" s="64" t="str">
        <f>_xlfn.XLOOKUP($C307,'Corporate Roster - ''25'!$C$9:$C$59,'Corporate Roster - ''25'!F$9:F$59,0)</f>
        <v>-</v>
      </c>
      <c r="G307" s="261">
        <f>_xlfn.XLOOKUP($C307,'Corporate Roster - ''25'!$C$9:$C$59,'Corporate Roster - ''25'!K$9:K$59,0)</f>
        <v>352000</v>
      </c>
      <c r="I307" s="32">
        <f t="shared" ref="I307:T307" si="220">I248+I130+I12</f>
        <v>29333.333333333332</v>
      </c>
      <c r="J307" s="10">
        <f t="shared" si="220"/>
        <v>29333.333333333332</v>
      </c>
      <c r="K307" s="10">
        <f t="shared" si="220"/>
        <v>29333.333333333332</v>
      </c>
      <c r="L307" s="10">
        <f t="shared" si="220"/>
        <v>29333.333333333332</v>
      </c>
      <c r="M307" s="10">
        <f t="shared" si="220"/>
        <v>29333.333333333332</v>
      </c>
      <c r="N307" s="10">
        <f t="shared" si="220"/>
        <v>29333.333333333332</v>
      </c>
      <c r="O307" s="10">
        <f t="shared" si="220"/>
        <v>29333.333333333332</v>
      </c>
      <c r="P307" s="10">
        <f t="shared" si="220"/>
        <v>29333.333333333332</v>
      </c>
      <c r="Q307" s="10">
        <f t="shared" si="220"/>
        <v>29333.333333333332</v>
      </c>
      <c r="R307" s="10">
        <f t="shared" si="220"/>
        <v>29333.333333333332</v>
      </c>
      <c r="S307" s="10">
        <f t="shared" si="220"/>
        <v>29333.333333333332</v>
      </c>
      <c r="T307" s="33">
        <f t="shared" si="220"/>
        <v>29333.333333333332</v>
      </c>
    </row>
    <row r="308" spans="3:20" x14ac:dyDescent="0.2">
      <c r="C308" t="s">
        <v>77</v>
      </c>
      <c r="D308" t="s">
        <v>78</v>
      </c>
      <c r="E308" s="64">
        <f>_xlfn.XLOOKUP($C308,'Corporate Roster - ''25'!$C$9:$C$59,'Corporate Roster - ''25'!E$9:E$59,0)</f>
        <v>38481</v>
      </c>
      <c r="F308" s="64" t="str">
        <f>_xlfn.XLOOKUP($C308,'Corporate Roster - ''25'!$C$9:$C$59,'Corporate Roster - ''25'!F$9:F$59,0)</f>
        <v>-</v>
      </c>
      <c r="G308" s="261">
        <f>_xlfn.XLOOKUP($C308,'Corporate Roster - ''25'!$C$9:$C$59,'Corporate Roster - ''25'!K$9:K$59,0)</f>
        <v>307000</v>
      </c>
      <c r="I308" s="32">
        <f t="shared" ref="I308:T308" si="221">I249+I131+I13</f>
        <v>25583.333333333332</v>
      </c>
      <c r="J308" s="10">
        <f t="shared" si="221"/>
        <v>25583.333333333332</v>
      </c>
      <c r="K308" s="10">
        <f t="shared" si="221"/>
        <v>25583.333333333332</v>
      </c>
      <c r="L308" s="10">
        <f t="shared" si="221"/>
        <v>25583.333333333332</v>
      </c>
      <c r="M308" s="10">
        <f t="shared" si="221"/>
        <v>25583.333333333332</v>
      </c>
      <c r="N308" s="10">
        <f t="shared" si="221"/>
        <v>25583.333333333332</v>
      </c>
      <c r="O308" s="10">
        <f t="shared" si="221"/>
        <v>25583.333333333332</v>
      </c>
      <c r="P308" s="10">
        <f t="shared" si="221"/>
        <v>25583.333333333332</v>
      </c>
      <c r="Q308" s="10">
        <f t="shared" si="221"/>
        <v>25583.333333333332</v>
      </c>
      <c r="R308" s="10">
        <f t="shared" si="221"/>
        <v>25583.333333333332</v>
      </c>
      <c r="S308" s="10">
        <f t="shared" si="221"/>
        <v>25583.333333333332</v>
      </c>
      <c r="T308" s="33">
        <f t="shared" si="221"/>
        <v>25583.333333333332</v>
      </c>
    </row>
    <row r="309" spans="3:20" x14ac:dyDescent="0.2">
      <c r="C309" t="s">
        <v>79</v>
      </c>
      <c r="D309" t="s">
        <v>80</v>
      </c>
      <c r="E309" s="64">
        <f>_xlfn.XLOOKUP($C309,'Corporate Roster - ''25'!$C$9:$C$59,'Corporate Roster - ''25'!E$9:E$59,0)</f>
        <v>38427</v>
      </c>
      <c r="F309" s="64" t="str">
        <f>_xlfn.XLOOKUP($C309,'Corporate Roster - ''25'!$C$9:$C$59,'Corporate Roster - ''25'!F$9:F$59,0)</f>
        <v>-</v>
      </c>
      <c r="G309" s="261">
        <f>_xlfn.XLOOKUP($C309,'Corporate Roster - ''25'!$C$9:$C$59,'Corporate Roster - ''25'!K$9:K$59,0)</f>
        <v>264000</v>
      </c>
      <c r="I309" s="32">
        <f t="shared" ref="I309:T309" si="222">I250+I132+I14</f>
        <v>22000</v>
      </c>
      <c r="J309" s="10">
        <f t="shared" si="222"/>
        <v>22000</v>
      </c>
      <c r="K309" s="10">
        <f t="shared" si="222"/>
        <v>22000</v>
      </c>
      <c r="L309" s="10">
        <f t="shared" si="222"/>
        <v>22000</v>
      </c>
      <c r="M309" s="10">
        <f t="shared" si="222"/>
        <v>22000</v>
      </c>
      <c r="N309" s="10">
        <f t="shared" si="222"/>
        <v>22000</v>
      </c>
      <c r="O309" s="10">
        <f t="shared" si="222"/>
        <v>22000</v>
      </c>
      <c r="P309" s="10">
        <f t="shared" si="222"/>
        <v>22000</v>
      </c>
      <c r="Q309" s="10">
        <f t="shared" si="222"/>
        <v>22000</v>
      </c>
      <c r="R309" s="10">
        <f t="shared" si="222"/>
        <v>22000</v>
      </c>
      <c r="S309" s="10">
        <f t="shared" si="222"/>
        <v>22000</v>
      </c>
      <c r="T309" s="33">
        <f t="shared" si="222"/>
        <v>22000</v>
      </c>
    </row>
    <row r="310" spans="3:20" x14ac:dyDescent="0.2">
      <c r="C310" t="s">
        <v>147</v>
      </c>
      <c r="D310" t="s">
        <v>82</v>
      </c>
      <c r="E310" s="64">
        <f>_xlfn.XLOOKUP($C310,'Corporate Roster - ''25'!$C$9:$C$59,'Corporate Roster - ''25'!E$9:E$59,0)</f>
        <v>42696</v>
      </c>
      <c r="F310" s="64" t="str">
        <f>_xlfn.XLOOKUP($C310,'Corporate Roster - ''25'!$C$9:$C$59,'Corporate Roster - ''25'!F$9:F$59,0)</f>
        <v>-</v>
      </c>
      <c r="G310" s="261">
        <f>_xlfn.XLOOKUP($C310,'Corporate Roster - ''25'!$C$9:$C$59,'Corporate Roster - ''25'!K$9:K$59,0)</f>
        <v>264000</v>
      </c>
      <c r="I310" s="32">
        <f t="shared" ref="I310:T310" si="223">I251+I133+I15</f>
        <v>22000</v>
      </c>
      <c r="J310" s="10">
        <f t="shared" si="223"/>
        <v>22000</v>
      </c>
      <c r="K310" s="10">
        <f t="shared" si="223"/>
        <v>22000</v>
      </c>
      <c r="L310" s="10">
        <f t="shared" si="223"/>
        <v>22000</v>
      </c>
      <c r="M310" s="10">
        <f t="shared" si="223"/>
        <v>22000</v>
      </c>
      <c r="N310" s="10">
        <f t="shared" si="223"/>
        <v>22000</v>
      </c>
      <c r="O310" s="10">
        <f t="shared" si="223"/>
        <v>22000</v>
      </c>
      <c r="P310" s="10">
        <f t="shared" si="223"/>
        <v>22000</v>
      </c>
      <c r="Q310" s="10">
        <f t="shared" si="223"/>
        <v>22000</v>
      </c>
      <c r="R310" s="10">
        <f t="shared" si="223"/>
        <v>22000</v>
      </c>
      <c r="S310" s="10">
        <f t="shared" si="223"/>
        <v>22000</v>
      </c>
      <c r="T310" s="33">
        <f t="shared" si="223"/>
        <v>22000</v>
      </c>
    </row>
    <row r="311" spans="3:20" x14ac:dyDescent="0.2">
      <c r="C311" t="s">
        <v>83</v>
      </c>
      <c r="D311" t="s">
        <v>84</v>
      </c>
      <c r="E311" s="64">
        <f>_xlfn.XLOOKUP($C311,'Corporate Roster - ''25'!$C$9:$C$59,'Corporate Roster - ''25'!E$9:E$59,0)</f>
        <v>45248</v>
      </c>
      <c r="F311" s="64" t="str">
        <f>_xlfn.XLOOKUP($C311,'Corporate Roster - ''25'!$C$9:$C$59,'Corporate Roster - ''25'!F$9:F$59,0)</f>
        <v>-</v>
      </c>
      <c r="G311" s="261">
        <f>_xlfn.XLOOKUP($C311,'Corporate Roster - ''25'!$C$9:$C$59,'Corporate Roster - ''25'!K$9:K$59,0)</f>
        <v>240000</v>
      </c>
      <c r="I311" s="32">
        <f t="shared" ref="I311:T311" si="224">I252+I134+I16</f>
        <v>20000</v>
      </c>
      <c r="J311" s="10">
        <f t="shared" si="224"/>
        <v>20000</v>
      </c>
      <c r="K311" s="10">
        <f t="shared" si="224"/>
        <v>20000</v>
      </c>
      <c r="L311" s="10">
        <f t="shared" si="224"/>
        <v>20000</v>
      </c>
      <c r="M311" s="10">
        <f t="shared" si="224"/>
        <v>20000</v>
      </c>
      <c r="N311" s="10">
        <f t="shared" si="224"/>
        <v>20000</v>
      </c>
      <c r="O311" s="10">
        <f t="shared" si="224"/>
        <v>20000</v>
      </c>
      <c r="P311" s="10">
        <f t="shared" si="224"/>
        <v>20000</v>
      </c>
      <c r="Q311" s="10">
        <f t="shared" si="224"/>
        <v>20000</v>
      </c>
      <c r="R311" s="10">
        <f t="shared" si="224"/>
        <v>20000</v>
      </c>
      <c r="S311" s="10">
        <f t="shared" si="224"/>
        <v>20000</v>
      </c>
      <c r="T311" s="33">
        <f t="shared" si="224"/>
        <v>20000</v>
      </c>
    </row>
    <row r="312" spans="3:20" x14ac:dyDescent="0.2">
      <c r="C312" t="s">
        <v>85</v>
      </c>
      <c r="D312" t="s">
        <v>86</v>
      </c>
      <c r="E312" s="64">
        <f>_xlfn.XLOOKUP($C312,'Corporate Roster - ''25'!$C$9:$C$59,'Corporate Roster - ''25'!E$9:E$59,0)</f>
        <v>42458</v>
      </c>
      <c r="F312" s="64" t="str">
        <f>_xlfn.XLOOKUP($C312,'Corporate Roster - ''25'!$C$9:$C$59,'Corporate Roster - ''25'!F$9:F$59,0)</f>
        <v>-</v>
      </c>
      <c r="G312" s="261">
        <f>_xlfn.XLOOKUP($C312,'Corporate Roster - ''25'!$C$9:$C$59,'Corporate Roster - ''25'!K$9:K$59,0)</f>
        <v>185000</v>
      </c>
      <c r="I312" s="32">
        <f t="shared" ref="I312:T312" si="225">I253+I135+I17</f>
        <v>15416.666666666666</v>
      </c>
      <c r="J312" s="10">
        <f t="shared" si="225"/>
        <v>15416.666666666666</v>
      </c>
      <c r="K312" s="10">
        <f t="shared" si="225"/>
        <v>15416.666666666666</v>
      </c>
      <c r="L312" s="10">
        <f t="shared" si="225"/>
        <v>15416.666666666666</v>
      </c>
      <c r="M312" s="10">
        <f t="shared" si="225"/>
        <v>15416.666666666666</v>
      </c>
      <c r="N312" s="10">
        <f t="shared" si="225"/>
        <v>15416.666666666666</v>
      </c>
      <c r="O312" s="10">
        <f t="shared" si="225"/>
        <v>15416.666666666666</v>
      </c>
      <c r="P312" s="10">
        <f t="shared" si="225"/>
        <v>15416.666666666666</v>
      </c>
      <c r="Q312" s="10">
        <f t="shared" si="225"/>
        <v>15416.666666666666</v>
      </c>
      <c r="R312" s="10">
        <f t="shared" si="225"/>
        <v>15416.666666666666</v>
      </c>
      <c r="S312" s="10">
        <f t="shared" si="225"/>
        <v>15416.666666666666</v>
      </c>
      <c r="T312" s="33">
        <f t="shared" si="225"/>
        <v>15416.666666666666</v>
      </c>
    </row>
    <row r="313" spans="3:20" x14ac:dyDescent="0.2">
      <c r="C313" t="s">
        <v>87</v>
      </c>
      <c r="D313" t="s">
        <v>88</v>
      </c>
      <c r="E313" s="64">
        <f>_xlfn.XLOOKUP($C313,'Corporate Roster - ''25'!$C$9:$C$59,'Corporate Roster - ''25'!E$9:E$59,0)</f>
        <v>41921</v>
      </c>
      <c r="F313" s="64" t="str">
        <f>_xlfn.XLOOKUP($C313,'Corporate Roster - ''25'!$C$9:$C$59,'Corporate Roster - ''25'!F$9:F$59,0)</f>
        <v>-</v>
      </c>
      <c r="G313" s="261">
        <f>_xlfn.XLOOKUP($C313,'Corporate Roster - ''25'!$C$9:$C$59,'Corporate Roster - ''25'!K$9:K$59,0)</f>
        <v>200000</v>
      </c>
      <c r="I313" s="32">
        <f t="shared" ref="I313:T313" si="226">I254+I136+I18</f>
        <v>16666.666666666664</v>
      </c>
      <c r="J313" s="10">
        <f t="shared" si="226"/>
        <v>16666.666666666664</v>
      </c>
      <c r="K313" s="10">
        <f t="shared" si="226"/>
        <v>16666.666666666664</v>
      </c>
      <c r="L313" s="10">
        <f t="shared" si="226"/>
        <v>16666.666666666664</v>
      </c>
      <c r="M313" s="10">
        <f t="shared" si="226"/>
        <v>16666.666666666664</v>
      </c>
      <c r="N313" s="10">
        <f t="shared" si="226"/>
        <v>16666.666666666664</v>
      </c>
      <c r="O313" s="10">
        <f t="shared" si="226"/>
        <v>16666.666666666664</v>
      </c>
      <c r="P313" s="10">
        <f t="shared" si="226"/>
        <v>16666.666666666664</v>
      </c>
      <c r="Q313" s="10">
        <f t="shared" si="226"/>
        <v>16666.666666666664</v>
      </c>
      <c r="R313" s="10">
        <f t="shared" si="226"/>
        <v>16666.666666666664</v>
      </c>
      <c r="S313" s="10">
        <f t="shared" si="226"/>
        <v>16666.666666666664</v>
      </c>
      <c r="T313" s="33">
        <f t="shared" si="226"/>
        <v>16666.666666666664</v>
      </c>
    </row>
    <row r="314" spans="3:20" x14ac:dyDescent="0.2">
      <c r="C314" t="s">
        <v>89</v>
      </c>
      <c r="D314" t="s">
        <v>90</v>
      </c>
      <c r="E314" s="64">
        <f>_xlfn.XLOOKUP($C314,'Corporate Roster - ''25'!$C$9:$C$59,'Corporate Roster - ''25'!E$9:E$59,0)</f>
        <v>40143</v>
      </c>
      <c r="F314" s="64" t="str">
        <f>_xlfn.XLOOKUP($C314,'Corporate Roster - ''25'!$C$9:$C$59,'Corporate Roster - ''25'!F$9:F$59,0)</f>
        <v>-</v>
      </c>
      <c r="G314" s="261">
        <f>_xlfn.XLOOKUP($C314,'Corporate Roster - ''25'!$C$9:$C$59,'Corporate Roster - ''25'!K$9:K$59,0)</f>
        <v>200000</v>
      </c>
      <c r="I314" s="32">
        <f t="shared" ref="I314:T314" si="227">I255+I137+I19</f>
        <v>16666.666666666664</v>
      </c>
      <c r="J314" s="10">
        <f t="shared" si="227"/>
        <v>16666.666666666664</v>
      </c>
      <c r="K314" s="10">
        <f t="shared" si="227"/>
        <v>16666.666666666664</v>
      </c>
      <c r="L314" s="10">
        <f t="shared" si="227"/>
        <v>16666.666666666664</v>
      </c>
      <c r="M314" s="10">
        <f t="shared" si="227"/>
        <v>16666.666666666664</v>
      </c>
      <c r="N314" s="10">
        <f t="shared" si="227"/>
        <v>16666.666666666664</v>
      </c>
      <c r="O314" s="10">
        <f t="shared" si="227"/>
        <v>16666.666666666664</v>
      </c>
      <c r="P314" s="10">
        <f t="shared" si="227"/>
        <v>16666.666666666664</v>
      </c>
      <c r="Q314" s="10">
        <f t="shared" si="227"/>
        <v>16666.666666666664</v>
      </c>
      <c r="R314" s="10">
        <f t="shared" si="227"/>
        <v>16666.666666666664</v>
      </c>
      <c r="S314" s="10">
        <f t="shared" si="227"/>
        <v>16666.666666666664</v>
      </c>
      <c r="T314" s="33">
        <f t="shared" si="227"/>
        <v>16666.666666666664</v>
      </c>
    </row>
    <row r="315" spans="3:20" x14ac:dyDescent="0.2">
      <c r="C315" t="s">
        <v>81</v>
      </c>
      <c r="D315" t="s">
        <v>91</v>
      </c>
      <c r="E315" s="64">
        <f>_xlfn.XLOOKUP($C315,'Corporate Roster - ''25'!$C$9:$C$59,'Corporate Roster - ''25'!E$9:E$59,0)</f>
        <v>40811</v>
      </c>
      <c r="F315" s="64" t="str">
        <f>_xlfn.XLOOKUP($C315,'Corporate Roster - ''25'!$C$9:$C$59,'Corporate Roster - ''25'!F$9:F$59,0)</f>
        <v>-</v>
      </c>
      <c r="G315" s="261">
        <f>_xlfn.XLOOKUP($C315,'Corporate Roster - ''25'!$C$9:$C$59,'Corporate Roster - ''25'!K$9:K$59,0)</f>
        <v>169000</v>
      </c>
      <c r="I315" s="32">
        <f t="shared" ref="I315:T315" si="228">I256+I138+I20</f>
        <v>14083.333333333334</v>
      </c>
      <c r="J315" s="10">
        <f t="shared" si="228"/>
        <v>14083.333333333334</v>
      </c>
      <c r="K315" s="10">
        <f t="shared" si="228"/>
        <v>14083.333333333334</v>
      </c>
      <c r="L315" s="10">
        <f t="shared" si="228"/>
        <v>14083.333333333334</v>
      </c>
      <c r="M315" s="10">
        <f t="shared" si="228"/>
        <v>14083.333333333334</v>
      </c>
      <c r="N315" s="10">
        <f t="shared" si="228"/>
        <v>14083.333333333334</v>
      </c>
      <c r="O315" s="10">
        <f t="shared" si="228"/>
        <v>14083.333333333334</v>
      </c>
      <c r="P315" s="10">
        <f t="shared" si="228"/>
        <v>14083.333333333334</v>
      </c>
      <c r="Q315" s="10">
        <f t="shared" si="228"/>
        <v>14083.333333333334</v>
      </c>
      <c r="R315" s="10">
        <f t="shared" si="228"/>
        <v>14083.333333333334</v>
      </c>
      <c r="S315" s="10">
        <f t="shared" si="228"/>
        <v>14083.333333333334</v>
      </c>
      <c r="T315" s="33">
        <f t="shared" si="228"/>
        <v>14083.333333333334</v>
      </c>
    </row>
    <row r="316" spans="3:20" x14ac:dyDescent="0.2">
      <c r="C316" t="s">
        <v>92</v>
      </c>
      <c r="D316" t="s">
        <v>93</v>
      </c>
      <c r="E316" s="64">
        <f>_xlfn.XLOOKUP($C316,'Corporate Roster - ''25'!$C$9:$C$59,'Corporate Roster - ''25'!E$9:E$59,0)</f>
        <v>43400</v>
      </c>
      <c r="F316" s="64" t="str">
        <f>_xlfn.XLOOKUP($C316,'Corporate Roster - ''25'!$C$9:$C$59,'Corporate Roster - ''25'!F$9:F$59,0)</f>
        <v>-</v>
      </c>
      <c r="G316" s="261">
        <f>_xlfn.XLOOKUP($C316,'Corporate Roster - ''25'!$C$9:$C$59,'Corporate Roster - ''25'!K$9:K$59,0)</f>
        <v>185000</v>
      </c>
      <c r="I316" s="32">
        <f t="shared" ref="I316:T316" si="229">I257+I139+I21</f>
        <v>15416.666666666666</v>
      </c>
      <c r="J316" s="10">
        <f t="shared" si="229"/>
        <v>15416.666666666666</v>
      </c>
      <c r="K316" s="10">
        <f t="shared" si="229"/>
        <v>15416.666666666666</v>
      </c>
      <c r="L316" s="10">
        <f t="shared" si="229"/>
        <v>15416.666666666666</v>
      </c>
      <c r="M316" s="10">
        <f t="shared" si="229"/>
        <v>15416.666666666666</v>
      </c>
      <c r="N316" s="10">
        <f t="shared" si="229"/>
        <v>15416.666666666666</v>
      </c>
      <c r="O316" s="10">
        <f t="shared" si="229"/>
        <v>15416.666666666666</v>
      </c>
      <c r="P316" s="10">
        <f t="shared" si="229"/>
        <v>15416.666666666666</v>
      </c>
      <c r="Q316" s="10">
        <f t="shared" si="229"/>
        <v>15416.666666666666</v>
      </c>
      <c r="R316" s="10">
        <f t="shared" si="229"/>
        <v>15416.666666666666</v>
      </c>
      <c r="S316" s="10">
        <f t="shared" si="229"/>
        <v>15416.666666666666</v>
      </c>
      <c r="T316" s="33">
        <f t="shared" si="229"/>
        <v>15416.666666666666</v>
      </c>
    </row>
    <row r="317" spans="3:20" x14ac:dyDescent="0.2">
      <c r="C317" t="s">
        <v>94</v>
      </c>
      <c r="D317" t="s">
        <v>95</v>
      </c>
      <c r="E317" s="64">
        <f>_xlfn.XLOOKUP($C317,'Corporate Roster - ''25'!$C$9:$C$59,'Corporate Roster - ''25'!E$9:E$59,0)</f>
        <v>40031</v>
      </c>
      <c r="F317" s="64" t="str">
        <f>_xlfn.XLOOKUP($C317,'Corporate Roster - ''25'!$C$9:$C$59,'Corporate Roster - ''25'!F$9:F$59,0)</f>
        <v>-</v>
      </c>
      <c r="G317" s="261">
        <f>_xlfn.XLOOKUP($C317,'Corporate Roster - ''25'!$C$9:$C$59,'Corporate Roster - ''25'!K$9:K$59,0)</f>
        <v>215000</v>
      </c>
      <c r="I317" s="32">
        <f t="shared" ref="I317:T317" si="230">I258+I140+I22</f>
        <v>17916.666666666668</v>
      </c>
      <c r="J317" s="10">
        <f t="shared" si="230"/>
        <v>17916.666666666668</v>
      </c>
      <c r="K317" s="10">
        <f t="shared" si="230"/>
        <v>17916.666666666668</v>
      </c>
      <c r="L317" s="10">
        <f t="shared" si="230"/>
        <v>17916.666666666668</v>
      </c>
      <c r="M317" s="10">
        <f t="shared" si="230"/>
        <v>17916.666666666668</v>
      </c>
      <c r="N317" s="10">
        <f t="shared" si="230"/>
        <v>17916.666666666668</v>
      </c>
      <c r="O317" s="10">
        <f t="shared" si="230"/>
        <v>17916.666666666668</v>
      </c>
      <c r="P317" s="10">
        <f t="shared" si="230"/>
        <v>17916.666666666668</v>
      </c>
      <c r="Q317" s="10">
        <f t="shared" si="230"/>
        <v>17916.666666666668</v>
      </c>
      <c r="R317" s="10">
        <f t="shared" si="230"/>
        <v>17916.666666666668</v>
      </c>
      <c r="S317" s="10">
        <f t="shared" si="230"/>
        <v>17916.666666666668</v>
      </c>
      <c r="T317" s="33">
        <f t="shared" si="230"/>
        <v>17916.666666666668</v>
      </c>
    </row>
    <row r="318" spans="3:20" x14ac:dyDescent="0.2">
      <c r="C318" t="s">
        <v>96</v>
      </c>
      <c r="D318" t="s">
        <v>97</v>
      </c>
      <c r="E318" s="64">
        <f>_xlfn.XLOOKUP($C318,'Corporate Roster - ''25'!$C$9:$C$59,'Corporate Roster - ''25'!E$9:E$59,0)</f>
        <v>44978</v>
      </c>
      <c r="F318" s="64" t="str">
        <f>_xlfn.XLOOKUP($C318,'Corporate Roster - ''25'!$C$9:$C$59,'Corporate Roster - ''25'!F$9:F$59,0)</f>
        <v>-</v>
      </c>
      <c r="G318" s="261">
        <f>_xlfn.XLOOKUP($C318,'Corporate Roster - ''25'!$C$9:$C$59,'Corporate Roster - ''25'!K$9:K$59,0)</f>
        <v>154000</v>
      </c>
      <c r="I318" s="32">
        <f t="shared" ref="I318:T318" si="231">I259+I141+I23</f>
        <v>12833.333333333332</v>
      </c>
      <c r="J318" s="10">
        <f t="shared" si="231"/>
        <v>12833.333333333332</v>
      </c>
      <c r="K318" s="10">
        <f t="shared" si="231"/>
        <v>12833.333333333332</v>
      </c>
      <c r="L318" s="10">
        <f t="shared" si="231"/>
        <v>12833.333333333332</v>
      </c>
      <c r="M318" s="10">
        <f t="shared" si="231"/>
        <v>12833.333333333332</v>
      </c>
      <c r="N318" s="10">
        <f t="shared" si="231"/>
        <v>12833.333333333332</v>
      </c>
      <c r="O318" s="10">
        <f t="shared" si="231"/>
        <v>12833.333333333332</v>
      </c>
      <c r="P318" s="10">
        <f t="shared" si="231"/>
        <v>12833.333333333332</v>
      </c>
      <c r="Q318" s="10">
        <f t="shared" si="231"/>
        <v>12833.333333333332</v>
      </c>
      <c r="R318" s="10">
        <f t="shared" si="231"/>
        <v>12833.333333333332</v>
      </c>
      <c r="S318" s="10">
        <f t="shared" si="231"/>
        <v>12833.333333333332</v>
      </c>
      <c r="T318" s="33">
        <f t="shared" si="231"/>
        <v>12833.333333333332</v>
      </c>
    </row>
    <row r="319" spans="3:20" x14ac:dyDescent="0.2">
      <c r="C319" t="s">
        <v>98</v>
      </c>
      <c r="D319" t="s">
        <v>99</v>
      </c>
      <c r="E319" s="64">
        <f>_xlfn.XLOOKUP($C319,'Corporate Roster - ''25'!$C$9:$C$59,'Corporate Roster - ''25'!E$9:E$59,0)</f>
        <v>41398</v>
      </c>
      <c r="F319" s="64" t="str">
        <f>_xlfn.XLOOKUP($C319,'Corporate Roster - ''25'!$C$9:$C$59,'Corporate Roster - ''25'!F$9:F$59,0)</f>
        <v>-</v>
      </c>
      <c r="G319" s="261">
        <f>_xlfn.XLOOKUP($C319,'Corporate Roster - ''25'!$C$9:$C$59,'Corporate Roster - ''25'!K$9:K$59,0)</f>
        <v>118000</v>
      </c>
      <c r="I319" s="32">
        <f t="shared" ref="I319:T319" si="232">I260+I142+I24</f>
        <v>9833.3333333333321</v>
      </c>
      <c r="J319" s="10">
        <f t="shared" si="232"/>
        <v>9833.3333333333321</v>
      </c>
      <c r="K319" s="10">
        <f t="shared" si="232"/>
        <v>9833.3333333333321</v>
      </c>
      <c r="L319" s="10">
        <f t="shared" si="232"/>
        <v>9833.3333333333321</v>
      </c>
      <c r="M319" s="10">
        <f t="shared" si="232"/>
        <v>9833.3333333333321</v>
      </c>
      <c r="N319" s="10">
        <f t="shared" si="232"/>
        <v>9833.3333333333321</v>
      </c>
      <c r="O319" s="10">
        <f t="shared" si="232"/>
        <v>9833.3333333333321</v>
      </c>
      <c r="P319" s="10">
        <f t="shared" si="232"/>
        <v>9833.3333333333321</v>
      </c>
      <c r="Q319" s="10">
        <f t="shared" si="232"/>
        <v>9833.3333333333321</v>
      </c>
      <c r="R319" s="10">
        <f t="shared" si="232"/>
        <v>9833.3333333333321</v>
      </c>
      <c r="S319" s="10">
        <f t="shared" si="232"/>
        <v>9833.3333333333321</v>
      </c>
      <c r="T319" s="33">
        <f t="shared" si="232"/>
        <v>9833.3333333333321</v>
      </c>
    </row>
    <row r="320" spans="3:20" x14ac:dyDescent="0.2">
      <c r="C320" t="s">
        <v>100</v>
      </c>
      <c r="D320" t="s">
        <v>101</v>
      </c>
      <c r="E320" s="64">
        <f>_xlfn.XLOOKUP($C320,'Corporate Roster - ''25'!$C$9:$C$59,'Corporate Roster - ''25'!E$9:E$59,0)</f>
        <v>40362</v>
      </c>
      <c r="F320" s="64" t="str">
        <f>_xlfn.XLOOKUP($C320,'Corporate Roster - ''25'!$C$9:$C$59,'Corporate Roster - ''25'!F$9:F$59,0)</f>
        <v>-</v>
      </c>
      <c r="G320" s="261">
        <f>_xlfn.XLOOKUP($C320,'Corporate Roster - ''25'!$C$9:$C$59,'Corporate Roster - ''25'!K$9:K$59,0)</f>
        <v>112000</v>
      </c>
      <c r="I320" s="32">
        <f t="shared" ref="I320:T320" si="233">I261+I143+I25</f>
        <v>9333.3333333333339</v>
      </c>
      <c r="J320" s="10">
        <f t="shared" si="233"/>
        <v>9333.3333333333339</v>
      </c>
      <c r="K320" s="10">
        <f t="shared" si="233"/>
        <v>9333.3333333333339</v>
      </c>
      <c r="L320" s="10">
        <f t="shared" si="233"/>
        <v>9333.3333333333339</v>
      </c>
      <c r="M320" s="10">
        <f t="shared" si="233"/>
        <v>9333.3333333333339</v>
      </c>
      <c r="N320" s="10">
        <f t="shared" si="233"/>
        <v>9333.3333333333339</v>
      </c>
      <c r="O320" s="10">
        <f t="shared" si="233"/>
        <v>9333.3333333333339</v>
      </c>
      <c r="P320" s="10">
        <f t="shared" si="233"/>
        <v>9333.3333333333339</v>
      </c>
      <c r="Q320" s="10">
        <f t="shared" si="233"/>
        <v>9333.3333333333339</v>
      </c>
      <c r="R320" s="10">
        <f t="shared" si="233"/>
        <v>9333.3333333333339</v>
      </c>
      <c r="S320" s="10">
        <f t="shared" si="233"/>
        <v>9333.3333333333339</v>
      </c>
      <c r="T320" s="33">
        <f t="shared" si="233"/>
        <v>9333.3333333333339</v>
      </c>
    </row>
    <row r="321" spans="3:20" x14ac:dyDescent="0.2">
      <c r="C321" t="s">
        <v>102</v>
      </c>
      <c r="D321" t="s">
        <v>103</v>
      </c>
      <c r="E321" s="64">
        <f>_xlfn.XLOOKUP($C321,'Corporate Roster - ''25'!$C$9:$C$59,'Corporate Roster - ''25'!E$9:E$59,0)</f>
        <v>45063</v>
      </c>
      <c r="F321" s="64" t="str">
        <f>_xlfn.XLOOKUP($C321,'Corporate Roster - ''25'!$C$9:$C$59,'Corporate Roster - ''25'!F$9:F$59,0)</f>
        <v>-</v>
      </c>
      <c r="G321" s="261">
        <f>_xlfn.XLOOKUP($C321,'Corporate Roster - ''25'!$C$9:$C$59,'Corporate Roster - ''25'!K$9:K$59,0)</f>
        <v>127000</v>
      </c>
      <c r="I321" s="32">
        <f t="shared" ref="I321:T321" si="234">I262+I144+I26</f>
        <v>10583.333333333332</v>
      </c>
      <c r="J321" s="10">
        <f t="shared" si="234"/>
        <v>10583.333333333332</v>
      </c>
      <c r="K321" s="10">
        <f t="shared" si="234"/>
        <v>10583.333333333332</v>
      </c>
      <c r="L321" s="10">
        <f t="shared" si="234"/>
        <v>10583.333333333332</v>
      </c>
      <c r="M321" s="10">
        <f t="shared" si="234"/>
        <v>10583.333333333332</v>
      </c>
      <c r="N321" s="10">
        <f t="shared" si="234"/>
        <v>10583.333333333332</v>
      </c>
      <c r="O321" s="10">
        <f t="shared" si="234"/>
        <v>10583.333333333332</v>
      </c>
      <c r="P321" s="10">
        <f t="shared" si="234"/>
        <v>10583.333333333332</v>
      </c>
      <c r="Q321" s="10">
        <f t="shared" si="234"/>
        <v>10583.333333333332</v>
      </c>
      <c r="R321" s="10">
        <f t="shared" si="234"/>
        <v>10583.333333333332</v>
      </c>
      <c r="S321" s="10">
        <f t="shared" si="234"/>
        <v>10583.333333333332</v>
      </c>
      <c r="T321" s="33">
        <f t="shared" si="234"/>
        <v>10583.333333333332</v>
      </c>
    </row>
    <row r="322" spans="3:20" x14ac:dyDescent="0.2">
      <c r="C322" t="s">
        <v>104</v>
      </c>
      <c r="D322" t="s">
        <v>105</v>
      </c>
      <c r="E322" s="64">
        <f>_xlfn.XLOOKUP($C322,'Corporate Roster - ''25'!$C$9:$C$59,'Corporate Roster - ''25'!E$9:E$59,0)</f>
        <v>44169</v>
      </c>
      <c r="F322" s="64" t="str">
        <f>_xlfn.XLOOKUP($C322,'Corporate Roster - ''25'!$C$9:$C$59,'Corporate Roster - ''25'!F$9:F$59,0)</f>
        <v>-</v>
      </c>
      <c r="G322" s="261">
        <f>_xlfn.XLOOKUP($C322,'Corporate Roster - ''25'!$C$9:$C$59,'Corporate Roster - ''25'!K$9:K$59,0)</f>
        <v>89000</v>
      </c>
      <c r="I322" s="32">
        <f t="shared" ref="I322:T322" si="235">I263+I145+I27</f>
        <v>7416.6666666666661</v>
      </c>
      <c r="J322" s="10">
        <f t="shared" si="235"/>
        <v>7416.6666666666661</v>
      </c>
      <c r="K322" s="10">
        <f t="shared" si="235"/>
        <v>7416.6666666666661</v>
      </c>
      <c r="L322" s="10">
        <f t="shared" si="235"/>
        <v>7416.6666666666661</v>
      </c>
      <c r="M322" s="10">
        <f t="shared" si="235"/>
        <v>7416.6666666666661</v>
      </c>
      <c r="N322" s="10">
        <f t="shared" si="235"/>
        <v>7416.6666666666661</v>
      </c>
      <c r="O322" s="10">
        <f t="shared" si="235"/>
        <v>7416.6666666666661</v>
      </c>
      <c r="P322" s="10">
        <f t="shared" si="235"/>
        <v>7416.6666666666661</v>
      </c>
      <c r="Q322" s="10">
        <f t="shared" si="235"/>
        <v>7416.6666666666661</v>
      </c>
      <c r="R322" s="10">
        <f t="shared" si="235"/>
        <v>7416.6666666666661</v>
      </c>
      <c r="S322" s="10">
        <f t="shared" si="235"/>
        <v>7416.6666666666661</v>
      </c>
      <c r="T322" s="33">
        <f t="shared" si="235"/>
        <v>7416.6666666666661</v>
      </c>
    </row>
    <row r="323" spans="3:20" x14ac:dyDescent="0.2">
      <c r="C323" t="s">
        <v>148</v>
      </c>
      <c r="D323" t="s">
        <v>107</v>
      </c>
      <c r="E323" s="64">
        <f>_xlfn.XLOOKUP($C323,'Corporate Roster - ''25'!$C$9:$C$59,'Corporate Roster - ''25'!E$9:E$59,0)</f>
        <v>45017</v>
      </c>
      <c r="F323" s="64" t="str">
        <f>_xlfn.XLOOKUP($C323,'Corporate Roster - ''25'!$C$9:$C$59,'Corporate Roster - ''25'!F$9:F$59,0)</f>
        <v>-</v>
      </c>
      <c r="G323" s="261">
        <f>_xlfn.XLOOKUP($C323,'Corporate Roster - ''25'!$C$9:$C$59,'Corporate Roster - ''25'!K$9:K$59,0)</f>
        <v>104000</v>
      </c>
      <c r="I323" s="32">
        <f t="shared" ref="I323:T323" si="236">I264+I146+I28</f>
        <v>8666.6666666666679</v>
      </c>
      <c r="J323" s="10">
        <f t="shared" si="236"/>
        <v>8666.6666666666679</v>
      </c>
      <c r="K323" s="10">
        <f t="shared" si="236"/>
        <v>8666.6666666666679</v>
      </c>
      <c r="L323" s="10">
        <f t="shared" si="236"/>
        <v>8666.6666666666679</v>
      </c>
      <c r="M323" s="10">
        <f t="shared" si="236"/>
        <v>8666.6666666666679</v>
      </c>
      <c r="N323" s="10">
        <f t="shared" si="236"/>
        <v>8666.6666666666679</v>
      </c>
      <c r="O323" s="10">
        <f t="shared" si="236"/>
        <v>8666.6666666666679</v>
      </c>
      <c r="P323" s="10">
        <f t="shared" si="236"/>
        <v>8666.6666666666679</v>
      </c>
      <c r="Q323" s="10">
        <f t="shared" si="236"/>
        <v>8666.6666666666679</v>
      </c>
      <c r="R323" s="10">
        <f t="shared" si="236"/>
        <v>8666.6666666666679</v>
      </c>
      <c r="S323" s="10">
        <f t="shared" si="236"/>
        <v>8666.6666666666679</v>
      </c>
      <c r="T323" s="33">
        <f t="shared" si="236"/>
        <v>8666.6666666666679</v>
      </c>
    </row>
    <row r="324" spans="3:20" x14ac:dyDescent="0.2">
      <c r="C324" t="s">
        <v>108</v>
      </c>
      <c r="D324" t="s">
        <v>109</v>
      </c>
      <c r="E324" s="64">
        <f>_xlfn.XLOOKUP($C324,'Corporate Roster - ''25'!$C$9:$C$59,'Corporate Roster - ''25'!E$9:E$59,0)</f>
        <v>40157</v>
      </c>
      <c r="F324" s="64" t="str">
        <f>_xlfn.XLOOKUP($C324,'Corporate Roster - ''25'!$C$9:$C$59,'Corporate Roster - ''25'!F$9:F$59,0)</f>
        <v>-</v>
      </c>
      <c r="G324" s="261">
        <f>_xlfn.XLOOKUP($C324,'Corporate Roster - ''25'!$C$9:$C$59,'Corporate Roster - ''25'!K$9:K$59,0)</f>
        <v>112000</v>
      </c>
      <c r="I324" s="32">
        <f t="shared" ref="I324:T324" si="237">I265+I147+I29</f>
        <v>9333.3333333333339</v>
      </c>
      <c r="J324" s="10">
        <f t="shared" si="237"/>
        <v>9333.3333333333339</v>
      </c>
      <c r="K324" s="10">
        <f t="shared" si="237"/>
        <v>9333.3333333333339</v>
      </c>
      <c r="L324" s="10">
        <f t="shared" si="237"/>
        <v>9333.3333333333339</v>
      </c>
      <c r="M324" s="10">
        <f t="shared" si="237"/>
        <v>9333.3333333333339</v>
      </c>
      <c r="N324" s="10">
        <f t="shared" si="237"/>
        <v>9333.3333333333339</v>
      </c>
      <c r="O324" s="10">
        <f t="shared" si="237"/>
        <v>9333.3333333333339</v>
      </c>
      <c r="P324" s="10">
        <f t="shared" si="237"/>
        <v>9333.3333333333339</v>
      </c>
      <c r="Q324" s="10">
        <f t="shared" si="237"/>
        <v>9333.3333333333339</v>
      </c>
      <c r="R324" s="10">
        <f t="shared" si="237"/>
        <v>9333.3333333333339</v>
      </c>
      <c r="S324" s="10">
        <f t="shared" si="237"/>
        <v>9333.3333333333339</v>
      </c>
      <c r="T324" s="33">
        <f t="shared" si="237"/>
        <v>9333.3333333333339</v>
      </c>
    </row>
    <row r="325" spans="3:20" x14ac:dyDescent="0.2">
      <c r="C325" t="s">
        <v>73</v>
      </c>
      <c r="D325" t="s">
        <v>110</v>
      </c>
      <c r="E325" s="64">
        <f>_xlfn.XLOOKUP($C325,'Corporate Roster - ''25'!$C$9:$C$59,'Corporate Roster - ''25'!E$9:E$59,0)</f>
        <v>45335</v>
      </c>
      <c r="F325" s="64" t="str">
        <f>_xlfn.XLOOKUP($C325,'Corporate Roster - ''25'!$C$9:$C$59,'Corporate Roster - ''25'!F$9:F$59,0)</f>
        <v>-</v>
      </c>
      <c r="G325" s="261">
        <f>_xlfn.XLOOKUP($C325,'Corporate Roster - ''25'!$C$9:$C$59,'Corporate Roster - ''25'!K$9:K$59,0)</f>
        <v>127000</v>
      </c>
      <c r="I325" s="32">
        <f t="shared" ref="I325:T325" si="238">I266+I148+I30</f>
        <v>10583.333333333332</v>
      </c>
      <c r="J325" s="10">
        <f t="shared" si="238"/>
        <v>10583.333333333332</v>
      </c>
      <c r="K325" s="10">
        <f t="shared" si="238"/>
        <v>10583.333333333332</v>
      </c>
      <c r="L325" s="10">
        <f t="shared" si="238"/>
        <v>10583.333333333332</v>
      </c>
      <c r="M325" s="10">
        <f t="shared" si="238"/>
        <v>10583.333333333332</v>
      </c>
      <c r="N325" s="10">
        <f t="shared" si="238"/>
        <v>10583.333333333332</v>
      </c>
      <c r="O325" s="10">
        <f t="shared" si="238"/>
        <v>10583.333333333332</v>
      </c>
      <c r="P325" s="10">
        <f t="shared" si="238"/>
        <v>10583.333333333332</v>
      </c>
      <c r="Q325" s="10">
        <f t="shared" si="238"/>
        <v>10583.333333333332</v>
      </c>
      <c r="R325" s="10">
        <f t="shared" si="238"/>
        <v>10583.333333333332</v>
      </c>
      <c r="S325" s="10">
        <f t="shared" si="238"/>
        <v>10583.333333333332</v>
      </c>
      <c r="T325" s="33">
        <f t="shared" si="238"/>
        <v>10583.333333333332</v>
      </c>
    </row>
    <row r="326" spans="3:20" x14ac:dyDescent="0.2">
      <c r="C326" t="s">
        <v>111</v>
      </c>
      <c r="D326" t="s">
        <v>112</v>
      </c>
      <c r="E326" s="64">
        <f>_xlfn.XLOOKUP($C326,'Corporate Roster - ''25'!$C$9:$C$59,'Corporate Roster - ''25'!E$9:E$59,0)</f>
        <v>44694</v>
      </c>
      <c r="F326" s="64" t="str">
        <f>_xlfn.XLOOKUP($C326,'Corporate Roster - ''25'!$C$9:$C$59,'Corporate Roster - ''25'!F$9:F$59,0)</f>
        <v>-</v>
      </c>
      <c r="G326" s="261">
        <f>_xlfn.XLOOKUP($C326,'Corporate Roster - ''25'!$C$9:$C$59,'Corporate Roster - ''25'!K$9:K$59,0)</f>
        <v>141000</v>
      </c>
      <c r="I326" s="32">
        <f t="shared" ref="I326:T326" si="239">I267+I149+I31</f>
        <v>11750</v>
      </c>
      <c r="J326" s="10">
        <f t="shared" si="239"/>
        <v>11750</v>
      </c>
      <c r="K326" s="10">
        <f t="shared" si="239"/>
        <v>11750</v>
      </c>
      <c r="L326" s="10">
        <f t="shared" si="239"/>
        <v>11750</v>
      </c>
      <c r="M326" s="10">
        <f t="shared" si="239"/>
        <v>11750</v>
      </c>
      <c r="N326" s="10">
        <f t="shared" si="239"/>
        <v>11750</v>
      </c>
      <c r="O326" s="10">
        <f t="shared" si="239"/>
        <v>11750</v>
      </c>
      <c r="P326" s="10">
        <f t="shared" si="239"/>
        <v>11750</v>
      </c>
      <c r="Q326" s="10">
        <f t="shared" si="239"/>
        <v>11750</v>
      </c>
      <c r="R326" s="10">
        <f t="shared" si="239"/>
        <v>11750</v>
      </c>
      <c r="S326" s="10">
        <f t="shared" si="239"/>
        <v>11750</v>
      </c>
      <c r="T326" s="33">
        <f t="shared" si="239"/>
        <v>11750</v>
      </c>
    </row>
    <row r="327" spans="3:20" x14ac:dyDescent="0.2">
      <c r="C327" t="s">
        <v>149</v>
      </c>
      <c r="D327" t="s">
        <v>110</v>
      </c>
      <c r="E327" s="64">
        <f>_xlfn.XLOOKUP($C327,'Corporate Roster - ''25'!$C$9:$C$59,'Corporate Roster - ''25'!E$9:E$59,0)</f>
        <v>45368</v>
      </c>
      <c r="F327" s="64" t="str">
        <f>_xlfn.XLOOKUP($C327,'Corporate Roster - ''25'!$C$9:$C$59,'Corporate Roster - ''25'!F$9:F$59,0)</f>
        <v>-</v>
      </c>
      <c r="G327" s="261">
        <f>_xlfn.XLOOKUP($C327,'Corporate Roster - ''25'!$C$9:$C$59,'Corporate Roster - ''25'!K$9:K$59,0)</f>
        <v>127000</v>
      </c>
      <c r="I327" s="32">
        <f t="shared" ref="I327:T327" si="240">I268+I150+I32</f>
        <v>10583.333333333332</v>
      </c>
      <c r="J327" s="10">
        <f t="shared" si="240"/>
        <v>10583.333333333332</v>
      </c>
      <c r="K327" s="10">
        <f t="shared" si="240"/>
        <v>10583.333333333332</v>
      </c>
      <c r="L327" s="10">
        <f t="shared" si="240"/>
        <v>10583.333333333332</v>
      </c>
      <c r="M327" s="10">
        <f t="shared" si="240"/>
        <v>10583.333333333332</v>
      </c>
      <c r="N327" s="10">
        <f t="shared" si="240"/>
        <v>10583.333333333332</v>
      </c>
      <c r="O327" s="10">
        <f t="shared" si="240"/>
        <v>10583.333333333332</v>
      </c>
      <c r="P327" s="10">
        <f t="shared" si="240"/>
        <v>10583.333333333332</v>
      </c>
      <c r="Q327" s="10">
        <f t="shared" si="240"/>
        <v>10583.333333333332</v>
      </c>
      <c r="R327" s="10">
        <f t="shared" si="240"/>
        <v>10583.333333333332</v>
      </c>
      <c r="S327" s="10">
        <f t="shared" si="240"/>
        <v>10583.333333333332</v>
      </c>
      <c r="T327" s="33">
        <f t="shared" si="240"/>
        <v>10583.333333333332</v>
      </c>
    </row>
    <row r="328" spans="3:20" x14ac:dyDescent="0.2">
      <c r="C328" t="s">
        <v>150</v>
      </c>
      <c r="D328" t="s">
        <v>95</v>
      </c>
      <c r="E328" s="64">
        <f>_xlfn.XLOOKUP($C328,'Corporate Roster - ''25'!$C$9:$C$59,'Corporate Roster - ''25'!E$9:E$59,0)</f>
        <v>40489</v>
      </c>
      <c r="F328" s="64" t="str">
        <f>_xlfn.XLOOKUP($C328,'Corporate Roster - ''25'!$C$9:$C$59,'Corporate Roster - ''25'!F$9:F$59,0)</f>
        <v>-</v>
      </c>
      <c r="G328" s="261">
        <f>_xlfn.XLOOKUP($C328,'Corporate Roster - ''25'!$C$9:$C$59,'Corporate Roster - ''25'!K$9:K$59,0)</f>
        <v>215000</v>
      </c>
      <c r="I328" s="32">
        <f t="shared" ref="I328:T328" si="241">I269+I151+I33</f>
        <v>17916.666666666668</v>
      </c>
      <c r="J328" s="10">
        <f t="shared" si="241"/>
        <v>17916.666666666668</v>
      </c>
      <c r="K328" s="10">
        <f t="shared" si="241"/>
        <v>17916.666666666668</v>
      </c>
      <c r="L328" s="10">
        <f t="shared" si="241"/>
        <v>17916.666666666668</v>
      </c>
      <c r="M328" s="10">
        <f t="shared" si="241"/>
        <v>17916.666666666668</v>
      </c>
      <c r="N328" s="10">
        <f t="shared" si="241"/>
        <v>17916.666666666668</v>
      </c>
      <c r="O328" s="10">
        <f t="shared" si="241"/>
        <v>17916.666666666668</v>
      </c>
      <c r="P328" s="10">
        <f t="shared" si="241"/>
        <v>17916.666666666668</v>
      </c>
      <c r="Q328" s="10">
        <f t="shared" si="241"/>
        <v>17916.666666666668</v>
      </c>
      <c r="R328" s="10">
        <f t="shared" si="241"/>
        <v>17916.666666666668</v>
      </c>
      <c r="S328" s="10">
        <f t="shared" si="241"/>
        <v>17916.666666666668</v>
      </c>
      <c r="T328" s="33">
        <f t="shared" si="241"/>
        <v>17916.666666666668</v>
      </c>
    </row>
    <row r="329" spans="3:20" x14ac:dyDescent="0.2">
      <c r="C329" t="s">
        <v>115</v>
      </c>
      <c r="D329" t="s">
        <v>112</v>
      </c>
      <c r="E329" s="64">
        <f>_xlfn.XLOOKUP($C329,'Corporate Roster - ''25'!$C$9:$C$59,'Corporate Roster - ''25'!E$9:E$59,0)</f>
        <v>45236</v>
      </c>
      <c r="F329" s="64" t="str">
        <f>_xlfn.XLOOKUP($C329,'Corporate Roster - ''25'!$C$9:$C$59,'Corporate Roster - ''25'!F$9:F$59,0)</f>
        <v>-</v>
      </c>
      <c r="G329" s="261">
        <f>_xlfn.XLOOKUP($C329,'Corporate Roster - ''25'!$C$9:$C$59,'Corporate Roster - ''25'!K$9:K$59,0)</f>
        <v>141000</v>
      </c>
      <c r="I329" s="32">
        <f t="shared" ref="I329:T329" si="242">I270+I152+I34</f>
        <v>11750</v>
      </c>
      <c r="J329" s="10">
        <f t="shared" si="242"/>
        <v>11750</v>
      </c>
      <c r="K329" s="10">
        <f t="shared" si="242"/>
        <v>11750</v>
      </c>
      <c r="L329" s="10">
        <f t="shared" si="242"/>
        <v>11750</v>
      </c>
      <c r="M329" s="10">
        <f t="shared" si="242"/>
        <v>11750</v>
      </c>
      <c r="N329" s="10">
        <f t="shared" si="242"/>
        <v>11750</v>
      </c>
      <c r="O329" s="10">
        <f t="shared" si="242"/>
        <v>11750</v>
      </c>
      <c r="P329" s="10">
        <f t="shared" si="242"/>
        <v>11750</v>
      </c>
      <c r="Q329" s="10">
        <f t="shared" si="242"/>
        <v>11750</v>
      </c>
      <c r="R329" s="10">
        <f t="shared" si="242"/>
        <v>11750</v>
      </c>
      <c r="S329" s="10">
        <f t="shared" si="242"/>
        <v>11750</v>
      </c>
      <c r="T329" s="33">
        <f t="shared" si="242"/>
        <v>11750</v>
      </c>
    </row>
    <row r="330" spans="3:20" x14ac:dyDescent="0.2">
      <c r="C330" t="s">
        <v>116</v>
      </c>
      <c r="D330" t="s">
        <v>110</v>
      </c>
      <c r="E330" s="64">
        <f>_xlfn.XLOOKUP($C330,'Corporate Roster - ''25'!$C$9:$C$59,'Corporate Roster - ''25'!E$9:E$59,0)</f>
        <v>40015</v>
      </c>
      <c r="F330" s="64" t="str">
        <f>_xlfn.XLOOKUP($C330,'Corporate Roster - ''25'!$C$9:$C$59,'Corporate Roster - ''25'!F$9:F$59,0)</f>
        <v>-</v>
      </c>
      <c r="G330" s="261">
        <f>_xlfn.XLOOKUP($C330,'Corporate Roster - ''25'!$C$9:$C$59,'Corporate Roster - ''25'!K$9:K$59,0)</f>
        <v>127000</v>
      </c>
      <c r="I330" s="32">
        <f t="shared" ref="I330:T330" si="243">I271+I153+I35</f>
        <v>10583.333333333332</v>
      </c>
      <c r="J330" s="10">
        <f t="shared" si="243"/>
        <v>10583.333333333332</v>
      </c>
      <c r="K330" s="10">
        <f t="shared" si="243"/>
        <v>10583.333333333332</v>
      </c>
      <c r="L330" s="10">
        <f t="shared" si="243"/>
        <v>10583.333333333332</v>
      </c>
      <c r="M330" s="10">
        <f t="shared" si="243"/>
        <v>10583.333333333332</v>
      </c>
      <c r="N330" s="10">
        <f t="shared" si="243"/>
        <v>10583.333333333332</v>
      </c>
      <c r="O330" s="10">
        <f t="shared" si="243"/>
        <v>10583.333333333332</v>
      </c>
      <c r="P330" s="10">
        <f t="shared" si="243"/>
        <v>10583.333333333332</v>
      </c>
      <c r="Q330" s="10">
        <f t="shared" si="243"/>
        <v>10583.333333333332</v>
      </c>
      <c r="R330" s="10">
        <f t="shared" si="243"/>
        <v>10583.333333333332</v>
      </c>
      <c r="S330" s="10">
        <f t="shared" si="243"/>
        <v>10583.333333333332</v>
      </c>
      <c r="T330" s="33">
        <f t="shared" si="243"/>
        <v>10583.333333333332</v>
      </c>
    </row>
    <row r="331" spans="3:20" x14ac:dyDescent="0.2">
      <c r="C331" t="s">
        <v>106</v>
      </c>
      <c r="D331" t="s">
        <v>90</v>
      </c>
      <c r="E331" s="64">
        <f>_xlfn.XLOOKUP($C331,'Corporate Roster - ''25'!$C$9:$C$59,'Corporate Roster - ''25'!E$9:E$59,0)</f>
        <v>40345</v>
      </c>
      <c r="F331" s="64" t="str">
        <f>_xlfn.XLOOKUP($C331,'Corporate Roster - ''25'!$C$9:$C$59,'Corporate Roster - ''25'!F$9:F$59,0)</f>
        <v>-</v>
      </c>
      <c r="G331" s="261">
        <f>_xlfn.XLOOKUP($C331,'Corporate Roster - ''25'!$C$9:$C$59,'Corporate Roster - ''25'!K$9:K$59,0)</f>
        <v>200000</v>
      </c>
      <c r="I331" s="32">
        <f t="shared" ref="I331:T331" si="244">I272+I154+I36</f>
        <v>16666.666666666664</v>
      </c>
      <c r="J331" s="10">
        <f t="shared" si="244"/>
        <v>16666.666666666664</v>
      </c>
      <c r="K331" s="10">
        <f t="shared" si="244"/>
        <v>16666.666666666664</v>
      </c>
      <c r="L331" s="10">
        <f t="shared" si="244"/>
        <v>16666.666666666664</v>
      </c>
      <c r="M331" s="10">
        <f t="shared" si="244"/>
        <v>16666.666666666664</v>
      </c>
      <c r="N331" s="10">
        <f t="shared" si="244"/>
        <v>16666.666666666664</v>
      </c>
      <c r="O331" s="10">
        <f t="shared" si="244"/>
        <v>16666.666666666664</v>
      </c>
      <c r="P331" s="10">
        <f t="shared" si="244"/>
        <v>16666.666666666664</v>
      </c>
      <c r="Q331" s="10">
        <f t="shared" si="244"/>
        <v>16666.666666666664</v>
      </c>
      <c r="R331" s="10">
        <f t="shared" si="244"/>
        <v>16666.666666666664</v>
      </c>
      <c r="S331" s="10">
        <f t="shared" si="244"/>
        <v>16666.666666666664</v>
      </c>
      <c r="T331" s="33">
        <f t="shared" si="244"/>
        <v>16666.666666666664</v>
      </c>
    </row>
    <row r="332" spans="3:20" x14ac:dyDescent="0.2">
      <c r="C332" t="s">
        <v>117</v>
      </c>
      <c r="D332" t="s">
        <v>110</v>
      </c>
      <c r="E332" s="64">
        <f>_xlfn.XLOOKUP($C332,'Corporate Roster - ''25'!$C$9:$C$59,'Corporate Roster - ''25'!E$9:E$59,0)</f>
        <v>44824</v>
      </c>
      <c r="F332" s="64" t="str">
        <f>_xlfn.XLOOKUP($C332,'Corporate Roster - ''25'!$C$9:$C$59,'Corporate Roster - ''25'!F$9:F$59,0)</f>
        <v>-</v>
      </c>
      <c r="G332" s="261">
        <f>_xlfn.XLOOKUP($C332,'Corporate Roster - ''25'!$C$9:$C$59,'Corporate Roster - ''25'!K$9:K$59,0)</f>
        <v>127000</v>
      </c>
      <c r="I332" s="32">
        <f t="shared" ref="I332:T332" si="245">I273+I155+I37</f>
        <v>10583.333333333332</v>
      </c>
      <c r="J332" s="10">
        <f t="shared" si="245"/>
        <v>10583.333333333332</v>
      </c>
      <c r="K332" s="10">
        <f t="shared" si="245"/>
        <v>10583.333333333332</v>
      </c>
      <c r="L332" s="10">
        <f t="shared" si="245"/>
        <v>10583.333333333332</v>
      </c>
      <c r="M332" s="10">
        <f t="shared" si="245"/>
        <v>10583.333333333332</v>
      </c>
      <c r="N332" s="10">
        <f t="shared" si="245"/>
        <v>10583.333333333332</v>
      </c>
      <c r="O332" s="10">
        <f t="shared" si="245"/>
        <v>10583.333333333332</v>
      </c>
      <c r="P332" s="10">
        <f t="shared" si="245"/>
        <v>10583.333333333332</v>
      </c>
      <c r="Q332" s="10">
        <f t="shared" si="245"/>
        <v>10583.333333333332</v>
      </c>
      <c r="R332" s="10">
        <f t="shared" si="245"/>
        <v>10583.333333333332</v>
      </c>
      <c r="S332" s="10">
        <f t="shared" si="245"/>
        <v>10583.333333333332</v>
      </c>
      <c r="T332" s="33">
        <f t="shared" si="245"/>
        <v>10583.333333333332</v>
      </c>
    </row>
    <row r="333" spans="3:20" x14ac:dyDescent="0.2">
      <c r="C333" t="s">
        <v>118</v>
      </c>
      <c r="D333" t="s">
        <v>86</v>
      </c>
      <c r="E333" s="64">
        <f>_xlfn.XLOOKUP($C333,'Corporate Roster - ''25'!$C$9:$C$59,'Corporate Roster - ''25'!E$9:E$59,0)</f>
        <v>38939</v>
      </c>
      <c r="F333" s="64" t="str">
        <f>_xlfn.XLOOKUP($C333,'Corporate Roster - ''25'!$C$9:$C$59,'Corporate Roster - ''25'!F$9:F$59,0)</f>
        <v>-</v>
      </c>
      <c r="G333" s="261">
        <f>_xlfn.XLOOKUP($C333,'Corporate Roster - ''25'!$C$9:$C$59,'Corporate Roster - ''25'!K$9:K$59,0)</f>
        <v>185000</v>
      </c>
      <c r="I333" s="32">
        <f t="shared" ref="I333:T333" si="246">I274+I156+I38</f>
        <v>15416.666666666666</v>
      </c>
      <c r="J333" s="10">
        <f t="shared" si="246"/>
        <v>15416.666666666666</v>
      </c>
      <c r="K333" s="10">
        <f t="shared" si="246"/>
        <v>15416.666666666666</v>
      </c>
      <c r="L333" s="10">
        <f t="shared" si="246"/>
        <v>15416.666666666666</v>
      </c>
      <c r="M333" s="10">
        <f t="shared" si="246"/>
        <v>15416.666666666666</v>
      </c>
      <c r="N333" s="10">
        <f t="shared" si="246"/>
        <v>15416.666666666666</v>
      </c>
      <c r="O333" s="10">
        <f t="shared" si="246"/>
        <v>15416.666666666666</v>
      </c>
      <c r="P333" s="10">
        <f t="shared" si="246"/>
        <v>15416.666666666666</v>
      </c>
      <c r="Q333" s="10">
        <f t="shared" si="246"/>
        <v>15416.666666666666</v>
      </c>
      <c r="R333" s="10">
        <f t="shared" si="246"/>
        <v>15416.666666666666</v>
      </c>
      <c r="S333" s="10">
        <f t="shared" si="246"/>
        <v>15416.666666666666</v>
      </c>
      <c r="T333" s="33">
        <f t="shared" si="246"/>
        <v>15416.666666666666</v>
      </c>
    </row>
    <row r="334" spans="3:20" x14ac:dyDescent="0.2">
      <c r="C334" t="s">
        <v>65</v>
      </c>
      <c r="D334" t="s">
        <v>86</v>
      </c>
      <c r="E334" s="64">
        <f>_xlfn.XLOOKUP($C334,'Corporate Roster - ''25'!$C$9:$C$59,'Corporate Roster - ''25'!E$9:E$59,0)</f>
        <v>42100</v>
      </c>
      <c r="F334" s="64" t="str">
        <f>_xlfn.XLOOKUP($C334,'Corporate Roster - ''25'!$C$9:$C$59,'Corporate Roster - ''25'!F$9:F$59,0)</f>
        <v>-</v>
      </c>
      <c r="G334" s="261">
        <f>_xlfn.XLOOKUP($C334,'Corporate Roster - ''25'!$C$9:$C$59,'Corporate Roster - ''25'!K$9:K$59,0)</f>
        <v>185000</v>
      </c>
      <c r="I334" s="32">
        <f t="shared" ref="I334:T334" si="247">I275+I157+I39</f>
        <v>15416.666666666666</v>
      </c>
      <c r="J334" s="10">
        <f t="shared" si="247"/>
        <v>15416.666666666666</v>
      </c>
      <c r="K334" s="10">
        <f t="shared" si="247"/>
        <v>15416.666666666666</v>
      </c>
      <c r="L334" s="10">
        <f t="shared" si="247"/>
        <v>15416.666666666666</v>
      </c>
      <c r="M334" s="10">
        <f t="shared" si="247"/>
        <v>15416.666666666666</v>
      </c>
      <c r="N334" s="10">
        <f t="shared" si="247"/>
        <v>15416.666666666666</v>
      </c>
      <c r="O334" s="10">
        <f t="shared" si="247"/>
        <v>15416.666666666666</v>
      </c>
      <c r="P334" s="10">
        <f t="shared" si="247"/>
        <v>15416.666666666666</v>
      </c>
      <c r="Q334" s="10">
        <f t="shared" si="247"/>
        <v>15416.666666666666</v>
      </c>
      <c r="R334" s="10">
        <f t="shared" si="247"/>
        <v>15416.666666666666</v>
      </c>
      <c r="S334" s="10">
        <f t="shared" si="247"/>
        <v>15416.666666666666</v>
      </c>
      <c r="T334" s="33">
        <f t="shared" si="247"/>
        <v>15416.666666666666</v>
      </c>
    </row>
    <row r="335" spans="3:20" x14ac:dyDescent="0.2">
      <c r="C335" t="s">
        <v>119</v>
      </c>
      <c r="D335" t="s">
        <v>110</v>
      </c>
      <c r="E335" s="64">
        <f>_xlfn.XLOOKUP($C335,'Corporate Roster - ''25'!$C$9:$C$59,'Corporate Roster - ''25'!E$9:E$59,0)</f>
        <v>42772</v>
      </c>
      <c r="F335" s="64" t="str">
        <f>_xlfn.XLOOKUP($C335,'Corporate Roster - ''25'!$C$9:$C$59,'Corporate Roster - ''25'!F$9:F$59,0)</f>
        <v>-</v>
      </c>
      <c r="G335" s="261">
        <f>_xlfn.XLOOKUP($C335,'Corporate Roster - ''25'!$C$9:$C$59,'Corporate Roster - ''25'!K$9:K$59,0)</f>
        <v>127000</v>
      </c>
      <c r="I335" s="32">
        <f t="shared" ref="I335:T335" si="248">I276+I158+I40</f>
        <v>10583.333333333332</v>
      </c>
      <c r="J335" s="10">
        <f t="shared" si="248"/>
        <v>10583.333333333332</v>
      </c>
      <c r="K335" s="10">
        <f t="shared" si="248"/>
        <v>10583.333333333332</v>
      </c>
      <c r="L335" s="10">
        <f t="shared" si="248"/>
        <v>10583.333333333332</v>
      </c>
      <c r="M335" s="10">
        <f t="shared" si="248"/>
        <v>10583.333333333332</v>
      </c>
      <c r="N335" s="10">
        <f t="shared" si="248"/>
        <v>10583.333333333332</v>
      </c>
      <c r="O335" s="10">
        <f t="shared" si="248"/>
        <v>10583.333333333332</v>
      </c>
      <c r="P335" s="10">
        <f t="shared" si="248"/>
        <v>10583.333333333332</v>
      </c>
      <c r="Q335" s="10">
        <f t="shared" si="248"/>
        <v>10583.333333333332</v>
      </c>
      <c r="R335" s="10">
        <f t="shared" si="248"/>
        <v>10583.333333333332</v>
      </c>
      <c r="S335" s="10">
        <f t="shared" si="248"/>
        <v>10583.333333333332</v>
      </c>
      <c r="T335" s="33">
        <f t="shared" si="248"/>
        <v>10583.333333333332</v>
      </c>
    </row>
    <row r="336" spans="3:20" x14ac:dyDescent="0.2">
      <c r="C336" t="s">
        <v>120</v>
      </c>
      <c r="D336" t="s">
        <v>110</v>
      </c>
      <c r="E336" s="64">
        <f>_xlfn.XLOOKUP($C336,'Corporate Roster - ''25'!$C$9:$C$59,'Corporate Roster - ''25'!E$9:E$59,0)</f>
        <v>41160</v>
      </c>
      <c r="F336" s="64" t="str">
        <f>_xlfn.XLOOKUP($C336,'Corporate Roster - ''25'!$C$9:$C$59,'Corporate Roster - ''25'!F$9:F$59,0)</f>
        <v>-</v>
      </c>
      <c r="G336" s="261">
        <f>_xlfn.XLOOKUP($C336,'Corporate Roster - ''25'!$C$9:$C$59,'Corporate Roster - ''25'!K$9:K$59,0)</f>
        <v>127000</v>
      </c>
      <c r="I336" s="32">
        <f t="shared" ref="I336:T336" si="249">I277+I159+I41</f>
        <v>10583.333333333332</v>
      </c>
      <c r="J336" s="10">
        <f t="shared" si="249"/>
        <v>10583.333333333332</v>
      </c>
      <c r="K336" s="10">
        <f t="shared" si="249"/>
        <v>10583.333333333332</v>
      </c>
      <c r="L336" s="10">
        <f t="shared" si="249"/>
        <v>10583.333333333332</v>
      </c>
      <c r="M336" s="10">
        <f t="shared" si="249"/>
        <v>10583.333333333332</v>
      </c>
      <c r="N336" s="10">
        <f t="shared" si="249"/>
        <v>10583.333333333332</v>
      </c>
      <c r="O336" s="10">
        <f t="shared" si="249"/>
        <v>10583.333333333332</v>
      </c>
      <c r="P336" s="10">
        <f t="shared" si="249"/>
        <v>10583.333333333332</v>
      </c>
      <c r="Q336" s="10">
        <f t="shared" si="249"/>
        <v>10583.333333333332</v>
      </c>
      <c r="R336" s="10">
        <f t="shared" si="249"/>
        <v>10583.333333333332</v>
      </c>
      <c r="S336" s="10">
        <f t="shared" si="249"/>
        <v>10583.333333333332</v>
      </c>
      <c r="T336" s="33">
        <f t="shared" si="249"/>
        <v>10583.333333333332</v>
      </c>
    </row>
    <row r="337" spans="3:20" x14ac:dyDescent="0.2">
      <c r="C337" t="s">
        <v>121</v>
      </c>
      <c r="D337" t="s">
        <v>99</v>
      </c>
      <c r="E337" s="64">
        <f>_xlfn.XLOOKUP($C337,'Corporate Roster - ''25'!$C$9:$C$59,'Corporate Roster - ''25'!E$9:E$59,0)</f>
        <v>44972</v>
      </c>
      <c r="F337" s="64" t="str">
        <f>_xlfn.XLOOKUP($C337,'Corporate Roster - ''25'!$C$9:$C$59,'Corporate Roster - ''25'!F$9:F$59,0)</f>
        <v>-</v>
      </c>
      <c r="G337" s="261">
        <f>_xlfn.XLOOKUP($C337,'Corporate Roster - ''25'!$C$9:$C$59,'Corporate Roster - ''25'!K$9:K$59,0)</f>
        <v>118000</v>
      </c>
      <c r="I337" s="32">
        <f t="shared" ref="I337:T337" si="250">I278+I160+I42</f>
        <v>9833.3333333333321</v>
      </c>
      <c r="J337" s="10">
        <f t="shared" si="250"/>
        <v>9833.3333333333321</v>
      </c>
      <c r="K337" s="10">
        <f t="shared" si="250"/>
        <v>9833.3333333333321</v>
      </c>
      <c r="L337" s="10">
        <f t="shared" si="250"/>
        <v>9833.3333333333321</v>
      </c>
      <c r="M337" s="10">
        <f t="shared" si="250"/>
        <v>9833.3333333333321</v>
      </c>
      <c r="N337" s="10">
        <f t="shared" si="250"/>
        <v>9833.3333333333321</v>
      </c>
      <c r="O337" s="10">
        <f t="shared" si="250"/>
        <v>9833.3333333333321</v>
      </c>
      <c r="P337" s="10">
        <f t="shared" si="250"/>
        <v>9833.3333333333321</v>
      </c>
      <c r="Q337" s="10">
        <f t="shared" si="250"/>
        <v>9833.3333333333321</v>
      </c>
      <c r="R337" s="10">
        <f t="shared" si="250"/>
        <v>9833.3333333333321</v>
      </c>
      <c r="S337" s="10">
        <f t="shared" si="250"/>
        <v>9833.3333333333321</v>
      </c>
      <c r="T337" s="33">
        <f t="shared" si="250"/>
        <v>9833.3333333333321</v>
      </c>
    </row>
    <row r="338" spans="3:20" x14ac:dyDescent="0.2">
      <c r="C338" t="s">
        <v>151</v>
      </c>
      <c r="D338" t="s">
        <v>90</v>
      </c>
      <c r="E338" s="64">
        <f>_xlfn.XLOOKUP($C338,'Corporate Roster - ''25'!$C$9:$C$59,'Corporate Roster - ''25'!E$9:E$59,0)</f>
        <v>42189</v>
      </c>
      <c r="F338" s="64" t="str">
        <f>_xlfn.XLOOKUP($C338,'Corporate Roster - ''25'!$C$9:$C$59,'Corporate Roster - ''25'!F$9:F$59,0)</f>
        <v>-</v>
      </c>
      <c r="G338" s="261">
        <f>_xlfn.XLOOKUP($C338,'Corporate Roster - ''25'!$C$9:$C$59,'Corporate Roster - ''25'!K$9:K$59,0)</f>
        <v>200000</v>
      </c>
      <c r="I338" s="32">
        <f t="shared" ref="I338:T338" si="251">I279+I161+I43</f>
        <v>16666.666666666664</v>
      </c>
      <c r="J338" s="10">
        <f t="shared" si="251"/>
        <v>16666.666666666664</v>
      </c>
      <c r="K338" s="10">
        <f t="shared" si="251"/>
        <v>16666.666666666664</v>
      </c>
      <c r="L338" s="10">
        <f t="shared" si="251"/>
        <v>16666.666666666664</v>
      </c>
      <c r="M338" s="10">
        <f t="shared" si="251"/>
        <v>16666.666666666664</v>
      </c>
      <c r="N338" s="10">
        <f t="shared" si="251"/>
        <v>16666.666666666664</v>
      </c>
      <c r="O338" s="10">
        <f t="shared" si="251"/>
        <v>16666.666666666664</v>
      </c>
      <c r="P338" s="10">
        <f t="shared" si="251"/>
        <v>16666.666666666664</v>
      </c>
      <c r="Q338" s="10">
        <f t="shared" si="251"/>
        <v>16666.666666666664</v>
      </c>
      <c r="R338" s="10">
        <f t="shared" si="251"/>
        <v>16666.666666666664</v>
      </c>
      <c r="S338" s="10">
        <f t="shared" si="251"/>
        <v>16666.666666666664</v>
      </c>
      <c r="T338" s="33">
        <f t="shared" si="251"/>
        <v>16666.666666666664</v>
      </c>
    </row>
    <row r="339" spans="3:20" x14ac:dyDescent="0.2">
      <c r="C339" t="s">
        <v>123</v>
      </c>
      <c r="D339" t="s">
        <v>99</v>
      </c>
      <c r="E339" s="64">
        <f>_xlfn.XLOOKUP($C339,'Corporate Roster - ''25'!$C$9:$C$59,'Corporate Roster - ''25'!E$9:E$59,0)</f>
        <v>44716</v>
      </c>
      <c r="F339" s="64" t="str">
        <f>_xlfn.XLOOKUP($C339,'Corporate Roster - ''25'!$C$9:$C$59,'Corporate Roster - ''25'!F$9:F$59,0)</f>
        <v>-</v>
      </c>
      <c r="G339" s="261">
        <f>_xlfn.XLOOKUP($C339,'Corporate Roster - ''25'!$C$9:$C$59,'Corporate Roster - ''25'!K$9:K$59,0)</f>
        <v>118000</v>
      </c>
      <c r="I339" s="32">
        <f t="shared" ref="I339:T339" si="252">I280+I162+I44</f>
        <v>9833.3333333333321</v>
      </c>
      <c r="J339" s="10">
        <f t="shared" si="252"/>
        <v>9833.3333333333321</v>
      </c>
      <c r="K339" s="10">
        <f t="shared" si="252"/>
        <v>9833.3333333333321</v>
      </c>
      <c r="L339" s="10">
        <f t="shared" si="252"/>
        <v>9833.3333333333321</v>
      </c>
      <c r="M339" s="10">
        <f t="shared" si="252"/>
        <v>9833.3333333333321</v>
      </c>
      <c r="N339" s="10">
        <f t="shared" si="252"/>
        <v>9833.3333333333321</v>
      </c>
      <c r="O339" s="10">
        <f t="shared" si="252"/>
        <v>9833.3333333333321</v>
      </c>
      <c r="P339" s="10">
        <f t="shared" si="252"/>
        <v>9833.3333333333321</v>
      </c>
      <c r="Q339" s="10">
        <f t="shared" si="252"/>
        <v>9833.3333333333321</v>
      </c>
      <c r="R339" s="10">
        <f t="shared" si="252"/>
        <v>9833.3333333333321</v>
      </c>
      <c r="S339" s="10">
        <f t="shared" si="252"/>
        <v>9833.3333333333321</v>
      </c>
      <c r="T339" s="33">
        <f t="shared" si="252"/>
        <v>9833.3333333333321</v>
      </c>
    </row>
    <row r="340" spans="3:20" x14ac:dyDescent="0.2">
      <c r="C340" t="s">
        <v>124</v>
      </c>
      <c r="D340" t="s">
        <v>99</v>
      </c>
      <c r="E340" s="64">
        <f>_xlfn.XLOOKUP($C340,'Corporate Roster - ''25'!$C$9:$C$59,'Corporate Roster - ''25'!E$9:E$59,0)</f>
        <v>38697</v>
      </c>
      <c r="F340" s="64" t="str">
        <f>_xlfn.XLOOKUP($C340,'Corporate Roster - ''25'!$C$9:$C$59,'Corporate Roster - ''25'!F$9:F$59,0)</f>
        <v>-</v>
      </c>
      <c r="G340" s="261">
        <f>_xlfn.XLOOKUP($C340,'Corporate Roster - ''25'!$C$9:$C$59,'Corporate Roster - ''25'!K$9:K$59,0)</f>
        <v>118000</v>
      </c>
      <c r="I340" s="32">
        <f t="shared" ref="I340:T340" si="253">I281+I163+I45</f>
        <v>9833.3333333333321</v>
      </c>
      <c r="J340" s="10">
        <f t="shared" si="253"/>
        <v>9833.3333333333321</v>
      </c>
      <c r="K340" s="10">
        <f t="shared" si="253"/>
        <v>9833.3333333333321</v>
      </c>
      <c r="L340" s="10">
        <f t="shared" si="253"/>
        <v>9833.3333333333321</v>
      </c>
      <c r="M340" s="10">
        <f t="shared" si="253"/>
        <v>9833.3333333333321</v>
      </c>
      <c r="N340" s="10">
        <f t="shared" si="253"/>
        <v>9833.3333333333321</v>
      </c>
      <c r="O340" s="10">
        <f t="shared" si="253"/>
        <v>9833.3333333333321</v>
      </c>
      <c r="P340" s="10">
        <f t="shared" si="253"/>
        <v>9833.3333333333321</v>
      </c>
      <c r="Q340" s="10">
        <f t="shared" si="253"/>
        <v>9833.3333333333321</v>
      </c>
      <c r="R340" s="10">
        <f t="shared" si="253"/>
        <v>9833.3333333333321</v>
      </c>
      <c r="S340" s="10">
        <f t="shared" si="253"/>
        <v>9833.3333333333321</v>
      </c>
      <c r="T340" s="33">
        <f t="shared" si="253"/>
        <v>9833.3333333333321</v>
      </c>
    </row>
    <row r="341" spans="3:20" x14ac:dyDescent="0.2">
      <c r="C341" t="s">
        <v>125</v>
      </c>
      <c r="D341" t="s">
        <v>99</v>
      </c>
      <c r="E341" s="64">
        <f>_xlfn.XLOOKUP($C341,'Corporate Roster - ''25'!$C$9:$C$59,'Corporate Roster - ''25'!E$9:E$59,0)</f>
        <v>43863</v>
      </c>
      <c r="F341" s="64" t="str">
        <f>_xlfn.XLOOKUP($C341,'Corporate Roster - ''25'!$C$9:$C$59,'Corporate Roster - ''25'!F$9:F$59,0)</f>
        <v>-</v>
      </c>
      <c r="G341" s="261">
        <f>_xlfn.XLOOKUP($C341,'Corporate Roster - ''25'!$C$9:$C$59,'Corporate Roster - ''25'!K$9:K$59,0)</f>
        <v>118000</v>
      </c>
      <c r="I341" s="32">
        <f t="shared" ref="I341:T341" si="254">I282+I164+I46</f>
        <v>9833.3333333333321</v>
      </c>
      <c r="J341" s="10">
        <f t="shared" si="254"/>
        <v>9833.3333333333321</v>
      </c>
      <c r="K341" s="10">
        <f t="shared" si="254"/>
        <v>9833.3333333333321</v>
      </c>
      <c r="L341" s="10">
        <f t="shared" si="254"/>
        <v>9833.3333333333321</v>
      </c>
      <c r="M341" s="10">
        <f t="shared" si="254"/>
        <v>9833.3333333333321</v>
      </c>
      <c r="N341" s="10">
        <f t="shared" si="254"/>
        <v>9833.3333333333321</v>
      </c>
      <c r="O341" s="10">
        <f t="shared" si="254"/>
        <v>9833.3333333333321</v>
      </c>
      <c r="P341" s="10">
        <f t="shared" si="254"/>
        <v>9833.3333333333321</v>
      </c>
      <c r="Q341" s="10">
        <f t="shared" si="254"/>
        <v>9833.3333333333321</v>
      </c>
      <c r="R341" s="10">
        <f t="shared" si="254"/>
        <v>9833.3333333333321</v>
      </c>
      <c r="S341" s="10">
        <f t="shared" si="254"/>
        <v>9833.3333333333321</v>
      </c>
      <c r="T341" s="33">
        <f t="shared" si="254"/>
        <v>9833.3333333333321</v>
      </c>
    </row>
    <row r="342" spans="3:20" x14ac:dyDescent="0.2">
      <c r="C342" t="s">
        <v>126</v>
      </c>
      <c r="D342" t="s">
        <v>110</v>
      </c>
      <c r="E342" s="64">
        <f>_xlfn.XLOOKUP($C342,'Corporate Roster - ''25'!$C$9:$C$59,'Corporate Roster - ''25'!E$9:E$59,0)</f>
        <v>40847</v>
      </c>
      <c r="F342" s="64" t="str">
        <f>_xlfn.XLOOKUP($C342,'Corporate Roster - ''25'!$C$9:$C$59,'Corporate Roster - ''25'!F$9:F$59,0)</f>
        <v>-</v>
      </c>
      <c r="G342" s="261">
        <f>_xlfn.XLOOKUP($C342,'Corporate Roster - ''25'!$C$9:$C$59,'Corporate Roster - ''25'!K$9:K$59,0)</f>
        <v>127000</v>
      </c>
      <c r="I342" s="32">
        <f t="shared" ref="I342:T342" si="255">I283+I165+I47</f>
        <v>10583.333333333332</v>
      </c>
      <c r="J342" s="10">
        <f t="shared" si="255"/>
        <v>10583.333333333332</v>
      </c>
      <c r="K342" s="10">
        <f t="shared" si="255"/>
        <v>10583.333333333332</v>
      </c>
      <c r="L342" s="10">
        <f t="shared" si="255"/>
        <v>10583.333333333332</v>
      </c>
      <c r="M342" s="10">
        <f t="shared" si="255"/>
        <v>10583.333333333332</v>
      </c>
      <c r="N342" s="10">
        <f t="shared" si="255"/>
        <v>10583.333333333332</v>
      </c>
      <c r="O342" s="10">
        <f t="shared" si="255"/>
        <v>10583.333333333332</v>
      </c>
      <c r="P342" s="10">
        <f t="shared" si="255"/>
        <v>10583.333333333332</v>
      </c>
      <c r="Q342" s="10">
        <f t="shared" si="255"/>
        <v>10583.333333333332</v>
      </c>
      <c r="R342" s="10">
        <f t="shared" si="255"/>
        <v>10583.333333333332</v>
      </c>
      <c r="S342" s="10">
        <f t="shared" si="255"/>
        <v>10583.333333333332</v>
      </c>
      <c r="T342" s="33">
        <f t="shared" si="255"/>
        <v>10583.333333333332</v>
      </c>
    </row>
    <row r="343" spans="3:20" x14ac:dyDescent="0.2">
      <c r="C343" t="s">
        <v>127</v>
      </c>
      <c r="D343" t="s">
        <v>110</v>
      </c>
      <c r="E343" s="64">
        <f>_xlfn.XLOOKUP($C343,'Corporate Roster - ''25'!$C$9:$C$59,'Corporate Roster - ''25'!E$9:E$59,0)</f>
        <v>39385</v>
      </c>
      <c r="F343" s="64" t="str">
        <f>_xlfn.XLOOKUP($C343,'Corporate Roster - ''25'!$C$9:$C$59,'Corporate Roster - ''25'!F$9:F$59,0)</f>
        <v>-</v>
      </c>
      <c r="G343" s="261">
        <f>_xlfn.XLOOKUP($C343,'Corporate Roster - ''25'!$C$9:$C$59,'Corporate Roster - ''25'!K$9:K$59,0)</f>
        <v>127000</v>
      </c>
      <c r="I343" s="32">
        <f t="shared" ref="I343:T343" si="256">I284+I166+I48</f>
        <v>10583.333333333332</v>
      </c>
      <c r="J343" s="10">
        <f t="shared" si="256"/>
        <v>10583.333333333332</v>
      </c>
      <c r="K343" s="10">
        <f t="shared" si="256"/>
        <v>10583.333333333332</v>
      </c>
      <c r="L343" s="10">
        <f t="shared" si="256"/>
        <v>10583.333333333332</v>
      </c>
      <c r="M343" s="10">
        <f t="shared" si="256"/>
        <v>10583.333333333332</v>
      </c>
      <c r="N343" s="10">
        <f t="shared" si="256"/>
        <v>10583.333333333332</v>
      </c>
      <c r="O343" s="10">
        <f t="shared" si="256"/>
        <v>10583.333333333332</v>
      </c>
      <c r="P343" s="10">
        <f t="shared" si="256"/>
        <v>10583.333333333332</v>
      </c>
      <c r="Q343" s="10">
        <f t="shared" si="256"/>
        <v>10583.333333333332</v>
      </c>
      <c r="R343" s="10">
        <f t="shared" si="256"/>
        <v>10583.333333333332</v>
      </c>
      <c r="S343" s="10">
        <f t="shared" si="256"/>
        <v>10583.333333333332</v>
      </c>
      <c r="T343" s="33">
        <f t="shared" si="256"/>
        <v>10583.333333333332</v>
      </c>
    </row>
    <row r="344" spans="3:20" x14ac:dyDescent="0.2">
      <c r="C344" t="s">
        <v>128</v>
      </c>
      <c r="D344" t="s">
        <v>90</v>
      </c>
      <c r="E344" s="64">
        <f>_xlfn.XLOOKUP($C344,'Corporate Roster - ''25'!$C$9:$C$59,'Corporate Roster - ''25'!E$9:E$59,0)</f>
        <v>39936</v>
      </c>
      <c r="F344" s="64" t="str">
        <f>_xlfn.XLOOKUP($C344,'Corporate Roster - ''25'!$C$9:$C$59,'Corporate Roster - ''25'!F$9:F$59,0)</f>
        <v>-</v>
      </c>
      <c r="G344" s="261">
        <f>_xlfn.XLOOKUP($C344,'Corporate Roster - ''25'!$C$9:$C$59,'Corporate Roster - ''25'!K$9:K$59,0)</f>
        <v>200000</v>
      </c>
      <c r="I344" s="32">
        <f t="shared" ref="I344:T344" si="257">I285+I167+I49</f>
        <v>16666.666666666664</v>
      </c>
      <c r="J344" s="10">
        <f t="shared" si="257"/>
        <v>16666.666666666664</v>
      </c>
      <c r="K344" s="10">
        <f t="shared" si="257"/>
        <v>16666.666666666664</v>
      </c>
      <c r="L344" s="10">
        <f t="shared" si="257"/>
        <v>16666.666666666664</v>
      </c>
      <c r="M344" s="10">
        <f t="shared" si="257"/>
        <v>16666.666666666664</v>
      </c>
      <c r="N344" s="10">
        <f t="shared" si="257"/>
        <v>16666.666666666664</v>
      </c>
      <c r="O344" s="10">
        <f t="shared" si="257"/>
        <v>16666.666666666664</v>
      </c>
      <c r="P344" s="10">
        <f t="shared" si="257"/>
        <v>16666.666666666664</v>
      </c>
      <c r="Q344" s="10">
        <f t="shared" si="257"/>
        <v>16666.666666666664</v>
      </c>
      <c r="R344" s="10">
        <f t="shared" si="257"/>
        <v>16666.666666666664</v>
      </c>
      <c r="S344" s="10">
        <f t="shared" si="257"/>
        <v>16666.666666666664</v>
      </c>
      <c r="T344" s="33">
        <f t="shared" si="257"/>
        <v>16666.666666666664</v>
      </c>
    </row>
    <row r="345" spans="3:20" x14ac:dyDescent="0.2">
      <c r="C345" t="s">
        <v>129</v>
      </c>
      <c r="D345" t="s">
        <v>99</v>
      </c>
      <c r="E345" s="64">
        <f>_xlfn.XLOOKUP($C345,'Corporate Roster - ''25'!$C$9:$C$59,'Corporate Roster - ''25'!E$9:E$59,0)</f>
        <v>43887</v>
      </c>
      <c r="F345" s="64" t="str">
        <f>_xlfn.XLOOKUP($C345,'Corporate Roster - ''25'!$C$9:$C$59,'Corporate Roster - ''25'!F$9:F$59,0)</f>
        <v>-</v>
      </c>
      <c r="G345" s="261">
        <f>_xlfn.XLOOKUP($C345,'Corporate Roster - ''25'!$C$9:$C$59,'Corporate Roster - ''25'!K$9:K$59,0)</f>
        <v>118000</v>
      </c>
      <c r="I345" s="32">
        <f t="shared" ref="I345:T345" si="258">I286+I168+I50</f>
        <v>9833.3333333333321</v>
      </c>
      <c r="J345" s="10">
        <f t="shared" si="258"/>
        <v>9833.3333333333321</v>
      </c>
      <c r="K345" s="10">
        <f t="shared" si="258"/>
        <v>9833.3333333333321</v>
      </c>
      <c r="L345" s="10">
        <f t="shared" si="258"/>
        <v>9833.3333333333321</v>
      </c>
      <c r="M345" s="10">
        <f t="shared" si="258"/>
        <v>9833.3333333333321</v>
      </c>
      <c r="N345" s="10">
        <f t="shared" si="258"/>
        <v>9833.3333333333321</v>
      </c>
      <c r="O345" s="10">
        <f t="shared" si="258"/>
        <v>9833.3333333333321</v>
      </c>
      <c r="P345" s="10">
        <f t="shared" si="258"/>
        <v>9833.3333333333321</v>
      </c>
      <c r="Q345" s="10">
        <f t="shared" si="258"/>
        <v>9833.3333333333321</v>
      </c>
      <c r="R345" s="10">
        <f t="shared" si="258"/>
        <v>9833.3333333333321</v>
      </c>
      <c r="S345" s="10">
        <f t="shared" si="258"/>
        <v>9833.3333333333321</v>
      </c>
      <c r="T345" s="33">
        <f t="shared" si="258"/>
        <v>9833.3333333333321</v>
      </c>
    </row>
    <row r="346" spans="3:20" x14ac:dyDescent="0.2">
      <c r="C346" t="s">
        <v>122</v>
      </c>
      <c r="D346" t="s">
        <v>99</v>
      </c>
      <c r="E346" s="64">
        <f>_xlfn.XLOOKUP($C346,'Corporate Roster - ''25'!$C$9:$C$59,'Corporate Roster - ''25'!E$9:E$59,0)</f>
        <v>44041</v>
      </c>
      <c r="F346" s="64" t="str">
        <f>_xlfn.XLOOKUP($C346,'Corporate Roster - ''25'!$C$9:$C$59,'Corporate Roster - ''25'!F$9:F$59,0)</f>
        <v>-</v>
      </c>
      <c r="G346" s="261">
        <f>_xlfn.XLOOKUP($C346,'Corporate Roster - ''25'!$C$9:$C$59,'Corporate Roster - ''25'!K$9:K$59,0)</f>
        <v>118000</v>
      </c>
      <c r="I346" s="32">
        <f t="shared" ref="I346:T346" si="259">I287+I169+I51</f>
        <v>9833.3333333333321</v>
      </c>
      <c r="J346" s="10">
        <f t="shared" si="259"/>
        <v>9833.3333333333321</v>
      </c>
      <c r="K346" s="10">
        <f t="shared" si="259"/>
        <v>9833.3333333333321</v>
      </c>
      <c r="L346" s="10">
        <f t="shared" si="259"/>
        <v>9833.3333333333321</v>
      </c>
      <c r="M346" s="10">
        <f t="shared" si="259"/>
        <v>9833.3333333333321</v>
      </c>
      <c r="N346" s="10">
        <f t="shared" si="259"/>
        <v>9833.3333333333321</v>
      </c>
      <c r="O346" s="10">
        <f t="shared" si="259"/>
        <v>9833.3333333333321</v>
      </c>
      <c r="P346" s="10">
        <f t="shared" si="259"/>
        <v>9833.3333333333321</v>
      </c>
      <c r="Q346" s="10">
        <f t="shared" si="259"/>
        <v>9833.3333333333321</v>
      </c>
      <c r="R346" s="10">
        <f t="shared" si="259"/>
        <v>9833.3333333333321</v>
      </c>
      <c r="S346" s="10">
        <f t="shared" si="259"/>
        <v>9833.3333333333321</v>
      </c>
      <c r="T346" s="33">
        <f t="shared" si="259"/>
        <v>9833.3333333333321</v>
      </c>
    </row>
    <row r="347" spans="3:20" x14ac:dyDescent="0.2">
      <c r="C347" t="s">
        <v>236</v>
      </c>
      <c r="D347" t="s">
        <v>242</v>
      </c>
      <c r="E347" s="64">
        <f>_xlfn.XLOOKUP($C347,'Corporate Roster - ''25'!$C$9:$C$59,'Corporate Roster - ''25'!E$9:E$59,0)</f>
        <v>45658</v>
      </c>
      <c r="F347" s="64" t="str">
        <f>_xlfn.XLOOKUP($C347,'Corporate Roster - ''25'!$C$9:$C$59,'Corporate Roster - ''25'!F$9:F$59,0)</f>
        <v>-</v>
      </c>
      <c r="G347" s="261">
        <f>_xlfn.XLOOKUP($C347,'Corporate Roster - ''25'!$C$9:$C$59,'Corporate Roster - ''25'!K$9:K$59,0)</f>
        <v>425000</v>
      </c>
      <c r="I347" s="32">
        <f t="shared" ref="I347:T347" si="260">I288+I170+I52</f>
        <v>35416.666666666664</v>
      </c>
      <c r="J347" s="10">
        <f t="shared" si="260"/>
        <v>35416.666666666664</v>
      </c>
      <c r="K347" s="10">
        <f t="shared" si="260"/>
        <v>35416.666666666664</v>
      </c>
      <c r="L347" s="10">
        <f t="shared" si="260"/>
        <v>35416.666666666664</v>
      </c>
      <c r="M347" s="10">
        <f t="shared" si="260"/>
        <v>35416.666666666664</v>
      </c>
      <c r="N347" s="10">
        <f t="shared" si="260"/>
        <v>35416.666666666664</v>
      </c>
      <c r="O347" s="10">
        <f t="shared" si="260"/>
        <v>35416.666666666664</v>
      </c>
      <c r="P347" s="10">
        <f t="shared" si="260"/>
        <v>35416.666666666664</v>
      </c>
      <c r="Q347" s="10">
        <f t="shared" si="260"/>
        <v>35416.666666666664</v>
      </c>
      <c r="R347" s="10">
        <f t="shared" si="260"/>
        <v>35416.666666666664</v>
      </c>
      <c r="S347" s="10">
        <f t="shared" si="260"/>
        <v>35416.666666666664</v>
      </c>
      <c r="T347" s="33">
        <f t="shared" si="260"/>
        <v>35416.666666666664</v>
      </c>
    </row>
    <row r="348" spans="3:20" x14ac:dyDescent="0.2">
      <c r="C348" t="s">
        <v>238</v>
      </c>
      <c r="D348" t="s">
        <v>243</v>
      </c>
      <c r="E348" s="64">
        <f>_xlfn.XLOOKUP($C348,'Corporate Roster - ''25'!$C$9:$C$59,'Corporate Roster - ''25'!E$9:E$59,0)</f>
        <v>45658</v>
      </c>
      <c r="F348" s="64" t="str">
        <f>_xlfn.XLOOKUP($C348,'Corporate Roster - ''25'!$C$9:$C$59,'Corporate Roster - ''25'!F$9:F$59,0)</f>
        <v>-</v>
      </c>
      <c r="G348" s="261">
        <f>_xlfn.XLOOKUP($C348,'Corporate Roster - ''25'!$C$9:$C$59,'Corporate Roster - ''25'!K$9:K$59,0)</f>
        <v>183000</v>
      </c>
      <c r="I348" s="32">
        <f t="shared" ref="I348:T348" si="261">I289+I171+I53</f>
        <v>15250</v>
      </c>
      <c r="J348" s="10">
        <f t="shared" si="261"/>
        <v>15250</v>
      </c>
      <c r="K348" s="10">
        <f t="shared" si="261"/>
        <v>15250</v>
      </c>
      <c r="L348" s="10">
        <f t="shared" si="261"/>
        <v>15250</v>
      </c>
      <c r="M348" s="10">
        <f t="shared" si="261"/>
        <v>15250</v>
      </c>
      <c r="N348" s="10">
        <f t="shared" si="261"/>
        <v>15250</v>
      </c>
      <c r="O348" s="10">
        <f t="shared" si="261"/>
        <v>15250</v>
      </c>
      <c r="P348" s="10">
        <f t="shared" si="261"/>
        <v>15250</v>
      </c>
      <c r="Q348" s="10">
        <f t="shared" si="261"/>
        <v>15250</v>
      </c>
      <c r="R348" s="10">
        <f t="shared" si="261"/>
        <v>15250</v>
      </c>
      <c r="S348" s="10">
        <f t="shared" si="261"/>
        <v>15250</v>
      </c>
      <c r="T348" s="33">
        <f t="shared" si="261"/>
        <v>15250</v>
      </c>
    </row>
    <row r="349" spans="3:20" x14ac:dyDescent="0.2">
      <c r="C349" t="s">
        <v>237</v>
      </c>
      <c r="D349" t="s">
        <v>244</v>
      </c>
      <c r="E349" s="64">
        <f>_xlfn.XLOOKUP($C349,'Corporate Roster - ''25'!$C$9:$C$59,'Corporate Roster - ''25'!E$9:E$59,0)</f>
        <v>45658</v>
      </c>
      <c r="F349" s="64" t="str">
        <f>_xlfn.XLOOKUP($C349,'Corporate Roster - ''25'!$C$9:$C$59,'Corporate Roster - ''25'!F$9:F$59,0)</f>
        <v>-</v>
      </c>
      <c r="G349" s="261">
        <f>_xlfn.XLOOKUP($C349,'Corporate Roster - ''25'!$C$9:$C$59,'Corporate Roster - ''25'!K$9:K$59,0)</f>
        <v>244500</v>
      </c>
      <c r="I349" s="32">
        <f t="shared" ref="I349:T349" si="262">I290+I172+I54</f>
        <v>20375</v>
      </c>
      <c r="J349" s="10">
        <f t="shared" si="262"/>
        <v>20375</v>
      </c>
      <c r="K349" s="10">
        <f t="shared" si="262"/>
        <v>20375</v>
      </c>
      <c r="L349" s="10">
        <f t="shared" si="262"/>
        <v>20375</v>
      </c>
      <c r="M349" s="10">
        <f t="shared" si="262"/>
        <v>20375</v>
      </c>
      <c r="N349" s="10">
        <f t="shared" si="262"/>
        <v>20375</v>
      </c>
      <c r="O349" s="10">
        <f t="shared" si="262"/>
        <v>20375</v>
      </c>
      <c r="P349" s="10">
        <f t="shared" si="262"/>
        <v>20375</v>
      </c>
      <c r="Q349" s="10">
        <f t="shared" si="262"/>
        <v>20375</v>
      </c>
      <c r="R349" s="10">
        <f t="shared" si="262"/>
        <v>20375</v>
      </c>
      <c r="S349" s="10">
        <f t="shared" si="262"/>
        <v>20375</v>
      </c>
      <c r="T349" s="33">
        <f t="shared" si="262"/>
        <v>20375</v>
      </c>
    </row>
    <row r="350" spans="3:20" x14ac:dyDescent="0.2">
      <c r="C350" t="s">
        <v>239</v>
      </c>
      <c r="D350" t="s">
        <v>245</v>
      </c>
      <c r="E350" s="64">
        <f>_xlfn.XLOOKUP($C350,'Corporate Roster - ''25'!$C$9:$C$59,'Corporate Roster - ''25'!E$9:E$59,0)</f>
        <v>45689</v>
      </c>
      <c r="F350" s="64" t="str">
        <f>_xlfn.XLOOKUP($C350,'Corporate Roster - ''25'!$C$9:$C$59,'Corporate Roster - ''25'!F$9:F$59,0)</f>
        <v>-</v>
      </c>
      <c r="G350" s="261">
        <f>_xlfn.XLOOKUP($C350,'Corporate Roster - ''25'!$C$9:$C$59,'Corporate Roster - ''25'!K$9:K$59,0)</f>
        <v>400000</v>
      </c>
      <c r="I350" s="32">
        <f t="shared" ref="I350:T350" si="263">I291+I173+I55</f>
        <v>0</v>
      </c>
      <c r="J350" s="10">
        <f t="shared" si="263"/>
        <v>33333.333333333336</v>
      </c>
      <c r="K350" s="10">
        <f t="shared" si="263"/>
        <v>33333.333333333336</v>
      </c>
      <c r="L350" s="10">
        <f t="shared" si="263"/>
        <v>33333.333333333336</v>
      </c>
      <c r="M350" s="10">
        <f t="shared" si="263"/>
        <v>33333.333333333336</v>
      </c>
      <c r="N350" s="10">
        <f t="shared" si="263"/>
        <v>33333.333333333336</v>
      </c>
      <c r="O350" s="10">
        <f t="shared" si="263"/>
        <v>33333.333333333336</v>
      </c>
      <c r="P350" s="10">
        <f t="shared" si="263"/>
        <v>33333.333333333336</v>
      </c>
      <c r="Q350" s="10">
        <f t="shared" si="263"/>
        <v>33333.333333333336</v>
      </c>
      <c r="R350" s="10">
        <f t="shared" si="263"/>
        <v>33333.333333333336</v>
      </c>
      <c r="S350" s="10">
        <f t="shared" si="263"/>
        <v>33333.333333333336</v>
      </c>
      <c r="T350" s="33">
        <f t="shared" si="263"/>
        <v>33333.333333333336</v>
      </c>
    </row>
    <row r="351" spans="3:20" x14ac:dyDescent="0.2">
      <c r="C351" t="s">
        <v>240</v>
      </c>
      <c r="D351" t="s">
        <v>246</v>
      </c>
      <c r="E351" s="64">
        <f>_xlfn.XLOOKUP($C351,'Corporate Roster - ''25'!$C$9:$C$59,'Corporate Roster - ''25'!E$9:E$59,0)</f>
        <v>45689</v>
      </c>
      <c r="F351" s="64" t="str">
        <f>_xlfn.XLOOKUP($C351,'Corporate Roster - ''25'!$C$9:$C$59,'Corporate Roster - ''25'!F$9:F$59,0)</f>
        <v>-</v>
      </c>
      <c r="G351" s="261">
        <f>_xlfn.XLOOKUP($C351,'Corporate Roster - ''25'!$C$9:$C$59,'Corporate Roster - ''25'!K$9:K$59,0)</f>
        <v>183000</v>
      </c>
      <c r="I351" s="32">
        <f t="shared" ref="I351:T352" si="264">I292+I174+I56</f>
        <v>0</v>
      </c>
      <c r="J351" s="10">
        <f t="shared" si="264"/>
        <v>15250</v>
      </c>
      <c r="K351" s="10">
        <f t="shared" si="264"/>
        <v>15250</v>
      </c>
      <c r="L351" s="10">
        <f t="shared" si="264"/>
        <v>15250</v>
      </c>
      <c r="M351" s="10">
        <f t="shared" si="264"/>
        <v>15250</v>
      </c>
      <c r="N351" s="10">
        <f t="shared" si="264"/>
        <v>15250</v>
      </c>
      <c r="O351" s="10">
        <f t="shared" si="264"/>
        <v>15250</v>
      </c>
      <c r="P351" s="10">
        <f t="shared" si="264"/>
        <v>15250</v>
      </c>
      <c r="Q351" s="10">
        <f t="shared" si="264"/>
        <v>15250</v>
      </c>
      <c r="R351" s="10">
        <f t="shared" si="264"/>
        <v>15250</v>
      </c>
      <c r="S351" s="10">
        <f t="shared" si="264"/>
        <v>15250</v>
      </c>
      <c r="T351" s="33">
        <f t="shared" si="264"/>
        <v>15250</v>
      </c>
    </row>
    <row r="352" spans="3:20" x14ac:dyDescent="0.2">
      <c r="C352" t="s">
        <v>241</v>
      </c>
      <c r="D352" t="s">
        <v>247</v>
      </c>
      <c r="E352" s="64">
        <f>_xlfn.XLOOKUP($C352,'Corporate Roster - ''25'!$C$9:$C$59,'Corporate Roster - ''25'!E$9:E$59,0)</f>
        <v>45689</v>
      </c>
      <c r="F352" s="64" t="str">
        <f>_xlfn.XLOOKUP($C352,'Corporate Roster - ''25'!$C$9:$C$59,'Corporate Roster - ''25'!F$9:F$59,0)</f>
        <v>-</v>
      </c>
      <c r="G352" s="261">
        <f>_xlfn.XLOOKUP($C352,'Corporate Roster - ''25'!$C$9:$C$59,'Corporate Roster - ''25'!K$9:K$59,0)</f>
        <v>122500</v>
      </c>
      <c r="I352" s="32">
        <f t="shared" si="264"/>
        <v>0</v>
      </c>
      <c r="J352" s="10">
        <f t="shared" si="264"/>
        <v>10208.333333333334</v>
      </c>
      <c r="K352" s="10">
        <f t="shared" si="264"/>
        <v>10208.333333333334</v>
      </c>
      <c r="L352" s="10">
        <f t="shared" si="264"/>
        <v>10208.333333333334</v>
      </c>
      <c r="M352" s="10">
        <f t="shared" si="264"/>
        <v>10208.333333333334</v>
      </c>
      <c r="N352" s="10">
        <f t="shared" si="264"/>
        <v>10208.333333333334</v>
      </c>
      <c r="O352" s="10">
        <f t="shared" si="264"/>
        <v>10208.333333333334</v>
      </c>
      <c r="P352" s="10">
        <f t="shared" si="264"/>
        <v>10208.333333333334</v>
      </c>
      <c r="Q352" s="10">
        <f t="shared" si="264"/>
        <v>10208.333333333334</v>
      </c>
      <c r="R352" s="10">
        <f t="shared" si="264"/>
        <v>10208.333333333334</v>
      </c>
      <c r="S352" s="10">
        <f t="shared" si="264"/>
        <v>10208.333333333334</v>
      </c>
      <c r="T352" s="33">
        <f t="shared" si="264"/>
        <v>10208.333333333334</v>
      </c>
    </row>
    <row r="353" spans="3:20" x14ac:dyDescent="0.2">
      <c r="C353" s="8" t="s">
        <v>279</v>
      </c>
      <c r="D353" s="252"/>
      <c r="E353" s="252"/>
      <c r="F353" s="337"/>
      <c r="G353" s="262">
        <f>SUM(G302:G352)</f>
        <v>10518000</v>
      </c>
      <c r="I353" s="263">
        <f t="shared" ref="I353:T353" si="265">SUM(I302:I352)</f>
        <v>817708.3333333336</v>
      </c>
      <c r="J353" s="263">
        <f t="shared" si="265"/>
        <v>876500.00000000035</v>
      </c>
      <c r="K353" s="263">
        <f t="shared" si="265"/>
        <v>876500.00000000035</v>
      </c>
      <c r="L353" s="263">
        <f t="shared" si="265"/>
        <v>876500.00000000035</v>
      </c>
      <c r="M353" s="263">
        <f t="shared" si="265"/>
        <v>876500.00000000035</v>
      </c>
      <c r="N353" s="263">
        <f t="shared" si="265"/>
        <v>876500.00000000035</v>
      </c>
      <c r="O353" s="263">
        <f t="shared" si="265"/>
        <v>876500.00000000035</v>
      </c>
      <c r="P353" s="263">
        <f t="shared" si="265"/>
        <v>876500.00000000035</v>
      </c>
      <c r="Q353" s="263">
        <f t="shared" si="265"/>
        <v>876500.00000000035</v>
      </c>
      <c r="R353" s="263">
        <f t="shared" si="265"/>
        <v>876500.00000000035</v>
      </c>
      <c r="S353" s="263">
        <f t="shared" si="265"/>
        <v>876500.00000000035</v>
      </c>
      <c r="T353" s="263">
        <f t="shared" si="265"/>
        <v>876500.00000000035</v>
      </c>
    </row>
  </sheetData>
  <pageMargins left="0.7" right="0.7" top="0.75" bottom="0.75" header="0.3" footer="0.3"/>
  <pageSetup scale="3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6968-5629-43AA-81DA-A9B2A7178985}">
  <sheetPr>
    <tabColor rgb="FF598CCF"/>
    <pageSetUpPr fitToPage="1"/>
  </sheetPr>
  <dimension ref="A2:N60"/>
  <sheetViews>
    <sheetView showGridLines="0" view="pageBreakPreview" zoomScaleNormal="100" zoomScaleSheetLayoutView="100" workbookViewId="0">
      <selection activeCell="H12" sqref="H12"/>
    </sheetView>
  </sheetViews>
  <sheetFormatPr defaultRowHeight="12.75" x14ac:dyDescent="0.2"/>
  <cols>
    <col min="1" max="2" width="3.7109375" customWidth="1"/>
    <col min="3" max="3" width="20.7109375" customWidth="1"/>
    <col min="4" max="4" width="29.42578125" bestFit="1" customWidth="1"/>
    <col min="5" max="11" width="14.7109375" customWidth="1"/>
    <col min="12" max="12" width="3.7109375" customWidth="1"/>
    <col min="13" max="13" width="16.7109375" customWidth="1"/>
    <col min="14" max="14" width="3.7109375" customWidth="1"/>
  </cols>
  <sheetData>
    <row r="2" spans="1:14" ht="13.5" thickBot="1" x14ac:dyDescent="0.25">
      <c r="B2" s="48" t="s">
        <v>0</v>
      </c>
      <c r="C2" s="1"/>
      <c r="D2" s="1"/>
      <c r="E2" s="3"/>
      <c r="F2" s="3"/>
      <c r="G2" s="1"/>
      <c r="H2" s="1"/>
      <c r="I2" s="1"/>
      <c r="J2" s="1"/>
      <c r="K2" s="1"/>
      <c r="L2" s="1"/>
      <c r="M2" s="3">
        <f ca="1">TODAY()</f>
        <v>45999</v>
      </c>
      <c r="N2" s="1"/>
    </row>
    <row r="3" spans="1:14" x14ac:dyDescent="0.2">
      <c r="A3" s="9"/>
      <c r="B3" s="47"/>
      <c r="C3" t="s">
        <v>234</v>
      </c>
      <c r="E3" s="6"/>
      <c r="F3" s="6"/>
      <c r="M3" s="53" t="s">
        <v>228</v>
      </c>
    </row>
    <row r="4" spans="1:14" ht="3" customHeight="1" x14ac:dyDescent="0.2"/>
    <row r="5" spans="1:14" x14ac:dyDescent="0.2">
      <c r="C5" s="258" t="s">
        <v>235</v>
      </c>
    </row>
    <row r="6" spans="1:14" x14ac:dyDescent="0.2">
      <c r="C6" s="340">
        <v>0.1</v>
      </c>
    </row>
    <row r="7" spans="1:14" ht="6" customHeight="1" x14ac:dyDescent="0.2"/>
    <row r="8" spans="1:14" ht="45" x14ac:dyDescent="0.35">
      <c r="C8" s="59" t="s">
        <v>57</v>
      </c>
      <c r="D8" s="59" t="s">
        <v>58</v>
      </c>
      <c r="E8" s="59" t="s">
        <v>59</v>
      </c>
      <c r="F8" s="59" t="s">
        <v>60</v>
      </c>
      <c r="G8" s="59" t="s">
        <v>248</v>
      </c>
      <c r="H8" s="59" t="s">
        <v>61</v>
      </c>
      <c r="I8" s="58" t="s">
        <v>62</v>
      </c>
      <c r="J8" s="59" t="s">
        <v>63</v>
      </c>
      <c r="K8" s="58" t="s">
        <v>64</v>
      </c>
      <c r="L8" s="24"/>
      <c r="M8" s="60" t="s">
        <v>136</v>
      </c>
    </row>
    <row r="9" spans="1:14" x14ac:dyDescent="0.2">
      <c r="C9" t="s">
        <v>137</v>
      </c>
      <c r="D9" t="s">
        <v>66</v>
      </c>
      <c r="E9" s="254">
        <f>(_xlfn.XLOOKUP($C9,'Corporate Roster - ''24'!$C$6:$C$60,'Corporate Roster - ''24'!E$6:E$60,0))</f>
        <v>40848</v>
      </c>
      <c r="F9" s="255" t="str">
        <f>(_xlfn.XLOOKUP($C9,'Corporate Roster - ''24'!$C$6:$C$60,'Corporate Roster - ''24'!F$6:F$60,0))</f>
        <v>-</v>
      </c>
      <c r="G9" s="256">
        <f>MROUND(_xlfn.XLOOKUP($C9,'Corporate Roster - ''24'!$C$6:$C$60,'Corporate Roster - ''24'!G$6:G$60,0)*(1+$C$6),1000)</f>
        <v>385000</v>
      </c>
      <c r="H9" s="256">
        <f>MROUND(_xlfn.XLOOKUP($C9,'Corporate Roster - ''24'!$C$6:$C$60,'Corporate Roster - ''24'!H$6:H$60,0)*(1+$C$6),1000)</f>
        <v>165000</v>
      </c>
      <c r="I9" s="68">
        <f>SUM(G9:H9)</f>
        <v>550000</v>
      </c>
      <c r="J9" s="256">
        <f>MROUND(_xlfn.XLOOKUP($C9,'Corporate Roster - ''24'!$C$6:$C$60,'Corporate Roster - ''24'!J$6:J$60,0)*(1+$C$6),1000)</f>
        <v>99000</v>
      </c>
      <c r="K9" s="68">
        <f>SUM(I9:J9)</f>
        <v>649000</v>
      </c>
      <c r="M9" s="69">
        <f>J9/I9</f>
        <v>0.18</v>
      </c>
    </row>
    <row r="10" spans="1:14" x14ac:dyDescent="0.2">
      <c r="C10" t="s">
        <v>67</v>
      </c>
      <c r="D10" t="s">
        <v>68</v>
      </c>
      <c r="E10" s="254">
        <f>(_xlfn.XLOOKUP($C10,'Corporate Roster - ''24'!$C$6:$C$60,'Corporate Roster - ''24'!E$6:E$60,0))</f>
        <v>41718</v>
      </c>
      <c r="F10" s="255" t="str">
        <f>(_xlfn.XLOOKUP($C10,'Corporate Roster - ''24'!$C$6:$C$60,'Corporate Roster - ''24'!F$6:F$60,0))</f>
        <v>-</v>
      </c>
      <c r="G10" s="257">
        <f>MROUND(_xlfn.XLOOKUP($C10,'Corporate Roster - ''24'!$C$6:$C$60,'Corporate Roster - ''24'!G$6:G$60,0)*(1+$C$6),1000)</f>
        <v>275000</v>
      </c>
      <c r="H10" s="257">
        <f>MROUND(_xlfn.XLOOKUP($C10,'Corporate Roster - ''24'!$C$6:$C$60,'Corporate Roster - ''24'!H$6:H$60,0)*(1+$C$6),1000)</f>
        <v>110000</v>
      </c>
      <c r="I10" s="74">
        <f t="shared" ref="I10:I54" si="0">SUM(G10:H10)</f>
        <v>385000</v>
      </c>
      <c r="J10" s="257">
        <f>MROUND(_xlfn.XLOOKUP($C10,'Corporate Roster - ''24'!$C$6:$C$60,'Corporate Roster - ''24'!J$6:J$60,0)*(1+$C$6),1000)</f>
        <v>83000</v>
      </c>
      <c r="K10" s="74">
        <f t="shared" ref="K10:K60" si="1">SUM(I10:J10)</f>
        <v>468000</v>
      </c>
      <c r="M10" s="69">
        <f t="shared" ref="M10:M54" si="2">J10/I10</f>
        <v>0.21558441558441557</v>
      </c>
    </row>
    <row r="11" spans="1:14" x14ac:dyDescent="0.2">
      <c r="C11" t="s">
        <v>69</v>
      </c>
      <c r="D11" t="s">
        <v>70</v>
      </c>
      <c r="E11" s="254">
        <f>(_xlfn.XLOOKUP($C11,'Corporate Roster - ''24'!$C$6:$C$60,'Corporate Roster - ''24'!E$6:E$60,0))</f>
        <v>39601</v>
      </c>
      <c r="F11" s="255" t="str">
        <f>(_xlfn.XLOOKUP($C11,'Corporate Roster - ''24'!$C$6:$C$60,'Corporate Roster - ''24'!F$6:F$60,0))</f>
        <v>-</v>
      </c>
      <c r="G11" s="257">
        <f>MROUND(_xlfn.XLOOKUP($C11,'Corporate Roster - ''24'!$C$6:$C$60,'Corporate Roster - ''24'!G$6:G$60,0)*(1+$C$6),1000)</f>
        <v>275000</v>
      </c>
      <c r="H11" s="257">
        <f>MROUND(_xlfn.XLOOKUP($C11,'Corporate Roster - ''24'!$C$6:$C$60,'Corporate Roster - ''24'!H$6:H$60,0)*(1+$C$6),1000)</f>
        <v>110000</v>
      </c>
      <c r="I11" s="74">
        <f t="shared" si="0"/>
        <v>385000</v>
      </c>
      <c r="J11" s="257">
        <f>MROUND(_xlfn.XLOOKUP($C11,'Corporate Roster - ''24'!$C$6:$C$60,'Corporate Roster - ''24'!J$6:J$60,0)*(1+$C$6),1000)</f>
        <v>83000</v>
      </c>
      <c r="K11" s="74">
        <f t="shared" si="1"/>
        <v>468000</v>
      </c>
      <c r="M11" s="69">
        <f t="shared" si="2"/>
        <v>0.21558441558441557</v>
      </c>
    </row>
    <row r="12" spans="1:14" x14ac:dyDescent="0.2">
      <c r="C12" t="s">
        <v>71</v>
      </c>
      <c r="D12" t="s">
        <v>72</v>
      </c>
      <c r="E12" s="254">
        <f>(_xlfn.XLOOKUP($C12,'Corporate Roster - ''24'!$C$6:$C$60,'Corporate Roster - ''24'!E$6:E$60,0))</f>
        <v>44453</v>
      </c>
      <c r="F12" s="255" t="str">
        <f>(_xlfn.XLOOKUP($C12,'Corporate Roster - ''24'!$C$6:$C$60,'Corporate Roster - ''24'!F$6:F$60,0))</f>
        <v>-</v>
      </c>
      <c r="G12" s="257">
        <f>MROUND(_xlfn.XLOOKUP($C12,'Corporate Roster - ''24'!$C$6:$C$60,'Corporate Roster - ''24'!G$6:G$60,0)*(1+$C$6),1000)</f>
        <v>264000</v>
      </c>
      <c r="H12" s="257">
        <f>MROUND(_xlfn.XLOOKUP($C12,'Corporate Roster - ''24'!$C$6:$C$60,'Corporate Roster - ''24'!H$6:H$60,0)*(1+$C$6),1000)</f>
        <v>92000</v>
      </c>
      <c r="I12" s="74">
        <f t="shared" si="0"/>
        <v>356000</v>
      </c>
      <c r="J12" s="257">
        <f>MROUND(_xlfn.XLOOKUP($C12,'Corporate Roster - ''24'!$C$6:$C$60,'Corporate Roster - ''24'!J$6:J$60,0)*(1+$C$6),1000)</f>
        <v>79000</v>
      </c>
      <c r="K12" s="74">
        <f t="shared" si="1"/>
        <v>435000</v>
      </c>
      <c r="M12" s="69">
        <f t="shared" si="2"/>
        <v>0.22191011235955055</v>
      </c>
    </row>
    <row r="13" spans="1:14" x14ac:dyDescent="0.2">
      <c r="C13" t="s">
        <v>145</v>
      </c>
      <c r="D13" t="s">
        <v>74</v>
      </c>
      <c r="E13" s="254">
        <f>(_xlfn.XLOOKUP($C13,'Corporate Roster - ''24'!$C$6:$C$60,'Corporate Roster - ''24'!E$6:E$60,0))</f>
        <v>39783</v>
      </c>
      <c r="F13" s="255" t="str">
        <f>(_xlfn.XLOOKUP($C13,'Corporate Roster - ''24'!$C$6:$C$60,'Corporate Roster - ''24'!F$6:F$60,0))</f>
        <v>-</v>
      </c>
      <c r="G13" s="257">
        <f>MROUND(_xlfn.XLOOKUP($C13,'Corporate Roster - ''24'!$C$6:$C$60,'Corporate Roster - ''24'!G$6:G$60,0)*(1+$C$6),1000)</f>
        <v>220000</v>
      </c>
      <c r="H13" s="257">
        <f>MROUND(_xlfn.XLOOKUP($C13,'Corporate Roster - ''24'!$C$6:$C$60,'Corporate Roster - ''24'!H$6:H$60,0)*(1+$C$6),1000)</f>
        <v>66000</v>
      </c>
      <c r="I13" s="74">
        <f t="shared" si="0"/>
        <v>286000</v>
      </c>
      <c r="J13" s="257">
        <f>MROUND(_xlfn.XLOOKUP($C13,'Corporate Roster - ''24'!$C$6:$C$60,'Corporate Roster - ''24'!J$6:J$60,0)*(1+$C$6),1000)</f>
        <v>66000</v>
      </c>
      <c r="K13" s="74">
        <f t="shared" si="1"/>
        <v>352000</v>
      </c>
      <c r="M13" s="69">
        <f t="shared" si="2"/>
        <v>0.23076923076923078</v>
      </c>
    </row>
    <row r="14" spans="1:14" x14ac:dyDescent="0.2">
      <c r="C14" t="s">
        <v>146</v>
      </c>
      <c r="D14" t="s">
        <v>76</v>
      </c>
      <c r="E14" s="254">
        <f>(_xlfn.XLOOKUP($C14,'Corporate Roster - ''24'!$C$6:$C$60,'Corporate Roster - ''24'!E$6:E$60,0))</f>
        <v>42573</v>
      </c>
      <c r="F14" s="255" t="str">
        <f>(_xlfn.XLOOKUP($C14,'Corporate Roster - ''24'!$C$6:$C$60,'Corporate Roster - ''24'!F$6:F$60,0))</f>
        <v>-</v>
      </c>
      <c r="G14" s="257">
        <f>MROUND(_xlfn.XLOOKUP($C14,'Corporate Roster - ''24'!$C$6:$C$60,'Corporate Roster - ''24'!G$6:G$60,0)*(1+$C$6),1000)</f>
        <v>220000</v>
      </c>
      <c r="H14" s="257">
        <f>MROUND(_xlfn.XLOOKUP($C14,'Corporate Roster - ''24'!$C$6:$C$60,'Corporate Roster - ''24'!H$6:H$60,0)*(1+$C$6),1000)</f>
        <v>66000</v>
      </c>
      <c r="I14" s="74">
        <f t="shared" si="0"/>
        <v>286000</v>
      </c>
      <c r="J14" s="257">
        <f>MROUND(_xlfn.XLOOKUP($C14,'Corporate Roster - ''24'!$C$6:$C$60,'Corporate Roster - ''24'!J$6:J$60,0)*(1+$C$6),1000)</f>
        <v>66000</v>
      </c>
      <c r="K14" s="74">
        <f t="shared" si="1"/>
        <v>352000</v>
      </c>
      <c r="M14" s="69">
        <f t="shared" si="2"/>
        <v>0.23076923076923078</v>
      </c>
    </row>
    <row r="15" spans="1:14" x14ac:dyDescent="0.2">
      <c r="C15" t="s">
        <v>77</v>
      </c>
      <c r="D15" t="s">
        <v>78</v>
      </c>
      <c r="E15" s="254">
        <f>(_xlfn.XLOOKUP($C15,'Corporate Roster - ''24'!$C$6:$C$60,'Corporate Roster - ''24'!E$6:E$60,0))</f>
        <v>38481</v>
      </c>
      <c r="F15" s="255" t="str">
        <f>(_xlfn.XLOOKUP($C15,'Corporate Roster - ''24'!$C$6:$C$60,'Corporate Roster - ''24'!F$6:F$60,0))</f>
        <v>-</v>
      </c>
      <c r="G15" s="257">
        <f>MROUND(_xlfn.XLOOKUP($C15,'Corporate Roster - ''24'!$C$6:$C$60,'Corporate Roster - ''24'!G$6:G$60,0)*(1+$C$6),1000)</f>
        <v>198000</v>
      </c>
      <c r="H15" s="257">
        <f>MROUND(_xlfn.XLOOKUP($C15,'Corporate Roster - ''24'!$C$6:$C$60,'Corporate Roster - ''24'!H$6:H$60,0)*(1+$C$6),1000)</f>
        <v>50000</v>
      </c>
      <c r="I15" s="74">
        <f t="shared" si="0"/>
        <v>248000</v>
      </c>
      <c r="J15" s="257">
        <f>MROUND(_xlfn.XLOOKUP($C15,'Corporate Roster - ''24'!$C$6:$C$60,'Corporate Roster - ''24'!J$6:J$60,0)*(1+$C$6),1000)</f>
        <v>59000</v>
      </c>
      <c r="K15" s="74">
        <f t="shared" si="1"/>
        <v>307000</v>
      </c>
      <c r="M15" s="69">
        <f t="shared" si="2"/>
        <v>0.23790322580645162</v>
      </c>
    </row>
    <row r="16" spans="1:14" x14ac:dyDescent="0.2">
      <c r="C16" t="s">
        <v>79</v>
      </c>
      <c r="D16" t="s">
        <v>80</v>
      </c>
      <c r="E16" s="254">
        <f>(_xlfn.XLOOKUP($C16,'Corporate Roster - ''24'!$C$6:$C$60,'Corporate Roster - ''24'!E$6:E$60,0))</f>
        <v>38427</v>
      </c>
      <c r="F16" s="255" t="str">
        <f>(_xlfn.XLOOKUP($C16,'Corporate Roster - ''24'!$C$6:$C$60,'Corporate Roster - ''24'!F$6:F$60,0))</f>
        <v>-</v>
      </c>
      <c r="G16" s="257">
        <f>MROUND(_xlfn.XLOOKUP($C16,'Corporate Roster - ''24'!$C$6:$C$60,'Corporate Roster - ''24'!G$6:G$60,0)*(1+$C$6),1000)</f>
        <v>176000</v>
      </c>
      <c r="H16" s="257">
        <f>MROUND(_xlfn.XLOOKUP($C16,'Corporate Roster - ''24'!$C$6:$C$60,'Corporate Roster - ''24'!H$6:H$60,0)*(1+$C$6),1000)</f>
        <v>35000</v>
      </c>
      <c r="I16" s="74">
        <f t="shared" si="0"/>
        <v>211000</v>
      </c>
      <c r="J16" s="257">
        <f>MROUND(_xlfn.XLOOKUP($C16,'Corporate Roster - ''24'!$C$6:$C$60,'Corporate Roster - ''24'!J$6:J$60,0)*(1+$C$6),1000)</f>
        <v>53000</v>
      </c>
      <c r="K16" s="74">
        <f t="shared" si="1"/>
        <v>264000</v>
      </c>
      <c r="M16" s="69">
        <f t="shared" si="2"/>
        <v>0.25118483412322273</v>
      </c>
    </row>
    <row r="17" spans="3:13" x14ac:dyDescent="0.2">
      <c r="C17" t="s">
        <v>147</v>
      </c>
      <c r="D17" t="s">
        <v>82</v>
      </c>
      <c r="E17" s="254">
        <f>(_xlfn.XLOOKUP($C17,'Corporate Roster - ''24'!$C$6:$C$60,'Corporate Roster - ''24'!E$6:E$60,0))</f>
        <v>42696</v>
      </c>
      <c r="F17" s="255" t="str">
        <f>(_xlfn.XLOOKUP($C17,'Corporate Roster - ''24'!$C$6:$C$60,'Corporate Roster - ''24'!F$6:F$60,0))</f>
        <v>-</v>
      </c>
      <c r="G17" s="257">
        <f>MROUND(_xlfn.XLOOKUP($C17,'Corporate Roster - ''24'!$C$6:$C$60,'Corporate Roster - ''24'!G$6:G$60,0)*(1+$C$6),1000)</f>
        <v>176000</v>
      </c>
      <c r="H17" s="257">
        <f>MROUND(_xlfn.XLOOKUP($C17,'Corporate Roster - ''24'!$C$6:$C$60,'Corporate Roster - ''24'!H$6:H$60,0)*(1+$C$6),1000)</f>
        <v>35000</v>
      </c>
      <c r="I17" s="74">
        <f t="shared" si="0"/>
        <v>211000</v>
      </c>
      <c r="J17" s="257">
        <f>MROUND(_xlfn.XLOOKUP($C17,'Corporate Roster - ''24'!$C$6:$C$60,'Corporate Roster - ''24'!J$6:J$60,0)*(1+$C$6),1000)</f>
        <v>53000</v>
      </c>
      <c r="K17" s="74">
        <f t="shared" si="1"/>
        <v>264000</v>
      </c>
      <c r="M17" s="69">
        <f t="shared" si="2"/>
        <v>0.25118483412322273</v>
      </c>
    </row>
    <row r="18" spans="3:13" x14ac:dyDescent="0.2">
      <c r="C18" t="s">
        <v>83</v>
      </c>
      <c r="D18" t="s">
        <v>84</v>
      </c>
      <c r="E18" s="254">
        <f>(_xlfn.XLOOKUP($C18,'Corporate Roster - ''24'!$C$6:$C$60,'Corporate Roster - ''24'!E$6:E$60,0))</f>
        <v>45248</v>
      </c>
      <c r="F18" s="255" t="str">
        <f>(_xlfn.XLOOKUP($C18,'Corporate Roster - ''24'!$C$6:$C$60,'Corporate Roster - ''24'!F$6:F$60,0))</f>
        <v>-</v>
      </c>
      <c r="G18" s="257">
        <f>MROUND(_xlfn.XLOOKUP($C18,'Corporate Roster - ''24'!$C$6:$C$60,'Corporate Roster - ''24'!G$6:G$60,0)*(1+$C$6),1000)</f>
        <v>165000</v>
      </c>
      <c r="H18" s="257">
        <f>MROUND(_xlfn.XLOOKUP($C18,'Corporate Roster - ''24'!$C$6:$C$60,'Corporate Roster - ''24'!H$6:H$60,0)*(1+$C$6),1000)</f>
        <v>25000</v>
      </c>
      <c r="I18" s="74">
        <f t="shared" si="0"/>
        <v>190000</v>
      </c>
      <c r="J18" s="257">
        <f>MROUND(_xlfn.XLOOKUP($C18,'Corporate Roster - ''24'!$C$6:$C$60,'Corporate Roster - ''24'!J$6:J$60,0)*(1+$C$6),1000)</f>
        <v>50000</v>
      </c>
      <c r="K18" s="74">
        <f t="shared" si="1"/>
        <v>240000</v>
      </c>
      <c r="M18" s="69">
        <f t="shared" si="2"/>
        <v>0.26315789473684209</v>
      </c>
    </row>
    <row r="19" spans="3:13" x14ac:dyDescent="0.2">
      <c r="C19" t="s">
        <v>85</v>
      </c>
      <c r="D19" t="s">
        <v>86</v>
      </c>
      <c r="E19" s="254">
        <f>(_xlfn.XLOOKUP($C19,'Corporate Roster - ''24'!$C$6:$C$60,'Corporate Roster - ''24'!E$6:E$60,0))</f>
        <v>42458</v>
      </c>
      <c r="F19" s="255" t="str">
        <f>(_xlfn.XLOOKUP($C19,'Corporate Roster - ''24'!$C$6:$C$60,'Corporate Roster - ''24'!F$6:F$60,0))</f>
        <v>-</v>
      </c>
      <c r="G19" s="257">
        <f>MROUND(_xlfn.XLOOKUP($C19,'Corporate Roster - ''24'!$C$6:$C$60,'Corporate Roster - ''24'!G$6:G$60,0)*(1+$C$6),1000)</f>
        <v>132000</v>
      </c>
      <c r="H19" s="257">
        <f>MROUND(_xlfn.XLOOKUP($C19,'Corporate Roster - ''24'!$C$6:$C$60,'Corporate Roster - ''24'!H$6:H$60,0)*(1+$C$6),1000)</f>
        <v>13000</v>
      </c>
      <c r="I19" s="74">
        <f t="shared" si="0"/>
        <v>145000</v>
      </c>
      <c r="J19" s="257">
        <f>MROUND(_xlfn.XLOOKUP($C19,'Corporate Roster - ''24'!$C$6:$C$60,'Corporate Roster - ''24'!J$6:J$60,0)*(1+$C$6),1000)</f>
        <v>40000</v>
      </c>
      <c r="K19" s="74">
        <f t="shared" si="1"/>
        <v>185000</v>
      </c>
      <c r="M19" s="69">
        <f t="shared" si="2"/>
        <v>0.27586206896551724</v>
      </c>
    </row>
    <row r="20" spans="3:13" x14ac:dyDescent="0.2">
      <c r="C20" t="s">
        <v>87</v>
      </c>
      <c r="D20" t="s">
        <v>88</v>
      </c>
      <c r="E20" s="254">
        <f>(_xlfn.XLOOKUP($C20,'Corporate Roster - ''24'!$C$6:$C$60,'Corporate Roster - ''24'!E$6:E$60,0))</f>
        <v>41921</v>
      </c>
      <c r="F20" s="255" t="str">
        <f>(_xlfn.XLOOKUP($C20,'Corporate Roster - ''24'!$C$6:$C$60,'Corporate Roster - ''24'!F$6:F$60,0))</f>
        <v>-</v>
      </c>
      <c r="G20" s="257">
        <f>MROUND(_xlfn.XLOOKUP($C20,'Corporate Roster - ''24'!$C$6:$C$60,'Corporate Roster - ''24'!G$6:G$60,0)*(1+$C$6),1000)</f>
        <v>143000</v>
      </c>
      <c r="H20" s="257">
        <f>MROUND(_xlfn.XLOOKUP($C20,'Corporate Roster - ''24'!$C$6:$C$60,'Corporate Roster - ''24'!H$6:H$60,0)*(1+$C$6),1000)</f>
        <v>14000</v>
      </c>
      <c r="I20" s="74">
        <f t="shared" si="0"/>
        <v>157000</v>
      </c>
      <c r="J20" s="257">
        <f>MROUND(_xlfn.XLOOKUP($C20,'Corporate Roster - ''24'!$C$6:$C$60,'Corporate Roster - ''24'!J$6:J$60,0)*(1+$C$6),1000)</f>
        <v>43000</v>
      </c>
      <c r="K20" s="74">
        <f t="shared" si="1"/>
        <v>200000</v>
      </c>
      <c r="M20" s="69">
        <f t="shared" si="2"/>
        <v>0.27388535031847133</v>
      </c>
    </row>
    <row r="21" spans="3:13" x14ac:dyDescent="0.2">
      <c r="C21" t="s">
        <v>89</v>
      </c>
      <c r="D21" t="s">
        <v>90</v>
      </c>
      <c r="E21" s="254">
        <f>(_xlfn.XLOOKUP($C21,'Corporate Roster - ''24'!$C$6:$C$60,'Corporate Roster - ''24'!E$6:E$60,0))</f>
        <v>40143</v>
      </c>
      <c r="F21" s="255" t="str">
        <f>(_xlfn.XLOOKUP($C21,'Corporate Roster - ''24'!$C$6:$C$60,'Corporate Roster - ''24'!F$6:F$60,0))</f>
        <v>-</v>
      </c>
      <c r="G21" s="257">
        <f>MROUND(_xlfn.XLOOKUP($C21,'Corporate Roster - ''24'!$C$6:$C$60,'Corporate Roster - ''24'!G$6:G$60,0)*(1+$C$6),1000)</f>
        <v>143000</v>
      </c>
      <c r="H21" s="257">
        <f>MROUND(_xlfn.XLOOKUP($C21,'Corporate Roster - ''24'!$C$6:$C$60,'Corporate Roster - ''24'!H$6:H$60,0)*(1+$C$6),1000)</f>
        <v>14000</v>
      </c>
      <c r="I21" s="74">
        <f t="shared" si="0"/>
        <v>157000</v>
      </c>
      <c r="J21" s="257">
        <f>MROUND(_xlfn.XLOOKUP($C21,'Corporate Roster - ''24'!$C$6:$C$60,'Corporate Roster - ''24'!J$6:J$60,0)*(1+$C$6),1000)</f>
        <v>43000</v>
      </c>
      <c r="K21" s="74">
        <f t="shared" si="1"/>
        <v>200000</v>
      </c>
      <c r="M21" s="69">
        <f t="shared" si="2"/>
        <v>0.27388535031847133</v>
      </c>
    </row>
    <row r="22" spans="3:13" x14ac:dyDescent="0.2">
      <c r="C22" t="s">
        <v>81</v>
      </c>
      <c r="D22" t="s">
        <v>91</v>
      </c>
      <c r="E22" s="254">
        <f>(_xlfn.XLOOKUP($C22,'Corporate Roster - ''24'!$C$6:$C$60,'Corporate Roster - ''24'!E$6:E$60,0))</f>
        <v>40811</v>
      </c>
      <c r="F22" s="255" t="str">
        <f>(_xlfn.XLOOKUP($C22,'Corporate Roster - ''24'!$C$6:$C$60,'Corporate Roster - ''24'!F$6:F$60,0))</f>
        <v>-</v>
      </c>
      <c r="G22" s="257">
        <f>MROUND(_xlfn.XLOOKUP($C22,'Corporate Roster - ''24'!$C$6:$C$60,'Corporate Roster - ''24'!G$6:G$60,0)*(1+$C$6),1000)</f>
        <v>121000</v>
      </c>
      <c r="H22" s="257">
        <f>MROUND(_xlfn.XLOOKUP($C22,'Corporate Roster - ''24'!$C$6:$C$60,'Corporate Roster - ''24'!H$6:H$60,0)*(1+$C$6),1000)</f>
        <v>12000</v>
      </c>
      <c r="I22" s="74">
        <f t="shared" si="0"/>
        <v>133000</v>
      </c>
      <c r="J22" s="257">
        <f>MROUND(_xlfn.XLOOKUP($C22,'Corporate Roster - ''24'!$C$6:$C$60,'Corporate Roster - ''24'!J$6:J$60,0)*(1+$C$6),1000)</f>
        <v>36000</v>
      </c>
      <c r="K22" s="74">
        <f t="shared" si="1"/>
        <v>169000</v>
      </c>
      <c r="M22" s="69">
        <f t="shared" si="2"/>
        <v>0.27067669172932329</v>
      </c>
    </row>
    <row r="23" spans="3:13" x14ac:dyDescent="0.2">
      <c r="C23" t="s">
        <v>92</v>
      </c>
      <c r="D23" t="s">
        <v>93</v>
      </c>
      <c r="E23" s="254">
        <f>(_xlfn.XLOOKUP($C23,'Corporate Roster - ''24'!$C$6:$C$60,'Corporate Roster - ''24'!E$6:E$60,0))</f>
        <v>43400</v>
      </c>
      <c r="F23" s="255" t="str">
        <f>(_xlfn.XLOOKUP($C23,'Corporate Roster - ''24'!$C$6:$C$60,'Corporate Roster - ''24'!F$6:F$60,0))</f>
        <v>-</v>
      </c>
      <c r="G23" s="257">
        <f>MROUND(_xlfn.XLOOKUP($C23,'Corporate Roster - ''24'!$C$6:$C$60,'Corporate Roster - ''24'!G$6:G$60,0)*(1+$C$6),1000)</f>
        <v>132000</v>
      </c>
      <c r="H23" s="257">
        <f>MROUND(_xlfn.XLOOKUP($C23,'Corporate Roster - ''24'!$C$6:$C$60,'Corporate Roster - ''24'!H$6:H$60,0)*(1+$C$6),1000)</f>
        <v>13000</v>
      </c>
      <c r="I23" s="74">
        <f t="shared" si="0"/>
        <v>145000</v>
      </c>
      <c r="J23" s="257">
        <f>MROUND(_xlfn.XLOOKUP($C23,'Corporate Roster - ''24'!$C$6:$C$60,'Corporate Roster - ''24'!J$6:J$60,0)*(1+$C$6),1000)</f>
        <v>40000</v>
      </c>
      <c r="K23" s="74">
        <f t="shared" si="1"/>
        <v>185000</v>
      </c>
      <c r="M23" s="69">
        <f t="shared" si="2"/>
        <v>0.27586206896551724</v>
      </c>
    </row>
    <row r="24" spans="3:13" x14ac:dyDescent="0.2">
      <c r="C24" t="s">
        <v>94</v>
      </c>
      <c r="D24" t="s">
        <v>95</v>
      </c>
      <c r="E24" s="254">
        <f>(_xlfn.XLOOKUP($C24,'Corporate Roster - ''24'!$C$6:$C$60,'Corporate Roster - ''24'!E$6:E$60,0))</f>
        <v>40031</v>
      </c>
      <c r="F24" s="255" t="str">
        <f>(_xlfn.XLOOKUP($C24,'Corporate Roster - ''24'!$C$6:$C$60,'Corporate Roster - ''24'!F$6:F$60,0))</f>
        <v>-</v>
      </c>
      <c r="G24" s="257">
        <f>MROUND(_xlfn.XLOOKUP($C24,'Corporate Roster - ''24'!$C$6:$C$60,'Corporate Roster - ''24'!G$6:G$60,0)*(1+$C$6),1000)</f>
        <v>154000</v>
      </c>
      <c r="H24" s="257">
        <f>MROUND(_xlfn.XLOOKUP($C24,'Corporate Roster - ''24'!$C$6:$C$60,'Corporate Roster - ''24'!H$6:H$60,0)*(1+$C$6),1000)</f>
        <v>15000</v>
      </c>
      <c r="I24" s="74">
        <f t="shared" si="0"/>
        <v>169000</v>
      </c>
      <c r="J24" s="257">
        <f>MROUND(_xlfn.XLOOKUP($C24,'Corporate Roster - ''24'!$C$6:$C$60,'Corporate Roster - ''24'!J$6:J$60,0)*(1+$C$6),1000)</f>
        <v>46000</v>
      </c>
      <c r="K24" s="74">
        <f t="shared" si="1"/>
        <v>215000</v>
      </c>
      <c r="M24" s="69">
        <f t="shared" si="2"/>
        <v>0.27218934911242604</v>
      </c>
    </row>
    <row r="25" spans="3:13" x14ac:dyDescent="0.2">
      <c r="C25" t="s">
        <v>96</v>
      </c>
      <c r="D25" t="s">
        <v>97</v>
      </c>
      <c r="E25" s="254">
        <f>(_xlfn.XLOOKUP($C25,'Corporate Roster - ''24'!$C$6:$C$60,'Corporate Roster - ''24'!E$6:E$60,0))</f>
        <v>44978</v>
      </c>
      <c r="F25" s="255" t="str">
        <f>(_xlfn.XLOOKUP($C25,'Corporate Roster - ''24'!$C$6:$C$60,'Corporate Roster - ''24'!F$6:F$60,0))</f>
        <v>-</v>
      </c>
      <c r="G25" s="257">
        <f>MROUND(_xlfn.XLOOKUP($C25,'Corporate Roster - ''24'!$C$6:$C$60,'Corporate Roster - ''24'!G$6:G$60,0)*(1+$C$6),1000)</f>
        <v>110000</v>
      </c>
      <c r="H25" s="257">
        <f>MROUND(_xlfn.XLOOKUP($C25,'Corporate Roster - ''24'!$C$6:$C$60,'Corporate Roster - ''24'!H$6:H$60,0)*(1+$C$6),1000)</f>
        <v>11000</v>
      </c>
      <c r="I25" s="74">
        <f t="shared" si="0"/>
        <v>121000</v>
      </c>
      <c r="J25" s="257">
        <f>MROUND(_xlfn.XLOOKUP($C25,'Corporate Roster - ''24'!$C$6:$C$60,'Corporate Roster - ''24'!J$6:J$60,0)*(1+$C$6),1000)</f>
        <v>33000</v>
      </c>
      <c r="K25" s="74">
        <f t="shared" si="1"/>
        <v>154000</v>
      </c>
      <c r="M25" s="69">
        <f t="shared" si="2"/>
        <v>0.27272727272727271</v>
      </c>
    </row>
    <row r="26" spans="3:13" x14ac:dyDescent="0.2">
      <c r="C26" t="s">
        <v>98</v>
      </c>
      <c r="D26" t="s">
        <v>99</v>
      </c>
      <c r="E26" s="254">
        <f>(_xlfn.XLOOKUP($C26,'Corporate Roster - ''24'!$C$6:$C$60,'Corporate Roster - ''24'!E$6:E$60,0))</f>
        <v>41398</v>
      </c>
      <c r="F26" s="255" t="str">
        <f>(_xlfn.XLOOKUP($C26,'Corporate Roster - ''24'!$C$6:$C$60,'Corporate Roster - ''24'!F$6:F$60,0))</f>
        <v>-</v>
      </c>
      <c r="G26" s="257">
        <f>MROUND(_xlfn.XLOOKUP($C26,'Corporate Roster - ''24'!$C$6:$C$60,'Corporate Roster - ''24'!G$6:G$60,0)*(1+$C$6),1000)</f>
        <v>88000</v>
      </c>
      <c r="H26" s="257">
        <f>MROUND(_xlfn.XLOOKUP($C26,'Corporate Roster - ''24'!$C$6:$C$60,'Corporate Roster - ''24'!H$6:H$60,0)*(1+$C$6),1000)</f>
        <v>4000</v>
      </c>
      <c r="I26" s="74">
        <f t="shared" si="0"/>
        <v>92000</v>
      </c>
      <c r="J26" s="257">
        <f>MROUND(_xlfn.XLOOKUP($C26,'Corporate Roster - ''24'!$C$6:$C$60,'Corporate Roster - ''24'!J$6:J$60,0)*(1+$C$6),1000)</f>
        <v>26000</v>
      </c>
      <c r="K26" s="74">
        <f t="shared" si="1"/>
        <v>118000</v>
      </c>
      <c r="M26" s="69">
        <f t="shared" si="2"/>
        <v>0.28260869565217389</v>
      </c>
    </row>
    <row r="27" spans="3:13" x14ac:dyDescent="0.2">
      <c r="C27" t="s">
        <v>100</v>
      </c>
      <c r="D27" t="s">
        <v>101</v>
      </c>
      <c r="E27" s="254">
        <f>(_xlfn.XLOOKUP($C27,'Corporate Roster - ''24'!$C$6:$C$60,'Corporate Roster - ''24'!E$6:E$60,0))</f>
        <v>40362</v>
      </c>
      <c r="F27" s="255" t="str">
        <f>(_xlfn.XLOOKUP($C27,'Corporate Roster - ''24'!$C$6:$C$60,'Corporate Roster - ''24'!F$6:F$60,0))</f>
        <v>-</v>
      </c>
      <c r="G27" s="257">
        <f>MROUND(_xlfn.XLOOKUP($C27,'Corporate Roster - ''24'!$C$6:$C$60,'Corporate Roster - ''24'!G$6:G$60,0)*(1+$C$6),1000)</f>
        <v>83000</v>
      </c>
      <c r="H27" s="257">
        <f>MROUND(_xlfn.XLOOKUP($C27,'Corporate Roster - ''24'!$C$6:$C$60,'Corporate Roster - ''24'!H$6:H$60,0)*(1+$C$6),1000)</f>
        <v>4000</v>
      </c>
      <c r="I27" s="74">
        <f t="shared" si="0"/>
        <v>87000</v>
      </c>
      <c r="J27" s="257">
        <f>MROUND(_xlfn.XLOOKUP($C27,'Corporate Roster - ''24'!$C$6:$C$60,'Corporate Roster - ''24'!J$6:J$60,0)*(1+$C$6),1000)</f>
        <v>25000</v>
      </c>
      <c r="K27" s="74">
        <f t="shared" si="1"/>
        <v>112000</v>
      </c>
      <c r="M27" s="69">
        <f t="shared" si="2"/>
        <v>0.28735632183908044</v>
      </c>
    </row>
    <row r="28" spans="3:13" x14ac:dyDescent="0.2">
      <c r="C28" t="s">
        <v>102</v>
      </c>
      <c r="D28" t="s">
        <v>103</v>
      </c>
      <c r="E28" s="254">
        <f>(_xlfn.XLOOKUP($C28,'Corporate Roster - ''24'!$C$6:$C$60,'Corporate Roster - ''24'!E$6:E$60,0))</f>
        <v>45063</v>
      </c>
      <c r="F28" s="255" t="str">
        <f>(_xlfn.XLOOKUP($C28,'Corporate Roster - ''24'!$C$6:$C$60,'Corporate Roster - ''24'!F$6:F$60,0))</f>
        <v>-</v>
      </c>
      <c r="G28" s="257">
        <f>MROUND(_xlfn.XLOOKUP($C28,'Corporate Roster - ''24'!$C$6:$C$60,'Corporate Roster - ''24'!G$6:G$60,0)*(1+$C$6),1000)</f>
        <v>94000</v>
      </c>
      <c r="H28" s="257">
        <f>MROUND(_xlfn.XLOOKUP($C28,'Corporate Roster - ''24'!$C$6:$C$60,'Corporate Roster - ''24'!H$6:H$60,0)*(1+$C$6),1000)</f>
        <v>5000</v>
      </c>
      <c r="I28" s="74">
        <f t="shared" si="0"/>
        <v>99000</v>
      </c>
      <c r="J28" s="257">
        <f>MROUND(_xlfn.XLOOKUP($C28,'Corporate Roster - ''24'!$C$6:$C$60,'Corporate Roster - ''24'!J$6:J$60,0)*(1+$C$6),1000)</f>
        <v>28000</v>
      </c>
      <c r="K28" s="74">
        <f t="shared" si="1"/>
        <v>127000</v>
      </c>
      <c r="M28" s="69">
        <f t="shared" si="2"/>
        <v>0.28282828282828282</v>
      </c>
    </row>
    <row r="29" spans="3:13" x14ac:dyDescent="0.2">
      <c r="C29" t="s">
        <v>104</v>
      </c>
      <c r="D29" t="s">
        <v>105</v>
      </c>
      <c r="E29" s="254">
        <f>(_xlfn.XLOOKUP($C29,'Corporate Roster - ''24'!$C$6:$C$60,'Corporate Roster - ''24'!E$6:E$60,0))</f>
        <v>44169</v>
      </c>
      <c r="F29" s="255" t="str">
        <f>(_xlfn.XLOOKUP($C29,'Corporate Roster - ''24'!$C$6:$C$60,'Corporate Roster - ''24'!F$6:F$60,0))</f>
        <v>-</v>
      </c>
      <c r="G29" s="257">
        <f>MROUND(_xlfn.XLOOKUP($C29,'Corporate Roster - ''24'!$C$6:$C$60,'Corporate Roster - ''24'!G$6:G$60,0)*(1+$C$6),1000)</f>
        <v>66000</v>
      </c>
      <c r="H29" s="257">
        <f>MROUND(_xlfn.XLOOKUP($C29,'Corporate Roster - ''24'!$C$6:$C$60,'Corporate Roster - ''24'!H$6:H$60,0)*(1+$C$6),1000)</f>
        <v>3000</v>
      </c>
      <c r="I29" s="74">
        <f t="shared" si="0"/>
        <v>69000</v>
      </c>
      <c r="J29" s="257">
        <f>MROUND(_xlfn.XLOOKUP($C29,'Corporate Roster - ''24'!$C$6:$C$60,'Corporate Roster - ''24'!J$6:J$60,0)*(1+$C$6),1000)</f>
        <v>20000</v>
      </c>
      <c r="K29" s="74">
        <f t="shared" si="1"/>
        <v>89000</v>
      </c>
      <c r="M29" s="69">
        <f t="shared" si="2"/>
        <v>0.28985507246376813</v>
      </c>
    </row>
    <row r="30" spans="3:13" x14ac:dyDescent="0.2">
      <c r="C30" t="s">
        <v>148</v>
      </c>
      <c r="D30" t="s">
        <v>107</v>
      </c>
      <c r="E30" s="254">
        <f>(_xlfn.XLOOKUP($C30,'Corporate Roster - ''24'!$C$6:$C$60,'Corporate Roster - ''24'!E$6:E$60,0))</f>
        <v>45017</v>
      </c>
      <c r="F30" s="255" t="str">
        <f>(_xlfn.XLOOKUP($C30,'Corporate Roster - ''24'!$C$6:$C$60,'Corporate Roster - ''24'!F$6:F$60,0))</f>
        <v>-</v>
      </c>
      <c r="G30" s="257">
        <f>MROUND(_xlfn.XLOOKUP($C30,'Corporate Roster - ''24'!$C$6:$C$60,'Corporate Roster - ''24'!G$6:G$60,0)*(1+$C$6),1000)</f>
        <v>77000</v>
      </c>
      <c r="H30" s="257">
        <f>MROUND(_xlfn.XLOOKUP($C30,'Corporate Roster - ''24'!$C$6:$C$60,'Corporate Roster - ''24'!H$6:H$60,0)*(1+$C$6),1000)</f>
        <v>4000</v>
      </c>
      <c r="I30" s="74">
        <f t="shared" si="0"/>
        <v>81000</v>
      </c>
      <c r="J30" s="257">
        <f>MROUND(_xlfn.XLOOKUP($C30,'Corporate Roster - ''24'!$C$6:$C$60,'Corporate Roster - ''24'!J$6:J$60,0)*(1+$C$6),1000)</f>
        <v>23000</v>
      </c>
      <c r="K30" s="74">
        <f t="shared" si="1"/>
        <v>104000</v>
      </c>
      <c r="M30" s="69">
        <f t="shared" si="2"/>
        <v>0.2839506172839506</v>
      </c>
    </row>
    <row r="31" spans="3:13" x14ac:dyDescent="0.2">
      <c r="C31" t="s">
        <v>108</v>
      </c>
      <c r="D31" t="s">
        <v>109</v>
      </c>
      <c r="E31" s="254">
        <f>(_xlfn.XLOOKUP($C31,'Corporate Roster - ''24'!$C$6:$C$60,'Corporate Roster - ''24'!E$6:E$60,0))</f>
        <v>40157</v>
      </c>
      <c r="F31" s="255" t="str">
        <f>(_xlfn.XLOOKUP($C31,'Corporate Roster - ''24'!$C$6:$C$60,'Corporate Roster - ''24'!F$6:F$60,0))</f>
        <v>-</v>
      </c>
      <c r="G31" s="257">
        <f>MROUND(_xlfn.XLOOKUP($C31,'Corporate Roster - ''24'!$C$6:$C$60,'Corporate Roster - ''24'!G$6:G$60,0)*(1+$C$6),1000)</f>
        <v>83000</v>
      </c>
      <c r="H31" s="257">
        <f>MROUND(_xlfn.XLOOKUP($C31,'Corporate Roster - ''24'!$C$6:$C$60,'Corporate Roster - ''24'!H$6:H$60,0)*(1+$C$6),1000)</f>
        <v>4000</v>
      </c>
      <c r="I31" s="74">
        <f t="shared" si="0"/>
        <v>87000</v>
      </c>
      <c r="J31" s="257">
        <f>MROUND(_xlfn.XLOOKUP($C31,'Corporate Roster - ''24'!$C$6:$C$60,'Corporate Roster - ''24'!J$6:J$60,0)*(1+$C$6),1000)</f>
        <v>25000</v>
      </c>
      <c r="K31" s="74">
        <f t="shared" si="1"/>
        <v>112000</v>
      </c>
      <c r="M31" s="69">
        <f t="shared" si="2"/>
        <v>0.28735632183908044</v>
      </c>
    </row>
    <row r="32" spans="3:13" x14ac:dyDescent="0.2">
      <c r="C32" t="s">
        <v>73</v>
      </c>
      <c r="D32" t="s">
        <v>110</v>
      </c>
      <c r="E32" s="254">
        <f>(_xlfn.XLOOKUP($C32,'Corporate Roster - ''24'!$C$6:$C$60,'Corporate Roster - ''24'!E$6:E$60,0))</f>
        <v>45335</v>
      </c>
      <c r="F32" s="255" t="str">
        <f>(_xlfn.XLOOKUP($C32,'Corporate Roster - ''24'!$C$6:$C$60,'Corporate Roster - ''24'!F$6:F$60,0))</f>
        <v>-</v>
      </c>
      <c r="G32" s="257">
        <f>MROUND(_xlfn.XLOOKUP($C32,'Corporate Roster - ''24'!$C$6:$C$60,'Corporate Roster - ''24'!G$6:G$60,0)*(1+$C$6),1000)</f>
        <v>94000</v>
      </c>
      <c r="H32" s="257">
        <f>MROUND(_xlfn.XLOOKUP($C32,'Corporate Roster - ''24'!$C$6:$C$60,'Corporate Roster - ''24'!H$6:H$60,0)*(1+$C$6),1000)</f>
        <v>5000</v>
      </c>
      <c r="I32" s="74">
        <f t="shared" si="0"/>
        <v>99000</v>
      </c>
      <c r="J32" s="257">
        <f>MROUND(_xlfn.XLOOKUP($C32,'Corporate Roster - ''24'!$C$6:$C$60,'Corporate Roster - ''24'!J$6:J$60,0)*(1+$C$6),1000)</f>
        <v>28000</v>
      </c>
      <c r="K32" s="74">
        <f t="shared" si="1"/>
        <v>127000</v>
      </c>
      <c r="M32" s="69">
        <f t="shared" si="2"/>
        <v>0.28282828282828282</v>
      </c>
    </row>
    <row r="33" spans="3:13" x14ac:dyDescent="0.2">
      <c r="C33" t="s">
        <v>111</v>
      </c>
      <c r="D33" t="s">
        <v>112</v>
      </c>
      <c r="E33" s="254">
        <f>(_xlfn.XLOOKUP($C33,'Corporate Roster - ''24'!$C$6:$C$60,'Corporate Roster - ''24'!E$6:E$60,0))</f>
        <v>44694</v>
      </c>
      <c r="F33" s="255" t="str">
        <f>(_xlfn.XLOOKUP($C33,'Corporate Roster - ''24'!$C$6:$C$60,'Corporate Roster - ''24'!F$6:F$60,0))</f>
        <v>-</v>
      </c>
      <c r="G33" s="257">
        <f>MROUND(_xlfn.XLOOKUP($C33,'Corporate Roster - ''24'!$C$6:$C$60,'Corporate Roster - ''24'!G$6:G$60,0)*(1+$C$6),1000)</f>
        <v>105000</v>
      </c>
      <c r="H33" s="257">
        <f>MROUND(_xlfn.XLOOKUP($C33,'Corporate Roster - ''24'!$C$6:$C$60,'Corporate Roster - ''24'!H$6:H$60,0)*(1+$C$6),1000)</f>
        <v>5000</v>
      </c>
      <c r="I33" s="74">
        <f t="shared" si="0"/>
        <v>110000</v>
      </c>
      <c r="J33" s="257">
        <f>MROUND(_xlfn.XLOOKUP($C33,'Corporate Roster - ''24'!$C$6:$C$60,'Corporate Roster - ''24'!J$6:J$60,0)*(1+$C$6),1000)</f>
        <v>31000</v>
      </c>
      <c r="K33" s="74">
        <f t="shared" si="1"/>
        <v>141000</v>
      </c>
      <c r="M33" s="69">
        <f t="shared" si="2"/>
        <v>0.2818181818181818</v>
      </c>
    </row>
    <row r="34" spans="3:13" x14ac:dyDescent="0.2">
      <c r="C34" t="s">
        <v>149</v>
      </c>
      <c r="D34" t="s">
        <v>110</v>
      </c>
      <c r="E34" s="254">
        <f>(_xlfn.XLOOKUP($C34,'Corporate Roster - ''24'!$C$6:$C$60,'Corporate Roster - ''24'!E$6:E$60,0))</f>
        <v>45368</v>
      </c>
      <c r="F34" s="255" t="str">
        <f>(_xlfn.XLOOKUP($C34,'Corporate Roster - ''24'!$C$6:$C$60,'Corporate Roster - ''24'!F$6:F$60,0))</f>
        <v>-</v>
      </c>
      <c r="G34" s="257">
        <f>MROUND(_xlfn.XLOOKUP($C34,'Corporate Roster - ''24'!$C$6:$C$60,'Corporate Roster - ''24'!G$6:G$60,0)*(1+$C$6),1000)</f>
        <v>94000</v>
      </c>
      <c r="H34" s="257">
        <f>MROUND(_xlfn.XLOOKUP($C34,'Corporate Roster - ''24'!$C$6:$C$60,'Corporate Roster - ''24'!H$6:H$60,0)*(1+$C$6),1000)</f>
        <v>5000</v>
      </c>
      <c r="I34" s="74">
        <f t="shared" si="0"/>
        <v>99000</v>
      </c>
      <c r="J34" s="257">
        <f>MROUND(_xlfn.XLOOKUP($C34,'Corporate Roster - ''24'!$C$6:$C$60,'Corporate Roster - ''24'!J$6:J$60,0)*(1+$C$6),1000)</f>
        <v>28000</v>
      </c>
      <c r="K34" s="74">
        <f t="shared" si="1"/>
        <v>127000</v>
      </c>
      <c r="M34" s="69">
        <f t="shared" si="2"/>
        <v>0.28282828282828282</v>
      </c>
    </row>
    <row r="35" spans="3:13" x14ac:dyDescent="0.2">
      <c r="C35" t="s">
        <v>150</v>
      </c>
      <c r="D35" t="s">
        <v>95</v>
      </c>
      <c r="E35" s="254">
        <f>(_xlfn.XLOOKUP($C35,'Corporate Roster - ''24'!$C$6:$C$60,'Corporate Roster - ''24'!E$6:E$60,0))</f>
        <v>40489</v>
      </c>
      <c r="F35" s="255" t="str">
        <f>(_xlfn.XLOOKUP($C35,'Corporate Roster - ''24'!$C$6:$C$60,'Corporate Roster - ''24'!F$6:F$60,0))</f>
        <v>-</v>
      </c>
      <c r="G35" s="257">
        <f>MROUND(_xlfn.XLOOKUP($C35,'Corporate Roster - ''24'!$C$6:$C$60,'Corporate Roster - ''24'!G$6:G$60,0)*(1+$C$6),1000)</f>
        <v>154000</v>
      </c>
      <c r="H35" s="257">
        <f>MROUND(_xlfn.XLOOKUP($C35,'Corporate Roster - ''24'!$C$6:$C$60,'Corporate Roster - ''24'!H$6:H$60,0)*(1+$C$6),1000)</f>
        <v>15000</v>
      </c>
      <c r="I35" s="74">
        <f t="shared" si="0"/>
        <v>169000</v>
      </c>
      <c r="J35" s="257">
        <f>MROUND(_xlfn.XLOOKUP($C35,'Corporate Roster - ''24'!$C$6:$C$60,'Corporate Roster - ''24'!J$6:J$60,0)*(1+$C$6),1000)</f>
        <v>46000</v>
      </c>
      <c r="K35" s="74">
        <f t="shared" si="1"/>
        <v>215000</v>
      </c>
      <c r="M35" s="69">
        <f t="shared" si="2"/>
        <v>0.27218934911242604</v>
      </c>
    </row>
    <row r="36" spans="3:13" x14ac:dyDescent="0.2">
      <c r="C36" t="s">
        <v>115</v>
      </c>
      <c r="D36" t="s">
        <v>112</v>
      </c>
      <c r="E36" s="254">
        <f>(_xlfn.XLOOKUP($C36,'Corporate Roster - ''24'!$C$6:$C$60,'Corporate Roster - ''24'!E$6:E$60,0))</f>
        <v>45236</v>
      </c>
      <c r="F36" s="255" t="str">
        <f>(_xlfn.XLOOKUP($C36,'Corporate Roster - ''24'!$C$6:$C$60,'Corporate Roster - ''24'!F$6:F$60,0))</f>
        <v>-</v>
      </c>
      <c r="G36" s="257">
        <f>MROUND(_xlfn.XLOOKUP($C36,'Corporate Roster - ''24'!$C$6:$C$60,'Corporate Roster - ''24'!G$6:G$60,0)*(1+$C$6),1000)</f>
        <v>105000</v>
      </c>
      <c r="H36" s="257">
        <f>MROUND(_xlfn.XLOOKUP($C36,'Corporate Roster - ''24'!$C$6:$C$60,'Corporate Roster - ''24'!H$6:H$60,0)*(1+$C$6),1000)</f>
        <v>5000</v>
      </c>
      <c r="I36" s="74">
        <f t="shared" si="0"/>
        <v>110000</v>
      </c>
      <c r="J36" s="257">
        <f>MROUND(_xlfn.XLOOKUP($C36,'Corporate Roster - ''24'!$C$6:$C$60,'Corporate Roster - ''24'!J$6:J$60,0)*(1+$C$6),1000)</f>
        <v>31000</v>
      </c>
      <c r="K36" s="74">
        <f t="shared" si="1"/>
        <v>141000</v>
      </c>
      <c r="M36" s="69">
        <f t="shared" si="2"/>
        <v>0.2818181818181818</v>
      </c>
    </row>
    <row r="37" spans="3:13" x14ac:dyDescent="0.2">
      <c r="C37" t="s">
        <v>116</v>
      </c>
      <c r="D37" t="s">
        <v>110</v>
      </c>
      <c r="E37" s="254">
        <f>(_xlfn.XLOOKUP($C37,'Corporate Roster - ''24'!$C$6:$C$60,'Corporate Roster - ''24'!E$6:E$60,0))</f>
        <v>40015</v>
      </c>
      <c r="F37" s="255" t="str">
        <f>(_xlfn.XLOOKUP($C37,'Corporate Roster - ''24'!$C$6:$C$60,'Corporate Roster - ''24'!F$6:F$60,0))</f>
        <v>-</v>
      </c>
      <c r="G37" s="257">
        <f>MROUND(_xlfn.XLOOKUP($C37,'Corporate Roster - ''24'!$C$6:$C$60,'Corporate Roster - ''24'!G$6:G$60,0)*(1+$C$6),1000)</f>
        <v>94000</v>
      </c>
      <c r="H37" s="257">
        <f>MROUND(_xlfn.XLOOKUP($C37,'Corporate Roster - ''24'!$C$6:$C$60,'Corporate Roster - ''24'!H$6:H$60,0)*(1+$C$6),1000)</f>
        <v>5000</v>
      </c>
      <c r="I37" s="74">
        <f t="shared" si="0"/>
        <v>99000</v>
      </c>
      <c r="J37" s="257">
        <f>MROUND(_xlfn.XLOOKUP($C37,'Corporate Roster - ''24'!$C$6:$C$60,'Corporate Roster - ''24'!J$6:J$60,0)*(1+$C$6),1000)</f>
        <v>28000</v>
      </c>
      <c r="K37" s="74">
        <f t="shared" si="1"/>
        <v>127000</v>
      </c>
      <c r="M37" s="69">
        <f t="shared" si="2"/>
        <v>0.28282828282828282</v>
      </c>
    </row>
    <row r="38" spans="3:13" x14ac:dyDescent="0.2">
      <c r="C38" t="s">
        <v>106</v>
      </c>
      <c r="D38" t="s">
        <v>90</v>
      </c>
      <c r="E38" s="254">
        <f>(_xlfn.XLOOKUP($C38,'Corporate Roster - ''24'!$C$6:$C$60,'Corporate Roster - ''24'!E$6:E$60,0))</f>
        <v>40345</v>
      </c>
      <c r="F38" s="255" t="str">
        <f>(_xlfn.XLOOKUP($C38,'Corporate Roster - ''24'!$C$6:$C$60,'Corporate Roster - ''24'!F$6:F$60,0))</f>
        <v>-</v>
      </c>
      <c r="G38" s="257">
        <f>MROUND(_xlfn.XLOOKUP($C38,'Corporate Roster - ''24'!$C$6:$C$60,'Corporate Roster - ''24'!G$6:G$60,0)*(1+$C$6),1000)</f>
        <v>143000</v>
      </c>
      <c r="H38" s="257">
        <f>MROUND(_xlfn.XLOOKUP($C38,'Corporate Roster - ''24'!$C$6:$C$60,'Corporate Roster - ''24'!H$6:H$60,0)*(1+$C$6),1000)</f>
        <v>14000</v>
      </c>
      <c r="I38" s="74">
        <f t="shared" si="0"/>
        <v>157000</v>
      </c>
      <c r="J38" s="257">
        <f>MROUND(_xlfn.XLOOKUP($C38,'Corporate Roster - ''24'!$C$6:$C$60,'Corporate Roster - ''24'!J$6:J$60,0)*(1+$C$6),1000)</f>
        <v>43000</v>
      </c>
      <c r="K38" s="74">
        <f t="shared" si="1"/>
        <v>200000</v>
      </c>
      <c r="M38" s="69">
        <f t="shared" si="2"/>
        <v>0.27388535031847133</v>
      </c>
    </row>
    <row r="39" spans="3:13" x14ac:dyDescent="0.2">
      <c r="C39" t="s">
        <v>117</v>
      </c>
      <c r="D39" t="s">
        <v>110</v>
      </c>
      <c r="E39" s="254">
        <f>(_xlfn.XLOOKUP($C39,'Corporate Roster - ''24'!$C$6:$C$60,'Corporate Roster - ''24'!E$6:E$60,0))</f>
        <v>44824</v>
      </c>
      <c r="F39" s="255" t="str">
        <f>(_xlfn.XLOOKUP($C39,'Corporate Roster - ''24'!$C$6:$C$60,'Corporate Roster - ''24'!F$6:F$60,0))</f>
        <v>-</v>
      </c>
      <c r="G39" s="257">
        <f>MROUND(_xlfn.XLOOKUP($C39,'Corporate Roster - ''24'!$C$6:$C$60,'Corporate Roster - ''24'!G$6:G$60,0)*(1+$C$6),1000)</f>
        <v>94000</v>
      </c>
      <c r="H39" s="257">
        <f>MROUND(_xlfn.XLOOKUP($C39,'Corporate Roster - ''24'!$C$6:$C$60,'Corporate Roster - ''24'!H$6:H$60,0)*(1+$C$6),1000)</f>
        <v>5000</v>
      </c>
      <c r="I39" s="74">
        <f t="shared" si="0"/>
        <v>99000</v>
      </c>
      <c r="J39" s="257">
        <f>MROUND(_xlfn.XLOOKUP($C39,'Corporate Roster - ''24'!$C$6:$C$60,'Corporate Roster - ''24'!J$6:J$60,0)*(1+$C$6),1000)</f>
        <v>28000</v>
      </c>
      <c r="K39" s="74">
        <f t="shared" si="1"/>
        <v>127000</v>
      </c>
      <c r="M39" s="69">
        <f t="shared" si="2"/>
        <v>0.28282828282828282</v>
      </c>
    </row>
    <row r="40" spans="3:13" x14ac:dyDescent="0.2">
      <c r="C40" t="s">
        <v>118</v>
      </c>
      <c r="D40" t="s">
        <v>86</v>
      </c>
      <c r="E40" s="254">
        <f>(_xlfn.XLOOKUP($C40,'Corporate Roster - ''24'!$C$6:$C$60,'Corporate Roster - ''24'!E$6:E$60,0))</f>
        <v>38939</v>
      </c>
      <c r="F40" s="255" t="str">
        <f>(_xlfn.XLOOKUP($C40,'Corporate Roster - ''24'!$C$6:$C$60,'Corporate Roster - ''24'!F$6:F$60,0))</f>
        <v>-</v>
      </c>
      <c r="G40" s="257">
        <f>MROUND(_xlfn.XLOOKUP($C40,'Corporate Roster - ''24'!$C$6:$C$60,'Corporate Roster - ''24'!G$6:G$60,0)*(1+$C$6),1000)</f>
        <v>132000</v>
      </c>
      <c r="H40" s="257">
        <f>MROUND(_xlfn.XLOOKUP($C40,'Corporate Roster - ''24'!$C$6:$C$60,'Corporate Roster - ''24'!H$6:H$60,0)*(1+$C$6),1000)</f>
        <v>13000</v>
      </c>
      <c r="I40" s="74">
        <f t="shared" si="0"/>
        <v>145000</v>
      </c>
      <c r="J40" s="257">
        <f>MROUND(_xlfn.XLOOKUP($C40,'Corporate Roster - ''24'!$C$6:$C$60,'Corporate Roster - ''24'!J$6:J$60,0)*(1+$C$6),1000)</f>
        <v>40000</v>
      </c>
      <c r="K40" s="74">
        <f t="shared" si="1"/>
        <v>185000</v>
      </c>
      <c r="M40" s="69">
        <f t="shared" si="2"/>
        <v>0.27586206896551724</v>
      </c>
    </row>
    <row r="41" spans="3:13" x14ac:dyDescent="0.2">
      <c r="C41" t="s">
        <v>65</v>
      </c>
      <c r="D41" t="s">
        <v>86</v>
      </c>
      <c r="E41" s="254">
        <f>(_xlfn.XLOOKUP($C41,'Corporate Roster - ''24'!$C$6:$C$60,'Corporate Roster - ''24'!E$6:E$60,0))</f>
        <v>42100</v>
      </c>
      <c r="F41" s="255" t="str">
        <f>(_xlfn.XLOOKUP($C41,'Corporate Roster - ''24'!$C$6:$C$60,'Corporate Roster - ''24'!F$6:F$60,0))</f>
        <v>-</v>
      </c>
      <c r="G41" s="257">
        <f>MROUND(_xlfn.XLOOKUP($C41,'Corporate Roster - ''24'!$C$6:$C$60,'Corporate Roster - ''24'!G$6:G$60,0)*(1+$C$6),1000)</f>
        <v>132000</v>
      </c>
      <c r="H41" s="257">
        <f>MROUND(_xlfn.XLOOKUP($C41,'Corporate Roster - ''24'!$C$6:$C$60,'Corporate Roster - ''24'!H$6:H$60,0)*(1+$C$6),1000)</f>
        <v>13000</v>
      </c>
      <c r="I41" s="74">
        <f t="shared" si="0"/>
        <v>145000</v>
      </c>
      <c r="J41" s="257">
        <f>MROUND(_xlfn.XLOOKUP($C41,'Corporate Roster - ''24'!$C$6:$C$60,'Corporate Roster - ''24'!J$6:J$60,0)*(1+$C$6),1000)</f>
        <v>40000</v>
      </c>
      <c r="K41" s="74">
        <f t="shared" si="1"/>
        <v>185000</v>
      </c>
      <c r="M41" s="69">
        <f t="shared" si="2"/>
        <v>0.27586206896551724</v>
      </c>
    </row>
    <row r="42" spans="3:13" x14ac:dyDescent="0.2">
      <c r="C42" t="s">
        <v>119</v>
      </c>
      <c r="D42" t="s">
        <v>110</v>
      </c>
      <c r="E42" s="254">
        <f>(_xlfn.XLOOKUP($C42,'Corporate Roster - ''24'!$C$6:$C$60,'Corporate Roster - ''24'!E$6:E$60,0))</f>
        <v>42772</v>
      </c>
      <c r="F42" s="255" t="str">
        <f>(_xlfn.XLOOKUP($C42,'Corporate Roster - ''24'!$C$6:$C$60,'Corporate Roster - ''24'!F$6:F$60,0))</f>
        <v>-</v>
      </c>
      <c r="G42" s="257">
        <f>MROUND(_xlfn.XLOOKUP($C42,'Corporate Roster - ''24'!$C$6:$C$60,'Corporate Roster - ''24'!G$6:G$60,0)*(1+$C$6),1000)</f>
        <v>94000</v>
      </c>
      <c r="H42" s="257">
        <f>MROUND(_xlfn.XLOOKUP($C42,'Corporate Roster - ''24'!$C$6:$C$60,'Corporate Roster - ''24'!H$6:H$60,0)*(1+$C$6),1000)</f>
        <v>5000</v>
      </c>
      <c r="I42" s="74">
        <f t="shared" si="0"/>
        <v>99000</v>
      </c>
      <c r="J42" s="257">
        <f>MROUND(_xlfn.XLOOKUP($C42,'Corporate Roster - ''24'!$C$6:$C$60,'Corporate Roster - ''24'!J$6:J$60,0)*(1+$C$6),1000)</f>
        <v>28000</v>
      </c>
      <c r="K42" s="74">
        <f t="shared" si="1"/>
        <v>127000</v>
      </c>
      <c r="M42" s="69">
        <f t="shared" si="2"/>
        <v>0.28282828282828282</v>
      </c>
    </row>
    <row r="43" spans="3:13" x14ac:dyDescent="0.2">
      <c r="C43" t="s">
        <v>120</v>
      </c>
      <c r="D43" t="s">
        <v>110</v>
      </c>
      <c r="E43" s="254">
        <f>(_xlfn.XLOOKUP($C43,'Corporate Roster - ''24'!$C$6:$C$60,'Corporate Roster - ''24'!E$6:E$60,0))</f>
        <v>41160</v>
      </c>
      <c r="F43" s="255" t="str">
        <f>(_xlfn.XLOOKUP($C43,'Corporate Roster - ''24'!$C$6:$C$60,'Corporate Roster - ''24'!F$6:F$60,0))</f>
        <v>-</v>
      </c>
      <c r="G43" s="257">
        <f>MROUND(_xlfn.XLOOKUP($C43,'Corporate Roster - ''24'!$C$6:$C$60,'Corporate Roster - ''24'!G$6:G$60,0)*(1+$C$6),1000)</f>
        <v>94000</v>
      </c>
      <c r="H43" s="257">
        <f>MROUND(_xlfn.XLOOKUP($C43,'Corporate Roster - ''24'!$C$6:$C$60,'Corporate Roster - ''24'!H$6:H$60,0)*(1+$C$6),1000)</f>
        <v>5000</v>
      </c>
      <c r="I43" s="74">
        <f t="shared" si="0"/>
        <v>99000</v>
      </c>
      <c r="J43" s="257">
        <f>MROUND(_xlfn.XLOOKUP($C43,'Corporate Roster - ''24'!$C$6:$C$60,'Corporate Roster - ''24'!J$6:J$60,0)*(1+$C$6),1000)</f>
        <v>28000</v>
      </c>
      <c r="K43" s="74">
        <f t="shared" si="1"/>
        <v>127000</v>
      </c>
      <c r="M43" s="69">
        <f t="shared" si="2"/>
        <v>0.28282828282828282</v>
      </c>
    </row>
    <row r="44" spans="3:13" x14ac:dyDescent="0.2">
      <c r="C44" t="s">
        <v>121</v>
      </c>
      <c r="D44" t="s">
        <v>99</v>
      </c>
      <c r="E44" s="254">
        <f>(_xlfn.XLOOKUP($C44,'Corporate Roster - ''24'!$C$6:$C$60,'Corporate Roster - ''24'!E$6:E$60,0))</f>
        <v>44972</v>
      </c>
      <c r="F44" s="255" t="str">
        <f>(_xlfn.XLOOKUP($C44,'Corporate Roster - ''24'!$C$6:$C$60,'Corporate Roster - ''24'!F$6:F$60,0))</f>
        <v>-</v>
      </c>
      <c r="G44" s="257">
        <f>MROUND(_xlfn.XLOOKUP($C44,'Corporate Roster - ''24'!$C$6:$C$60,'Corporate Roster - ''24'!G$6:G$60,0)*(1+$C$6),1000)</f>
        <v>88000</v>
      </c>
      <c r="H44" s="257">
        <f>MROUND(_xlfn.XLOOKUP($C44,'Corporate Roster - ''24'!$C$6:$C$60,'Corporate Roster - ''24'!H$6:H$60,0)*(1+$C$6),1000)</f>
        <v>4000</v>
      </c>
      <c r="I44" s="74">
        <f t="shared" si="0"/>
        <v>92000</v>
      </c>
      <c r="J44" s="257">
        <f>MROUND(_xlfn.XLOOKUP($C44,'Corporate Roster - ''24'!$C$6:$C$60,'Corporate Roster - ''24'!J$6:J$60,0)*(1+$C$6),1000)</f>
        <v>26000</v>
      </c>
      <c r="K44" s="74">
        <f t="shared" si="1"/>
        <v>118000</v>
      </c>
      <c r="M44" s="69">
        <f t="shared" si="2"/>
        <v>0.28260869565217389</v>
      </c>
    </row>
    <row r="45" spans="3:13" x14ac:dyDescent="0.2">
      <c r="C45" t="s">
        <v>151</v>
      </c>
      <c r="D45" t="s">
        <v>90</v>
      </c>
      <c r="E45" s="254">
        <f>(_xlfn.XLOOKUP($C45,'Corporate Roster - ''24'!$C$6:$C$60,'Corporate Roster - ''24'!E$6:E$60,0))</f>
        <v>42189</v>
      </c>
      <c r="F45" s="255" t="str">
        <f>(_xlfn.XLOOKUP($C45,'Corporate Roster - ''24'!$C$6:$C$60,'Corporate Roster - ''24'!F$6:F$60,0))</f>
        <v>-</v>
      </c>
      <c r="G45" s="257">
        <f>MROUND(_xlfn.XLOOKUP($C45,'Corporate Roster - ''24'!$C$6:$C$60,'Corporate Roster - ''24'!G$6:G$60,0)*(1+$C$6),1000)</f>
        <v>143000</v>
      </c>
      <c r="H45" s="257">
        <f>MROUND(_xlfn.XLOOKUP($C45,'Corporate Roster - ''24'!$C$6:$C$60,'Corporate Roster - ''24'!H$6:H$60,0)*(1+$C$6),1000)</f>
        <v>14000</v>
      </c>
      <c r="I45" s="74">
        <f t="shared" si="0"/>
        <v>157000</v>
      </c>
      <c r="J45" s="257">
        <f>MROUND(_xlfn.XLOOKUP($C45,'Corporate Roster - ''24'!$C$6:$C$60,'Corporate Roster - ''24'!J$6:J$60,0)*(1+$C$6),1000)</f>
        <v>43000</v>
      </c>
      <c r="K45" s="74">
        <f t="shared" si="1"/>
        <v>200000</v>
      </c>
      <c r="M45" s="69">
        <f t="shared" si="2"/>
        <v>0.27388535031847133</v>
      </c>
    </row>
    <row r="46" spans="3:13" x14ac:dyDescent="0.2">
      <c r="C46" t="s">
        <v>123</v>
      </c>
      <c r="D46" t="s">
        <v>99</v>
      </c>
      <c r="E46" s="254">
        <f>(_xlfn.XLOOKUP($C46,'Corporate Roster - ''24'!$C$6:$C$60,'Corporate Roster - ''24'!E$6:E$60,0))</f>
        <v>44716</v>
      </c>
      <c r="F46" s="255" t="str">
        <f>(_xlfn.XLOOKUP($C46,'Corporate Roster - ''24'!$C$6:$C$60,'Corporate Roster - ''24'!F$6:F$60,0))</f>
        <v>-</v>
      </c>
      <c r="G46" s="257">
        <f>MROUND(_xlfn.XLOOKUP($C46,'Corporate Roster - ''24'!$C$6:$C$60,'Corporate Roster - ''24'!G$6:G$60,0)*(1+$C$6),1000)</f>
        <v>88000</v>
      </c>
      <c r="H46" s="257">
        <f>MROUND(_xlfn.XLOOKUP($C46,'Corporate Roster - ''24'!$C$6:$C$60,'Corporate Roster - ''24'!H$6:H$60,0)*(1+$C$6),1000)</f>
        <v>4000</v>
      </c>
      <c r="I46" s="74">
        <f t="shared" si="0"/>
        <v>92000</v>
      </c>
      <c r="J46" s="257">
        <f>MROUND(_xlfn.XLOOKUP($C46,'Corporate Roster - ''24'!$C$6:$C$60,'Corporate Roster - ''24'!J$6:J$60,0)*(1+$C$6),1000)</f>
        <v>26000</v>
      </c>
      <c r="K46" s="74">
        <f t="shared" si="1"/>
        <v>118000</v>
      </c>
      <c r="M46" s="69">
        <f t="shared" si="2"/>
        <v>0.28260869565217389</v>
      </c>
    </row>
    <row r="47" spans="3:13" x14ac:dyDescent="0.2">
      <c r="C47" t="s">
        <v>124</v>
      </c>
      <c r="D47" t="s">
        <v>99</v>
      </c>
      <c r="E47" s="254">
        <f>(_xlfn.XLOOKUP($C47,'Corporate Roster - ''24'!$C$6:$C$60,'Corporate Roster - ''24'!E$6:E$60,0))</f>
        <v>38697</v>
      </c>
      <c r="F47" s="255" t="str">
        <f>(_xlfn.XLOOKUP($C47,'Corporate Roster - ''24'!$C$6:$C$60,'Corporate Roster - ''24'!F$6:F$60,0))</f>
        <v>-</v>
      </c>
      <c r="G47" s="257">
        <f>MROUND(_xlfn.XLOOKUP($C47,'Corporate Roster - ''24'!$C$6:$C$60,'Corporate Roster - ''24'!G$6:G$60,0)*(1+$C$6),1000)</f>
        <v>88000</v>
      </c>
      <c r="H47" s="257">
        <f>MROUND(_xlfn.XLOOKUP($C47,'Corporate Roster - ''24'!$C$6:$C$60,'Corporate Roster - ''24'!H$6:H$60,0)*(1+$C$6),1000)</f>
        <v>4000</v>
      </c>
      <c r="I47" s="74">
        <f t="shared" si="0"/>
        <v>92000</v>
      </c>
      <c r="J47" s="257">
        <f>MROUND(_xlfn.XLOOKUP($C47,'Corporate Roster - ''24'!$C$6:$C$60,'Corporate Roster - ''24'!J$6:J$60,0)*(1+$C$6),1000)</f>
        <v>26000</v>
      </c>
      <c r="K47" s="74">
        <f t="shared" si="1"/>
        <v>118000</v>
      </c>
      <c r="M47" s="69">
        <f t="shared" si="2"/>
        <v>0.28260869565217389</v>
      </c>
    </row>
    <row r="48" spans="3:13" x14ac:dyDescent="0.2">
      <c r="C48" t="s">
        <v>125</v>
      </c>
      <c r="D48" t="s">
        <v>99</v>
      </c>
      <c r="E48" s="254">
        <f>(_xlfn.XLOOKUP($C48,'Corporate Roster - ''24'!$C$6:$C$60,'Corporate Roster - ''24'!E$6:E$60,0))</f>
        <v>43863</v>
      </c>
      <c r="F48" s="255" t="str">
        <f>(_xlfn.XLOOKUP($C48,'Corporate Roster - ''24'!$C$6:$C$60,'Corporate Roster - ''24'!F$6:F$60,0))</f>
        <v>-</v>
      </c>
      <c r="G48" s="257">
        <f>MROUND(_xlfn.XLOOKUP($C48,'Corporate Roster - ''24'!$C$6:$C$60,'Corporate Roster - ''24'!G$6:G$60,0)*(1+$C$6),1000)</f>
        <v>88000</v>
      </c>
      <c r="H48" s="257">
        <f>MROUND(_xlfn.XLOOKUP($C48,'Corporate Roster - ''24'!$C$6:$C$60,'Corporate Roster - ''24'!H$6:H$60,0)*(1+$C$6),1000)</f>
        <v>4000</v>
      </c>
      <c r="I48" s="74">
        <f t="shared" si="0"/>
        <v>92000</v>
      </c>
      <c r="J48" s="257">
        <f>MROUND(_xlfn.XLOOKUP($C48,'Corporate Roster - ''24'!$C$6:$C$60,'Corporate Roster - ''24'!J$6:J$60,0)*(1+$C$6),1000)</f>
        <v>26000</v>
      </c>
      <c r="K48" s="74">
        <f t="shared" si="1"/>
        <v>118000</v>
      </c>
      <c r="M48" s="69">
        <f t="shared" si="2"/>
        <v>0.28260869565217389</v>
      </c>
    </row>
    <row r="49" spans="3:13" x14ac:dyDescent="0.2">
      <c r="C49" t="s">
        <v>126</v>
      </c>
      <c r="D49" t="s">
        <v>110</v>
      </c>
      <c r="E49" s="254">
        <f>(_xlfn.XLOOKUP($C49,'Corporate Roster - ''24'!$C$6:$C$60,'Corporate Roster - ''24'!E$6:E$60,0))</f>
        <v>40847</v>
      </c>
      <c r="F49" s="255" t="str">
        <f>(_xlfn.XLOOKUP($C49,'Corporate Roster - ''24'!$C$6:$C$60,'Corporate Roster - ''24'!F$6:F$60,0))</f>
        <v>-</v>
      </c>
      <c r="G49" s="257">
        <f>MROUND(_xlfn.XLOOKUP($C49,'Corporate Roster - ''24'!$C$6:$C$60,'Corporate Roster - ''24'!G$6:G$60,0)*(1+$C$6),1000)</f>
        <v>94000</v>
      </c>
      <c r="H49" s="257">
        <f>MROUND(_xlfn.XLOOKUP($C49,'Corporate Roster - ''24'!$C$6:$C$60,'Corporate Roster - ''24'!H$6:H$60,0)*(1+$C$6),1000)</f>
        <v>5000</v>
      </c>
      <c r="I49" s="74">
        <f t="shared" si="0"/>
        <v>99000</v>
      </c>
      <c r="J49" s="257">
        <f>MROUND(_xlfn.XLOOKUP($C49,'Corporate Roster - ''24'!$C$6:$C$60,'Corporate Roster - ''24'!J$6:J$60,0)*(1+$C$6),1000)</f>
        <v>28000</v>
      </c>
      <c r="K49" s="74">
        <f t="shared" si="1"/>
        <v>127000</v>
      </c>
      <c r="M49" s="69">
        <f t="shared" si="2"/>
        <v>0.28282828282828282</v>
      </c>
    </row>
    <row r="50" spans="3:13" x14ac:dyDescent="0.2">
      <c r="C50" t="s">
        <v>127</v>
      </c>
      <c r="D50" t="s">
        <v>110</v>
      </c>
      <c r="E50" s="254">
        <f>(_xlfn.XLOOKUP($C50,'Corporate Roster - ''24'!$C$6:$C$60,'Corporate Roster - ''24'!E$6:E$60,0))</f>
        <v>39385</v>
      </c>
      <c r="F50" s="255" t="str">
        <f>(_xlfn.XLOOKUP($C50,'Corporate Roster - ''24'!$C$6:$C$60,'Corporate Roster - ''24'!F$6:F$60,0))</f>
        <v>-</v>
      </c>
      <c r="G50" s="257">
        <f>MROUND(_xlfn.XLOOKUP($C50,'Corporate Roster - ''24'!$C$6:$C$60,'Corporate Roster - ''24'!G$6:G$60,0)*(1+$C$6),1000)</f>
        <v>94000</v>
      </c>
      <c r="H50" s="257">
        <f>MROUND(_xlfn.XLOOKUP($C50,'Corporate Roster - ''24'!$C$6:$C$60,'Corporate Roster - ''24'!H$6:H$60,0)*(1+$C$6),1000)</f>
        <v>5000</v>
      </c>
      <c r="I50" s="74">
        <f t="shared" si="0"/>
        <v>99000</v>
      </c>
      <c r="J50" s="257">
        <f>MROUND(_xlfn.XLOOKUP($C50,'Corporate Roster - ''24'!$C$6:$C$60,'Corporate Roster - ''24'!J$6:J$60,0)*(1+$C$6),1000)</f>
        <v>28000</v>
      </c>
      <c r="K50" s="74">
        <f t="shared" si="1"/>
        <v>127000</v>
      </c>
      <c r="M50" s="69">
        <f t="shared" si="2"/>
        <v>0.28282828282828282</v>
      </c>
    </row>
    <row r="51" spans="3:13" x14ac:dyDescent="0.2">
      <c r="C51" t="s">
        <v>128</v>
      </c>
      <c r="D51" t="s">
        <v>90</v>
      </c>
      <c r="E51" s="254">
        <f>(_xlfn.XLOOKUP($C51,'Corporate Roster - ''24'!$C$6:$C$60,'Corporate Roster - ''24'!E$6:E$60,0))</f>
        <v>39936</v>
      </c>
      <c r="F51" s="255" t="str">
        <f>(_xlfn.XLOOKUP($C51,'Corporate Roster - ''24'!$C$6:$C$60,'Corporate Roster - ''24'!F$6:F$60,0))</f>
        <v>-</v>
      </c>
      <c r="G51" s="257">
        <f>MROUND(_xlfn.XLOOKUP($C51,'Corporate Roster - ''24'!$C$6:$C$60,'Corporate Roster - ''24'!G$6:G$60,0)*(1+$C$6),1000)</f>
        <v>143000</v>
      </c>
      <c r="H51" s="257">
        <f>MROUND(_xlfn.XLOOKUP($C51,'Corporate Roster - ''24'!$C$6:$C$60,'Corporate Roster - ''24'!H$6:H$60,0)*(1+$C$6),1000)</f>
        <v>14000</v>
      </c>
      <c r="I51" s="74">
        <f t="shared" si="0"/>
        <v>157000</v>
      </c>
      <c r="J51" s="257">
        <f>MROUND(_xlfn.XLOOKUP($C51,'Corporate Roster - ''24'!$C$6:$C$60,'Corporate Roster - ''24'!J$6:J$60,0)*(1+$C$6),1000)</f>
        <v>43000</v>
      </c>
      <c r="K51" s="74">
        <f t="shared" si="1"/>
        <v>200000</v>
      </c>
      <c r="M51" s="69">
        <f t="shared" si="2"/>
        <v>0.27388535031847133</v>
      </c>
    </row>
    <row r="52" spans="3:13" x14ac:dyDescent="0.2">
      <c r="C52" t="s">
        <v>129</v>
      </c>
      <c r="D52" t="s">
        <v>99</v>
      </c>
      <c r="E52" s="254">
        <f>(_xlfn.XLOOKUP($C52,'Corporate Roster - ''24'!$C$6:$C$60,'Corporate Roster - ''24'!E$6:E$60,0))</f>
        <v>43887</v>
      </c>
      <c r="F52" s="255" t="str">
        <f>(_xlfn.XLOOKUP($C52,'Corporate Roster - ''24'!$C$6:$C$60,'Corporate Roster - ''24'!F$6:F$60,0))</f>
        <v>-</v>
      </c>
      <c r="G52" s="257">
        <f>MROUND(_xlfn.XLOOKUP($C52,'Corporate Roster - ''24'!$C$6:$C$60,'Corporate Roster - ''24'!G$6:G$60,0)*(1+$C$6),1000)</f>
        <v>88000</v>
      </c>
      <c r="H52" s="257">
        <f>MROUND(_xlfn.XLOOKUP($C52,'Corporate Roster - ''24'!$C$6:$C$60,'Corporate Roster - ''24'!H$6:H$60,0)*(1+$C$6),1000)</f>
        <v>4000</v>
      </c>
      <c r="I52" s="74">
        <f t="shared" si="0"/>
        <v>92000</v>
      </c>
      <c r="J52" s="257">
        <f>MROUND(_xlfn.XLOOKUP($C52,'Corporate Roster - ''24'!$C$6:$C$60,'Corporate Roster - ''24'!J$6:J$60,0)*(1+$C$6),1000)</f>
        <v>26000</v>
      </c>
      <c r="K52" s="74">
        <f t="shared" si="1"/>
        <v>118000</v>
      </c>
      <c r="M52" s="69">
        <f t="shared" si="2"/>
        <v>0.28260869565217389</v>
      </c>
    </row>
    <row r="53" spans="3:13" x14ac:dyDescent="0.2">
      <c r="C53" t="s">
        <v>122</v>
      </c>
      <c r="D53" t="s">
        <v>99</v>
      </c>
      <c r="E53" s="254">
        <f>(_xlfn.XLOOKUP($C53,'Corporate Roster - ''24'!$C$6:$C$60,'Corporate Roster - ''24'!E$6:E$60,0))</f>
        <v>44041</v>
      </c>
      <c r="F53" s="255" t="str">
        <f>(_xlfn.XLOOKUP($C53,'Corporate Roster - ''24'!$C$6:$C$60,'Corporate Roster - ''24'!F$6:F$60,0))</f>
        <v>-</v>
      </c>
      <c r="G53" s="257">
        <f>MROUND(_xlfn.XLOOKUP($C53,'Corporate Roster - ''24'!$C$6:$C$60,'Corporate Roster - ''24'!G$6:G$60,0)*(1+$C$6),1000)</f>
        <v>88000</v>
      </c>
      <c r="H53" s="257">
        <f>MROUND(_xlfn.XLOOKUP($C53,'Corporate Roster - ''24'!$C$6:$C$60,'Corporate Roster - ''24'!H$6:H$60,0)*(1+$C$6),1000)</f>
        <v>4000</v>
      </c>
      <c r="I53" s="74">
        <f t="shared" si="0"/>
        <v>92000</v>
      </c>
      <c r="J53" s="257">
        <f>MROUND(_xlfn.XLOOKUP($C53,'Corporate Roster - ''24'!$C$6:$C$60,'Corporate Roster - ''24'!J$6:J$60,0)*(1+$C$6),1000)</f>
        <v>26000</v>
      </c>
      <c r="K53" s="74">
        <f t="shared" si="1"/>
        <v>118000</v>
      </c>
      <c r="M53" s="69">
        <f t="shared" si="2"/>
        <v>0.28260869565217389</v>
      </c>
    </row>
    <row r="54" spans="3:13" x14ac:dyDescent="0.2">
      <c r="C54" t="s">
        <v>236</v>
      </c>
      <c r="D54" t="s">
        <v>242</v>
      </c>
      <c r="E54" s="66">
        <v>45658</v>
      </c>
      <c r="F54" s="253" t="s">
        <v>141</v>
      </c>
      <c r="G54" s="70">
        <v>250000</v>
      </c>
      <c r="H54" s="70">
        <v>100000</v>
      </c>
      <c r="I54" s="74">
        <f t="shared" si="0"/>
        <v>350000</v>
      </c>
      <c r="J54" s="70">
        <v>75000</v>
      </c>
      <c r="K54" s="74">
        <f t="shared" si="1"/>
        <v>425000</v>
      </c>
      <c r="M54" s="69">
        <f t="shared" si="2"/>
        <v>0.21428571428571427</v>
      </c>
    </row>
    <row r="55" spans="3:13" x14ac:dyDescent="0.2">
      <c r="C55" t="s">
        <v>238</v>
      </c>
      <c r="D55" t="s">
        <v>243</v>
      </c>
      <c r="E55" s="66">
        <v>45658</v>
      </c>
      <c r="F55" s="253" t="s">
        <v>141</v>
      </c>
      <c r="G55" s="70">
        <v>130000</v>
      </c>
      <c r="H55" s="70">
        <v>13000</v>
      </c>
      <c r="I55" s="74">
        <f t="shared" ref="I55:I59" si="3">SUM(G55:H55)</f>
        <v>143000</v>
      </c>
      <c r="J55" s="70">
        <v>40000</v>
      </c>
      <c r="K55" s="74">
        <f t="shared" ref="K55:K59" si="4">SUM(I55:J55)</f>
        <v>183000</v>
      </c>
      <c r="M55" s="69">
        <f t="shared" ref="M55:M60" si="5">J55/I55</f>
        <v>0.27972027972027974</v>
      </c>
    </row>
    <row r="56" spans="3:13" x14ac:dyDescent="0.2">
      <c r="C56" t="s">
        <v>237</v>
      </c>
      <c r="D56" t="s">
        <v>244</v>
      </c>
      <c r="E56" s="66">
        <v>45658</v>
      </c>
      <c r="F56" s="253" t="s">
        <v>141</v>
      </c>
      <c r="G56" s="70">
        <v>160000</v>
      </c>
      <c r="H56" s="70">
        <v>32000</v>
      </c>
      <c r="I56" s="74">
        <f t="shared" si="3"/>
        <v>192000</v>
      </c>
      <c r="J56" s="70">
        <v>52500</v>
      </c>
      <c r="K56" s="74">
        <f t="shared" si="4"/>
        <v>244500</v>
      </c>
      <c r="M56" s="69">
        <f t="shared" si="5"/>
        <v>0.2734375</v>
      </c>
    </row>
    <row r="57" spans="3:13" x14ac:dyDescent="0.2">
      <c r="C57" t="s">
        <v>239</v>
      </c>
      <c r="D57" t="s">
        <v>245</v>
      </c>
      <c r="E57" s="66">
        <v>45689</v>
      </c>
      <c r="F57" s="253" t="s">
        <v>141</v>
      </c>
      <c r="G57" s="70">
        <v>225000</v>
      </c>
      <c r="H57" s="70">
        <v>100000</v>
      </c>
      <c r="I57" s="74">
        <f t="shared" si="3"/>
        <v>325000</v>
      </c>
      <c r="J57" s="70">
        <v>75000</v>
      </c>
      <c r="K57" s="74">
        <f t="shared" si="4"/>
        <v>400000</v>
      </c>
      <c r="M57" s="69">
        <f t="shared" si="5"/>
        <v>0.23076923076923078</v>
      </c>
    </row>
    <row r="58" spans="3:13" x14ac:dyDescent="0.2">
      <c r="C58" t="s">
        <v>240</v>
      </c>
      <c r="D58" t="s">
        <v>246</v>
      </c>
      <c r="E58" s="66">
        <v>45689</v>
      </c>
      <c r="F58" s="253" t="s">
        <v>141</v>
      </c>
      <c r="G58" s="70">
        <v>130000</v>
      </c>
      <c r="H58" s="70">
        <v>13000</v>
      </c>
      <c r="I58" s="74">
        <f t="shared" si="3"/>
        <v>143000</v>
      </c>
      <c r="J58" s="70">
        <v>40000</v>
      </c>
      <c r="K58" s="74">
        <f t="shared" si="4"/>
        <v>183000</v>
      </c>
      <c r="M58" s="69">
        <f t="shared" si="5"/>
        <v>0.27972027972027974</v>
      </c>
    </row>
    <row r="59" spans="3:13" x14ac:dyDescent="0.2">
      <c r="C59" t="s">
        <v>241</v>
      </c>
      <c r="D59" t="s">
        <v>247</v>
      </c>
      <c r="E59" s="66">
        <v>45689</v>
      </c>
      <c r="F59" s="253" t="s">
        <v>141</v>
      </c>
      <c r="G59" s="70">
        <v>80000</v>
      </c>
      <c r="H59" s="70">
        <v>20000</v>
      </c>
      <c r="I59" s="74">
        <f t="shared" si="3"/>
        <v>100000</v>
      </c>
      <c r="J59" s="70">
        <v>22500</v>
      </c>
      <c r="K59" s="74">
        <f t="shared" si="4"/>
        <v>122500</v>
      </c>
      <c r="M59" s="69">
        <f t="shared" si="5"/>
        <v>0.22500000000000001</v>
      </c>
    </row>
    <row r="60" spans="3:13" x14ac:dyDescent="0.2">
      <c r="C60" s="252"/>
      <c r="D60" s="252"/>
      <c r="E60" s="252"/>
      <c r="F60" s="252"/>
      <c r="G60" s="263">
        <f>SUM(G9:G59)</f>
        <v>7092000</v>
      </c>
      <c r="H60" s="263">
        <f t="shared" ref="H60:J60" si="6">SUM(H9:H59)</f>
        <v>1305000</v>
      </c>
      <c r="I60" s="94">
        <f>SUM(I9:I54)</f>
        <v>7494000</v>
      </c>
      <c r="J60" s="98">
        <f t="shared" si="6"/>
        <v>2121000</v>
      </c>
      <c r="K60" s="94">
        <f t="shared" si="1"/>
        <v>9615000</v>
      </c>
      <c r="L60" s="252"/>
      <c r="M60" s="334">
        <f t="shared" si="5"/>
        <v>0.28302642113690951</v>
      </c>
    </row>
  </sheetData>
  <pageMargins left="0.7" right="0.7" top="0.75" bottom="0.75" header="0.3" footer="0.3"/>
  <pageSetup scale="5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E50D-8A62-48D5-A921-88BD26427F4F}">
  <sheetPr>
    <tabColor theme="1"/>
  </sheetPr>
  <dimension ref="A1"/>
  <sheetViews>
    <sheetView showGridLines="0" workbookViewId="0"/>
  </sheetViews>
  <sheetFormatPr defaultRowHeight="12.7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C437-9443-42D1-BA5F-715188C496DE}">
  <sheetPr>
    <tabColor theme="0"/>
    <pageSetUpPr fitToPage="1"/>
  </sheetPr>
  <dimension ref="B2:AH181"/>
  <sheetViews>
    <sheetView showGridLines="0" view="pageBreakPreview" zoomScale="85" zoomScaleNormal="100" zoomScaleSheetLayoutView="85" workbookViewId="0">
      <pane xSplit="3" ySplit="7" topLeftCell="D8" activePane="bottomRight" state="frozen"/>
      <selection pane="topRight"/>
      <selection pane="bottomLeft"/>
      <selection pane="bottomRight" activeCell="D8" sqref="D8"/>
    </sheetView>
  </sheetViews>
  <sheetFormatPr defaultRowHeight="12.75" x14ac:dyDescent="0.2"/>
  <cols>
    <col min="1" max="2" width="3.7109375" customWidth="1"/>
    <col min="3" max="3" width="60.140625" bestFit="1" customWidth="1"/>
    <col min="4" max="27" width="11.7109375" customWidth="1"/>
    <col min="28" max="28" width="2.28515625" customWidth="1"/>
    <col min="29" max="30" width="13.7109375" customWidth="1"/>
    <col min="31" max="31" width="2.28515625" customWidth="1"/>
    <col min="32" max="32" width="3.7109375" customWidth="1"/>
    <col min="33" max="33" width="12.28515625" bestFit="1" customWidth="1"/>
    <col min="34" max="34" width="11.7109375" bestFit="1" customWidth="1"/>
  </cols>
  <sheetData>
    <row r="2" spans="2:34" ht="13.5" thickBot="1" x14ac:dyDescent="0.25"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3">
        <f ca="1">TODAY()</f>
        <v>45999</v>
      </c>
      <c r="AE2" s="1"/>
    </row>
    <row r="3" spans="2:34" x14ac:dyDescent="0.2">
      <c r="C3" t="s">
        <v>161</v>
      </c>
    </row>
    <row r="5" spans="2:34" x14ac:dyDescent="0.2">
      <c r="D5" s="20">
        <v>2023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2"/>
      <c r="P5" s="20">
        <v>2024</v>
      </c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  <c r="AC5" s="20" t="s">
        <v>14</v>
      </c>
      <c r="AD5" s="22"/>
    </row>
    <row r="6" spans="2:34" ht="15" x14ac:dyDescent="0.35">
      <c r="D6" s="4">
        <v>44957</v>
      </c>
      <c r="E6" s="19">
        <f>EOMONTH(D6,1)</f>
        <v>44985</v>
      </c>
      <c r="F6" s="19">
        <f t="shared" ref="F6:AA6" si="0">EOMONTH(E6,1)</f>
        <v>45016</v>
      </c>
      <c r="G6" s="19">
        <f t="shared" si="0"/>
        <v>45046</v>
      </c>
      <c r="H6" s="19">
        <f t="shared" si="0"/>
        <v>45077</v>
      </c>
      <c r="I6" s="19">
        <f t="shared" si="0"/>
        <v>45107</v>
      </c>
      <c r="J6" s="19">
        <f t="shared" si="0"/>
        <v>45138</v>
      </c>
      <c r="K6" s="19">
        <f t="shared" si="0"/>
        <v>45169</v>
      </c>
      <c r="L6" s="19">
        <f t="shared" si="0"/>
        <v>45199</v>
      </c>
      <c r="M6" s="19">
        <f t="shared" si="0"/>
        <v>45230</v>
      </c>
      <c r="N6" s="19">
        <f t="shared" si="0"/>
        <v>45260</v>
      </c>
      <c r="O6" s="5">
        <f t="shared" si="0"/>
        <v>45291</v>
      </c>
      <c r="P6" s="4">
        <f t="shared" si="0"/>
        <v>45322</v>
      </c>
      <c r="Q6" s="19">
        <f t="shared" si="0"/>
        <v>45351</v>
      </c>
      <c r="R6" s="19">
        <f t="shared" si="0"/>
        <v>45382</v>
      </c>
      <c r="S6" s="19">
        <f t="shared" si="0"/>
        <v>45412</v>
      </c>
      <c r="T6" s="19">
        <f t="shared" si="0"/>
        <v>45443</v>
      </c>
      <c r="U6" s="19">
        <f t="shared" si="0"/>
        <v>45473</v>
      </c>
      <c r="V6" s="19">
        <f t="shared" si="0"/>
        <v>45504</v>
      </c>
      <c r="W6" s="19">
        <f t="shared" si="0"/>
        <v>45535</v>
      </c>
      <c r="X6" s="19">
        <f t="shared" si="0"/>
        <v>45565</v>
      </c>
      <c r="Y6" s="19">
        <f t="shared" si="0"/>
        <v>45596</v>
      </c>
      <c r="Z6" s="19">
        <f t="shared" si="0"/>
        <v>45626</v>
      </c>
      <c r="AA6" s="5">
        <f t="shared" si="0"/>
        <v>45657</v>
      </c>
      <c r="AB6" s="12"/>
      <c r="AC6" s="13">
        <v>45291</v>
      </c>
      <c r="AD6" s="14">
        <v>45657</v>
      </c>
    </row>
    <row r="7" spans="2:34" ht="0.95" customHeight="1" x14ac:dyDescent="0.2">
      <c r="D7" s="11"/>
      <c r="P7" s="11"/>
      <c r="AA7" s="15"/>
      <c r="AB7" s="15"/>
      <c r="AC7" s="11"/>
      <c r="AD7" s="15"/>
    </row>
    <row r="8" spans="2:34" x14ac:dyDescent="0.2">
      <c r="C8" s="7" t="s">
        <v>160</v>
      </c>
      <c r="D8" s="121">
        <v>85</v>
      </c>
      <c r="E8" s="122">
        <v>81</v>
      </c>
      <c r="F8" s="122">
        <v>69</v>
      </c>
      <c r="G8" s="122">
        <v>69</v>
      </c>
      <c r="H8" s="122">
        <v>63</v>
      </c>
      <c r="I8" s="122">
        <v>65</v>
      </c>
      <c r="J8" s="122">
        <v>79</v>
      </c>
      <c r="K8" s="122">
        <v>106</v>
      </c>
      <c r="L8" s="122">
        <v>105</v>
      </c>
      <c r="M8" s="122">
        <v>105</v>
      </c>
      <c r="N8" s="122">
        <v>129</v>
      </c>
      <c r="O8" s="122">
        <v>145</v>
      </c>
      <c r="P8" s="121">
        <v>116</v>
      </c>
      <c r="Q8" s="122">
        <v>106</v>
      </c>
      <c r="R8" s="122">
        <v>98</v>
      </c>
      <c r="S8" s="122">
        <v>86</v>
      </c>
      <c r="T8" s="122">
        <v>72</v>
      </c>
      <c r="U8" s="122">
        <v>79</v>
      </c>
      <c r="V8" s="122">
        <v>92</v>
      </c>
      <c r="W8" s="122">
        <v>113</v>
      </c>
      <c r="X8" s="122">
        <v>113</v>
      </c>
      <c r="Y8" s="122">
        <v>111</v>
      </c>
      <c r="Z8" s="122">
        <v>126</v>
      </c>
      <c r="AA8" s="123">
        <v>125</v>
      </c>
      <c r="AB8" s="87"/>
      <c r="AC8" s="155">
        <f>AVERAGE(D8:O8)</f>
        <v>91.75</v>
      </c>
      <c r="AD8" s="156">
        <f>AVERAGE(P8:AA8)</f>
        <v>103.08333333333333</v>
      </c>
    </row>
    <row r="9" spans="2:34" x14ac:dyDescent="0.2">
      <c r="C9" s="7" t="s">
        <v>54</v>
      </c>
      <c r="D9" s="155">
        <f>D10/D8</f>
        <v>22</v>
      </c>
      <c r="E9" s="175">
        <f t="shared" ref="E9:AA9" si="1">E10/E8</f>
        <v>21</v>
      </c>
      <c r="F9" s="175">
        <f t="shared" si="1"/>
        <v>24.347826086956523</v>
      </c>
      <c r="G9" s="154">
        <f t="shared" si="1"/>
        <v>21.304347826086957</v>
      </c>
      <c r="H9" s="154">
        <f t="shared" si="1"/>
        <v>23.365079365079364</v>
      </c>
      <c r="I9" s="154">
        <f t="shared" si="1"/>
        <v>23.353846153846153</v>
      </c>
      <c r="J9" s="154">
        <f t="shared" si="1"/>
        <v>22.278481012658229</v>
      </c>
      <c r="K9" s="154">
        <f t="shared" si="1"/>
        <v>24</v>
      </c>
      <c r="L9" s="154">
        <f t="shared" si="1"/>
        <v>22</v>
      </c>
      <c r="M9" s="154">
        <f t="shared" si="1"/>
        <v>22</v>
      </c>
      <c r="N9" s="154">
        <f t="shared" si="1"/>
        <v>22.821705426356591</v>
      </c>
      <c r="O9" s="154">
        <f t="shared" si="1"/>
        <v>21.69655172413793</v>
      </c>
      <c r="P9" s="155">
        <f t="shared" si="1"/>
        <v>22.801724137931036</v>
      </c>
      <c r="Q9" s="154">
        <f t="shared" si="1"/>
        <v>21.79245283018868</v>
      </c>
      <c r="R9" s="154">
        <f t="shared" si="1"/>
        <v>21.775510204081634</v>
      </c>
      <c r="S9" s="154">
        <f t="shared" si="1"/>
        <v>21.744186046511629</v>
      </c>
      <c r="T9" s="154">
        <f t="shared" si="1"/>
        <v>24</v>
      </c>
      <c r="U9" s="154">
        <f t="shared" si="1"/>
        <v>21</v>
      </c>
      <c r="V9" s="154">
        <f t="shared" si="1"/>
        <v>23</v>
      </c>
      <c r="W9" s="154">
        <f t="shared" si="1"/>
        <v>22.79646017699115</v>
      </c>
      <c r="X9" s="154">
        <f t="shared" si="1"/>
        <v>20.814159292035399</v>
      </c>
      <c r="Y9" s="154">
        <f t="shared" si="1"/>
        <v>24</v>
      </c>
      <c r="Z9" s="154">
        <f t="shared" si="1"/>
        <v>22</v>
      </c>
      <c r="AA9" s="156">
        <f t="shared" si="1"/>
        <v>22</v>
      </c>
      <c r="AB9" s="33"/>
      <c r="AC9" s="92">
        <f>SUM(D9:O9)</f>
        <v>270.1678375951218</v>
      </c>
      <c r="AD9" s="93">
        <f>SUM(P9:AA9)</f>
        <v>267.72449268773954</v>
      </c>
    </row>
    <row r="10" spans="2:34" x14ac:dyDescent="0.2">
      <c r="C10" s="8" t="s">
        <v>51</v>
      </c>
      <c r="D10" s="218">
        <v>1870</v>
      </c>
      <c r="E10" s="219">
        <v>1701</v>
      </c>
      <c r="F10" s="219">
        <v>1680</v>
      </c>
      <c r="G10" s="220">
        <v>1470</v>
      </c>
      <c r="H10" s="220">
        <v>1472</v>
      </c>
      <c r="I10" s="220">
        <v>1518</v>
      </c>
      <c r="J10" s="220">
        <v>1760</v>
      </c>
      <c r="K10" s="220">
        <v>2544</v>
      </c>
      <c r="L10" s="220">
        <v>2310</v>
      </c>
      <c r="M10" s="220">
        <v>2310</v>
      </c>
      <c r="N10" s="220">
        <v>2944</v>
      </c>
      <c r="O10" s="220">
        <v>3146</v>
      </c>
      <c r="P10" s="218">
        <v>2645</v>
      </c>
      <c r="Q10" s="220">
        <v>2310</v>
      </c>
      <c r="R10" s="220">
        <v>2134</v>
      </c>
      <c r="S10" s="220">
        <v>1870</v>
      </c>
      <c r="T10" s="220">
        <v>1728</v>
      </c>
      <c r="U10" s="220">
        <v>1659</v>
      </c>
      <c r="V10" s="220">
        <v>2116</v>
      </c>
      <c r="W10" s="220">
        <v>2576</v>
      </c>
      <c r="X10" s="220">
        <v>2352</v>
      </c>
      <c r="Y10" s="220">
        <v>2664</v>
      </c>
      <c r="Z10" s="220">
        <v>2772</v>
      </c>
      <c r="AA10" s="221">
        <v>2750</v>
      </c>
      <c r="AB10" s="15"/>
      <c r="AC10" s="119">
        <f t="shared" ref="AC10" si="2">SUM(D10:O10)</f>
        <v>24725</v>
      </c>
      <c r="AD10" s="120">
        <f t="shared" ref="AD10" si="3">SUM(P10:AA10)</f>
        <v>27576</v>
      </c>
      <c r="AG10" s="10"/>
      <c r="AH10" s="10"/>
    </row>
    <row r="11" spans="2:34" x14ac:dyDescent="0.2">
      <c r="C11" s="7" t="s">
        <v>50</v>
      </c>
      <c r="D11" s="105">
        <f>D12/D10</f>
        <v>4.989696057442023</v>
      </c>
      <c r="E11" s="106">
        <f t="shared" ref="E11:AA11" si="4">E12/E10</f>
        <v>5.299735538099827</v>
      </c>
      <c r="F11" s="106">
        <f t="shared" si="4"/>
        <v>5.8574211643200265</v>
      </c>
      <c r="G11" s="106">
        <f t="shared" si="4"/>
        <v>6.1676083068273098</v>
      </c>
      <c r="H11" s="106">
        <f t="shared" si="4"/>
        <v>6.7955235807111709</v>
      </c>
      <c r="I11" s="106">
        <f t="shared" si="4"/>
        <v>6.4034589850213832</v>
      </c>
      <c r="J11" s="106">
        <f t="shared" si="4"/>
        <v>5.8992527410509803</v>
      </c>
      <c r="K11" s="106">
        <f t="shared" si="4"/>
        <v>5.1819314350551613</v>
      </c>
      <c r="L11" s="106">
        <f t="shared" si="4"/>
        <v>5.1978401567636201</v>
      </c>
      <c r="M11" s="106">
        <f t="shared" si="4"/>
        <v>5.247481875326641</v>
      </c>
      <c r="N11" s="106">
        <f t="shared" si="4"/>
        <v>4.5166259050580058</v>
      </c>
      <c r="O11" s="106">
        <f t="shared" si="4"/>
        <v>3.7055428793139451</v>
      </c>
      <c r="P11" s="105">
        <f t="shared" si="4"/>
        <v>5.2302826755453848</v>
      </c>
      <c r="Q11" s="106">
        <f t="shared" si="4"/>
        <v>5.6445874746385289</v>
      </c>
      <c r="R11" s="106">
        <f t="shared" si="4"/>
        <v>6.0422819701482462</v>
      </c>
      <c r="S11" s="106">
        <f t="shared" si="4"/>
        <v>6.4521191338887691</v>
      </c>
      <c r="T11" s="106">
        <f t="shared" si="4"/>
        <v>7.0078770126267118</v>
      </c>
      <c r="U11" s="106">
        <f t="shared" si="4"/>
        <v>6.7021900487586841</v>
      </c>
      <c r="V11" s="106">
        <f t="shared" si="4"/>
        <v>6.142561123460208</v>
      </c>
      <c r="W11" s="106">
        <f t="shared" si="4"/>
        <v>5.2467146387499586</v>
      </c>
      <c r="X11" s="106">
        <f t="shared" si="4"/>
        <v>5.2510249027411859</v>
      </c>
      <c r="Y11" s="106">
        <f t="shared" si="4"/>
        <v>5.2594150699143816</v>
      </c>
      <c r="Z11" s="106">
        <f t="shared" si="4"/>
        <v>4.5178188307364104</v>
      </c>
      <c r="AA11" s="107">
        <f t="shared" si="4"/>
        <v>3.6724410442865802</v>
      </c>
      <c r="AB11" s="15"/>
      <c r="AC11" s="100">
        <f>AC12/AC10</f>
        <v>5.2426568997718288</v>
      </c>
      <c r="AD11" s="101">
        <f t="shared" ref="AD11" si="5">AD12/AD10</f>
        <v>5.4597703528924004</v>
      </c>
    </row>
    <row r="12" spans="2:34" x14ac:dyDescent="0.2">
      <c r="C12" s="8" t="s">
        <v>1</v>
      </c>
      <c r="D12" s="108">
        <v>9330.7316274165823</v>
      </c>
      <c r="E12" s="222">
        <v>9014.850150307806</v>
      </c>
      <c r="F12" s="222">
        <v>9840.4675560576452</v>
      </c>
      <c r="G12" s="222">
        <v>9066.3842110361456</v>
      </c>
      <c r="H12" s="222">
        <v>10003.010710806844</v>
      </c>
      <c r="I12" s="222">
        <v>9720.45073926246</v>
      </c>
      <c r="J12" s="222">
        <v>10382.684824249725</v>
      </c>
      <c r="K12" s="222">
        <v>13182.833570780331</v>
      </c>
      <c r="L12" s="222">
        <v>12007.010762123962</v>
      </c>
      <c r="M12" s="222">
        <v>12121.68313200454</v>
      </c>
      <c r="N12" s="222">
        <v>13296.94666449077</v>
      </c>
      <c r="O12" s="222">
        <v>11657.637898321671</v>
      </c>
      <c r="P12" s="108">
        <v>13834.097676817542</v>
      </c>
      <c r="Q12" s="222">
        <v>13038.997066415002</v>
      </c>
      <c r="R12" s="222">
        <v>12894.229724296358</v>
      </c>
      <c r="S12" s="222">
        <v>12065.462780371998</v>
      </c>
      <c r="T12" s="222">
        <v>12109.611477818959</v>
      </c>
      <c r="U12" s="222">
        <v>11118.933290890656</v>
      </c>
      <c r="V12" s="222">
        <v>12997.659337241801</v>
      </c>
      <c r="W12" s="222">
        <v>13515.536909419892</v>
      </c>
      <c r="X12" s="222">
        <v>12350.41057124727</v>
      </c>
      <c r="Y12" s="222">
        <v>14011.081746251914</v>
      </c>
      <c r="Z12" s="222">
        <v>12523.393798801329</v>
      </c>
      <c r="AA12" s="109">
        <v>10099.212871788095</v>
      </c>
      <c r="AB12" s="15"/>
      <c r="AC12" s="94">
        <f t="shared" ref="AC12" si="6">SUM(D12:O12)</f>
        <v>129624.69184685848</v>
      </c>
      <c r="AD12" s="95">
        <f t="shared" ref="AD12" si="7">SUM(P12:AA12)</f>
        <v>150558.62725136083</v>
      </c>
      <c r="AG12" s="55"/>
      <c r="AH12" s="55"/>
    </row>
    <row r="13" spans="2:34" x14ac:dyDescent="0.2">
      <c r="C13" s="7" t="s">
        <v>2</v>
      </c>
      <c r="D13" s="102">
        <f>D14/D12</f>
        <v>0.98035744431710869</v>
      </c>
      <c r="E13" s="110">
        <f t="shared" ref="E13:AA13" si="8">E14/E12</f>
        <v>0.98024089570676576</v>
      </c>
      <c r="F13" s="110">
        <f t="shared" si="8"/>
        <v>0.97997752884412459</v>
      </c>
      <c r="G13" s="110">
        <f t="shared" si="8"/>
        <v>0.97998546763471395</v>
      </c>
      <c r="H13" s="110">
        <f t="shared" si="8"/>
        <v>0.98031410358290005</v>
      </c>
      <c r="I13" s="110">
        <f t="shared" si="8"/>
        <v>0.98037364804319627</v>
      </c>
      <c r="J13" s="110">
        <f t="shared" si="8"/>
        <v>0.98054992483044745</v>
      </c>
      <c r="K13" s="110">
        <f t="shared" si="8"/>
        <v>0.98055460222733792</v>
      </c>
      <c r="L13" s="110">
        <f t="shared" si="8"/>
        <v>0.9805602482340966</v>
      </c>
      <c r="M13" s="110">
        <f t="shared" si="8"/>
        <v>0.98061813879598947</v>
      </c>
      <c r="N13" s="110">
        <f t="shared" si="8"/>
        <v>0.98070892725267089</v>
      </c>
      <c r="O13" s="110">
        <f t="shared" si="8"/>
        <v>0.98070904950889437</v>
      </c>
      <c r="P13" s="102">
        <f t="shared" si="8"/>
        <v>0.97968328397853466</v>
      </c>
      <c r="Q13" s="110">
        <f t="shared" si="8"/>
        <v>0.97955179367512624</v>
      </c>
      <c r="R13" s="110">
        <f t="shared" si="8"/>
        <v>0.97940904008531726</v>
      </c>
      <c r="S13" s="110">
        <f t="shared" si="8"/>
        <v>0.97938359347010695</v>
      </c>
      <c r="T13" s="110">
        <f t="shared" si="8"/>
        <v>0.97919882823607951</v>
      </c>
      <c r="U13" s="110">
        <f t="shared" si="8"/>
        <v>0.97919967646677242</v>
      </c>
      <c r="V13" s="110">
        <f t="shared" si="8"/>
        <v>0.97923242460588467</v>
      </c>
      <c r="W13" s="110">
        <f t="shared" si="8"/>
        <v>0.97955680136417211</v>
      </c>
      <c r="X13" s="110">
        <f t="shared" si="8"/>
        <v>0.97948237107906599</v>
      </c>
      <c r="Y13" s="110">
        <f t="shared" si="8"/>
        <v>0.97954484300074374</v>
      </c>
      <c r="Z13" s="110">
        <f t="shared" si="8"/>
        <v>0.9795890170066065</v>
      </c>
      <c r="AA13" s="103">
        <f t="shared" si="8"/>
        <v>0.97974789647298477</v>
      </c>
      <c r="AB13" s="15"/>
      <c r="AC13" s="102">
        <f>AC14/AC12</f>
        <v>0.98043865953034859</v>
      </c>
      <c r="AD13" s="103">
        <f t="shared" ref="AD13" si="9">AD14/AD12</f>
        <v>0.97946656435309476</v>
      </c>
    </row>
    <row r="14" spans="2:34" ht="12.75" customHeight="1" x14ac:dyDescent="0.2">
      <c r="C14" s="8" t="s">
        <v>3</v>
      </c>
      <c r="D14" s="108">
        <v>9147.4522118629375</v>
      </c>
      <c r="E14" s="222">
        <v>8836.7247859999952</v>
      </c>
      <c r="F14" s="222">
        <v>9643.4370782561527</v>
      </c>
      <c r="G14" s="222">
        <v>8884.9247708082439</v>
      </c>
      <c r="H14" s="222">
        <v>9806.0924780947589</v>
      </c>
      <c r="I14" s="222">
        <v>9529.6737518749214</v>
      </c>
      <c r="J14" s="222">
        <v>10180.740823956296</v>
      </c>
      <c r="K14" s="222">
        <v>12926.488128225705</v>
      </c>
      <c r="L14" s="222">
        <v>11773.597453457742</v>
      </c>
      <c r="M14" s="222">
        <v>11886.742351981033</v>
      </c>
      <c r="N14" s="222">
        <v>13040.434299068724</v>
      </c>
      <c r="O14" s="222">
        <v>11432.75098278191</v>
      </c>
      <c r="P14" s="108">
        <v>13553.034242904427</v>
      </c>
      <c r="Q14" s="222">
        <v>12772.372964131524</v>
      </c>
      <c r="R14" s="222">
        <v>12628.72515691266</v>
      </c>
      <c r="S14" s="222">
        <v>11816.716294720554</v>
      </c>
      <c r="T14" s="222">
        <v>11857.717369474503</v>
      </c>
      <c r="U14" s="222">
        <v>10887.655881095756</v>
      </c>
      <c r="V14" s="222">
        <v>12727.729467008605</v>
      </c>
      <c r="W14" s="222">
        <v>13239.236103710758</v>
      </c>
      <c r="X14" s="222">
        <v>12097.009430125237</v>
      </c>
      <c r="Y14" s="222">
        <v>13724.482869402917</v>
      </c>
      <c r="Z14" s="222">
        <v>12267.779020954426</v>
      </c>
      <c r="AA14" s="109">
        <v>9894.6825671672777</v>
      </c>
      <c r="AB14" s="15"/>
      <c r="AC14" s="94">
        <f t="shared" ref="AC14" si="10">SUM(D14:O14)</f>
        <v>127089.05911636843</v>
      </c>
      <c r="AD14" s="95">
        <f t="shared" ref="AD14" si="11">SUM(P14:AA14)</f>
        <v>147467.14136760862</v>
      </c>
    </row>
    <row r="15" spans="2:34" x14ac:dyDescent="0.2">
      <c r="C15" s="16" t="s">
        <v>174</v>
      </c>
      <c r="D15" s="45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96">
        <f>P14/D14-1</f>
        <v>0.48161848009745034</v>
      </c>
      <c r="Q15" s="111">
        <f t="shared" ref="Q15:AA15" si="12">Q14/E14-1</f>
        <v>0.44537408071899764</v>
      </c>
      <c r="R15" s="111">
        <f t="shared" si="12"/>
        <v>0.30956681258258856</v>
      </c>
      <c r="S15" s="111">
        <f t="shared" si="12"/>
        <v>0.3299737025962024</v>
      </c>
      <c r="T15" s="111">
        <f t="shared" si="12"/>
        <v>0.20921941088795015</v>
      </c>
      <c r="U15" s="111">
        <f t="shared" si="12"/>
        <v>0.14250037982188601</v>
      </c>
      <c r="V15" s="111">
        <f t="shared" si="12"/>
        <v>0.25017714202673647</v>
      </c>
      <c r="W15" s="111">
        <f t="shared" si="12"/>
        <v>2.4194349801950565E-2</v>
      </c>
      <c r="X15" s="111">
        <f t="shared" si="12"/>
        <v>2.746925720417881E-2</v>
      </c>
      <c r="Y15" s="111">
        <f t="shared" si="12"/>
        <v>0.15460421896968324</v>
      </c>
      <c r="Z15" s="111">
        <f t="shared" si="12"/>
        <v>-5.9250732022742336E-2</v>
      </c>
      <c r="AA15" s="97">
        <f t="shared" si="12"/>
        <v>-0.13453178661295195</v>
      </c>
      <c r="AB15" s="15"/>
      <c r="AC15" s="11"/>
      <c r="AD15" s="97">
        <f>AD14/AC14-1</f>
        <v>0.16034489823849518</v>
      </c>
    </row>
    <row r="16" spans="2:34" ht="3" customHeight="1" x14ac:dyDescent="0.2">
      <c r="D16" s="11"/>
      <c r="P16" s="11"/>
      <c r="AA16" s="15"/>
      <c r="AB16" s="15"/>
      <c r="AC16" s="11"/>
      <c r="AD16" s="15"/>
    </row>
    <row r="17" spans="3:30" x14ac:dyDescent="0.2">
      <c r="C17" t="s">
        <v>4</v>
      </c>
      <c r="D17" s="144">
        <v>-3085.1941622997751</v>
      </c>
      <c r="E17" s="70">
        <v>-3128.4713787357828</v>
      </c>
      <c r="F17" s="70">
        <v>-3523.4043118521627</v>
      </c>
      <c r="G17" s="70">
        <v>-3251.4929829619309</v>
      </c>
      <c r="H17" s="70">
        <v>-3717.7136221470414</v>
      </c>
      <c r="I17" s="70">
        <v>-3632.928249887309</v>
      </c>
      <c r="J17" s="70">
        <v>-3309.233583834095</v>
      </c>
      <c r="K17" s="70">
        <v>-3371.0068132247998</v>
      </c>
      <c r="L17" s="70">
        <v>-3159.9272539565245</v>
      </c>
      <c r="M17" s="70">
        <v>-3191.4984676445265</v>
      </c>
      <c r="N17" s="70">
        <v>-2965.5268955847278</v>
      </c>
      <c r="O17" s="70">
        <v>-2277.6595735191258</v>
      </c>
      <c r="P17" s="144">
        <v>-4032.1322450199887</v>
      </c>
      <c r="Q17" s="70">
        <v>-4085.7997987161057</v>
      </c>
      <c r="R17" s="70">
        <v>-4099.6397216183923</v>
      </c>
      <c r="S17" s="70">
        <v>-4139.5894548058795</v>
      </c>
      <c r="T17" s="70">
        <v>-4349.1699537255599</v>
      </c>
      <c r="U17" s="70">
        <v>-3780.9726019615923</v>
      </c>
      <c r="V17" s="70">
        <v>-4111.7717192499713</v>
      </c>
      <c r="W17" s="70">
        <v>-3704.569813594238</v>
      </c>
      <c r="X17" s="70">
        <v>-3593.2267897744805</v>
      </c>
      <c r="Y17" s="70">
        <v>-4188.4454268147501</v>
      </c>
      <c r="Z17" s="70">
        <v>-3326.829283732819</v>
      </c>
      <c r="AA17" s="145">
        <v>-2724.9778615656019</v>
      </c>
      <c r="AB17" s="15"/>
      <c r="AC17" s="92">
        <f t="shared" ref="AC17" si="13">SUM(D17:O17)</f>
        <v>-38614.057295647799</v>
      </c>
      <c r="AD17" s="93">
        <f t="shared" ref="AD17" si="14">SUM(P17:AA17)</f>
        <v>-46137.124670579382</v>
      </c>
    </row>
    <row r="18" spans="3:30" x14ac:dyDescent="0.2">
      <c r="C18" s="16" t="s">
        <v>9</v>
      </c>
      <c r="D18" s="96">
        <f>-(D17/D$14)</f>
        <v>0.33727360262114509</v>
      </c>
      <c r="E18" s="111">
        <f t="shared" ref="E18:AA18" si="15">-(E17/E$14)</f>
        <v>0.35403064534636336</v>
      </c>
      <c r="F18" s="111">
        <f t="shared" si="15"/>
        <v>0.36536810301761297</v>
      </c>
      <c r="G18" s="111">
        <f t="shared" si="15"/>
        <v>0.365956163595761</v>
      </c>
      <c r="H18" s="111">
        <f t="shared" si="15"/>
        <v>0.37912283924017837</v>
      </c>
      <c r="I18" s="111">
        <f t="shared" si="15"/>
        <v>0.38122273064936207</v>
      </c>
      <c r="J18" s="111">
        <f t="shared" si="15"/>
        <v>0.32504840669817853</v>
      </c>
      <c r="K18" s="111">
        <f t="shared" si="15"/>
        <v>0.26078288084015788</v>
      </c>
      <c r="L18" s="111">
        <f t="shared" si="15"/>
        <v>0.26839097110700838</v>
      </c>
      <c r="M18" s="111">
        <f t="shared" si="15"/>
        <v>0.26849227257900771</v>
      </c>
      <c r="N18" s="111">
        <f t="shared" si="15"/>
        <v>0.22741013278955821</v>
      </c>
      <c r="O18" s="111">
        <f t="shared" si="15"/>
        <v>0.19922235487761031</v>
      </c>
      <c r="P18" s="96">
        <f t="shared" si="15"/>
        <v>0.29750771471200083</v>
      </c>
      <c r="Q18" s="111">
        <f t="shared" si="15"/>
        <v>0.31989355542546399</v>
      </c>
      <c r="R18" s="111">
        <f t="shared" si="15"/>
        <v>0.32462815293548042</v>
      </c>
      <c r="S18" s="111">
        <f t="shared" si="15"/>
        <v>0.35031639514400087</v>
      </c>
      <c r="T18" s="111">
        <f t="shared" si="15"/>
        <v>0.36677969445634556</v>
      </c>
      <c r="U18" s="111">
        <f t="shared" si="15"/>
        <v>0.34727150116183386</v>
      </c>
      <c r="V18" s="111">
        <f t="shared" si="15"/>
        <v>0.32305618452278118</v>
      </c>
      <c r="W18" s="111">
        <f t="shared" si="15"/>
        <v>0.27981748981392535</v>
      </c>
      <c r="X18" s="111">
        <f t="shared" si="15"/>
        <v>0.29703430509248441</v>
      </c>
      <c r="Y18" s="111">
        <f t="shared" si="15"/>
        <v>0.30518056430034135</v>
      </c>
      <c r="Z18" s="111">
        <f t="shared" si="15"/>
        <v>0.27118431771963836</v>
      </c>
      <c r="AA18" s="97">
        <f t="shared" si="15"/>
        <v>0.27539820939861931</v>
      </c>
      <c r="AB18" s="15"/>
      <c r="AC18" s="96">
        <f t="shared" ref="AC18" si="16">-(AC17/AC$14)</f>
        <v>0.30383463033030278</v>
      </c>
      <c r="AD18" s="97">
        <f t="shared" ref="AD18" si="17">-(AD17/AD$14)</f>
        <v>0.31286376234532115</v>
      </c>
    </row>
    <row r="19" spans="3:30" ht="3" customHeight="1" x14ac:dyDescent="0.2">
      <c r="C19" s="16"/>
      <c r="D19" s="36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6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8"/>
      <c r="AB19" s="15"/>
      <c r="AC19" s="36"/>
      <c r="AD19" s="38"/>
    </row>
    <row r="20" spans="3:30" x14ac:dyDescent="0.2">
      <c r="C20" t="s">
        <v>5</v>
      </c>
      <c r="D20" s="144">
        <v>-1779.4622289709096</v>
      </c>
      <c r="E20" s="70">
        <v>-1794.320686032888</v>
      </c>
      <c r="F20" s="70">
        <v>-2184.8875374406512</v>
      </c>
      <c r="G20" s="70">
        <v>-1995.341355829612</v>
      </c>
      <c r="H20" s="70">
        <v>-2371.2989447115351</v>
      </c>
      <c r="I20" s="70">
        <v>-2259.8507249424579</v>
      </c>
      <c r="J20" s="70">
        <v>-1959.0305344716874</v>
      </c>
      <c r="K20" s="70">
        <v>-1874.0760568848657</v>
      </c>
      <c r="L20" s="70">
        <v>-1735.5399484384479</v>
      </c>
      <c r="M20" s="70">
        <v>-1764.6984725760951</v>
      </c>
      <c r="N20" s="70">
        <v>-1579.2313061509224</v>
      </c>
      <c r="O20" s="70">
        <v>-1259.6680085752248</v>
      </c>
      <c r="P20" s="144">
        <v>-2181.4939807841765</v>
      </c>
      <c r="Q20" s="70">
        <v>-2236.7332915389165</v>
      </c>
      <c r="R20" s="70">
        <v>-2394.2282410818325</v>
      </c>
      <c r="S20" s="70">
        <v>-2591.1156069013</v>
      </c>
      <c r="T20" s="70">
        <v>-2967.9251192656379</v>
      </c>
      <c r="U20" s="70">
        <v>-2556.2503848473466</v>
      </c>
      <c r="V20" s="70">
        <v>-2600.6546298993453</v>
      </c>
      <c r="W20" s="70">
        <v>-2253.4917291208185</v>
      </c>
      <c r="X20" s="70">
        <v>-2079.3760006675639</v>
      </c>
      <c r="Y20" s="70">
        <v>-2403.4432187743923</v>
      </c>
      <c r="Z20" s="70">
        <v>-1888.1215592212502</v>
      </c>
      <c r="AA20" s="145">
        <v>-1537.8259795807344</v>
      </c>
      <c r="AB20" s="15"/>
      <c r="AC20" s="92">
        <f t="shared" ref="AC20" si="18">SUM(D20:O20)</f>
        <v>-22557.405805025297</v>
      </c>
      <c r="AD20" s="93">
        <f t="shared" ref="AD20" si="19">SUM(P20:AA20)</f>
        <v>-27690.659741683314</v>
      </c>
    </row>
    <row r="21" spans="3:30" x14ac:dyDescent="0.2">
      <c r="C21" s="16" t="s">
        <v>9</v>
      </c>
      <c r="D21" s="96">
        <f>-(D20/D$14)</f>
        <v>0.19453091284403776</v>
      </c>
      <c r="E21" s="111">
        <f t="shared" ref="E21" si="20">-(E20/E$14)</f>
        <v>0.20305268405276428</v>
      </c>
      <c r="F21" s="111">
        <f t="shared" ref="F21" si="21">-(F20/F$14)</f>
        <v>0.22656730372276665</v>
      </c>
      <c r="G21" s="111">
        <f t="shared" ref="G21" si="22">-(G20/G$14)</f>
        <v>0.22457605520593504</v>
      </c>
      <c r="H21" s="111">
        <f t="shared" ref="H21" si="23">-(H20/H$14)</f>
        <v>0.24181894572263493</v>
      </c>
      <c r="I21" s="111">
        <f t="shared" ref="I21" si="24">-(I20/I$14)</f>
        <v>0.23713830964022689</v>
      </c>
      <c r="J21" s="111">
        <f t="shared" ref="J21" si="25">-(J20/J$14)</f>
        <v>0.19242514551219039</v>
      </c>
      <c r="K21" s="111">
        <f t="shared" ref="K21" si="26">-(K20/K$14)</f>
        <v>0.144979520987817</v>
      </c>
      <c r="L21" s="111">
        <f t="shared" ref="L21" si="27">-(L20/L$14)</f>
        <v>0.14740948595356843</v>
      </c>
      <c r="M21" s="111">
        <f t="shared" ref="M21" si="28">-(M20/M$14)</f>
        <v>0.14845938612289281</v>
      </c>
      <c r="N21" s="111">
        <f t="shared" ref="N21" si="29">-(N20/N$14)</f>
        <v>0.12110266191546262</v>
      </c>
      <c r="O21" s="111">
        <f t="shared" ref="O21" si="30">-(O20/O$14)</f>
        <v>0.11018065647299807</v>
      </c>
      <c r="P21" s="96">
        <f t="shared" ref="P21" si="31">-(P20/P$14)</f>
        <v>0.16095982210967102</v>
      </c>
      <c r="Q21" s="111">
        <f t="shared" ref="Q21" si="32">-(Q20/Q$14)</f>
        <v>0.17512276675761845</v>
      </c>
      <c r="R21" s="111">
        <f t="shared" ref="R21" si="33">-(R20/R$14)</f>
        <v>0.18958590129513506</v>
      </c>
      <c r="S21" s="111">
        <f t="shared" ref="S21" si="34">-(S20/S$14)</f>
        <v>0.21927543509349995</v>
      </c>
      <c r="T21" s="111">
        <f t="shared" ref="T21" si="35">-(T20/T$14)</f>
        <v>0.25029481027318218</v>
      </c>
      <c r="U21" s="111">
        <f t="shared" ref="U21" si="36">-(U20/U$14)</f>
        <v>0.23478427429780968</v>
      </c>
      <c r="V21" s="111">
        <f t="shared" ref="V21" si="37">-(V20/V$14)</f>
        <v>0.20432981677057727</v>
      </c>
      <c r="W21" s="111">
        <f t="shared" ref="W21" si="38">-(W20/W$14)</f>
        <v>0.17021312343611719</v>
      </c>
      <c r="X21" s="111">
        <f t="shared" ref="X21" si="39">-(X20/X$14)</f>
        <v>0.17189174007662458</v>
      </c>
      <c r="Y21" s="111">
        <f t="shared" ref="Y21" si="40">-(Y20/Y$14)</f>
        <v>0.17512085822428908</v>
      </c>
      <c r="Z21" s="111">
        <f t="shared" ref="Z21" si="41">-(Z20/Z$14)</f>
        <v>0.15390899656703758</v>
      </c>
      <c r="AA21" s="97">
        <f t="shared" ref="AA21" si="42">-(AA20/AA$14)</f>
        <v>0.15541943555456519</v>
      </c>
      <c r="AB21" s="15"/>
      <c r="AC21" s="96">
        <f t="shared" ref="AC21" si="43">-(AC20/AC$14)</f>
        <v>0.17749290113455579</v>
      </c>
      <c r="AD21" s="97">
        <f t="shared" ref="AD21" si="44">-(AD20/AD$14)</f>
        <v>0.18777511712019671</v>
      </c>
    </row>
    <row r="22" spans="3:30" ht="3" customHeight="1" x14ac:dyDescent="0.2">
      <c r="C22" s="16"/>
      <c r="D22" s="36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6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8"/>
      <c r="AB22" s="15"/>
      <c r="AC22" s="36"/>
      <c r="AD22" s="38"/>
    </row>
    <row r="23" spans="3:30" x14ac:dyDescent="0.2">
      <c r="C23" t="s">
        <v>6</v>
      </c>
      <c r="D23" s="144">
        <v>-685.79261478887986</v>
      </c>
      <c r="E23" s="70">
        <v>-693.00374823717721</v>
      </c>
      <c r="F23" s="70">
        <v>-881.14186787018286</v>
      </c>
      <c r="G23" s="70">
        <v>-806.04846189620253</v>
      </c>
      <c r="H23" s="70">
        <v>-969.09760327527033</v>
      </c>
      <c r="I23" s="70">
        <v>-918.77364467268501</v>
      </c>
      <c r="J23" s="70">
        <v>-793.68435129673537</v>
      </c>
      <c r="K23" s="70">
        <v>-752.09019090241384</v>
      </c>
      <c r="L23" s="70">
        <v>-701.76506402358768</v>
      </c>
      <c r="M23" s="70">
        <v>-706.30267144350887</v>
      </c>
      <c r="N23" s="70">
        <v>-626.90667872361394</v>
      </c>
      <c r="O23" s="70">
        <v>-485.79125524151658</v>
      </c>
      <c r="P23" s="144">
        <v>-772.78999208780067</v>
      </c>
      <c r="Q23" s="70">
        <v>-790.62899793994518</v>
      </c>
      <c r="R23" s="70">
        <v>-853.76671886544614</v>
      </c>
      <c r="S23" s="70">
        <v>-921.87788109416158</v>
      </c>
      <c r="T23" s="70">
        <v>-1103.837556514989</v>
      </c>
      <c r="U23" s="70">
        <v>-915.14326557652305</v>
      </c>
      <c r="V23" s="70">
        <v>-925.59907290172544</v>
      </c>
      <c r="W23" s="70">
        <v>-791.10679649203087</v>
      </c>
      <c r="X23" s="70">
        <v>-719.89761738338848</v>
      </c>
      <c r="Y23" s="70">
        <v>-826.22135311965542</v>
      </c>
      <c r="Z23" s="70">
        <v>-646.35693216965001</v>
      </c>
      <c r="AA23" s="145">
        <v>-524.25461126363552</v>
      </c>
      <c r="AB23" s="15"/>
      <c r="AC23" s="92">
        <f t="shared" ref="AC23" si="45">SUM(D23:O23)</f>
        <v>-9020.3981523717739</v>
      </c>
      <c r="AD23" s="93">
        <f t="shared" ref="AD23" si="46">SUM(P23:AA23)</f>
        <v>-9791.4807954089538</v>
      </c>
    </row>
    <row r="24" spans="3:30" x14ac:dyDescent="0.2">
      <c r="C24" s="16" t="s">
        <v>9</v>
      </c>
      <c r="D24" s="96">
        <f>-(D23/D$14)</f>
        <v>7.4970887948395612E-2</v>
      </c>
      <c r="E24" s="111">
        <f t="shared" ref="E24" si="47">-(E23/E$14)</f>
        <v>7.8423144889054552E-2</v>
      </c>
      <c r="F24" s="111">
        <f t="shared" ref="F24" si="48">-(F23/F$14)</f>
        <v>9.1372179931257666E-2</v>
      </c>
      <c r="G24" s="111">
        <f t="shared" ref="G24" si="49">-(G23/G$14)</f>
        <v>9.0720910158351056E-2</v>
      </c>
      <c r="H24" s="111">
        <f t="shared" ref="H24" si="50">-(H23/H$14)</f>
        <v>9.8826072203589688E-2</v>
      </c>
      <c r="I24" s="111">
        <f t="shared" ref="I24" si="51">-(I23/I$14)</f>
        <v>9.6411867666710033E-2</v>
      </c>
      <c r="J24" s="111">
        <f t="shared" ref="J24" si="52">-(J23/J$14)</f>
        <v>7.7959390679027712E-2</v>
      </c>
      <c r="K24" s="111">
        <f t="shared" ref="K24" si="53">-(K23/K$14)</f>
        <v>5.8182097367976006E-2</v>
      </c>
      <c r="L24" s="111">
        <f t="shared" ref="L24" si="54">-(L23/L$14)</f>
        <v>5.9604981977491429E-2</v>
      </c>
      <c r="M24" s="111">
        <f t="shared" ref="M24" si="55">-(M23/M$14)</f>
        <v>5.9419364072091391E-2</v>
      </c>
      <c r="N24" s="111">
        <f t="shared" ref="N24" si="56">-(N23/N$14)</f>
        <v>4.8074064432684131E-2</v>
      </c>
      <c r="O24" s="111">
        <f t="shared" ref="O24" si="57">-(O23/O$14)</f>
        <v>4.249119533637475E-2</v>
      </c>
      <c r="P24" s="96">
        <f t="shared" ref="P24" si="58">-(P23/P$14)</f>
        <v>5.7019703354795857E-2</v>
      </c>
      <c r="Q24" s="111">
        <f t="shared" ref="Q24" si="59">-(Q23/Q$14)</f>
        <v>6.1901496312412541E-2</v>
      </c>
      <c r="R24" s="111">
        <f t="shared" ref="R24" si="60">-(R23/R$14)</f>
        <v>6.7605138939785606E-2</v>
      </c>
      <c r="S24" s="111">
        <f t="shared" ref="S24" si="61">-(S23/S$14)</f>
        <v>7.8014725758122502E-2</v>
      </c>
      <c r="T24" s="111">
        <f t="shared" ref="T24" si="62">-(T23/T$14)</f>
        <v>9.309022319562231E-2</v>
      </c>
      <c r="U24" s="111">
        <f t="shared" ref="U24" si="63">-(U23/U$14)</f>
        <v>8.4053287096030188E-2</v>
      </c>
      <c r="V24" s="111">
        <f t="shared" ref="V24" si="64">-(V23/V$14)</f>
        <v>7.2723031653128684E-2</v>
      </c>
      <c r="W24" s="111">
        <f t="shared" ref="W24" si="65">-(W23/W$14)</f>
        <v>5.9754716230968612E-2</v>
      </c>
      <c r="X24" s="111">
        <f t="shared" ref="X24" si="66">-(X23/X$14)</f>
        <v>5.9510379118216127E-2</v>
      </c>
      <c r="Y24" s="111">
        <f t="shared" ref="Y24" si="67">-(Y23/Y$14)</f>
        <v>6.0200545330681747E-2</v>
      </c>
      <c r="Z24" s="111">
        <f t="shared" ref="Z24" si="68">-(Z23/Z$14)</f>
        <v>5.2687363463722048E-2</v>
      </c>
      <c r="AA24" s="97">
        <f t="shared" ref="AA24" si="69">-(AA23/AA$14)</f>
        <v>5.2983469424600547E-2</v>
      </c>
      <c r="AB24" s="15"/>
      <c r="AC24" s="96">
        <f t="shared" ref="AC24" si="70">-(AC23/AC$14)</f>
        <v>7.0976984290302234E-2</v>
      </c>
      <c r="AD24" s="97">
        <f t="shared" ref="AD24" si="71">-(AD23/AD$14)</f>
        <v>6.6397712090997832E-2</v>
      </c>
    </row>
    <row r="25" spans="3:30" ht="3" customHeight="1" x14ac:dyDescent="0.2">
      <c r="C25" s="16"/>
      <c r="D25" s="11"/>
      <c r="P25" s="11"/>
      <c r="AA25" s="15"/>
      <c r="AB25" s="15"/>
      <c r="AC25" s="11"/>
      <c r="AD25" s="15"/>
    </row>
    <row r="26" spans="3:30" x14ac:dyDescent="0.2">
      <c r="C26" s="8" t="s">
        <v>11</v>
      </c>
      <c r="D26" s="94">
        <f>D14+D17+D20+D23</f>
        <v>3597.0032058033735</v>
      </c>
      <c r="E26" s="98">
        <f t="shared" ref="E26:AA26" si="72">E14+E17+E20+E23</f>
        <v>3220.9289729941465</v>
      </c>
      <c r="F26" s="98">
        <f t="shared" si="72"/>
        <v>3054.0033610931564</v>
      </c>
      <c r="G26" s="98">
        <f t="shared" si="72"/>
        <v>2832.0419701204992</v>
      </c>
      <c r="H26" s="98">
        <f t="shared" si="72"/>
        <v>2747.9823079609123</v>
      </c>
      <c r="I26" s="98">
        <f t="shared" si="72"/>
        <v>2718.1211323724697</v>
      </c>
      <c r="J26" s="98">
        <f t="shared" si="72"/>
        <v>4118.7923543537781</v>
      </c>
      <c r="K26" s="98">
        <f t="shared" si="72"/>
        <v>6929.3150672136253</v>
      </c>
      <c r="L26" s="98">
        <f t="shared" si="72"/>
        <v>6176.3651870391814</v>
      </c>
      <c r="M26" s="98">
        <f t="shared" si="72"/>
        <v>6224.2427403169013</v>
      </c>
      <c r="N26" s="98">
        <f t="shared" si="72"/>
        <v>7868.7694186094586</v>
      </c>
      <c r="O26" s="98">
        <f t="shared" si="72"/>
        <v>7409.6321454460431</v>
      </c>
      <c r="P26" s="94">
        <f t="shared" si="72"/>
        <v>6566.6180250124598</v>
      </c>
      <c r="Q26" s="98">
        <f t="shared" si="72"/>
        <v>5659.2108759365574</v>
      </c>
      <c r="R26" s="98">
        <f t="shared" si="72"/>
        <v>5281.0904753469895</v>
      </c>
      <c r="S26" s="98">
        <f t="shared" si="72"/>
        <v>4164.1333519192131</v>
      </c>
      <c r="T26" s="98">
        <f t="shared" si="72"/>
        <v>3436.784739968316</v>
      </c>
      <c r="U26" s="98">
        <f t="shared" si="72"/>
        <v>3635.2896287102949</v>
      </c>
      <c r="V26" s="98">
        <f t="shared" si="72"/>
        <v>5089.7040449575625</v>
      </c>
      <c r="W26" s="98">
        <f t="shared" si="72"/>
        <v>6490.0677645036703</v>
      </c>
      <c r="X26" s="98">
        <f t="shared" si="72"/>
        <v>5704.5090222998042</v>
      </c>
      <c r="Y26" s="98">
        <f t="shared" si="72"/>
        <v>6306.3728706941192</v>
      </c>
      <c r="Z26" s="98">
        <f t="shared" si="72"/>
        <v>6406.4712458307058</v>
      </c>
      <c r="AA26" s="95">
        <f t="shared" si="72"/>
        <v>5107.6241147573064</v>
      </c>
      <c r="AB26" s="15"/>
      <c r="AC26" s="98">
        <f t="shared" ref="AC26" si="73">SUM(D26:O26)</f>
        <v>56897.197863323549</v>
      </c>
      <c r="AD26" s="95">
        <f t="shared" ref="AD26" si="74">SUM(P26:AA26)</f>
        <v>63847.876159936997</v>
      </c>
    </row>
    <row r="27" spans="3:30" x14ac:dyDescent="0.2">
      <c r="C27" s="16" t="s">
        <v>9</v>
      </c>
      <c r="D27" s="96">
        <f>(D26/D$14)</f>
        <v>0.39322459658642162</v>
      </c>
      <c r="E27" s="111">
        <f t="shared" ref="E27:AA27" si="75">(E26/E$14)</f>
        <v>0.36449352571181776</v>
      </c>
      <c r="F27" s="111">
        <f t="shared" si="75"/>
        <v>0.31669241332836273</v>
      </c>
      <c r="G27" s="111">
        <f t="shared" si="75"/>
        <v>0.31874687103995297</v>
      </c>
      <c r="H27" s="111">
        <f t="shared" si="75"/>
        <v>0.28023214283359704</v>
      </c>
      <c r="I27" s="111">
        <f t="shared" si="75"/>
        <v>0.285227092043701</v>
      </c>
      <c r="J27" s="111">
        <f t="shared" si="75"/>
        <v>0.40456705711060342</v>
      </c>
      <c r="K27" s="111">
        <f t="shared" si="75"/>
        <v>0.53605550080404907</v>
      </c>
      <c r="L27" s="111">
        <f t="shared" si="75"/>
        <v>0.52459456096193169</v>
      </c>
      <c r="M27" s="111">
        <f t="shared" si="75"/>
        <v>0.52362897722600799</v>
      </c>
      <c r="N27" s="111">
        <f t="shared" si="75"/>
        <v>0.60341314086229503</v>
      </c>
      <c r="O27" s="111">
        <f t="shared" si="75"/>
        <v>0.64810579331301688</v>
      </c>
      <c r="P27" s="96">
        <f t="shared" si="75"/>
        <v>0.4845127598235322</v>
      </c>
      <c r="Q27" s="111">
        <f t="shared" si="75"/>
        <v>0.44308218150450507</v>
      </c>
      <c r="R27" s="111">
        <f t="shared" si="75"/>
        <v>0.41818080682959891</v>
      </c>
      <c r="S27" s="111">
        <f t="shared" si="75"/>
        <v>0.35239344400437667</v>
      </c>
      <c r="T27" s="111">
        <f t="shared" si="75"/>
        <v>0.28983527207484988</v>
      </c>
      <c r="U27" s="111">
        <f t="shared" si="75"/>
        <v>0.33389093744432635</v>
      </c>
      <c r="V27" s="111">
        <f t="shared" si="75"/>
        <v>0.39989096705351285</v>
      </c>
      <c r="W27" s="111">
        <f t="shared" si="75"/>
        <v>0.49021467051898876</v>
      </c>
      <c r="X27" s="111">
        <f t="shared" si="75"/>
        <v>0.47156357571267488</v>
      </c>
      <c r="Y27" s="111">
        <f t="shared" si="75"/>
        <v>0.45949803214468787</v>
      </c>
      <c r="Z27" s="111">
        <f t="shared" si="75"/>
        <v>0.52221932224960199</v>
      </c>
      <c r="AA27" s="97">
        <f t="shared" si="75"/>
        <v>0.51619888562221505</v>
      </c>
      <c r="AB27" s="15"/>
      <c r="AC27" s="96">
        <f t="shared" ref="AC27" si="76">(AC26/AC$14)</f>
        <v>0.44769548424483913</v>
      </c>
      <c r="AD27" s="97">
        <f t="shared" ref="AD27" si="77">(AD26/AD$14)</f>
        <v>0.43296340844348447</v>
      </c>
    </row>
    <row r="28" spans="3:30" ht="3" customHeight="1" x14ac:dyDescent="0.2">
      <c r="C28" s="16"/>
      <c r="D28" s="11"/>
      <c r="P28" s="11"/>
      <c r="AA28" s="15"/>
      <c r="AB28" s="15"/>
      <c r="AC28" s="11"/>
      <c r="AD28" s="15"/>
    </row>
    <row r="29" spans="3:30" x14ac:dyDescent="0.2">
      <c r="C29" t="s">
        <v>10</v>
      </c>
      <c r="D29" s="144">
        <v>-491.78729811010777</v>
      </c>
      <c r="E29" s="70">
        <v>-495.85860068346045</v>
      </c>
      <c r="F29" s="70">
        <v>-631.70123736648986</v>
      </c>
      <c r="G29" s="70">
        <v>-578.71631892311655</v>
      </c>
      <c r="H29" s="70">
        <v>-707.07422476526176</v>
      </c>
      <c r="I29" s="70">
        <v>-681.91604124415755</v>
      </c>
      <c r="J29" s="70">
        <v>-587.74607345465517</v>
      </c>
      <c r="K29" s="70">
        <v>-547.32663239340297</v>
      </c>
      <c r="L29" s="70">
        <v>-503.43325254682702</v>
      </c>
      <c r="M29" s="70">
        <v>-514.13022338191638</v>
      </c>
      <c r="N29" s="70">
        <v>-463.65695064521026</v>
      </c>
      <c r="O29" s="70">
        <v>-352.95644011186499</v>
      </c>
      <c r="P29" s="144">
        <v>-520.22679818661686</v>
      </c>
      <c r="Q29" s="70">
        <v>-531.73365037815165</v>
      </c>
      <c r="R29" s="70">
        <v>-581.61048262666816</v>
      </c>
      <c r="S29" s="70">
        <v>-625.21944670451126</v>
      </c>
      <c r="T29" s="70">
        <v>-755.27144434195134</v>
      </c>
      <c r="U29" s="70">
        <v>-632.69582872920989</v>
      </c>
      <c r="V29" s="70">
        <v>-642.35044276988265</v>
      </c>
      <c r="W29" s="70">
        <v>-540.61413522634859</v>
      </c>
      <c r="X29" s="70">
        <v>-491.19407490668851</v>
      </c>
      <c r="Y29" s="70">
        <v>-554.48214027443521</v>
      </c>
      <c r="Z29" s="70">
        <v>-437.99999856581354</v>
      </c>
      <c r="AA29" s="145">
        <v>-352.57552468396824</v>
      </c>
      <c r="AB29" s="15"/>
      <c r="AC29" s="92">
        <f t="shared" ref="AC29" si="78">SUM(D29:O29)</f>
        <v>-6556.3032936264708</v>
      </c>
      <c r="AD29" s="93">
        <f t="shared" ref="AD29" si="79">SUM(P29:AA29)</f>
        <v>-6665.9739673942458</v>
      </c>
    </row>
    <row r="30" spans="3:30" x14ac:dyDescent="0.2">
      <c r="C30" s="16" t="s">
        <v>9</v>
      </c>
      <c r="D30" s="96">
        <f>(D29/D$14)</f>
        <v>-5.376221561150437E-2</v>
      </c>
      <c r="E30" s="111">
        <f t="shared" ref="E30" si="80">(E29/E$14)</f>
        <v>-5.6113391860867751E-2</v>
      </c>
      <c r="F30" s="111">
        <f t="shared" ref="F30" si="81">(F29/F$14)</f>
        <v>-6.5505818334298915E-2</v>
      </c>
      <c r="G30" s="111">
        <f t="shared" ref="G30" si="82">(G29/G$14)</f>
        <v>-6.513463353392826E-2</v>
      </c>
      <c r="H30" s="111">
        <f t="shared" ref="H30" si="83">(H29/H$14)</f>
        <v>-7.210560438265827E-2</v>
      </c>
      <c r="I30" s="111">
        <f t="shared" ref="I30" si="84">(I29/I$14)</f>
        <v>-7.1557123465007769E-2</v>
      </c>
      <c r="J30" s="111">
        <f t="shared" ref="J30" si="85">(J29/J$14)</f>
        <v>-5.773116943234919E-2</v>
      </c>
      <c r="K30" s="111">
        <f t="shared" ref="K30" si="86">(K29/K$14)</f>
        <v>-4.2341479523605861E-2</v>
      </c>
      <c r="L30" s="111">
        <f t="shared" ref="L30" si="87">(L29/L$14)</f>
        <v>-4.2759509532829802E-2</v>
      </c>
      <c r="M30" s="111">
        <f t="shared" ref="M30" si="88">(M29/M$14)</f>
        <v>-4.3252407443342286E-2</v>
      </c>
      <c r="N30" s="111">
        <f t="shared" ref="N30" si="89">(N29/N$14)</f>
        <v>-3.5555330444655676E-2</v>
      </c>
      <c r="O30" s="111">
        <f t="shared" ref="O30" si="90">(O29/O$14)</f>
        <v>-3.0872398134397287E-2</v>
      </c>
      <c r="P30" s="96">
        <f t="shared" ref="P30" si="91">(P29/P$14)</f>
        <v>-3.838452621478302E-2</v>
      </c>
      <c r="Q30" s="111">
        <f t="shared" ref="Q30" si="92">(Q29/Q$14)</f>
        <v>-4.1631547393065627E-2</v>
      </c>
      <c r="R30" s="111">
        <f t="shared" ref="R30" si="93">(R29/R$14)</f>
        <v>-4.6054568089820891E-2</v>
      </c>
      <c r="S30" s="111">
        <f t="shared" ref="S30" si="94">(S29/S$14)</f>
        <v>-5.2909745068843314E-2</v>
      </c>
      <c r="T30" s="111">
        <f t="shared" ref="T30" si="95">(T29/T$14)</f>
        <v>-6.3694505511343841E-2</v>
      </c>
      <c r="U30" s="111">
        <f t="shared" ref="U30" si="96">(U29/U$14)</f>
        <v>-5.8111299221695653E-2</v>
      </c>
      <c r="V30" s="111">
        <f t="shared" ref="V30" si="97">(V29/V$14)</f>
        <v>-5.046858078142779E-2</v>
      </c>
      <c r="W30" s="111">
        <f t="shared" ref="W30" si="98">(W29/W$14)</f>
        <v>-4.0834239301376501E-2</v>
      </c>
      <c r="X30" s="111">
        <f t="shared" ref="X30" si="99">(X29/X$14)</f>
        <v>-4.0604587253066503E-2</v>
      </c>
      <c r="Y30" s="111">
        <f t="shared" ref="Y30" si="100">(Y29/Y$14)</f>
        <v>-4.0400949569516127E-2</v>
      </c>
      <c r="Z30" s="111">
        <f t="shared" ref="Z30" si="101">(Z29/Z$14)</f>
        <v>-3.5703284010713897E-2</v>
      </c>
      <c r="AA30" s="97">
        <f t="shared" ref="AA30" si="102">(AA29/AA$14)</f>
        <v>-3.5632828268174162E-2</v>
      </c>
      <c r="AB30" s="15"/>
      <c r="AC30" s="96">
        <f t="shared" ref="AC30" si="103">(AC29/AC$14)</f>
        <v>-5.158825896746333E-2</v>
      </c>
      <c r="AD30" s="97">
        <f t="shared" ref="AD30" si="104">(AD29/AD$14)</f>
        <v>-4.5203113761981668E-2</v>
      </c>
    </row>
    <row r="31" spans="3:30" ht="3" customHeight="1" x14ac:dyDescent="0.2">
      <c r="C31" s="16"/>
      <c r="D31" s="36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6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8"/>
      <c r="AB31" s="15"/>
      <c r="AC31" s="36"/>
      <c r="AD31" s="38"/>
    </row>
    <row r="32" spans="3:30" x14ac:dyDescent="0.2">
      <c r="C32" t="s">
        <v>7</v>
      </c>
      <c r="D32" s="144">
        <v>-278.37283848694608</v>
      </c>
      <c r="E32" s="70">
        <v>-287.01815609257181</v>
      </c>
      <c r="F32" s="70">
        <v>-372.51607165086563</v>
      </c>
      <c r="G32" s="70">
        <v>-345.14940173841711</v>
      </c>
      <c r="H32" s="70">
        <v>-407.58782927271017</v>
      </c>
      <c r="I32" s="70">
        <v>-394.47363562296732</v>
      </c>
      <c r="J32" s="70">
        <v>-350.41313708234594</v>
      </c>
      <c r="K32" s="70">
        <v>-320.30326959912173</v>
      </c>
      <c r="L32" s="70">
        <v>-294.03125568898122</v>
      </c>
      <c r="M32" s="70">
        <v>-304.53024718611942</v>
      </c>
      <c r="N32" s="70">
        <v>-272.86622049467746</v>
      </c>
      <c r="O32" s="70">
        <v>-205.76791380199819</v>
      </c>
      <c r="P32" s="144">
        <v>-297.75131239945517</v>
      </c>
      <c r="Q32" s="70">
        <v>-301.20966989077607</v>
      </c>
      <c r="R32" s="70">
        <v>-326.8836747108233</v>
      </c>
      <c r="S32" s="70">
        <v>-350.03651217778247</v>
      </c>
      <c r="T32" s="70">
        <v>-435.78904376797419</v>
      </c>
      <c r="U32" s="70">
        <v>-364.36409280956821</v>
      </c>
      <c r="V32" s="70">
        <v>-365.15345738378312</v>
      </c>
      <c r="W32" s="70">
        <v>-315.68592519043432</v>
      </c>
      <c r="X32" s="70">
        <v>-283.98514626139132</v>
      </c>
      <c r="Y32" s="70">
        <v>-336.39715702876458</v>
      </c>
      <c r="Z32" s="70">
        <v>-268.46337573053182</v>
      </c>
      <c r="AA32" s="145">
        <v>-215.973702451712</v>
      </c>
      <c r="AB32" s="15"/>
      <c r="AC32" s="92">
        <f t="shared" ref="AC32" si="105">SUM(D32:O32)</f>
        <v>-3833.0299767177225</v>
      </c>
      <c r="AD32" s="93">
        <f t="shared" ref="AD32" si="106">SUM(P32:AA32)</f>
        <v>-3861.6930698029964</v>
      </c>
    </row>
    <row r="33" spans="3:30" x14ac:dyDescent="0.2">
      <c r="C33" s="16" t="s">
        <v>9</v>
      </c>
      <c r="D33" s="96">
        <f>(D32/D$14)</f>
        <v>-3.0431734655682191E-2</v>
      </c>
      <c r="E33" s="111">
        <f t="shared" ref="E33" si="107">(E32/E$14)</f>
        <v>-3.2480151078971488E-2</v>
      </c>
      <c r="F33" s="111">
        <f t="shared" ref="F33" si="108">(F32/F$14)</f>
        <v>-3.8628973116940649E-2</v>
      </c>
      <c r="G33" s="111">
        <f t="shared" ref="G33" si="109">(G32/G$14)</f>
        <v>-3.8846631867094535E-2</v>
      </c>
      <c r="H33" s="111">
        <f t="shared" ref="H33" si="110">(H32/H$14)</f>
        <v>-4.1564754787209703E-2</v>
      </c>
      <c r="I33" s="111">
        <f t="shared" ref="I33" si="111">(I32/I$14)</f>
        <v>-4.1394243485550215E-2</v>
      </c>
      <c r="J33" s="111">
        <f t="shared" ref="J33" si="112">(J32/J$14)</f>
        <v>-3.4419217927421253E-2</v>
      </c>
      <c r="K33" s="111">
        <f t="shared" ref="K33" si="113">(K32/K$14)</f>
        <v>-2.4778831374913171E-2</v>
      </c>
      <c r="L33" s="111">
        <f t="shared" ref="L33" si="114">(L32/L$14)</f>
        <v>-2.4973781960128789E-2</v>
      </c>
      <c r="M33" s="111">
        <f t="shared" ref="M33" si="115">(M32/M$14)</f>
        <v>-2.5619319252374199E-2</v>
      </c>
      <c r="N33" s="111">
        <f t="shared" ref="N33" si="116">(N32/N$14)</f>
        <v>-2.0924626759874405E-2</v>
      </c>
      <c r="O33" s="111">
        <f t="shared" ref="O33" si="117">(O32/O$14)</f>
        <v>-1.7998110350858798E-2</v>
      </c>
      <c r="P33" s="96">
        <f t="shared" ref="P33" si="118">(P32/P$14)</f>
        <v>-2.1969347015804986E-2</v>
      </c>
      <c r="Q33" s="111">
        <f t="shared" ref="Q33" si="119">(Q32/Q$14)</f>
        <v>-2.3582905912367183E-2</v>
      </c>
      <c r="R33" s="111">
        <f t="shared" ref="R33" si="120">(R32/R$14)</f>
        <v>-2.5884138790675561E-2</v>
      </c>
      <c r="S33" s="111">
        <f t="shared" ref="S33" si="121">(S32/S$14)</f>
        <v>-2.9622147426368439E-2</v>
      </c>
      <c r="T33" s="111">
        <f t="shared" ref="T33" si="122">(T32/T$14)</f>
        <v>-3.6751512132497978E-2</v>
      </c>
      <c r="U33" s="111">
        <f t="shared" ref="U33" si="123">(U32/U$14)</f>
        <v>-3.3465798036675078E-2</v>
      </c>
      <c r="V33" s="111">
        <f t="shared" ref="V33" si="124">(V32/V$14)</f>
        <v>-2.8689599219585318E-2</v>
      </c>
      <c r="W33" s="111">
        <f t="shared" ref="W33" si="125">(W32/W$14)</f>
        <v>-2.3844723571471944E-2</v>
      </c>
      <c r="X33" s="111">
        <f t="shared" ref="X33" si="126">(X32/X$14)</f>
        <v>-2.3475648911555101E-2</v>
      </c>
      <c r="Y33" s="111">
        <f t="shared" ref="Y33" si="127">(Y32/Y$14)</f>
        <v>-2.4510734592319072E-2</v>
      </c>
      <c r="Z33" s="111">
        <f t="shared" ref="Z33" si="128">(Z32/Z$14)</f>
        <v>-2.1883616852893518E-2</v>
      </c>
      <c r="AA33" s="97">
        <f t="shared" ref="AA33" si="129">(AA32/AA$14)</f>
        <v>-2.1827249230648389E-2</v>
      </c>
      <c r="AB33" s="15"/>
      <c r="AC33" s="96">
        <f t="shared" ref="AC33" si="130">(AC32/AC$14)</f>
        <v>-3.0160188480174589E-2</v>
      </c>
      <c r="AD33" s="97">
        <f t="shared" ref="AD33" si="131">(AD32/AD$14)</f>
        <v>-2.6186803609195227E-2</v>
      </c>
    </row>
    <row r="34" spans="3:30" ht="3" customHeight="1" x14ac:dyDescent="0.2">
      <c r="C34" s="16"/>
      <c r="D34" s="36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6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8"/>
      <c r="AB34" s="15"/>
      <c r="AC34" s="36"/>
      <c r="AD34" s="38"/>
    </row>
    <row r="35" spans="3:30" x14ac:dyDescent="0.2">
      <c r="C35" t="s">
        <v>162</v>
      </c>
      <c r="D35" s="144">
        <v>-775.95625357766335</v>
      </c>
      <c r="E35" s="70">
        <v>-777.38268120371333</v>
      </c>
      <c r="F35" s="70">
        <v>-780.5306140615977</v>
      </c>
      <c r="G35" s="70">
        <v>-783.17302544659276</v>
      </c>
      <c r="H35" s="70">
        <v>-783.17302544659276</v>
      </c>
      <c r="I35" s="70">
        <v>-787.94704117117567</v>
      </c>
      <c r="J35" s="70">
        <v>-791.88654962378098</v>
      </c>
      <c r="K35" s="70">
        <v>-794.70499977628003</v>
      </c>
      <c r="L35" s="70">
        <v>-795.16491741724428</v>
      </c>
      <c r="M35" s="70">
        <v>-798.32888672225056</v>
      </c>
      <c r="N35" s="70">
        <v>-798.32888672225056</v>
      </c>
      <c r="O35" s="70">
        <v>-799.23494118499332</v>
      </c>
      <c r="P35" s="144">
        <v>-799.2369069448572</v>
      </c>
      <c r="Q35" s="70">
        <v>-800.70614858855777</v>
      </c>
      <c r="R35" s="70">
        <v>-803.94851274111488</v>
      </c>
      <c r="S35" s="70">
        <v>-806.67020857268028</v>
      </c>
      <c r="T35" s="70">
        <v>-806.67020857268028</v>
      </c>
      <c r="U35" s="70">
        <v>-811.58748017502558</v>
      </c>
      <c r="V35" s="70">
        <v>-815.64516781906946</v>
      </c>
      <c r="W35" s="70">
        <v>-818.54817116519018</v>
      </c>
      <c r="X35" s="70">
        <v>-819.02187695591067</v>
      </c>
      <c r="Y35" s="70">
        <v>-822.28077295810465</v>
      </c>
      <c r="Z35" s="70">
        <v>-822.28077295810465</v>
      </c>
      <c r="AA35" s="145">
        <v>-823.21401415320281</v>
      </c>
      <c r="AB35" s="15"/>
      <c r="AC35" s="92">
        <f t="shared" ref="AC35" si="132">SUM(D35:O35)</f>
        <v>-9465.8118223541369</v>
      </c>
      <c r="AD35" s="93">
        <f t="shared" ref="AD35" si="133">SUM(P35:AA35)</f>
        <v>-9749.8102416044985</v>
      </c>
    </row>
    <row r="36" spans="3:30" x14ac:dyDescent="0.2">
      <c r="C36" s="16" t="s">
        <v>8</v>
      </c>
      <c r="D36" s="45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96">
        <f>P35/D35-1</f>
        <v>3.0002533338516102E-2</v>
      </c>
      <c r="Q36" s="111">
        <f t="shared" ref="Q36:AA36" si="134">Q35/E35-1</f>
        <v>3.000255594674428E-2</v>
      </c>
      <c r="R36" s="111">
        <f t="shared" si="134"/>
        <v>3.0002537065982438E-2</v>
      </c>
      <c r="S36" s="111">
        <f t="shared" si="134"/>
        <v>3.0002543962349248E-2</v>
      </c>
      <c r="T36" s="111">
        <f t="shared" si="134"/>
        <v>3.0002543962349248E-2</v>
      </c>
      <c r="U36" s="111">
        <f t="shared" si="134"/>
        <v>3.0002573483506767E-2</v>
      </c>
      <c r="V36" s="111">
        <f t="shared" si="134"/>
        <v>3.0002553025526124E-2</v>
      </c>
      <c r="W36" s="111">
        <f t="shared" si="134"/>
        <v>3.0002543579846996E-2</v>
      </c>
      <c r="X36" s="111">
        <f t="shared" si="134"/>
        <v>3.0002530313026909E-2</v>
      </c>
      <c r="Y36" s="111">
        <f t="shared" si="134"/>
        <v>3.0002529827268143E-2</v>
      </c>
      <c r="Z36" s="111">
        <f t="shared" si="134"/>
        <v>3.0002529827268143E-2</v>
      </c>
      <c r="AA36" s="97">
        <f t="shared" si="134"/>
        <v>3.000253333851588E-2</v>
      </c>
      <c r="AB36" s="15"/>
      <c r="AC36" s="11"/>
      <c r="AD36" s="97">
        <f>AD35/AC35-1</f>
        <v>3.0002542262638432E-2</v>
      </c>
    </row>
    <row r="37" spans="3:30" ht="3" customHeight="1" x14ac:dyDescent="0.2">
      <c r="C37" s="16"/>
      <c r="D37" s="11"/>
      <c r="P37" s="11"/>
      <c r="AA37" s="15"/>
      <c r="AB37" s="15"/>
      <c r="AC37" s="11"/>
      <c r="AD37" s="15"/>
    </row>
    <row r="38" spans="3:30" x14ac:dyDescent="0.2">
      <c r="C38" s="8" t="s">
        <v>12</v>
      </c>
      <c r="D38" s="94">
        <f>D26+D29+D32+D35</f>
        <v>2050.8868156286562</v>
      </c>
      <c r="E38" s="98">
        <f t="shared" ref="E38:AA38" si="135">E26+E29+E32+E35</f>
        <v>1660.6695350144014</v>
      </c>
      <c r="F38" s="98">
        <f t="shared" si="135"/>
        <v>1269.2554380142033</v>
      </c>
      <c r="G38" s="98">
        <f t="shared" si="135"/>
        <v>1125.0032240123728</v>
      </c>
      <c r="H38" s="98">
        <f t="shared" si="135"/>
        <v>850.14722847634755</v>
      </c>
      <c r="I38" s="98">
        <f t="shared" si="135"/>
        <v>853.78441433416924</v>
      </c>
      <c r="J38" s="98">
        <f t="shared" si="135"/>
        <v>2388.7465941929959</v>
      </c>
      <c r="K38" s="98">
        <f t="shared" si="135"/>
        <v>5266.9801654448211</v>
      </c>
      <c r="L38" s="98">
        <f t="shared" si="135"/>
        <v>4583.7357613861286</v>
      </c>
      <c r="M38" s="98">
        <f t="shared" si="135"/>
        <v>4607.2533830266148</v>
      </c>
      <c r="N38" s="98">
        <f t="shared" si="135"/>
        <v>6333.9173607473194</v>
      </c>
      <c r="O38" s="98">
        <f t="shared" si="135"/>
        <v>6051.6728503471859</v>
      </c>
      <c r="P38" s="94">
        <f t="shared" si="135"/>
        <v>4949.4030074815309</v>
      </c>
      <c r="Q38" s="98">
        <f t="shared" si="135"/>
        <v>4025.5614070790716</v>
      </c>
      <c r="R38" s="98">
        <f t="shared" si="135"/>
        <v>3568.6478052683829</v>
      </c>
      <c r="S38" s="98">
        <f t="shared" si="135"/>
        <v>2382.2071844642396</v>
      </c>
      <c r="T38" s="98">
        <f t="shared" si="135"/>
        <v>1439.0540432857101</v>
      </c>
      <c r="U38" s="98">
        <f t="shared" si="135"/>
        <v>1826.642226996491</v>
      </c>
      <c r="V38" s="98">
        <f t="shared" si="135"/>
        <v>3266.5549769848276</v>
      </c>
      <c r="W38" s="98">
        <f t="shared" si="135"/>
        <v>4815.2195329216975</v>
      </c>
      <c r="X38" s="98">
        <f t="shared" si="135"/>
        <v>4110.3079241758132</v>
      </c>
      <c r="Y38" s="98">
        <f t="shared" si="135"/>
        <v>4593.2128004328142</v>
      </c>
      <c r="Z38" s="98">
        <f t="shared" si="135"/>
        <v>4877.7270985762561</v>
      </c>
      <c r="AA38" s="95">
        <f t="shared" si="135"/>
        <v>3715.860873468424</v>
      </c>
      <c r="AB38" s="15"/>
      <c r="AC38" s="94">
        <f t="shared" ref="AC38" si="136">SUM(D38:O38)</f>
        <v>37042.052770625218</v>
      </c>
      <c r="AD38" s="95">
        <f t="shared" ref="AD38" si="137">SUM(P38:AA38)</f>
        <v>43570.398881135268</v>
      </c>
    </row>
    <row r="39" spans="3:30" x14ac:dyDescent="0.2">
      <c r="C39" s="16" t="s">
        <v>9</v>
      </c>
      <c r="D39" s="96">
        <f>(D38/D$14)</f>
        <v>0.22420306421157896</v>
      </c>
      <c r="E39" s="111">
        <f t="shared" ref="E39" si="138">(E38/E$14)</f>
        <v>0.18792817194503972</v>
      </c>
      <c r="F39" s="111">
        <f t="shared" ref="F39" si="139">(F38/F$14)</f>
        <v>0.13161857413640385</v>
      </c>
      <c r="G39" s="111">
        <f t="shared" ref="G39" si="140">(G38/G$14)</f>
        <v>0.12661933027374789</v>
      </c>
      <c r="H39" s="111">
        <f t="shared" ref="H39" si="141">(H38/H$14)</f>
        <v>8.6695820009391134E-2</v>
      </c>
      <c r="I39" s="111">
        <f t="shared" ref="I39" si="142">(I38/I$14)</f>
        <v>8.959219765169725E-2</v>
      </c>
      <c r="J39" s="111">
        <f t="shared" ref="J39" si="143">(J38/J$14)</f>
        <v>0.23463386756414009</v>
      </c>
      <c r="K39" s="111">
        <f t="shared" ref="K39" si="144">(K38/K$14)</f>
        <v>0.40745638824701952</v>
      </c>
      <c r="L39" s="111">
        <f t="shared" ref="L39" si="145">(L38/L$14)</f>
        <v>0.38932329557776318</v>
      </c>
      <c r="M39" s="111">
        <f t="shared" ref="M39" si="146">(M38/M$14)</f>
        <v>0.38759596587527401</v>
      </c>
      <c r="N39" s="111">
        <f t="shared" ref="N39" si="147">(N38/N$14)</f>
        <v>0.48571368218922378</v>
      </c>
      <c r="O39" s="111">
        <f t="shared" ref="O39" si="148">(O38/O$14)</f>
        <v>0.5293277934122067</v>
      </c>
      <c r="P39" s="96">
        <f t="shared" ref="P39" si="149">(P38/P$14)</f>
        <v>0.36518781837157593</v>
      </c>
      <c r="Q39" s="111">
        <f t="shared" ref="Q39" si="150">(Q38/Q$14)</f>
        <v>0.3151772515869995</v>
      </c>
      <c r="R39" s="111">
        <f t="shared" ref="R39" si="151">(R38/R$14)</f>
        <v>0.28258179356409469</v>
      </c>
      <c r="S39" s="111">
        <f t="shared" ref="S39" si="152">(S38/S$14)</f>
        <v>0.20159637627320856</v>
      </c>
      <c r="T39" s="111">
        <f t="shared" ref="T39" si="153">(T38/T$14)</f>
        <v>0.1213601234070807</v>
      </c>
      <c r="U39" s="111">
        <f t="shared" ref="U39" si="154">(U38/U$14)</f>
        <v>0.16777185529605973</v>
      </c>
      <c r="V39" s="111">
        <f t="shared" ref="V39" si="155">(V38/V$14)</f>
        <v>0.25664868077625513</v>
      </c>
      <c r="W39" s="111">
        <f t="shared" ref="W39" si="156">(W38/W$14)</f>
        <v>0.36370826044654225</v>
      </c>
      <c r="X39" s="111">
        <f t="shared" ref="X39" si="157">(X38/X$14)</f>
        <v>0.33977884764972527</v>
      </c>
      <c r="Y39" s="111">
        <f t="shared" ref="Y39" si="158">(Y38/Y$14)</f>
        <v>0.33467292313598418</v>
      </c>
      <c r="Z39" s="111">
        <f t="shared" ref="Z39" si="159">(Z38/Z$14)</f>
        <v>0.39760474086178738</v>
      </c>
      <c r="AA39" s="97">
        <f t="shared" ref="AA39" si="160">(AA38/AA$14)</f>
        <v>0.37554119076022341</v>
      </c>
      <c r="AB39" s="15"/>
      <c r="AC39" s="96">
        <f t="shared" ref="AC39" si="161">(AC38/AC$14)</f>
        <v>0.29146531596168207</v>
      </c>
      <c r="AD39" s="97">
        <f t="shared" ref="AD39" si="162">(AD38/AD$14)</f>
        <v>0.29545835415987504</v>
      </c>
    </row>
    <row r="40" spans="3:30" ht="3" customHeight="1" x14ac:dyDescent="0.2">
      <c r="C40" s="7"/>
      <c r="D40" s="36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6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8"/>
      <c r="AB40" s="15"/>
      <c r="AC40" s="36"/>
      <c r="AD40" s="38"/>
    </row>
    <row r="41" spans="3:30" x14ac:dyDescent="0.2">
      <c r="C41" t="s">
        <v>168</v>
      </c>
      <c r="D41" s="223">
        <v>-684.77083333333314</v>
      </c>
      <c r="E41" s="70">
        <v>-705.43749999999977</v>
      </c>
      <c r="F41" s="70">
        <v>-705.43749999999977</v>
      </c>
      <c r="G41" s="70">
        <v>-712.93749999999977</v>
      </c>
      <c r="H41" s="70">
        <v>-722.49999999999977</v>
      </c>
      <c r="I41" s="70">
        <v>-700.83333333333314</v>
      </c>
      <c r="J41" s="70">
        <v>-674.16666666666652</v>
      </c>
      <c r="K41" s="70">
        <v>-680.66666666666652</v>
      </c>
      <c r="L41" s="70">
        <v>-689.74999999999989</v>
      </c>
      <c r="M41" s="70">
        <v>-689.74999999999989</v>
      </c>
      <c r="N41" s="70">
        <v>-706.14583333333326</v>
      </c>
      <c r="O41" s="70">
        <v>-709.47916666666663</v>
      </c>
      <c r="P41" s="144">
        <v>-756.41666666666652</v>
      </c>
      <c r="Q41" s="70">
        <v>-765.97916666666652</v>
      </c>
      <c r="R41" s="70">
        <v>-775.54166666666652</v>
      </c>
      <c r="S41" s="70">
        <v>-758.54166666666652</v>
      </c>
      <c r="T41" s="70">
        <v>-743.54166666666652</v>
      </c>
      <c r="U41" s="70">
        <v>-747.54166666666652</v>
      </c>
      <c r="V41" s="70">
        <v>-705.87499999999989</v>
      </c>
      <c r="W41" s="70">
        <v>-712.37499999999989</v>
      </c>
      <c r="X41" s="70">
        <v>-688.54166666666663</v>
      </c>
      <c r="Y41" s="70">
        <v>-697.20833333333326</v>
      </c>
      <c r="Z41" s="70">
        <v>-671.77083333333326</v>
      </c>
      <c r="AA41" s="145">
        <v>-678.64583333333326</v>
      </c>
      <c r="AB41" s="15"/>
      <c r="AC41" s="92">
        <f t="shared" ref="AC41" si="163">SUM(D41:O41)</f>
        <v>-8381.8749999999982</v>
      </c>
      <c r="AD41" s="93">
        <f t="shared" ref="AD41" si="164">SUM(P41:AA41)</f>
        <v>-8701.9791666666661</v>
      </c>
    </row>
    <row r="42" spans="3:30" x14ac:dyDescent="0.2">
      <c r="C42" s="16" t="s">
        <v>9</v>
      </c>
      <c r="D42" s="96">
        <f>(D41/D$14)</f>
        <v>-7.4859186741121561E-2</v>
      </c>
      <c r="E42" s="111">
        <f t="shared" ref="E42" si="165">(E41/E$14)</f>
        <v>-7.9830199206568364E-2</v>
      </c>
      <c r="F42" s="111">
        <f t="shared" ref="F42" si="166">(F41/F$14)</f>
        <v>-7.3152082009287689E-2</v>
      </c>
      <c r="G42" s="111">
        <f t="shared" ref="G42" si="167">(G41/G$14)</f>
        <v>-8.0241253402885626E-2</v>
      </c>
      <c r="H42" s="111">
        <f t="shared" ref="H42" si="168">(H41/H$14)</f>
        <v>-7.3678685124982157E-2</v>
      </c>
      <c r="I42" s="111">
        <f t="shared" ref="I42" si="169">(I41/I$14)</f>
        <v>-7.3542216825150733E-2</v>
      </c>
      <c r="J42" s="111">
        <f t="shared" ref="J42" si="170">(J41/J$14)</f>
        <v>-6.6219804464551862E-2</v>
      </c>
      <c r="K42" s="111">
        <f t="shared" ref="K42" si="171">(K41/K$14)</f>
        <v>-5.2656735527447165E-2</v>
      </c>
      <c r="L42" s="111">
        <f t="shared" ref="L42" si="172">(L41/L$14)</f>
        <v>-5.8584472819514476E-2</v>
      </c>
      <c r="M42" s="111">
        <f t="shared" ref="M42" si="173">(M41/M$14)</f>
        <v>-5.8026831875012994E-2</v>
      </c>
      <c r="N42" s="111">
        <f t="shared" ref="N42" si="174">(N41/N$14)</f>
        <v>-5.4150484342669655E-2</v>
      </c>
      <c r="O42" s="111">
        <f t="shared" ref="O42" si="175">(O41/O$14)</f>
        <v>-6.2056732254132448E-2</v>
      </c>
      <c r="P42" s="96">
        <f t="shared" ref="P42" si="176">(P41/P$14)</f>
        <v>-5.581161038257406E-2</v>
      </c>
      <c r="Q42" s="111">
        <f t="shared" ref="Q42" si="177">(Q41/Q$14)</f>
        <v>-5.9971562748578913E-2</v>
      </c>
      <c r="R42" s="111">
        <f t="shared" ref="R42" si="178">(R41/R$14)</f>
        <v>-6.1410922878637017E-2</v>
      </c>
      <c r="S42" s="111">
        <f t="shared" ref="S42" si="179">(S41/S$14)</f>
        <v>-6.4192255085752215E-2</v>
      </c>
      <c r="T42" s="111">
        <f t="shared" ref="T42" si="180">(T41/T$14)</f>
        <v>-6.2705295083249055E-2</v>
      </c>
      <c r="U42" s="111">
        <f t="shared" ref="U42" si="181">(U41/U$14)</f>
        <v>-6.8659560407729608E-2</v>
      </c>
      <c r="V42" s="111">
        <f t="shared" ref="V42" si="182">(V41/V$14)</f>
        <v>-5.5459616880582673E-2</v>
      </c>
      <c r="W42" s="111">
        <f t="shared" ref="W42" si="183">(W41/W$14)</f>
        <v>-5.3807862811686841E-2</v>
      </c>
      <c r="X42" s="111">
        <f t="shared" ref="X42" si="184">(X41/X$14)</f>
        <v>-5.6918337597719665E-2</v>
      </c>
      <c r="Y42" s="111">
        <f t="shared" ref="Y42" si="185">(Y41/Y$14)</f>
        <v>-5.0800335427404364E-2</v>
      </c>
      <c r="Z42" s="111">
        <f t="shared" ref="Z42" si="186">(Z41/Z$14)</f>
        <v>-5.4758961030019426E-2</v>
      </c>
      <c r="AA42" s="97">
        <f t="shared" ref="AA42" si="187">(AA41/AA$14)</f>
        <v>-6.8586923201076566E-2</v>
      </c>
      <c r="AB42" s="15"/>
      <c r="AC42" s="96">
        <f t="shared" ref="AC42" si="188">(AC41/AC$14)</f>
        <v>-6.5952766180487482E-2</v>
      </c>
      <c r="AD42" s="97">
        <f t="shared" ref="AD42" si="189">(AD41/AD$14)</f>
        <v>-5.9009614521340882E-2</v>
      </c>
    </row>
    <row r="43" spans="3:30" ht="3" customHeight="1" x14ac:dyDescent="0.2">
      <c r="C43" s="7"/>
      <c r="D43" s="36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6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8"/>
      <c r="AB43" s="15"/>
      <c r="AC43" s="36"/>
      <c r="AD43" s="38"/>
    </row>
    <row r="44" spans="3:30" x14ac:dyDescent="0.2">
      <c r="C44" t="s">
        <v>167</v>
      </c>
      <c r="D44" s="144">
        <v>-213.93143904039403</v>
      </c>
      <c r="E44" s="70">
        <v>-224.35547329870309</v>
      </c>
      <c r="F44" s="70">
        <v>-273.96099740679279</v>
      </c>
      <c r="G44" s="70">
        <v>-253.57770163370435</v>
      </c>
      <c r="H44" s="70">
        <v>-297.58204658904032</v>
      </c>
      <c r="I44" s="70">
        <v>-283.52667406540246</v>
      </c>
      <c r="J44" s="70">
        <v>-245.5290499159475</v>
      </c>
      <c r="K44" s="70">
        <v>-234.30788861021449</v>
      </c>
      <c r="L44" s="70">
        <v>-222.40042511511493</v>
      </c>
      <c r="M44" s="70">
        <v>-220.26577078575079</v>
      </c>
      <c r="N44" s="70">
        <v>-205.63011482539088</v>
      </c>
      <c r="O44" s="70">
        <v>-161.86277207494166</v>
      </c>
      <c r="P44" s="144">
        <v>-221.769818352568</v>
      </c>
      <c r="Q44" s="70">
        <v>-225.61785216980286</v>
      </c>
      <c r="R44" s="70">
        <v>-243.38008643608197</v>
      </c>
      <c r="S44" s="70">
        <v>-257.63443778463056</v>
      </c>
      <c r="T44" s="70">
        <v>-310.74377864752216</v>
      </c>
      <c r="U44" s="70">
        <v>-257.19286833444545</v>
      </c>
      <c r="V44" s="70">
        <v>-262.23582796104051</v>
      </c>
      <c r="W44" s="70">
        <v>-225.53315759705711</v>
      </c>
      <c r="X44" s="70">
        <v>-213.77450998424922</v>
      </c>
      <c r="Y44" s="70">
        <v>-242.14888967902607</v>
      </c>
      <c r="Z44" s="70">
        <v>-195.86114520687838</v>
      </c>
      <c r="AA44" s="145">
        <v>-161.22548229543924</v>
      </c>
      <c r="AB44" s="15"/>
      <c r="AC44" s="92">
        <f t="shared" ref="AC44" si="190">SUM(D44:O44)</f>
        <v>-2836.9303533613975</v>
      </c>
      <c r="AD44" s="93">
        <f t="shared" ref="AD44" si="191">SUM(P44:AA44)</f>
        <v>-2817.1178544487416</v>
      </c>
    </row>
    <row r="45" spans="3:30" x14ac:dyDescent="0.2">
      <c r="C45" s="16" t="s">
        <v>9</v>
      </c>
      <c r="D45" s="102">
        <f>(D44/D$14)</f>
        <v>-2.3386997175339767E-2</v>
      </c>
      <c r="E45" s="110">
        <f t="shared" ref="E45" si="192">(E44/E$14)</f>
        <v>-2.5388985029176081E-2</v>
      </c>
      <c r="F45" s="110">
        <f t="shared" ref="F45" si="193">(F44/F$14)</f>
        <v>-2.8409061539325545E-2</v>
      </c>
      <c r="G45" s="110">
        <f t="shared" ref="G45" si="194">(G44/G$14)</f>
        <v>-2.85402193237295E-2</v>
      </c>
      <c r="H45" s="110">
        <f t="shared" ref="H45" si="195">(H44/H$14)</f>
        <v>-3.0346649009663225E-2</v>
      </c>
      <c r="I45" s="110">
        <f t="shared" ref="I45" si="196">(I44/I$14)</f>
        <v>-2.9751981174551734E-2</v>
      </c>
      <c r="J45" s="110">
        <f t="shared" ref="J45" si="197">(J44/J$14)</f>
        <v>-2.4117012127270073E-2</v>
      </c>
      <c r="K45" s="110">
        <f t="shared" ref="K45" si="198">(K44/K$14)</f>
        <v>-1.812618294203127E-2</v>
      </c>
      <c r="L45" s="110">
        <f t="shared" ref="L45" si="199">(L44/L$14)</f>
        <v>-1.8889759565356892E-2</v>
      </c>
      <c r="M45" s="110">
        <f t="shared" ref="M45" si="200">(M44/M$14)</f>
        <v>-1.8530373105045177E-2</v>
      </c>
      <c r="N45" s="110">
        <f t="shared" ref="N45" si="201">(N44/N$14)</f>
        <v>-1.5768655407441136E-2</v>
      </c>
      <c r="O45" s="110">
        <f t="shared" ref="O45" si="202">(O44/O$14)</f>
        <v>-1.4157814888010085E-2</v>
      </c>
      <c r="P45" s="102">
        <f t="shared" ref="P45" si="203">(P44/P$14)</f>
        <v>-1.6363112080873966E-2</v>
      </c>
      <c r="Q45" s="110">
        <f t="shared" ref="Q45" si="204">(Q44/Q$14)</f>
        <v>-1.7664521135062554E-2</v>
      </c>
      <c r="R45" s="110">
        <f t="shared" ref="R45" si="205">(R44/R$14)</f>
        <v>-1.9271944191679678E-2</v>
      </c>
      <c r="S45" s="110">
        <f t="shared" ref="S45" si="206">(S44/S$14)</f>
        <v>-2.1802540685497872E-2</v>
      </c>
      <c r="T45" s="110">
        <f t="shared" ref="T45" si="207">(T44/T$14)</f>
        <v>-2.6206036875821855E-2</v>
      </c>
      <c r="U45" s="110">
        <f t="shared" ref="U45" si="208">(U44/U$14)</f>
        <v>-2.3622428109709971E-2</v>
      </c>
      <c r="V45" s="110">
        <f t="shared" ref="V45" si="209">(V44/V$14)</f>
        <v>-2.0603504233868173E-2</v>
      </c>
      <c r="W45" s="110">
        <f t="shared" ref="W45" si="210">(W44/W$14)</f>
        <v>-1.7035209269652921E-2</v>
      </c>
      <c r="X45" s="110">
        <f t="shared" ref="X45" si="211">(X44/X$14)</f>
        <v>-1.7671682511206908E-2</v>
      </c>
      <c r="Y45" s="110">
        <f t="shared" ref="Y45" si="212">(Y44/Y$14)</f>
        <v>-1.7643571126375032E-2</v>
      </c>
      <c r="Z45" s="110">
        <f t="shared" ref="Z45" si="213">(Z44/Z$14)</f>
        <v>-1.5965493417539608E-2</v>
      </c>
      <c r="AA45" s="103">
        <f t="shared" ref="AA45" si="214">(AA44/AA$14)</f>
        <v>-1.6294154077304175E-2</v>
      </c>
      <c r="AB45" s="15"/>
      <c r="AC45" s="96">
        <f t="shared" ref="AC45" si="215">(AC44/AC$14)</f>
        <v>-2.2322380644613768E-2</v>
      </c>
      <c r="AD45" s="97">
        <f t="shared" ref="AD45" si="216">(AD44/AD$14)</f>
        <v>-1.9103359760844499E-2</v>
      </c>
    </row>
    <row r="46" spans="3:30" ht="3" customHeight="1" x14ac:dyDescent="0.2">
      <c r="C46" s="7"/>
      <c r="D46" s="36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6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8"/>
      <c r="AB46" s="15"/>
      <c r="AC46" s="36"/>
      <c r="AD46" s="38"/>
    </row>
    <row r="47" spans="3:30" x14ac:dyDescent="0.2">
      <c r="C47" t="s">
        <v>163</v>
      </c>
      <c r="D47" s="144">
        <v>-31.916666666666668</v>
      </c>
      <c r="E47" s="70">
        <v>-31.916666666666668</v>
      </c>
      <c r="F47" s="70">
        <v>-31.916666666666668</v>
      </c>
      <c r="G47" s="70">
        <v>-31.916666666666668</v>
      </c>
      <c r="H47" s="70">
        <v>-31.916666666666668</v>
      </c>
      <c r="I47" s="70">
        <v>-31.916666666666668</v>
      </c>
      <c r="J47" s="70">
        <v>-32.874166666666667</v>
      </c>
      <c r="K47" s="70">
        <v>-32.874166666666667</v>
      </c>
      <c r="L47" s="70">
        <v>-32.874166666666667</v>
      </c>
      <c r="M47" s="70">
        <v>-32.874166666666667</v>
      </c>
      <c r="N47" s="70">
        <v>-32.874166666666667</v>
      </c>
      <c r="O47" s="70">
        <v>-32.874166666666667</v>
      </c>
      <c r="P47" s="144">
        <v>-32.873983728766689</v>
      </c>
      <c r="Q47" s="70">
        <v>-32.873983728766689</v>
      </c>
      <c r="R47" s="70">
        <v>-32.873983728766689</v>
      </c>
      <c r="S47" s="70">
        <v>-32.873983728766689</v>
      </c>
      <c r="T47" s="70">
        <v>-32.873983728766689</v>
      </c>
      <c r="U47" s="70">
        <v>-32.873983728766689</v>
      </c>
      <c r="V47" s="70">
        <v>-33.860203240629687</v>
      </c>
      <c r="W47" s="70">
        <v>-33.860203240629687</v>
      </c>
      <c r="X47" s="70">
        <v>-33.860203240629687</v>
      </c>
      <c r="Y47" s="70">
        <v>-33.860203240629694</v>
      </c>
      <c r="Z47" s="70">
        <v>-33.860203240629694</v>
      </c>
      <c r="AA47" s="145">
        <v>-33.860203240629694</v>
      </c>
      <c r="AB47" s="33"/>
      <c r="AC47" s="92">
        <f t="shared" ref="AC47" si="217">SUM(D47:O47)</f>
        <v>-388.745</v>
      </c>
      <c r="AD47" s="93">
        <f t="shared" ref="AD47" si="218">SUM(P47:AA47)</f>
        <v>-400.40512181637826</v>
      </c>
    </row>
    <row r="48" spans="3:30" x14ac:dyDescent="0.2">
      <c r="C48" s="16" t="s">
        <v>8</v>
      </c>
      <c r="D48" s="45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96">
        <f>P47/D47-1</f>
        <v>2.9994268264230461E-2</v>
      </c>
      <c r="Q48" s="111">
        <f t="shared" ref="Q48:AA48" si="219">Q47/E47-1</f>
        <v>2.9994268264230461E-2</v>
      </c>
      <c r="R48" s="111">
        <f t="shared" si="219"/>
        <v>2.9994268264230461E-2</v>
      </c>
      <c r="S48" s="111">
        <f t="shared" si="219"/>
        <v>2.9994268264230461E-2</v>
      </c>
      <c r="T48" s="111">
        <f t="shared" si="219"/>
        <v>2.9994268264230461E-2</v>
      </c>
      <c r="U48" s="111">
        <f t="shared" si="219"/>
        <v>2.9994268264230461E-2</v>
      </c>
      <c r="V48" s="111">
        <f t="shared" si="219"/>
        <v>2.9994268264230461E-2</v>
      </c>
      <c r="W48" s="111">
        <f t="shared" si="219"/>
        <v>2.9994268264230461E-2</v>
      </c>
      <c r="X48" s="111">
        <f t="shared" si="219"/>
        <v>2.9994268264230461E-2</v>
      </c>
      <c r="Y48" s="111">
        <f t="shared" si="219"/>
        <v>2.9994268264230683E-2</v>
      </c>
      <c r="Z48" s="111">
        <f t="shared" si="219"/>
        <v>2.9994268264230683E-2</v>
      </c>
      <c r="AA48" s="97">
        <f t="shared" si="219"/>
        <v>2.9994268264230683E-2</v>
      </c>
      <c r="AB48" s="15"/>
      <c r="AC48" s="11"/>
      <c r="AD48" s="97">
        <f>AD47/AC47-1</f>
        <v>2.9994268264230461E-2</v>
      </c>
    </row>
    <row r="49" spans="3:30" ht="3" customHeight="1" x14ac:dyDescent="0.2">
      <c r="C49" s="16"/>
      <c r="D49" s="11"/>
      <c r="P49" s="11"/>
      <c r="AA49" s="15"/>
      <c r="AB49" s="15"/>
      <c r="AC49" s="11"/>
      <c r="AD49" s="15"/>
    </row>
    <row r="50" spans="3:30" ht="12.75" customHeight="1" x14ac:dyDescent="0.2">
      <c r="C50" s="8" t="s">
        <v>164</v>
      </c>
      <c r="D50" s="94">
        <f>D41+D44+D47</f>
        <v>-930.6189390403938</v>
      </c>
      <c r="E50" s="98">
        <f t="shared" ref="E50:AA50" si="220">E41+E44+E47</f>
        <v>-961.70963996536955</v>
      </c>
      <c r="F50" s="98">
        <f t="shared" si="220"/>
        <v>-1011.3151640734592</v>
      </c>
      <c r="G50" s="98">
        <f t="shared" si="220"/>
        <v>-998.43186830037075</v>
      </c>
      <c r="H50" s="98">
        <f t="shared" si="220"/>
        <v>-1051.9987132557069</v>
      </c>
      <c r="I50" s="98">
        <f t="shared" si="220"/>
        <v>-1016.2766740654023</v>
      </c>
      <c r="J50" s="98">
        <f t="shared" si="220"/>
        <v>-952.56988324928079</v>
      </c>
      <c r="K50" s="98">
        <f t="shared" si="220"/>
        <v>-947.84872194354762</v>
      </c>
      <c r="L50" s="98">
        <f t="shared" si="220"/>
        <v>-945.02459178178151</v>
      </c>
      <c r="M50" s="98">
        <f t="shared" si="220"/>
        <v>-942.88993745241737</v>
      </c>
      <c r="N50" s="98">
        <f t="shared" si="220"/>
        <v>-944.6501148253908</v>
      </c>
      <c r="O50" s="98">
        <f t="shared" si="220"/>
        <v>-904.21610540827487</v>
      </c>
      <c r="P50" s="94">
        <f t="shared" si="220"/>
        <v>-1011.0604687480012</v>
      </c>
      <c r="Q50" s="98">
        <f t="shared" si="220"/>
        <v>-1024.4710025652362</v>
      </c>
      <c r="R50" s="98">
        <f t="shared" si="220"/>
        <v>-1051.7957368315151</v>
      </c>
      <c r="S50" s="98">
        <f t="shared" si="220"/>
        <v>-1049.0500881800638</v>
      </c>
      <c r="T50" s="98">
        <f t="shared" si="220"/>
        <v>-1087.1594290429553</v>
      </c>
      <c r="U50" s="98">
        <f t="shared" si="220"/>
        <v>-1037.6085187298786</v>
      </c>
      <c r="V50" s="98">
        <f t="shared" si="220"/>
        <v>-1001.97103120167</v>
      </c>
      <c r="W50" s="98">
        <f t="shared" si="220"/>
        <v>-971.76836083768671</v>
      </c>
      <c r="X50" s="98">
        <f t="shared" si="220"/>
        <v>-936.17637989154559</v>
      </c>
      <c r="Y50" s="98">
        <f t="shared" si="220"/>
        <v>-973.21742625298907</v>
      </c>
      <c r="Z50" s="98">
        <f t="shared" si="220"/>
        <v>-901.49218178084141</v>
      </c>
      <c r="AA50" s="95">
        <f t="shared" si="220"/>
        <v>-873.73151886940218</v>
      </c>
      <c r="AB50" s="15"/>
      <c r="AC50" s="94">
        <f t="shared" ref="AC50" si="221">SUM(D50:O50)</f>
        <v>-11607.550353361396</v>
      </c>
      <c r="AD50" s="95">
        <f t="shared" ref="AD50" si="222">SUM(P50:AA50)</f>
        <v>-11919.502142931786</v>
      </c>
    </row>
    <row r="51" spans="3:30" x14ac:dyDescent="0.2">
      <c r="C51" s="16" t="s">
        <v>9</v>
      </c>
      <c r="D51" s="96">
        <f>(D50/D$14)</f>
        <v>-0.10173531574546124</v>
      </c>
      <c r="E51" s="111">
        <f t="shared" ref="E51" si="223">(E50/E$14)</f>
        <v>-0.10883100506751145</v>
      </c>
      <c r="F51" s="111">
        <f t="shared" ref="F51" si="224">(F50/F$14)</f>
        <v>-0.10487082104302359</v>
      </c>
      <c r="G51" s="111">
        <f t="shared" ref="G51" si="225">(G50/G$14)</f>
        <v>-0.11237369972796578</v>
      </c>
      <c r="H51" s="111">
        <f t="shared" ref="H51" si="226">(H50/H$14)</f>
        <v>-0.10728011341986664</v>
      </c>
      <c r="I51" s="111">
        <f t="shared" ref="I51" si="227">(I50/I$14)</f>
        <v>-0.10664338575761362</v>
      </c>
      <c r="J51" s="111">
        <f t="shared" ref="J51" si="228">(J50/J$14)</f>
        <v>-9.3565871061935799E-2</v>
      </c>
      <c r="K51" s="111">
        <f t="shared" ref="K51" si="229">(K50/K$14)</f>
        <v>-7.3326081495705492E-2</v>
      </c>
      <c r="L51" s="111">
        <f t="shared" ref="L51" si="230">(L50/L$14)</f>
        <v>-8.0266426257357804E-2</v>
      </c>
      <c r="M51" s="111">
        <f t="shared" ref="M51" si="231">(M50/M$14)</f>
        <v>-7.9322821134023849E-2</v>
      </c>
      <c r="N51" s="111">
        <f t="shared" ref="N51" si="232">(N50/N$14)</f>
        <v>-7.2440080840931231E-2</v>
      </c>
      <c r="O51" s="111">
        <f t="shared" ref="O51" si="233">(O50/O$14)</f>
        <v>-7.9089985146186897E-2</v>
      </c>
      <c r="P51" s="96">
        <f t="shared" ref="P51" si="234">(P50/P$14)</f>
        <v>-7.4600303565036233E-2</v>
      </c>
      <c r="Q51" s="111">
        <f t="shared" ref="Q51" si="235">(Q50/Q$14)</f>
        <v>-8.0209919131099899E-2</v>
      </c>
      <c r="R51" s="111">
        <f t="shared" ref="R51" si="236">(R50/R$14)</f>
        <v>-8.3285978890417722E-2</v>
      </c>
      <c r="S51" s="111">
        <f t="shared" ref="S51" si="237">(S50/S$14)</f>
        <v>-8.8776785531252539E-2</v>
      </c>
      <c r="T51" s="111">
        <f t="shared" ref="T51" si="238">(T50/T$14)</f>
        <v>-9.1683702281658841E-2</v>
      </c>
      <c r="U51" s="111">
        <f t="shared" ref="U51" si="239">(U50/U$14)</f>
        <v>-9.5301369740338593E-2</v>
      </c>
      <c r="V51" s="111">
        <f t="shared" ref="V51" si="240">(V50/V$14)</f>
        <v>-7.872347018365429E-2</v>
      </c>
      <c r="W51" s="111">
        <f t="shared" ref="W51" si="241">(W50/W$14)</f>
        <v>-7.3400636806024988E-2</v>
      </c>
      <c r="X51" s="111">
        <f t="shared" ref="X51" si="242">(X50/X$14)</f>
        <v>-7.7389075812421979E-2</v>
      </c>
      <c r="Y51" s="111">
        <f t="shared" ref="Y51" si="243">(Y50/Y$14)</f>
        <v>-7.0911045284093019E-2</v>
      </c>
      <c r="Z51" s="111">
        <f t="shared" ref="Z51" si="244">(Z50/Z$14)</f>
        <v>-7.3484546814954435E-2</v>
      </c>
      <c r="AA51" s="97">
        <f t="shared" ref="AA51" si="245">(AA50/AA$14)</f>
        <v>-8.8303137866052886E-2</v>
      </c>
      <c r="AB51" s="15"/>
      <c r="AC51" s="96">
        <f t="shared" ref="AC51" si="246">(AC50/AC$14)</f>
        <v>-9.1333986057234112E-2</v>
      </c>
      <c r="AD51" s="97">
        <f t="shared" ref="AD51" si="247">(AD50/AD$14)</f>
        <v>-8.0828190147245391E-2</v>
      </c>
    </row>
    <row r="52" spans="3:30" ht="3" customHeight="1" x14ac:dyDescent="0.2">
      <c r="C52" s="16"/>
      <c r="D52" s="11"/>
      <c r="P52" s="11"/>
      <c r="AA52" s="15"/>
      <c r="AB52" s="15"/>
      <c r="AC52" s="11"/>
      <c r="AD52" s="15"/>
    </row>
    <row r="53" spans="3:30" ht="12.75" customHeight="1" x14ac:dyDescent="0.2">
      <c r="C53" s="186" t="s">
        <v>165</v>
      </c>
      <c r="D53" s="184">
        <f>D38+D50</f>
        <v>1120.2678765882624</v>
      </c>
      <c r="E53" s="187">
        <f t="shared" ref="E53:AA53" si="248">E38+E50</f>
        <v>698.95989504903184</v>
      </c>
      <c r="F53" s="187">
        <f t="shared" si="248"/>
        <v>257.94027394074408</v>
      </c>
      <c r="G53" s="187">
        <f t="shared" si="248"/>
        <v>126.57135571200206</v>
      </c>
      <c r="H53" s="187">
        <f t="shared" si="248"/>
        <v>-201.85148477935934</v>
      </c>
      <c r="I53" s="187">
        <f t="shared" si="248"/>
        <v>-162.49225973123305</v>
      </c>
      <c r="J53" s="187">
        <f t="shared" si="248"/>
        <v>1436.1767109437151</v>
      </c>
      <c r="K53" s="187">
        <f t="shared" si="248"/>
        <v>4319.1314435012737</v>
      </c>
      <c r="L53" s="187">
        <f t="shared" si="248"/>
        <v>3638.7111696043471</v>
      </c>
      <c r="M53" s="187">
        <f t="shared" si="248"/>
        <v>3664.3634455741976</v>
      </c>
      <c r="N53" s="187">
        <f t="shared" si="248"/>
        <v>5389.2672459219284</v>
      </c>
      <c r="O53" s="187">
        <f t="shared" si="248"/>
        <v>5147.4567449389106</v>
      </c>
      <c r="P53" s="184">
        <f t="shared" si="248"/>
        <v>3938.3425387335296</v>
      </c>
      <c r="Q53" s="187">
        <f t="shared" si="248"/>
        <v>3001.0904045138354</v>
      </c>
      <c r="R53" s="187">
        <f t="shared" si="248"/>
        <v>2516.8520684368677</v>
      </c>
      <c r="S53" s="187">
        <f t="shared" si="248"/>
        <v>1333.1570962841759</v>
      </c>
      <c r="T53" s="187">
        <f t="shared" si="248"/>
        <v>351.89461424275487</v>
      </c>
      <c r="U53" s="187">
        <f t="shared" si="248"/>
        <v>789.03370826661239</v>
      </c>
      <c r="V53" s="187">
        <f t="shared" si="248"/>
        <v>2264.5839457831576</v>
      </c>
      <c r="W53" s="187">
        <f t="shared" si="248"/>
        <v>3843.451172084011</v>
      </c>
      <c r="X53" s="187">
        <f t="shared" si="248"/>
        <v>3174.1315442842679</v>
      </c>
      <c r="Y53" s="187">
        <f t="shared" si="248"/>
        <v>3619.9953741798254</v>
      </c>
      <c r="Z53" s="187">
        <f t="shared" si="248"/>
        <v>3976.2349167954148</v>
      </c>
      <c r="AA53" s="185">
        <f t="shared" si="248"/>
        <v>2842.129354599022</v>
      </c>
      <c r="AC53" s="184">
        <f>SUM(D53:O53)</f>
        <v>25434.502417263819</v>
      </c>
      <c r="AD53" s="185">
        <f>SUM(P53:AA53)</f>
        <v>31650.896738203472</v>
      </c>
    </row>
    <row r="54" spans="3:30" x14ac:dyDescent="0.2">
      <c r="C54" s="16" t="s">
        <v>9</v>
      </c>
      <c r="D54" s="96">
        <f>(D53/D$14)</f>
        <v>0.12246774846611772</v>
      </c>
      <c r="E54" s="111">
        <f t="shared" ref="E54" si="249">(E53/E$14)</f>
        <v>7.9097166877528269E-2</v>
      </c>
      <c r="F54" s="111">
        <f t="shared" ref="F54" si="250">(F53/F$14)</f>
        <v>2.6747753093380278E-2</v>
      </c>
      <c r="G54" s="111">
        <f t="shared" ref="G54" si="251">(G53/G$14)</f>
        <v>1.4245630545782113E-2</v>
      </c>
      <c r="H54" s="111">
        <f t="shared" ref="H54" si="252">(H53/H$14)</f>
        <v>-2.0584293410475504E-2</v>
      </c>
      <c r="I54" s="111">
        <f t="shared" ref="I54" si="253">(I53/I$14)</f>
        <v>-1.7051188105916364E-2</v>
      </c>
      <c r="J54" s="111">
        <f t="shared" ref="J54" si="254">(J53/J$14)</f>
        <v>0.14106799650220428</v>
      </c>
      <c r="K54" s="111">
        <f t="shared" ref="K54" si="255">(K53/K$14)</f>
        <v>0.334130306751314</v>
      </c>
      <c r="L54" s="111">
        <f t="shared" ref="L54" si="256">(L53/L$14)</f>
        <v>0.30905686932040538</v>
      </c>
      <c r="M54" s="111">
        <f t="shared" ref="M54" si="257">(M53/M$14)</f>
        <v>0.30827314474125017</v>
      </c>
      <c r="N54" s="111">
        <f t="shared" ref="N54" si="258">(N53/N$14)</f>
        <v>0.41327360134829255</v>
      </c>
      <c r="O54" s="111">
        <f t="shared" ref="O54" si="259">(O53/O$14)</f>
        <v>0.45023780826601972</v>
      </c>
      <c r="P54" s="96">
        <f t="shared" ref="P54" si="260">(P53/P$14)</f>
        <v>0.29058751480653972</v>
      </c>
      <c r="Q54" s="111">
        <f t="shared" ref="Q54" si="261">(Q53/Q$14)</f>
        <v>0.2349673324558996</v>
      </c>
      <c r="R54" s="111">
        <f t="shared" ref="R54" si="262">(R53/R$14)</f>
        <v>0.19929581467367699</v>
      </c>
      <c r="S54" s="111">
        <f t="shared" ref="S54" si="263">(S53/S$14)</f>
        <v>0.11281959074195602</v>
      </c>
      <c r="T54" s="111">
        <f t="shared" ref="T54" si="264">(T53/T$14)</f>
        <v>2.9676421125421858E-2</v>
      </c>
      <c r="U54" s="111">
        <f t="shared" ref="U54" si="265">(U53/U$14)</f>
        <v>7.2470485555721151E-2</v>
      </c>
      <c r="V54" s="111">
        <f t="shared" ref="V54" si="266">(V53/V$14)</f>
        <v>0.17792521059260086</v>
      </c>
      <c r="W54" s="111">
        <f t="shared" ref="W54" si="267">(W53/W$14)</f>
        <v>0.29030762364051726</v>
      </c>
      <c r="X54" s="111">
        <f t="shared" ref="X54" si="268">(X53/X$14)</f>
        <v>0.26238977183730333</v>
      </c>
      <c r="Y54" s="111">
        <f t="shared" ref="Y54" si="269">(Y53/Y$14)</f>
        <v>0.2637618778518912</v>
      </c>
      <c r="Z54" s="111">
        <f t="shared" ref="Z54" si="270">(Z53/Z$14)</f>
        <v>0.32412019404683295</v>
      </c>
      <c r="AA54" s="97">
        <f t="shared" ref="AA54" si="271">(AA53/AA$14)</f>
        <v>0.28723805289417059</v>
      </c>
      <c r="AB54" s="15"/>
      <c r="AC54" s="96">
        <f t="shared" ref="AC54" si="272">(AC53/AC$14)</f>
        <v>0.20013132990444796</v>
      </c>
      <c r="AD54" s="97">
        <f t="shared" ref="AD54" si="273">(AD53/AD$14)</f>
        <v>0.21463016401262958</v>
      </c>
    </row>
    <row r="55" spans="3:30" ht="3" customHeight="1" x14ac:dyDescent="0.2">
      <c r="C55" s="7"/>
      <c r="D55" s="36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6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8"/>
      <c r="AB55" s="15"/>
      <c r="AC55" s="36"/>
      <c r="AD55" s="38"/>
    </row>
    <row r="56" spans="3:30" x14ac:dyDescent="0.2">
      <c r="C56" t="s">
        <v>211</v>
      </c>
      <c r="D56" s="144">
        <v>-253</v>
      </c>
      <c r="E56" s="70">
        <v>-255.7308530750426</v>
      </c>
      <c r="F56" s="70">
        <v>-258.40340466710484</v>
      </c>
      <c r="G56" s="70">
        <v>-259.60678420177265</v>
      </c>
      <c r="H56" s="70">
        <v>-261.47674917474262</v>
      </c>
      <c r="I56" s="70">
        <v>-264.00202882950407</v>
      </c>
      <c r="J56" s="70">
        <v>-265.14940300854772</v>
      </c>
      <c r="K56" s="70">
        <v>-266.7890411858487</v>
      </c>
      <c r="L56" s="70">
        <v>-267.63399238241425</v>
      </c>
      <c r="M56" s="70">
        <v>-268.11154070798165</v>
      </c>
      <c r="N56" s="70">
        <v>-269.03199725991476</v>
      </c>
      <c r="O56" s="70">
        <v>-269.28655462515945</v>
      </c>
      <c r="P56" s="144">
        <v>-270.50629078272163</v>
      </c>
      <c r="Q56" s="70">
        <v>-272.72644995042026</v>
      </c>
      <c r="R56" s="70">
        <v>-273.79265508374073</v>
      </c>
      <c r="S56" s="70">
        <v>-276.30401479562977</v>
      </c>
      <c r="T56" s="70">
        <v>-277.40446744760874</v>
      </c>
      <c r="U56" s="70">
        <v>-277.7156246291965</v>
      </c>
      <c r="V56" s="70">
        <v>-280.01495286046446</v>
      </c>
      <c r="W56" s="70">
        <v>-281.12454906163094</v>
      </c>
      <c r="X56" s="70">
        <v>-281.14232262519704</v>
      </c>
      <c r="Y56" s="70">
        <v>-281.86988559273749</v>
      </c>
      <c r="Z56" s="70">
        <v>-282.59861993495548</v>
      </c>
      <c r="AA56" s="145">
        <v>-283.21799175333791</v>
      </c>
      <c r="AB56" s="15"/>
      <c r="AC56" s="92">
        <f t="shared" ref="AC56" si="274">SUM(D56:O56)</f>
        <v>-3158.2223491180339</v>
      </c>
      <c r="AD56" s="93">
        <f t="shared" ref="AD56" si="275">SUM(P56:AA56)</f>
        <v>-3338.4178245176408</v>
      </c>
    </row>
    <row r="57" spans="3:30" x14ac:dyDescent="0.2">
      <c r="C57" s="16" t="s">
        <v>9</v>
      </c>
      <c r="D57" s="96">
        <f>(D56/D$14)</f>
        <v>-2.7657974498286549E-2</v>
      </c>
      <c r="E57" s="111">
        <f t="shared" ref="E57" si="276">(E56/E$14)</f>
        <v>-2.8939551617607969E-2</v>
      </c>
      <c r="F57" s="111">
        <f t="shared" ref="F57" si="277">(F56/F$14)</f>
        <v>-2.679577857668073E-2</v>
      </c>
      <c r="G57" s="111">
        <f t="shared" ref="G57" si="278">(G56/G$14)</f>
        <v>-2.9218793731908745E-2</v>
      </c>
      <c r="H57" s="111">
        <f t="shared" ref="H57" si="279">(H56/H$14)</f>
        <v>-2.6664723972248866E-2</v>
      </c>
      <c r="I57" s="111">
        <f t="shared" ref="I57" si="280">(I56/I$14)</f>
        <v>-2.770315497711166E-2</v>
      </c>
      <c r="J57" s="111">
        <f t="shared" ref="J57" si="281">(J56/J$14)</f>
        <v>-2.6044215012784217E-2</v>
      </c>
      <c r="K57" s="111">
        <f t="shared" ref="K57" si="282">(K56/K$14)</f>
        <v>-2.0638942189046692E-2</v>
      </c>
      <c r="L57" s="111">
        <f t="shared" ref="L57" si="283">(L56/L$14)</f>
        <v>-2.273170910084189E-2</v>
      </c>
      <c r="M57" s="111">
        <f t="shared" ref="M57" si="284">(M56/M$14)</f>
        <v>-2.2555510397118891E-2</v>
      </c>
      <c r="N57" s="111">
        <f t="shared" ref="N57" si="285">(N56/N$14)</f>
        <v>-2.0630601028305287E-2</v>
      </c>
      <c r="O57" s="111">
        <f t="shared" ref="O57" si="286">(O56/O$14)</f>
        <v>-2.3553959587741712E-2</v>
      </c>
      <c r="P57" s="96">
        <f t="shared" ref="P57" si="287">(P56/P$14)</f>
        <v>-1.9959094468040825E-2</v>
      </c>
      <c r="Q57" s="111">
        <f t="shared" ref="Q57" si="288">(Q56/Q$14)</f>
        <v>-2.1352841066911696E-2</v>
      </c>
      <c r="R57" s="111">
        <f t="shared" ref="R57" si="289">(R56/R$14)</f>
        <v>-2.1680149950359259E-2</v>
      </c>
      <c r="S57" s="111">
        <f t="shared" ref="S57" si="290">(S56/S$14)</f>
        <v>-2.3382470045343835E-2</v>
      </c>
      <c r="T57" s="111">
        <f t="shared" ref="T57" si="291">(T56/T$14)</f>
        <v>-2.3394423969130447E-2</v>
      </c>
      <c r="U57" s="111">
        <f t="shared" ref="U57" si="292">(U56/U$14)</f>
        <v>-2.550738447854458E-2</v>
      </c>
      <c r="V57" s="111">
        <f t="shared" ref="V57" si="293">(V56/V$14)</f>
        <v>-2.2000385346521378E-2</v>
      </c>
      <c r="W57" s="111">
        <f t="shared" ref="W57" si="294">(W56/W$14)</f>
        <v>-2.1234197113747067E-2</v>
      </c>
      <c r="X57" s="111">
        <f t="shared" ref="X57" si="295">(X56/X$14)</f>
        <v>-2.3240646727534744E-2</v>
      </c>
      <c r="Y57" s="111">
        <f t="shared" ref="Y57" si="296">(Y56/Y$14)</f>
        <v>-2.0537741806005129E-2</v>
      </c>
      <c r="Z57" s="111">
        <f t="shared" ref="Z57" si="297">(Z56/Z$14)</f>
        <v>-2.3035842058473064E-2</v>
      </c>
      <c r="AA57" s="97">
        <f t="shared" ref="AA57" si="298">(AA56/AA$14)</f>
        <v>-2.8623251916450276E-2</v>
      </c>
      <c r="AB57" s="15"/>
      <c r="AC57" s="96">
        <f t="shared" ref="AC57" si="299">(AC56/AC$14)</f>
        <v>-2.4850466051733251E-2</v>
      </c>
      <c r="AD57" s="97">
        <f t="shared" ref="AD57" si="300">(AD56/AD$14)</f>
        <v>-2.2638384344859413E-2</v>
      </c>
    </row>
    <row r="58" spans="3:30" ht="3" customHeight="1" x14ac:dyDescent="0.2">
      <c r="C58" s="16"/>
      <c r="D58" s="96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96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97"/>
      <c r="AB58" s="15"/>
      <c r="AC58" s="96"/>
      <c r="AD58" s="97"/>
    </row>
    <row r="59" spans="3:30" x14ac:dyDescent="0.2">
      <c r="C59" t="s">
        <v>212</v>
      </c>
      <c r="D59" s="144">
        <v>-12.132</v>
      </c>
      <c r="E59" s="70">
        <v>-12.132</v>
      </c>
      <c r="F59" s="70">
        <v>-12.132</v>
      </c>
      <c r="G59" s="70">
        <v>-12.132</v>
      </c>
      <c r="H59" s="70">
        <v>-12.132</v>
      </c>
      <c r="I59" s="70">
        <v>-12.132</v>
      </c>
      <c r="J59" s="70">
        <v>-12.132</v>
      </c>
      <c r="K59" s="70">
        <v>-12.132</v>
      </c>
      <c r="L59" s="70">
        <v>-12.132</v>
      </c>
      <c r="M59" s="70">
        <v>-12.132</v>
      </c>
      <c r="N59" s="70">
        <v>-12.132</v>
      </c>
      <c r="O59" s="70">
        <v>-12.132</v>
      </c>
      <c r="P59" s="144">
        <v>-12.132</v>
      </c>
      <c r="Q59" s="70">
        <v>-12.132</v>
      </c>
      <c r="R59" s="70">
        <v>-12.132</v>
      </c>
      <c r="S59" s="70">
        <v>-12.132</v>
      </c>
      <c r="T59" s="70">
        <v>-12.132</v>
      </c>
      <c r="U59" s="70">
        <v>-12.132</v>
      </c>
      <c r="V59" s="70">
        <v>-12.132</v>
      </c>
      <c r="W59" s="70">
        <v>-12.132</v>
      </c>
      <c r="X59" s="70">
        <v>-12.132</v>
      </c>
      <c r="Y59" s="70">
        <v>-12.132</v>
      </c>
      <c r="Z59" s="70">
        <v>-12.132</v>
      </c>
      <c r="AA59" s="145">
        <v>-12.132</v>
      </c>
      <c r="AB59" s="15"/>
      <c r="AC59" s="92">
        <f t="shared" ref="AC59" si="301">SUM(D59:O59)</f>
        <v>-145.58400000000003</v>
      </c>
      <c r="AD59" s="93">
        <f t="shared" ref="AD59" si="302">SUM(P59:AA59)</f>
        <v>-145.58400000000003</v>
      </c>
    </row>
    <row r="60" spans="3:30" ht="3" customHeight="1" x14ac:dyDescent="0.2">
      <c r="C60" s="7"/>
      <c r="D60" s="36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6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8"/>
      <c r="AB60" s="15"/>
      <c r="AC60" s="36"/>
      <c r="AD60" s="38"/>
    </row>
    <row r="61" spans="3:30" x14ac:dyDescent="0.2">
      <c r="C61" s="8" t="s">
        <v>166</v>
      </c>
      <c r="D61" s="94">
        <f>D53+D56+D59</f>
        <v>855.13587658826248</v>
      </c>
      <c r="E61" s="98">
        <f t="shared" ref="E61:AA61" si="303">E53+E56+E59</f>
        <v>431.09704197398923</v>
      </c>
      <c r="F61" s="98">
        <f t="shared" si="303"/>
        <v>-12.595130726360759</v>
      </c>
      <c r="G61" s="98">
        <f t="shared" si="303"/>
        <v>-145.1674284897706</v>
      </c>
      <c r="H61" s="98">
        <f t="shared" si="303"/>
        <v>-475.46023395410197</v>
      </c>
      <c r="I61" s="98">
        <f t="shared" si="303"/>
        <v>-438.62628856073712</v>
      </c>
      <c r="J61" s="98">
        <f t="shared" si="303"/>
        <v>1158.8953079351672</v>
      </c>
      <c r="K61" s="98">
        <f t="shared" si="303"/>
        <v>4040.2104023154247</v>
      </c>
      <c r="L61" s="98">
        <f t="shared" si="303"/>
        <v>3358.9451772219327</v>
      </c>
      <c r="M61" s="98">
        <f t="shared" si="303"/>
        <v>3384.1199048662161</v>
      </c>
      <c r="N61" s="98">
        <f t="shared" si="303"/>
        <v>5108.1032486620143</v>
      </c>
      <c r="O61" s="98">
        <f t="shared" si="303"/>
        <v>4866.0381903137513</v>
      </c>
      <c r="P61" s="94">
        <f t="shared" si="303"/>
        <v>3655.7042479508077</v>
      </c>
      <c r="Q61" s="98">
        <f t="shared" si="303"/>
        <v>2716.231954563415</v>
      </c>
      <c r="R61" s="98">
        <f t="shared" si="303"/>
        <v>2230.9274133531271</v>
      </c>
      <c r="S61" s="98">
        <f t="shared" si="303"/>
        <v>1044.7210814885461</v>
      </c>
      <c r="T61" s="98">
        <f t="shared" si="303"/>
        <v>62.358146795146133</v>
      </c>
      <c r="U61" s="98">
        <f t="shared" si="303"/>
        <v>499.18608363741589</v>
      </c>
      <c r="V61" s="98">
        <f t="shared" si="303"/>
        <v>1972.436992922693</v>
      </c>
      <c r="W61" s="98">
        <f t="shared" si="303"/>
        <v>3550.1946230223798</v>
      </c>
      <c r="X61" s="98">
        <f t="shared" si="303"/>
        <v>2880.8572216590705</v>
      </c>
      <c r="Y61" s="98">
        <f t="shared" si="303"/>
        <v>3325.993488587088</v>
      </c>
      <c r="Z61" s="98">
        <f t="shared" si="303"/>
        <v>3681.5042968604594</v>
      </c>
      <c r="AA61" s="95">
        <f t="shared" si="303"/>
        <v>2546.7793628456839</v>
      </c>
      <c r="AB61" s="15"/>
      <c r="AC61" s="94">
        <f t="shared" ref="AC61" si="304">SUM(D61:O61)</f>
        <v>22130.696068145786</v>
      </c>
      <c r="AD61" s="95">
        <f t="shared" ref="AD61" si="305">SUM(P61:AA61)</f>
        <v>28166.894913685835</v>
      </c>
    </row>
    <row r="62" spans="3:30" x14ac:dyDescent="0.2">
      <c r="C62" s="16" t="s">
        <v>9</v>
      </c>
      <c r="D62" s="96">
        <f>(D61/D$14)</f>
        <v>9.3483503032601098E-2</v>
      </c>
      <c r="E62" s="111">
        <f t="shared" ref="E62" si="306">(E61/E$14)</f>
        <v>4.8784708408818545E-2</v>
      </c>
      <c r="F62" s="111">
        <f t="shared" ref="F62" si="307">(F61/F$14)</f>
        <v>-1.3060831552227402E-3</v>
      </c>
      <c r="G62" s="111">
        <f t="shared" ref="G62" si="308">(G61/G$14)</f>
        <v>-1.6338622130681813E-2</v>
      </c>
      <c r="H62" s="111">
        <f t="shared" ref="H62" si="309">(H61/H$14)</f>
        <v>-4.8486207428310925E-2</v>
      </c>
      <c r="I62" s="111">
        <f t="shared" ref="I62" si="310">(I61/I$14)</f>
        <v>-4.6027419194118721E-2</v>
      </c>
      <c r="J62" s="111">
        <f t="shared" ref="J62" si="311">(J61/J$14)</f>
        <v>0.1138321196830953</v>
      </c>
      <c r="K62" s="111">
        <f t="shared" ref="K62" si="312">(K61/K$14)</f>
        <v>0.31255282658662725</v>
      </c>
      <c r="L62" s="111">
        <f t="shared" ref="L62" si="313">(L61/L$14)</f>
        <v>0.28529471901007258</v>
      </c>
      <c r="M62" s="111">
        <f t="shared" ref="M62" si="314">(M61/M$14)</f>
        <v>0.28469700147090526</v>
      </c>
      <c r="N62" s="111">
        <f t="shared" ref="N62" si="315">(N61/N$14)</f>
        <v>0.39171266320683867</v>
      </c>
      <c r="O62" s="111">
        <f t="shared" ref="O62" si="316">(O61/O$14)</f>
        <v>0.42562268675685849</v>
      </c>
      <c r="P62" s="96">
        <f t="shared" ref="P62" si="317">(P61/P$14)</f>
        <v>0.26973327023538807</v>
      </c>
      <c r="Q62" s="111">
        <f t="shared" ref="Q62" si="318">(Q61/Q$14)</f>
        <v>0.21266462874137571</v>
      </c>
      <c r="R62" s="111">
        <f t="shared" ref="R62" si="319">(R61/R$14)</f>
        <v>0.17665499768454229</v>
      </c>
      <c r="S62" s="111">
        <f t="shared" ref="S62" si="320">(S61/S$14)</f>
        <v>8.8410439536007496E-2</v>
      </c>
      <c r="T62" s="111">
        <f t="shared" ref="T62" si="321">(T61/T$14)</f>
        <v>5.2588660070171369E-3</v>
      </c>
      <c r="U62" s="111">
        <f t="shared" ref="U62" si="322">(U61/U$14)</f>
        <v>4.5848811634849058E-2</v>
      </c>
      <c r="V62" s="111">
        <f t="shared" ref="V62" si="323">(V61/V$14)</f>
        <v>0.15497163088164495</v>
      </c>
      <c r="W62" s="111">
        <f t="shared" ref="W62" si="324">(W61/W$14)</f>
        <v>0.26815705945657348</v>
      </c>
      <c r="X62" s="111">
        <f t="shared" ref="X62" si="325">(X61/X$14)</f>
        <v>0.23814623261224041</v>
      </c>
      <c r="Y62" s="111">
        <f t="shared" ref="Y62" si="326">(Y61/Y$14)</f>
        <v>0.24234016831351732</v>
      </c>
      <c r="Z62" s="111">
        <f t="shared" ref="Z62" si="327">(Z61/Z$14)</f>
        <v>0.30009541992663319</v>
      </c>
      <c r="AA62" s="97">
        <f t="shared" ref="AA62" si="328">(AA61/AA$14)</f>
        <v>0.25738868786922536</v>
      </c>
      <c r="AB62" s="15"/>
      <c r="AC62" s="96">
        <f t="shared" ref="AC62" si="329">(AC61/AC$14)</f>
        <v>0.17413533644845014</v>
      </c>
      <c r="AD62" s="97">
        <f t="shared" ref="AD62" si="330">(AD61/AD$14)</f>
        <v>0.19100454957264626</v>
      </c>
    </row>
    <row r="63" spans="3:30" ht="3" customHeight="1" x14ac:dyDescent="0.2">
      <c r="C63" s="7"/>
      <c r="D63" s="36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6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8"/>
      <c r="AB63" s="15"/>
      <c r="AC63" s="36"/>
      <c r="AD63" s="38"/>
    </row>
    <row r="64" spans="3:30" ht="12.75" customHeight="1" x14ac:dyDescent="0.2">
      <c r="C64" t="s">
        <v>169</v>
      </c>
      <c r="D64" s="144">
        <v>-830.97486875000004</v>
      </c>
      <c r="E64" s="198">
        <f>-(AVERAGE(D107:E107)*E146+AVERAGE(D108:E108)*E149)/12</f>
        <v>-830.97486875000004</v>
      </c>
      <c r="F64" s="198">
        <f t="shared" ref="F64:AA64" si="331">-(AVERAGE(E107:F107)*F146+AVERAGE(E108:F108)*F149)/12</f>
        <v>-839.04409583333347</v>
      </c>
      <c r="G64" s="198">
        <f t="shared" si="331"/>
        <v>-854.70783333333338</v>
      </c>
      <c r="H64" s="198">
        <f t="shared" si="331"/>
        <v>-873.6158999999999</v>
      </c>
      <c r="I64" s="198">
        <f t="shared" si="331"/>
        <v>-874.7133</v>
      </c>
      <c r="J64" s="198">
        <f t="shared" si="331"/>
        <v>-876.79203125000004</v>
      </c>
      <c r="K64" s="198">
        <f t="shared" si="331"/>
        <v>-894.93963541666653</v>
      </c>
      <c r="L64" s="198">
        <f t="shared" si="331"/>
        <v>-894.32148645833331</v>
      </c>
      <c r="M64" s="198">
        <f t="shared" si="331"/>
        <v>-893.53577499999994</v>
      </c>
      <c r="N64" s="198">
        <f t="shared" si="331"/>
        <v>-894.46382499999993</v>
      </c>
      <c r="O64" s="198">
        <f t="shared" si="331"/>
        <v>-871.94421770833333</v>
      </c>
      <c r="P64" s="92">
        <f t="shared" si="331"/>
        <v>-847.23426666666683</v>
      </c>
      <c r="Q64" s="198">
        <f t="shared" si="331"/>
        <v>-846.30252916666677</v>
      </c>
      <c r="R64" s="198">
        <f t="shared" si="331"/>
        <v>-845.42541666666659</v>
      </c>
      <c r="S64" s="198">
        <f t="shared" si="331"/>
        <v>-844.76013333333333</v>
      </c>
      <c r="T64" s="198">
        <f t="shared" si="331"/>
        <v>-844.50778333333346</v>
      </c>
      <c r="U64" s="198">
        <f t="shared" si="331"/>
        <v>-829.74490624999999</v>
      </c>
      <c r="V64" s="198">
        <f t="shared" si="331"/>
        <v>-815.15385000000015</v>
      </c>
      <c r="W64" s="198">
        <f t="shared" si="331"/>
        <v>-814.78687500000012</v>
      </c>
      <c r="X64" s="198">
        <f t="shared" si="331"/>
        <v>-799.30434375000004</v>
      </c>
      <c r="Y64" s="198">
        <f t="shared" si="331"/>
        <v>-773.59300416666667</v>
      </c>
      <c r="Z64" s="198">
        <f t="shared" si="331"/>
        <v>-759.16489999999988</v>
      </c>
      <c r="AA64" s="93">
        <f t="shared" si="331"/>
        <v>-747.32583125000008</v>
      </c>
      <c r="AB64" s="15"/>
      <c r="AC64" s="92">
        <f t="shared" ref="AC64" si="332">SUM(D64:O64)</f>
        <v>-10430.0278375</v>
      </c>
      <c r="AD64" s="93">
        <f t="shared" ref="AD64" si="333">SUM(P64:AA64)</f>
        <v>-9767.3038395833337</v>
      </c>
    </row>
    <row r="65" spans="3:30" ht="3" customHeight="1" x14ac:dyDescent="0.2">
      <c r="C65" s="7"/>
      <c r="D65" s="36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6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8"/>
      <c r="AB65" s="15"/>
      <c r="AC65" s="36"/>
      <c r="AD65" s="38"/>
    </row>
    <row r="66" spans="3:30" x14ac:dyDescent="0.2">
      <c r="C66" s="8" t="s">
        <v>170</v>
      </c>
      <c r="D66" s="94">
        <f t="shared" ref="D66:AA66" si="334">D61+D64</f>
        <v>24.161007838262435</v>
      </c>
      <c r="E66" s="98">
        <f t="shared" si="334"/>
        <v>-399.87782677601081</v>
      </c>
      <c r="F66" s="98">
        <f t="shared" si="334"/>
        <v>-851.63922655969418</v>
      </c>
      <c r="G66" s="98">
        <f t="shared" si="334"/>
        <v>-999.87526182310398</v>
      </c>
      <c r="H66" s="98">
        <f t="shared" si="334"/>
        <v>-1349.0761339541018</v>
      </c>
      <c r="I66" s="98">
        <f t="shared" si="334"/>
        <v>-1313.3395885607372</v>
      </c>
      <c r="J66" s="98">
        <f t="shared" si="334"/>
        <v>282.1032766851672</v>
      </c>
      <c r="K66" s="98">
        <f t="shared" si="334"/>
        <v>3145.2707668987582</v>
      </c>
      <c r="L66" s="98">
        <f t="shared" si="334"/>
        <v>2464.6236907635994</v>
      </c>
      <c r="M66" s="98">
        <f t="shared" si="334"/>
        <v>2490.5841298662162</v>
      </c>
      <c r="N66" s="98">
        <f t="shared" si="334"/>
        <v>4213.6394236620145</v>
      </c>
      <c r="O66" s="98">
        <f t="shared" si="334"/>
        <v>3994.093972605418</v>
      </c>
      <c r="P66" s="94">
        <f t="shared" si="334"/>
        <v>2808.4699812841409</v>
      </c>
      <c r="Q66" s="98">
        <f t="shared" si="334"/>
        <v>1869.9294253967482</v>
      </c>
      <c r="R66" s="98">
        <f t="shared" si="334"/>
        <v>1385.5019966864606</v>
      </c>
      <c r="S66" s="98">
        <f t="shared" si="334"/>
        <v>199.9609481552128</v>
      </c>
      <c r="T66" s="98">
        <f t="shared" si="334"/>
        <v>-782.14963653818734</v>
      </c>
      <c r="U66" s="98">
        <f t="shared" si="334"/>
        <v>-330.55882261258409</v>
      </c>
      <c r="V66" s="98">
        <f t="shared" si="334"/>
        <v>1157.2831429226928</v>
      </c>
      <c r="W66" s="98">
        <f t="shared" si="334"/>
        <v>2735.4077480223796</v>
      </c>
      <c r="X66" s="98">
        <f t="shared" si="334"/>
        <v>2081.5528779090705</v>
      </c>
      <c r="Y66" s="98">
        <f t="shared" si="334"/>
        <v>2552.4004844204214</v>
      </c>
      <c r="Z66" s="98">
        <f t="shared" si="334"/>
        <v>2922.3393968604596</v>
      </c>
      <c r="AA66" s="95">
        <f t="shared" si="334"/>
        <v>1799.4535315956837</v>
      </c>
      <c r="AB66" s="15"/>
      <c r="AC66" s="94">
        <f t="shared" ref="AC66" si="335">SUM(D66:O66)</f>
        <v>11700.668230645788</v>
      </c>
      <c r="AD66" s="95">
        <f t="shared" ref="AD66" si="336">SUM(P66:AA66)</f>
        <v>18399.5910741025</v>
      </c>
    </row>
    <row r="67" spans="3:30" x14ac:dyDescent="0.2">
      <c r="C67" s="16" t="s">
        <v>9</v>
      </c>
      <c r="D67" s="96">
        <f>(D66/D$14)</f>
        <v>2.6412827614370111E-3</v>
      </c>
      <c r="E67" s="111">
        <f t="shared" ref="E67" si="337">(E66/E$14)</f>
        <v>-4.5251814044218783E-2</v>
      </c>
      <c r="F67" s="111">
        <f t="shared" ref="F67" si="338">(F66/F$14)</f>
        <v>-8.8312830752010074E-2</v>
      </c>
      <c r="G67" s="111">
        <f t="shared" ref="G67" si="339">(G66/G$14)</f>
        <v>-0.1125361539478907</v>
      </c>
      <c r="H67" s="111">
        <f t="shared" ref="H67" si="340">(H66/H$14)</f>
        <v>-0.13757530198371287</v>
      </c>
      <c r="I67" s="111">
        <f t="shared" ref="I67" si="341">(I66/I$14)</f>
        <v>-0.13781579755574982</v>
      </c>
      <c r="J67" s="111">
        <f t="shared" ref="J67" si="342">(J66/J$14)</f>
        <v>2.7709503813450408E-2</v>
      </c>
      <c r="K67" s="111">
        <f t="shared" ref="K67" si="343">(K66/K$14)</f>
        <v>0.24331982017845086</v>
      </c>
      <c r="L67" s="111">
        <f t="shared" ref="L67" si="344">(L66/L$14)</f>
        <v>0.20933480191645024</v>
      </c>
      <c r="M67" s="111">
        <f t="shared" ref="M67" si="345">(M66/M$14)</f>
        <v>0.20952621467824933</v>
      </c>
      <c r="N67" s="111">
        <f t="shared" ref="N67" si="346">(N66/N$14)</f>
        <v>0.32312109604838313</v>
      </c>
      <c r="O67" s="111">
        <f t="shared" ref="O67" si="347">(O66/O$14)</f>
        <v>0.34935545947083529</v>
      </c>
      <c r="P67" s="96">
        <f t="shared" ref="P67" si="348">(P66/P$14)</f>
        <v>0.20722075447824467</v>
      </c>
      <c r="Q67" s="111">
        <f t="shared" ref="Q67" si="349">(Q66/Q$14)</f>
        <v>0.14640422971111514</v>
      </c>
      <c r="R67" s="111">
        <f t="shared" ref="R67" si="350">(R66/R$14)</f>
        <v>0.10971036105953023</v>
      </c>
      <c r="S67" s="111">
        <f t="shared" ref="S67" si="351">(S66/S$14)</f>
        <v>1.6921870946884871E-2</v>
      </c>
      <c r="T67" s="111">
        <f t="shared" ref="T67" si="352">(T66/T$14)</f>
        <v>-6.5961231168461365E-2</v>
      </c>
      <c r="U67" s="111">
        <f t="shared" ref="U67" si="353">(U66/U$14)</f>
        <v>-3.0360880819767053E-2</v>
      </c>
      <c r="V67" s="111">
        <f t="shared" ref="V67" si="354">(V66/V$14)</f>
        <v>9.0926126763023418E-2</v>
      </c>
      <c r="W67" s="111">
        <f t="shared" ref="W67" si="355">(W66/W$14)</f>
        <v>0.20661371446164375</v>
      </c>
      <c r="X67" s="111">
        <f t="shared" ref="X67" si="356">(X66/X$14)</f>
        <v>0.17207169176254172</v>
      </c>
      <c r="Y67" s="111">
        <f t="shared" ref="Y67" si="357">(Y66/Y$14)</f>
        <v>0.18597425554814101</v>
      </c>
      <c r="Z67" s="111">
        <f t="shared" ref="Z67" si="358">(Z66/Z$14)</f>
        <v>0.23821258859234842</v>
      </c>
      <c r="AA67" s="97">
        <f t="shared" ref="AA67" si="359">(AA66/AA$14)</f>
        <v>0.18186066297535045</v>
      </c>
      <c r="AB67" s="15"/>
      <c r="AC67" s="96">
        <f t="shared" ref="AC67" si="360">(AC66/AC$14)</f>
        <v>9.2066683882930725E-2</v>
      </c>
      <c r="AD67" s="97">
        <f t="shared" ref="AD67" si="361">(AD66/AD$14)</f>
        <v>0.12477078556934716</v>
      </c>
    </row>
    <row r="68" spans="3:30" ht="3" customHeight="1" x14ac:dyDescent="0.2">
      <c r="C68" s="7"/>
      <c r="D68" s="36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6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8"/>
      <c r="AB68" s="15"/>
      <c r="AC68" s="36"/>
      <c r="AD68" s="38"/>
    </row>
    <row r="69" spans="3:30" x14ac:dyDescent="0.2">
      <c r="C69" t="s">
        <v>171</v>
      </c>
      <c r="D69" s="144">
        <v>-6.1925284751868102</v>
      </c>
      <c r="E69" s="70">
        <v>89.394629507604591</v>
      </c>
      <c r="F69" s="70">
        <v>236.87379989955863</v>
      </c>
      <c r="G69" s="70">
        <v>237.78023921624975</v>
      </c>
      <c r="H69" s="70">
        <v>316.76640015776132</v>
      </c>
      <c r="I69" s="70">
        <v>325.34136305447697</v>
      </c>
      <c r="J69" s="70">
        <v>-74.896288123464501</v>
      </c>
      <c r="K69" s="70">
        <v>-795.16411934977941</v>
      </c>
      <c r="L69" s="70">
        <v>-602.84903316651253</v>
      </c>
      <c r="M69" s="70">
        <v>-568.57618770620536</v>
      </c>
      <c r="N69" s="70">
        <v>-1057.9161315913996</v>
      </c>
      <c r="O69" s="70">
        <v>-1108.8320319236348</v>
      </c>
      <c r="P69" s="144">
        <v>-711.84198191905432</v>
      </c>
      <c r="Q69" s="70">
        <v>-532.2431833645968</v>
      </c>
      <c r="R69" s="70">
        <v>-398.2408090246501</v>
      </c>
      <c r="S69" s="70">
        <v>-69.889673980206908</v>
      </c>
      <c r="T69" s="70">
        <v>293.18322395253279</v>
      </c>
      <c r="U69" s="70">
        <v>124.39042733313448</v>
      </c>
      <c r="V69" s="70">
        <v>-245.89638807226933</v>
      </c>
      <c r="W69" s="70">
        <v>-672.1541901791735</v>
      </c>
      <c r="X69" s="70">
        <v>-604.73473753174949</v>
      </c>
      <c r="Y69" s="70">
        <v>-642.44361309418105</v>
      </c>
      <c r="Z69" s="70">
        <v>-797.11947057317195</v>
      </c>
      <c r="AA69" s="145">
        <v>-465</v>
      </c>
      <c r="AB69" s="15"/>
      <c r="AC69" s="92">
        <f t="shared" ref="AC69" si="362">SUM(D69:O69)</f>
        <v>-3008.269888500532</v>
      </c>
      <c r="AD69" s="93">
        <f t="shared" ref="AD69" si="363">SUM(P69:AA69)</f>
        <v>-4721.9903964533869</v>
      </c>
    </row>
    <row r="70" spans="3:30" x14ac:dyDescent="0.2">
      <c r="C70" s="16" t="s">
        <v>173</v>
      </c>
      <c r="D70" s="96">
        <f>D69/D66</f>
        <v>-0.25630257299863335</v>
      </c>
      <c r="E70" s="111">
        <f t="shared" ref="E70:AA70" si="364">E69/E66</f>
        <v>-0.22355485481238865</v>
      </c>
      <c r="F70" s="111">
        <f t="shared" si="364"/>
        <v>-0.27813866777419438</v>
      </c>
      <c r="G70" s="111">
        <f t="shared" si="364"/>
        <v>-0.23780990319002149</v>
      </c>
      <c r="H70" s="111">
        <f t="shared" si="364"/>
        <v>-0.23480246383821829</v>
      </c>
      <c r="I70" s="111">
        <f t="shared" si="364"/>
        <v>-0.24772067018174038</v>
      </c>
      <c r="J70" s="111">
        <f t="shared" si="364"/>
        <v>-0.26549244306385789</v>
      </c>
      <c r="K70" s="111">
        <f t="shared" si="364"/>
        <v>-0.25281261242058739</v>
      </c>
      <c r="L70" s="111">
        <f t="shared" si="364"/>
        <v>-0.24460084329536549</v>
      </c>
      <c r="M70" s="111">
        <f t="shared" si="364"/>
        <v>-0.22829029579368071</v>
      </c>
      <c r="N70" s="111">
        <f t="shared" si="364"/>
        <v>-0.25106944976131335</v>
      </c>
      <c r="O70" s="111">
        <f t="shared" si="364"/>
        <v>-0.27761791273036174</v>
      </c>
      <c r="P70" s="96">
        <f t="shared" si="364"/>
        <v>-0.25346255671693979</v>
      </c>
      <c r="Q70" s="111">
        <f t="shared" si="364"/>
        <v>-0.28463276535245136</v>
      </c>
      <c r="R70" s="111">
        <f t="shared" si="364"/>
        <v>-0.2874343089920296</v>
      </c>
      <c r="S70" s="111">
        <f t="shared" si="364"/>
        <v>-0.3495166162442751</v>
      </c>
      <c r="T70" s="111">
        <f t="shared" si="364"/>
        <v>-0.37484288204769695</v>
      </c>
      <c r="U70" s="111">
        <f t="shared" si="364"/>
        <v>-0.3763034559174977</v>
      </c>
      <c r="V70" s="111">
        <f t="shared" si="364"/>
        <v>-0.21247729181578112</v>
      </c>
      <c r="W70" s="111">
        <f t="shared" si="364"/>
        <v>-0.245723582038225</v>
      </c>
      <c r="X70" s="111">
        <f t="shared" si="364"/>
        <v>-0.29052095863123512</v>
      </c>
      <c r="Y70" s="111">
        <f t="shared" si="364"/>
        <v>-0.25170172824193848</v>
      </c>
      <c r="Z70" s="111">
        <f t="shared" si="364"/>
        <v>-0.27276758867554424</v>
      </c>
      <c r="AA70" s="97">
        <f t="shared" si="364"/>
        <v>-0.25841178548670635</v>
      </c>
      <c r="AB70" s="15"/>
      <c r="AC70" s="96">
        <f t="shared" ref="AC70:AD70" si="365">AC69/AC66</f>
        <v>-0.2571024004100404</v>
      </c>
      <c r="AD70" s="97">
        <f t="shared" si="365"/>
        <v>-0.25663561638060572</v>
      </c>
    </row>
    <row r="71" spans="3:30" ht="3" customHeight="1" x14ac:dyDescent="0.2">
      <c r="C71" s="7"/>
      <c r="D71" s="36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6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8"/>
      <c r="AB71" s="15"/>
      <c r="AC71" s="36"/>
      <c r="AD71" s="38"/>
    </row>
    <row r="72" spans="3:30" x14ac:dyDescent="0.2">
      <c r="C72" s="180" t="s">
        <v>172</v>
      </c>
      <c r="D72" s="181">
        <f>D66+D69</f>
        <v>17.968479363075623</v>
      </c>
      <c r="E72" s="181">
        <f t="shared" ref="E72:AA72" si="366">E66+E69</f>
        <v>-310.48319726840623</v>
      </c>
      <c r="F72" s="181">
        <f t="shared" si="366"/>
        <v>-614.76542666013552</v>
      </c>
      <c r="G72" s="181">
        <f t="shared" si="366"/>
        <v>-762.09502260685417</v>
      </c>
      <c r="H72" s="181">
        <f t="shared" si="366"/>
        <v>-1032.3097337963404</v>
      </c>
      <c r="I72" s="181">
        <f t="shared" si="366"/>
        <v>-987.99822550626027</v>
      </c>
      <c r="J72" s="181">
        <f t="shared" si="366"/>
        <v>207.2069885617027</v>
      </c>
      <c r="K72" s="181">
        <f t="shared" si="366"/>
        <v>2350.1066475489788</v>
      </c>
      <c r="L72" s="181">
        <f t="shared" si="366"/>
        <v>1861.7746575970868</v>
      </c>
      <c r="M72" s="181">
        <f t="shared" si="366"/>
        <v>1922.0079421600108</v>
      </c>
      <c r="N72" s="181">
        <f t="shared" si="366"/>
        <v>3155.7232920706147</v>
      </c>
      <c r="O72" s="181">
        <f t="shared" si="366"/>
        <v>2885.261940681783</v>
      </c>
      <c r="P72" s="182">
        <f t="shared" si="366"/>
        <v>2096.6279993650865</v>
      </c>
      <c r="Q72" s="181">
        <f t="shared" si="366"/>
        <v>1337.6862420321513</v>
      </c>
      <c r="R72" s="181">
        <f t="shared" si="366"/>
        <v>987.26118766181048</v>
      </c>
      <c r="S72" s="181">
        <f t="shared" si="366"/>
        <v>130.0712741750059</v>
      </c>
      <c r="T72" s="181">
        <f t="shared" si="366"/>
        <v>-488.96641258565455</v>
      </c>
      <c r="U72" s="181">
        <f t="shared" si="366"/>
        <v>-206.16839527944961</v>
      </c>
      <c r="V72" s="181">
        <f t="shared" si="366"/>
        <v>911.38675485042347</v>
      </c>
      <c r="W72" s="181">
        <f t="shared" si="366"/>
        <v>2063.2535578432062</v>
      </c>
      <c r="X72" s="181">
        <f t="shared" si="366"/>
        <v>1476.818140377321</v>
      </c>
      <c r="Y72" s="181">
        <f t="shared" si="366"/>
        <v>1909.9568713262404</v>
      </c>
      <c r="Z72" s="181">
        <f t="shared" si="366"/>
        <v>2125.2199262872878</v>
      </c>
      <c r="AA72" s="183">
        <f t="shared" si="366"/>
        <v>1334.4535315956837</v>
      </c>
      <c r="AC72" s="182">
        <f>SUM(D72:O72)</f>
        <v>8692.3983421452558</v>
      </c>
      <c r="AD72" s="183">
        <f t="shared" ref="AD72" si="367">SUM(P72:AA72)</f>
        <v>13677.600677649112</v>
      </c>
    </row>
    <row r="73" spans="3:30" x14ac:dyDescent="0.2">
      <c r="C73" s="16" t="s">
        <v>9</v>
      </c>
      <c r="D73" s="96">
        <f>(D72/D$14)</f>
        <v>1.9643151936637694E-3</v>
      </c>
      <c r="E73" s="111">
        <f t="shared" ref="E73" si="368">(E72/E$14)</f>
        <v>-3.5135551325566249E-2</v>
      </c>
      <c r="F73" s="111">
        <f t="shared" ref="F73" si="369">(F72/F$14)</f>
        <v>-6.3749617659278085E-2</v>
      </c>
      <c r="G73" s="111">
        <f t="shared" ref="G73" si="370">(G72/G$14)</f>
        <v>-8.5773942072165446E-2</v>
      </c>
      <c r="H73" s="111">
        <f t="shared" ref="H73" si="371">(H72/H$14)</f>
        <v>-0.10527228211465017</v>
      </c>
      <c r="I73" s="111">
        <f t="shared" ref="I73" si="372">(I72/I$14)</f>
        <v>-0.10367597582360844</v>
      </c>
      <c r="J73" s="111">
        <f t="shared" ref="J73" si="373">(J72/J$14)</f>
        <v>2.035283994993017E-2</v>
      </c>
      <c r="K73" s="111">
        <f t="shared" ref="K73" si="374">(K72/K$14)</f>
        <v>0.18180550078542915</v>
      </c>
      <c r="L73" s="111">
        <f t="shared" ref="L73" si="375">(L72/L$14)</f>
        <v>0.15813133283661823</v>
      </c>
      <c r="M73" s="111">
        <f t="shared" ref="M73" si="376">(M72/M$14)</f>
        <v>0.16169341315282154</v>
      </c>
      <c r="N73" s="111">
        <f t="shared" ref="N73" si="377">(N72/N$14)</f>
        <v>0.24199526025724305</v>
      </c>
      <c r="O73" s="111">
        <f t="shared" ref="O73" si="378">(O72/O$14)</f>
        <v>0.25236812601158548</v>
      </c>
      <c r="P73" s="96">
        <f t="shared" ref="P73" si="379">(P72/P$14)</f>
        <v>0.15469805224337552</v>
      </c>
      <c r="Q73" s="111">
        <f t="shared" ref="Q73" si="380">(Q72/Q$14)</f>
        <v>0.10473278894914491</v>
      </c>
      <c r="R73" s="111">
        <f t="shared" ref="R73" si="381">(R72/R$14)</f>
        <v>7.8175839239118083E-2</v>
      </c>
      <c r="S73" s="111">
        <f t="shared" ref="S73" si="382">(S72/S$14)</f>
        <v>1.1007395873007364E-2</v>
      </c>
      <c r="T73" s="111">
        <f t="shared" ref="T73" si="383">(T72/T$14)</f>
        <v>-4.1236133173860934E-2</v>
      </c>
      <c r="U73" s="111">
        <f t="shared" ref="U73" si="384">(U72/U$14)</f>
        <v>-1.8935976442589441E-2</v>
      </c>
      <c r="V73" s="111">
        <f t="shared" ref="V73" si="385">(V72/V$14)</f>
        <v>7.1606389593117784E-2</v>
      </c>
      <c r="W73" s="111">
        <f t="shared" ref="W73" si="386">(W72/W$14)</f>
        <v>0.15584385244590565</v>
      </c>
      <c r="X73" s="111">
        <f t="shared" ref="X73" si="387">(X72/X$14)</f>
        <v>0.12208125891838971</v>
      </c>
      <c r="Y73" s="111">
        <f t="shared" ref="Y73" si="388">(Y72/Y$14)</f>
        <v>0.139164214018166</v>
      </c>
      <c r="Z73" s="111">
        <f t="shared" ref="Z73" si="389">(Z72/Z$14)</f>
        <v>0.1732359152098541</v>
      </c>
      <c r="AA73" s="97">
        <f t="shared" ref="AA73" si="390">(AA72/AA$14)</f>
        <v>0.13486572434609398</v>
      </c>
      <c r="AB73" s="15"/>
      <c r="AC73" s="96">
        <f t="shared" ref="AC73" si="391">(AC72/AC$14)</f>
        <v>6.8396118458836863E-2</v>
      </c>
      <c r="AD73" s="97">
        <f t="shared" ref="AD73" si="392">(AD72/AD$14)</f>
        <v>9.2750158108465361E-2</v>
      </c>
    </row>
    <row r="74" spans="3:30" ht="6" customHeight="1" x14ac:dyDescent="0.2">
      <c r="D74" s="11"/>
      <c r="P74" s="11"/>
      <c r="AA74" s="15"/>
      <c r="AB74" s="15"/>
      <c r="AC74" s="11"/>
      <c r="AD74" s="15"/>
    </row>
    <row r="75" spans="3:30" x14ac:dyDescent="0.2">
      <c r="C75" s="79" t="s">
        <v>13</v>
      </c>
      <c r="D75" s="11"/>
      <c r="P75" s="11"/>
      <c r="AA75" s="15"/>
      <c r="AB75" s="15"/>
      <c r="AC75" s="11"/>
      <c r="AD75" s="15"/>
    </row>
    <row r="76" spans="3:30" x14ac:dyDescent="0.2">
      <c r="C76" s="24" t="s">
        <v>15</v>
      </c>
      <c r="D76" s="108">
        <v>9127.5199567063446</v>
      </c>
      <c r="E76" s="222">
        <v>8831.4614439259822</v>
      </c>
      <c r="F76" s="222">
        <v>9655.312192165773</v>
      </c>
      <c r="G76" s="222">
        <v>8892.7573358044247</v>
      </c>
      <c r="H76" s="222">
        <v>9823.2828356496484</v>
      </c>
      <c r="I76" s="222">
        <v>9505.41205540804</v>
      </c>
      <c r="J76" s="222">
        <v>10164.594983884463</v>
      </c>
      <c r="K76" s="222">
        <v>12911.208642355628</v>
      </c>
      <c r="L76" s="222">
        <v>11783.84402027067</v>
      </c>
      <c r="M76" s="222">
        <v>11898.469552470755</v>
      </c>
      <c r="N76" s="222">
        <v>13023.919269707008</v>
      </c>
      <c r="O76" s="222">
        <v>11435.442241997955</v>
      </c>
      <c r="P76" s="94">
        <v>13573.704573260678</v>
      </c>
      <c r="Q76" s="98">
        <v>12769.6858531126</v>
      </c>
      <c r="R76" s="98">
        <v>12650.005325331864</v>
      </c>
      <c r="S76" s="98">
        <v>11793.30356573196</v>
      </c>
      <c r="T76" s="98">
        <v>11858.263887232122</v>
      </c>
      <c r="U76" s="98">
        <v>10888.355404228325</v>
      </c>
      <c r="V76" s="98">
        <v>12742.519128443775</v>
      </c>
      <c r="W76" s="98">
        <v>13239.373361752479</v>
      </c>
      <c r="X76" s="98">
        <v>12067.659436884342</v>
      </c>
      <c r="Y76" s="98">
        <v>13739.345255257629</v>
      </c>
      <c r="Z76" s="98">
        <v>12309.682857054502</v>
      </c>
      <c r="AA76" s="95">
        <v>9886.5489158356104</v>
      </c>
      <c r="AB76" s="34"/>
      <c r="AC76" s="94">
        <f t="shared" ref="AC76" si="393">SUM(D76:O76)</f>
        <v>127053.22453034669</v>
      </c>
      <c r="AD76" s="95">
        <f t="shared" ref="AD76" si="394">SUM(P76:AA76)</f>
        <v>147518.44756412591</v>
      </c>
    </row>
    <row r="77" spans="3:30" x14ac:dyDescent="0.2">
      <c r="C77" s="16" t="s">
        <v>17</v>
      </c>
      <c r="D77" s="96">
        <f>(D76/D$12)</f>
        <v>0.97822125007720306</v>
      </c>
      <c r="E77" s="111">
        <f t="shared" ref="E77:AA77" si="395">(E76/E$12)</f>
        <v>0.97965704328700776</v>
      </c>
      <c r="F77" s="111">
        <f t="shared" si="395"/>
        <v>0.98118429202300517</v>
      </c>
      <c r="G77" s="111">
        <f t="shared" si="395"/>
        <v>0.9808493803935231</v>
      </c>
      <c r="H77" s="111">
        <f t="shared" si="395"/>
        <v>0.98203262194220931</v>
      </c>
      <c r="I77" s="111">
        <f t="shared" si="395"/>
        <v>0.97787770447867772</v>
      </c>
      <c r="J77" s="111">
        <f t="shared" si="395"/>
        <v>0.97899485113369777</v>
      </c>
      <c r="K77" s="111">
        <f t="shared" si="395"/>
        <v>0.9793955580971031</v>
      </c>
      <c r="L77" s="111">
        <f t="shared" si="395"/>
        <v>0.98141363023032591</v>
      </c>
      <c r="M77" s="111">
        <f t="shared" si="395"/>
        <v>0.98158559524259126</v>
      </c>
      <c r="N77" s="111">
        <f t="shared" si="395"/>
        <v>0.97946691058685864</v>
      </c>
      <c r="O77" s="111">
        <f t="shared" si="395"/>
        <v>0.98093990753000615</v>
      </c>
      <c r="P77" s="96">
        <f t="shared" si="395"/>
        <v>0.98117744216934244</v>
      </c>
      <c r="Q77" s="111">
        <f t="shared" si="395"/>
        <v>0.97934571102895052</v>
      </c>
      <c r="R77" s="111">
        <f t="shared" si="395"/>
        <v>0.98105940376536749</v>
      </c>
      <c r="S77" s="111">
        <f t="shared" si="395"/>
        <v>0.97744311846183107</v>
      </c>
      <c r="T77" s="111">
        <f t="shared" si="395"/>
        <v>0.97924395914375728</v>
      </c>
      <c r="U77" s="111">
        <f t="shared" si="395"/>
        <v>0.97926258925833864</v>
      </c>
      <c r="V77" s="111">
        <f t="shared" si="395"/>
        <v>0.98037029574494383</v>
      </c>
      <c r="W77" s="111">
        <f t="shared" si="395"/>
        <v>0.97956695693865214</v>
      </c>
      <c r="X77" s="111">
        <f t="shared" si="395"/>
        <v>0.9771059324115754</v>
      </c>
      <c r="Y77" s="111">
        <f t="shared" si="395"/>
        <v>0.98060560234280436</v>
      </c>
      <c r="Z77" s="111">
        <f t="shared" si="395"/>
        <v>0.98293506175879553</v>
      </c>
      <c r="AA77" s="97">
        <f t="shared" si="395"/>
        <v>0.97894252169428408</v>
      </c>
      <c r="AB77" s="15"/>
      <c r="AC77" s="96">
        <f>(AC76/AC$12)</f>
        <v>0.98016221076498466</v>
      </c>
      <c r="AD77" s="97">
        <f t="shared" ref="AD77" si="396">(AD76/AD$12)</f>
        <v>0.97980733656558072</v>
      </c>
    </row>
    <row r="78" spans="3:30" ht="6" customHeight="1" x14ac:dyDescent="0.2">
      <c r="C78" s="27"/>
      <c r="O78" s="15"/>
      <c r="AA78" s="15"/>
      <c r="AB78" s="15"/>
      <c r="AC78" s="11"/>
      <c r="AD78" s="15"/>
    </row>
    <row r="79" spans="3:30" x14ac:dyDescent="0.2">
      <c r="C79" s="24" t="s">
        <v>55</v>
      </c>
      <c r="D79" s="43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176">
        <f t="shared" ref="P79:AA79" si="397">P11/D11-1</f>
        <v>4.8216688017405751E-2</v>
      </c>
      <c r="Q79" s="177">
        <f t="shared" si="397"/>
        <v>6.5069649996600587E-2</v>
      </c>
      <c r="R79" s="177">
        <f t="shared" si="397"/>
        <v>3.1560101389717987E-2</v>
      </c>
      <c r="S79" s="177">
        <f t="shared" si="397"/>
        <v>4.6129846920810014E-2</v>
      </c>
      <c r="T79" s="177">
        <f t="shared" si="397"/>
        <v>3.1249017002648261E-2</v>
      </c>
      <c r="U79" s="177">
        <f t="shared" si="397"/>
        <v>4.6651515132067889E-2</v>
      </c>
      <c r="V79" s="177">
        <f t="shared" si="397"/>
        <v>4.1243932594398514E-2</v>
      </c>
      <c r="W79" s="177">
        <f t="shared" si="397"/>
        <v>1.2501748528848999E-2</v>
      </c>
      <c r="X79" s="177">
        <f t="shared" si="397"/>
        <v>1.023208570743761E-2</v>
      </c>
      <c r="Y79" s="177">
        <f t="shared" si="397"/>
        <v>2.2740801914629127E-3</v>
      </c>
      <c r="Z79" s="177">
        <f t="shared" si="397"/>
        <v>2.6411876995813266E-4</v>
      </c>
      <c r="AA79" s="104">
        <f t="shared" si="397"/>
        <v>-8.9330595017951264E-3</v>
      </c>
      <c r="AB79" s="24"/>
      <c r="AC79" s="43"/>
      <c r="AD79" s="104">
        <f>AD11/AC11-1</f>
        <v>4.1412867038852053E-2</v>
      </c>
    </row>
    <row r="80" spans="3:30" ht="6" customHeight="1" x14ac:dyDescent="0.2">
      <c r="C80" s="24"/>
      <c r="D80" s="28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29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29"/>
      <c r="AB80" s="25"/>
      <c r="AC80" s="28"/>
      <c r="AD80" s="29"/>
    </row>
    <row r="83" spans="2:31" ht="13.5" thickBot="1" x14ac:dyDescent="0.25">
      <c r="B83" s="2" t="s">
        <v>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3">
        <f ca="1">TODAY()</f>
        <v>45999</v>
      </c>
      <c r="AE83" s="1"/>
    </row>
    <row r="84" spans="2:31" x14ac:dyDescent="0.2">
      <c r="C84" t="s">
        <v>219</v>
      </c>
    </row>
    <row r="86" spans="2:31" x14ac:dyDescent="0.2">
      <c r="D86" s="208">
        <v>2023</v>
      </c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2"/>
      <c r="P86" s="208">
        <v>2024</v>
      </c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2"/>
    </row>
    <row r="87" spans="2:31" ht="15" x14ac:dyDescent="0.35">
      <c r="D87" s="211">
        <v>44957</v>
      </c>
      <c r="E87" s="166">
        <f>EOMONTH(D87,1)</f>
        <v>44985</v>
      </c>
      <c r="F87" s="166">
        <f t="shared" ref="F87" si="398">EOMONTH(E87,1)</f>
        <v>45016</v>
      </c>
      <c r="G87" s="166">
        <f t="shared" ref="G87" si="399">EOMONTH(F87,1)</f>
        <v>45046</v>
      </c>
      <c r="H87" s="166">
        <f t="shared" ref="H87" si="400">EOMONTH(G87,1)</f>
        <v>45077</v>
      </c>
      <c r="I87" s="166">
        <f t="shared" ref="I87" si="401">EOMONTH(H87,1)</f>
        <v>45107</v>
      </c>
      <c r="J87" s="166">
        <f t="shared" ref="J87" si="402">EOMONTH(I87,1)</f>
        <v>45138</v>
      </c>
      <c r="K87" s="166">
        <f t="shared" ref="K87" si="403">EOMONTH(J87,1)</f>
        <v>45169</v>
      </c>
      <c r="L87" s="166">
        <f t="shared" ref="L87" si="404">EOMONTH(K87,1)</f>
        <v>45199</v>
      </c>
      <c r="M87" s="166">
        <f t="shared" ref="M87" si="405">EOMONTH(L87,1)</f>
        <v>45230</v>
      </c>
      <c r="N87" s="166">
        <f t="shared" ref="N87" si="406">EOMONTH(M87,1)</f>
        <v>45260</v>
      </c>
      <c r="O87" s="167">
        <f t="shared" ref="O87" si="407">EOMONTH(N87,1)</f>
        <v>45291</v>
      </c>
      <c r="P87" s="165">
        <f t="shared" ref="P87" si="408">EOMONTH(O87,1)</f>
        <v>45322</v>
      </c>
      <c r="Q87" s="166">
        <f t="shared" ref="Q87" si="409">EOMONTH(P87,1)</f>
        <v>45351</v>
      </c>
      <c r="R87" s="166">
        <f t="shared" ref="R87" si="410">EOMONTH(Q87,1)</f>
        <v>45382</v>
      </c>
      <c r="S87" s="166">
        <f t="shared" ref="S87" si="411">EOMONTH(R87,1)</f>
        <v>45412</v>
      </c>
      <c r="T87" s="166">
        <f t="shared" ref="T87" si="412">EOMONTH(S87,1)</f>
        <v>45443</v>
      </c>
      <c r="U87" s="166">
        <f t="shared" ref="U87" si="413">EOMONTH(T87,1)</f>
        <v>45473</v>
      </c>
      <c r="V87" s="166">
        <f t="shared" ref="V87" si="414">EOMONTH(U87,1)</f>
        <v>45504</v>
      </c>
      <c r="W87" s="166">
        <f t="shared" ref="W87" si="415">EOMONTH(V87,1)</f>
        <v>45535</v>
      </c>
      <c r="X87" s="166">
        <f t="shared" ref="X87" si="416">EOMONTH(W87,1)</f>
        <v>45565</v>
      </c>
      <c r="Y87" s="166">
        <f t="shared" ref="Y87" si="417">EOMONTH(X87,1)</f>
        <v>45596</v>
      </c>
      <c r="Z87" s="166">
        <f t="shared" ref="Z87" si="418">EOMONTH(Y87,1)</f>
        <v>45626</v>
      </c>
      <c r="AA87" s="167">
        <f t="shared" ref="AA87" si="419">EOMONTH(Z87,1)</f>
        <v>45657</v>
      </c>
      <c r="AB87" s="12"/>
    </row>
    <row r="88" spans="2:31" ht="3" customHeight="1" x14ac:dyDescent="0.2">
      <c r="D88" s="11"/>
      <c r="P88" s="11"/>
      <c r="AA88" s="15"/>
    </row>
    <row r="89" spans="2:31" ht="12.75" customHeight="1" x14ac:dyDescent="0.2">
      <c r="C89" s="7" t="s">
        <v>175</v>
      </c>
      <c r="D89" s="188">
        <v>8232.1200000000008</v>
      </c>
      <c r="E89" s="67">
        <v>8077.9817588142751</v>
      </c>
      <c r="F89" s="67">
        <v>6705.0210517001415</v>
      </c>
      <c r="G89" s="67">
        <v>5333.0667473998565</v>
      </c>
      <c r="H89" s="67">
        <v>4792.6440463140034</v>
      </c>
      <c r="I89" s="67">
        <v>3708.0947223776957</v>
      </c>
      <c r="J89" s="67">
        <v>4319.2532173792206</v>
      </c>
      <c r="K89" s="67">
        <v>5860.774331011</v>
      </c>
      <c r="L89" s="67">
        <v>6929.998625766003</v>
      </c>
      <c r="M89" s="67">
        <v>9128.0992414339053</v>
      </c>
      <c r="N89" s="67">
        <v>12247.344003122544</v>
      </c>
      <c r="O89" s="67">
        <v>11378.65022249398</v>
      </c>
      <c r="P89" s="188">
        <v>13173.609593624944</v>
      </c>
      <c r="Q89" s="67">
        <v>13785.012494425435</v>
      </c>
      <c r="R89" s="67">
        <v>13488.748210809072</v>
      </c>
      <c r="S89" s="67">
        <v>13989.070303621353</v>
      </c>
      <c r="T89" s="67">
        <v>13005.637957793029</v>
      </c>
      <c r="U89" s="67">
        <v>10071.560218343791</v>
      </c>
      <c r="V89" s="67">
        <v>10905.635234669431</v>
      </c>
      <c r="W89" s="67">
        <v>12680.159321524134</v>
      </c>
      <c r="X89" s="67">
        <v>13895.175589926894</v>
      </c>
      <c r="Y89" s="67">
        <v>15281.940294904003</v>
      </c>
      <c r="Z89" s="67">
        <v>17719.205536318259</v>
      </c>
      <c r="AA89" s="197">
        <v>20550.830587909699</v>
      </c>
    </row>
    <row r="90" spans="2:31" ht="12.75" customHeight="1" x14ac:dyDescent="0.2">
      <c r="C90" s="7" t="s">
        <v>176</v>
      </c>
      <c r="D90" s="144">
        <v>9202.1009175950112</v>
      </c>
      <c r="E90" s="70">
        <v>9174.885348224323</v>
      </c>
      <c r="F90" s="70">
        <v>9718.8647873251793</v>
      </c>
      <c r="G90" s="70">
        <v>9599.4712879158324</v>
      </c>
      <c r="H90" s="70">
        <v>9755.0730172413078</v>
      </c>
      <c r="I90" s="70">
        <v>9656.8003901556403</v>
      </c>
      <c r="J90" s="70">
        <v>10001.300794443307</v>
      </c>
      <c r="K90" s="70">
        <v>11370.792335578779</v>
      </c>
      <c r="L90" s="70">
        <v>12553.278310773452</v>
      </c>
      <c r="M90" s="70">
        <v>13531.341739304715</v>
      </c>
      <c r="N90" s="70">
        <v>13539.549943890563</v>
      </c>
      <c r="O90" s="70">
        <v>13216.328959852761</v>
      </c>
      <c r="P90" s="144">
        <v>14066.965486151968</v>
      </c>
      <c r="Q90" s="70">
        <v>14208.021425784642</v>
      </c>
      <c r="R90" s="70">
        <v>14354.796198087843</v>
      </c>
      <c r="S90" s="70">
        <v>13606.01772923124</v>
      </c>
      <c r="T90" s="70">
        <v>12999.925165194833</v>
      </c>
      <c r="U90" s="70">
        <v>12106.235585102535</v>
      </c>
      <c r="V90" s="70">
        <v>12668.990901749576</v>
      </c>
      <c r="W90" s="70">
        <v>13123.032645921638</v>
      </c>
      <c r="X90" s="70">
        <v>13550.214514355906</v>
      </c>
      <c r="Y90" s="70">
        <v>13897.822492904277</v>
      </c>
      <c r="Z90" s="70">
        <v>13790.177168726146</v>
      </c>
      <c r="AA90" s="145">
        <v>13303.136047981026</v>
      </c>
    </row>
    <row r="91" spans="2:31" ht="12.75" customHeight="1" x14ac:dyDescent="0.2">
      <c r="C91" s="7" t="s">
        <v>197</v>
      </c>
      <c r="D91" s="144">
        <v>709.82179068493156</v>
      </c>
      <c r="E91" s="70">
        <v>731.9369174201496</v>
      </c>
      <c r="F91" s="70">
        <v>712.81617305042494</v>
      </c>
      <c r="G91" s="70">
        <v>754.87054447002993</v>
      </c>
      <c r="H91" s="70">
        <v>846.35261254020179</v>
      </c>
      <c r="I91" s="70">
        <v>866.88579000654192</v>
      </c>
      <c r="J91" s="70">
        <v>854.2219692891473</v>
      </c>
      <c r="K91" s="70">
        <v>791.33313697775941</v>
      </c>
      <c r="L91" s="70">
        <v>708.05276212781689</v>
      </c>
      <c r="M91" s="70">
        <v>688.60323093580143</v>
      </c>
      <c r="N91" s="70">
        <v>635.85115067051652</v>
      </c>
      <c r="O91" s="70">
        <v>557.88614292055024</v>
      </c>
      <c r="P91" s="144">
        <v>578.35458454358002</v>
      </c>
      <c r="Q91" s="70">
        <v>615.56504947476503</v>
      </c>
      <c r="R91" s="70">
        <v>709.42224878741922</v>
      </c>
      <c r="S91" s="70">
        <v>737.27909769907524</v>
      </c>
      <c r="T91" s="70">
        <v>803.13030988643504</v>
      </c>
      <c r="U91" s="70">
        <v>811.10527687224192</v>
      </c>
      <c r="V91" s="70">
        <v>797.51990904517379</v>
      </c>
      <c r="W91" s="70">
        <v>698.92814024326981</v>
      </c>
      <c r="X91" s="70">
        <v>640.87107058821016</v>
      </c>
      <c r="Y91" s="70">
        <v>594.95146820586388</v>
      </c>
      <c r="Z91" s="70">
        <v>572.16176150736351</v>
      </c>
      <c r="AA91" s="145">
        <v>537.45080305903184</v>
      </c>
    </row>
    <row r="92" spans="2:31" ht="12.75" customHeight="1" x14ac:dyDescent="0.2">
      <c r="C92" s="7" t="s">
        <v>178</v>
      </c>
      <c r="D92" s="144">
        <v>79.562499999999886</v>
      </c>
      <c r="E92" s="70">
        <v>160.2916666666664</v>
      </c>
      <c r="F92" s="70">
        <v>241.02083333333292</v>
      </c>
      <c r="G92" s="70">
        <v>321.99999999999943</v>
      </c>
      <c r="H92" s="70">
        <v>403.33333333333246</v>
      </c>
      <c r="I92" s="70">
        <v>454.66666666666572</v>
      </c>
      <c r="J92" s="70">
        <v>523.41666666666561</v>
      </c>
      <c r="K92" s="70">
        <v>598.66666666666561</v>
      </c>
      <c r="L92" s="70">
        <v>674.24999999999909</v>
      </c>
      <c r="M92" s="70">
        <v>749.83333333333258</v>
      </c>
      <c r="N92" s="70">
        <v>824.02083333333269</v>
      </c>
      <c r="O92" s="70">
        <v>3.416666666665833</v>
      </c>
      <c r="P92" s="144">
        <v>88.333333333332234</v>
      </c>
      <c r="Q92" s="70">
        <v>173.60416666666538</v>
      </c>
      <c r="R92" s="70">
        <v>259.22916666666526</v>
      </c>
      <c r="S92" s="70">
        <v>340.85416666666515</v>
      </c>
      <c r="T92" s="70">
        <v>420.47916666666504</v>
      </c>
      <c r="U92" s="70">
        <v>504.10416666666504</v>
      </c>
      <c r="V92" s="70">
        <v>561.47916666666504</v>
      </c>
      <c r="W92" s="70">
        <v>641.35416666666504</v>
      </c>
      <c r="X92" s="70">
        <v>711.47916666666515</v>
      </c>
      <c r="Y92" s="70">
        <v>790.27083333333189</v>
      </c>
      <c r="Z92" s="70">
        <v>861.49999999999864</v>
      </c>
      <c r="AA92" s="145">
        <v>3.7472222222211258</v>
      </c>
    </row>
    <row r="93" spans="2:31" ht="12.75" customHeight="1" x14ac:dyDescent="0.2">
      <c r="C93" s="7" t="s">
        <v>177</v>
      </c>
      <c r="D93" s="144">
        <v>5768.5550039999998</v>
      </c>
      <c r="E93" s="70">
        <v>5788.4838554290918</v>
      </c>
      <c r="F93" s="70">
        <v>5962.4611174332558</v>
      </c>
      <c r="G93" s="70">
        <v>6014.7796475810919</v>
      </c>
      <c r="H93" s="70">
        <v>5952.4666913326455</v>
      </c>
      <c r="I93" s="70">
        <v>5845.7290235941937</v>
      </c>
      <c r="J93" s="70">
        <v>6324.7495301453609</v>
      </c>
      <c r="K93" s="70">
        <v>7027.0898404932914</v>
      </c>
      <c r="L93" s="70">
        <v>7817.8496762881723</v>
      </c>
      <c r="M93" s="70">
        <v>7911.3231176503205</v>
      </c>
      <c r="N93" s="70">
        <v>7618.6386717043388</v>
      </c>
      <c r="O93" s="70">
        <v>7193.1899096700599</v>
      </c>
      <c r="P93" s="144">
        <v>7426.8518789272548</v>
      </c>
      <c r="Q93" s="70">
        <v>7744.801863502842</v>
      </c>
      <c r="R93" s="70">
        <v>8229.5566118097795</v>
      </c>
      <c r="S93" s="70">
        <v>7501.3406829767073</v>
      </c>
      <c r="T93" s="70">
        <v>7447.3253492328986</v>
      </c>
      <c r="U93" s="70">
        <v>6830.6613127915116</v>
      </c>
      <c r="V93" s="70">
        <v>7067.8712588081562</v>
      </c>
      <c r="W93" s="70">
        <v>7611.8645261947322</v>
      </c>
      <c r="X93" s="70">
        <v>8087.6775146388491</v>
      </c>
      <c r="Y93" s="70">
        <v>8760.3802461636787</v>
      </c>
      <c r="Z93" s="70">
        <v>8342.2974555214569</v>
      </c>
      <c r="AA93" s="145">
        <v>8477.3958180610844</v>
      </c>
    </row>
    <row r="94" spans="2:31" ht="12.75" customHeight="1" x14ac:dyDescent="0.2">
      <c r="C94" s="8" t="s">
        <v>179</v>
      </c>
      <c r="D94" s="94">
        <f>SUM(D89:D93)</f>
        <v>23992.160212279945</v>
      </c>
      <c r="E94" s="98">
        <f t="shared" ref="E94:AA94" si="420">SUM(E89:E93)</f>
        <v>23933.579546554505</v>
      </c>
      <c r="F94" s="98">
        <f t="shared" si="420"/>
        <v>23340.183962842337</v>
      </c>
      <c r="G94" s="98">
        <f t="shared" si="420"/>
        <v>22024.188227366809</v>
      </c>
      <c r="H94" s="98">
        <f t="shared" si="420"/>
        <v>21749.86970076149</v>
      </c>
      <c r="I94" s="98">
        <f t="shared" si="420"/>
        <v>20532.176592800737</v>
      </c>
      <c r="J94" s="98">
        <f t="shared" si="420"/>
        <v>22022.942177923702</v>
      </c>
      <c r="K94" s="98">
        <f t="shared" si="420"/>
        <v>25648.656310727496</v>
      </c>
      <c r="L94" s="98">
        <f t="shared" si="420"/>
        <v>28683.429374955445</v>
      </c>
      <c r="M94" s="98">
        <f t="shared" si="420"/>
        <v>32009.200662658073</v>
      </c>
      <c r="N94" s="98">
        <f t="shared" si="420"/>
        <v>34865.404602721297</v>
      </c>
      <c r="O94" s="98">
        <f t="shared" si="420"/>
        <v>32349.471901604011</v>
      </c>
      <c r="P94" s="94">
        <f t="shared" si="420"/>
        <v>35334.114876581079</v>
      </c>
      <c r="Q94" s="98">
        <f t="shared" si="420"/>
        <v>36527.004999854347</v>
      </c>
      <c r="R94" s="98">
        <f t="shared" si="420"/>
        <v>37041.752436160779</v>
      </c>
      <c r="S94" s="98">
        <f t="shared" si="420"/>
        <v>36174.561980195038</v>
      </c>
      <c r="T94" s="98">
        <f t="shared" si="420"/>
        <v>34676.49794877386</v>
      </c>
      <c r="U94" s="98">
        <f t="shared" si="420"/>
        <v>30323.666559776742</v>
      </c>
      <c r="V94" s="98">
        <f t="shared" si="420"/>
        <v>32001.496470939004</v>
      </c>
      <c r="W94" s="98">
        <f t="shared" si="420"/>
        <v>34755.338800550438</v>
      </c>
      <c r="X94" s="98">
        <f t="shared" si="420"/>
        <v>36885.417856176522</v>
      </c>
      <c r="Y94" s="98">
        <f t="shared" si="420"/>
        <v>39325.365335511153</v>
      </c>
      <c r="Z94" s="98">
        <f t="shared" si="420"/>
        <v>41285.341922073218</v>
      </c>
      <c r="AA94" s="95">
        <f t="shared" si="420"/>
        <v>42872.560479233063</v>
      </c>
    </row>
    <row r="95" spans="2:31" ht="3" customHeight="1" x14ac:dyDescent="0.2">
      <c r="D95" s="11"/>
      <c r="P95" s="11"/>
      <c r="AA95" s="15"/>
    </row>
    <row r="96" spans="2:31" ht="12.75" customHeight="1" x14ac:dyDescent="0.2">
      <c r="C96" s="7" t="s">
        <v>180</v>
      </c>
      <c r="D96" s="188">
        <v>23424.12</v>
      </c>
      <c r="E96" s="67">
        <v>23320.389146924957</v>
      </c>
      <c r="F96" s="67">
        <v>23473.178416334329</v>
      </c>
      <c r="G96" s="67">
        <v>23550.050011678519</v>
      </c>
      <c r="H96" s="67">
        <v>23682.452981366227</v>
      </c>
      <c r="I96" s="67">
        <v>23878.531106363269</v>
      </c>
      <c r="J96" s="67">
        <v>23829.848570981005</v>
      </c>
      <c r="K96" s="67">
        <v>23722.004329034364</v>
      </c>
      <c r="L96" s="67">
        <v>23900.580995874388</v>
      </c>
      <c r="M96" s="67">
        <v>23885.89838781759</v>
      </c>
      <c r="N96" s="67">
        <v>24103.102399808871</v>
      </c>
      <c r="O96" s="67">
        <v>23998.941159469236</v>
      </c>
      <c r="P96" s="188">
        <v>24134.565467636061</v>
      </c>
      <c r="Q96" s="67">
        <v>24175.731423185989</v>
      </c>
      <c r="R96" s="67">
        <v>24488.277636144459</v>
      </c>
      <c r="S96" s="67">
        <v>24453.675671481658</v>
      </c>
      <c r="T96" s="67">
        <v>24487.500859298591</v>
      </c>
      <c r="U96" s="67">
        <v>24569.701041641852</v>
      </c>
      <c r="V96" s="67">
        <v>24473.57612823501</v>
      </c>
      <c r="W96" s="67">
        <v>24566.547027535402</v>
      </c>
      <c r="X96" s="67">
        <v>24597.501694312781</v>
      </c>
      <c r="Y96" s="67">
        <v>24588.053140960055</v>
      </c>
      <c r="Z96" s="67">
        <v>24824.186355874888</v>
      </c>
      <c r="AA96" s="197">
        <v>24819.970348819545</v>
      </c>
    </row>
    <row r="97" spans="3:28" ht="12.75" customHeight="1" x14ac:dyDescent="0.2">
      <c r="C97" s="7" t="s">
        <v>181</v>
      </c>
      <c r="D97" s="144">
        <v>23842</v>
      </c>
      <c r="E97" s="70">
        <v>23842</v>
      </c>
      <c r="F97" s="70">
        <v>23842</v>
      </c>
      <c r="G97" s="70">
        <v>23842</v>
      </c>
      <c r="H97" s="70">
        <v>23842</v>
      </c>
      <c r="I97" s="70">
        <v>23842</v>
      </c>
      <c r="J97" s="70">
        <v>23842</v>
      </c>
      <c r="K97" s="70">
        <v>23842</v>
      </c>
      <c r="L97" s="70">
        <v>23842</v>
      </c>
      <c r="M97" s="70">
        <v>23842</v>
      </c>
      <c r="N97" s="70">
        <v>23842</v>
      </c>
      <c r="O97" s="70">
        <v>23842</v>
      </c>
      <c r="P97" s="144">
        <v>23842</v>
      </c>
      <c r="Q97" s="70">
        <v>23842</v>
      </c>
      <c r="R97" s="70">
        <v>23842</v>
      </c>
      <c r="S97" s="70">
        <v>23842</v>
      </c>
      <c r="T97" s="70">
        <v>23842</v>
      </c>
      <c r="U97" s="70">
        <v>23842</v>
      </c>
      <c r="V97" s="70">
        <v>23842</v>
      </c>
      <c r="W97" s="70">
        <v>23842</v>
      </c>
      <c r="X97" s="70">
        <v>23842</v>
      </c>
      <c r="Y97" s="70">
        <v>23842</v>
      </c>
      <c r="Z97" s="70">
        <v>23842</v>
      </c>
      <c r="AA97" s="145">
        <v>23842</v>
      </c>
    </row>
    <row r="98" spans="3:28" ht="12.75" customHeight="1" x14ac:dyDescent="0.2">
      <c r="C98" s="7" t="s">
        <v>182</v>
      </c>
      <c r="D98" s="144">
        <v>183502.3983781201</v>
      </c>
      <c r="E98" s="70">
        <v>183490.26637812008</v>
      </c>
      <c r="F98" s="70">
        <v>183478.13437812007</v>
      </c>
      <c r="G98" s="70">
        <v>183466.00237812006</v>
      </c>
      <c r="H98" s="70">
        <v>183453.87037812005</v>
      </c>
      <c r="I98" s="70">
        <v>183441.73837812003</v>
      </c>
      <c r="J98" s="70">
        <v>183429.60637812002</v>
      </c>
      <c r="K98" s="70">
        <v>183417.47437812001</v>
      </c>
      <c r="L98" s="70">
        <v>183405.34237812</v>
      </c>
      <c r="M98" s="70">
        <v>183393.21037811998</v>
      </c>
      <c r="N98" s="70">
        <v>183381.07837811997</v>
      </c>
      <c r="O98" s="70">
        <v>183368.94637811996</v>
      </c>
      <c r="P98" s="144">
        <v>183356.81437811995</v>
      </c>
      <c r="Q98" s="70">
        <v>183344.68237811993</v>
      </c>
      <c r="R98" s="70">
        <v>183332.55037811992</v>
      </c>
      <c r="S98" s="70">
        <v>183320.41837811991</v>
      </c>
      <c r="T98" s="70">
        <v>183308.2863781199</v>
      </c>
      <c r="U98" s="70">
        <v>183296.15437811989</v>
      </c>
      <c r="V98" s="70">
        <v>183284.02237811987</v>
      </c>
      <c r="W98" s="70">
        <v>183271.89037811986</v>
      </c>
      <c r="X98" s="70">
        <v>183259.75837811985</v>
      </c>
      <c r="Y98" s="70">
        <v>183247.62637811984</v>
      </c>
      <c r="Z98" s="70">
        <v>183235.49437811982</v>
      </c>
      <c r="AA98" s="145">
        <v>183223.36237811981</v>
      </c>
    </row>
    <row r="99" spans="3:28" ht="12.75" customHeight="1" x14ac:dyDescent="0.2">
      <c r="C99" s="7" t="s">
        <v>183</v>
      </c>
      <c r="D99" s="144">
        <v>2312</v>
      </c>
      <c r="E99" s="70">
        <v>2316.8370011473794</v>
      </c>
      <c r="F99" s="70">
        <v>2312.2116112817089</v>
      </c>
      <c r="G99" s="70">
        <v>2314.3829137289667</v>
      </c>
      <c r="H99" s="70">
        <v>2310.1695453725351</v>
      </c>
      <c r="I99" s="70">
        <v>2306.5490126448126</v>
      </c>
      <c r="J99" s="70">
        <v>2305.2769959846105</v>
      </c>
      <c r="K99" s="70">
        <v>2302.4184630226227</v>
      </c>
      <c r="L99" s="70">
        <v>2297.8301814272681</v>
      </c>
      <c r="M99" s="70">
        <v>2293.5520950781752</v>
      </c>
      <c r="N99" s="70">
        <v>2297.1596725026807</v>
      </c>
      <c r="O99" s="70">
        <v>2300.8852608241177</v>
      </c>
      <c r="P99" s="144">
        <v>2305.0669894865264</v>
      </c>
      <c r="Q99" s="70">
        <v>2302.9745903414891</v>
      </c>
      <c r="R99" s="70">
        <v>2298.3278647420789</v>
      </c>
      <c r="S99" s="70">
        <v>2295.7772467227305</v>
      </c>
      <c r="T99" s="70">
        <v>2296.9493460218064</v>
      </c>
      <c r="U99" s="70">
        <v>2294.3927995594368</v>
      </c>
      <c r="V99" s="70">
        <v>2297.7077230389623</v>
      </c>
      <c r="W99" s="70">
        <v>2292.7593904345786</v>
      </c>
      <c r="X99" s="70">
        <v>2289.2942860875537</v>
      </c>
      <c r="Y99" s="70">
        <v>2286.3962989768511</v>
      </c>
      <c r="Z99" s="70">
        <v>2288.4066067370372</v>
      </c>
      <c r="AA99" s="145">
        <v>2287.6534569560195</v>
      </c>
    </row>
    <row r="100" spans="3:28" ht="12.75" customHeight="1" x14ac:dyDescent="0.2">
      <c r="C100" s="216" t="s">
        <v>184</v>
      </c>
      <c r="D100" s="214">
        <f>SUM(D94,D96:D99)</f>
        <v>257072.67859040003</v>
      </c>
      <c r="E100" s="214">
        <f t="shared" ref="E100:AA100" si="421">SUM(E94,E96:E99)</f>
        <v>256903.07207274693</v>
      </c>
      <c r="F100" s="214">
        <f t="shared" si="421"/>
        <v>256445.70836857843</v>
      </c>
      <c r="G100" s="214">
        <f t="shared" si="421"/>
        <v>255196.62353089437</v>
      </c>
      <c r="H100" s="214">
        <f t="shared" si="421"/>
        <v>255038.36260562029</v>
      </c>
      <c r="I100" s="214">
        <f t="shared" si="421"/>
        <v>254000.99508992885</v>
      </c>
      <c r="J100" s="214">
        <f t="shared" si="421"/>
        <v>255429.67412300932</v>
      </c>
      <c r="K100" s="214">
        <f t="shared" si="421"/>
        <v>258932.55348090449</v>
      </c>
      <c r="L100" s="214">
        <f t="shared" si="421"/>
        <v>262129.18293037711</v>
      </c>
      <c r="M100" s="214">
        <f t="shared" si="421"/>
        <v>265423.86152367381</v>
      </c>
      <c r="N100" s="214">
        <f t="shared" si="421"/>
        <v>268488.74505315279</v>
      </c>
      <c r="O100" s="214">
        <f t="shared" si="421"/>
        <v>265860.24470001733</v>
      </c>
      <c r="P100" s="215">
        <f t="shared" si="421"/>
        <v>268972.56171182363</v>
      </c>
      <c r="Q100" s="214">
        <f t="shared" si="421"/>
        <v>270192.3933915018</v>
      </c>
      <c r="R100" s="214">
        <f t="shared" si="421"/>
        <v>271002.90831516724</v>
      </c>
      <c r="S100" s="214">
        <f t="shared" si="421"/>
        <v>270086.4332765193</v>
      </c>
      <c r="T100" s="214">
        <f t="shared" si="421"/>
        <v>268611.23453221418</v>
      </c>
      <c r="U100" s="214">
        <f t="shared" si="421"/>
        <v>264325.91477909795</v>
      </c>
      <c r="V100" s="214">
        <f t="shared" si="421"/>
        <v>265898.80270033283</v>
      </c>
      <c r="W100" s="214">
        <f t="shared" si="421"/>
        <v>268728.53559664031</v>
      </c>
      <c r="X100" s="214">
        <f t="shared" si="421"/>
        <v>270873.9722146967</v>
      </c>
      <c r="Y100" s="214">
        <f t="shared" si="421"/>
        <v>273289.44115356787</v>
      </c>
      <c r="Z100" s="214">
        <f t="shared" si="421"/>
        <v>275475.42926280497</v>
      </c>
      <c r="AA100" s="217">
        <f t="shared" si="421"/>
        <v>277045.54666312842</v>
      </c>
    </row>
    <row r="101" spans="3:28" ht="6" customHeight="1" x14ac:dyDescent="0.2">
      <c r="D101" s="11"/>
      <c r="P101" s="11"/>
      <c r="AA101" s="15"/>
    </row>
    <row r="102" spans="3:28" ht="12.75" customHeight="1" x14ac:dyDescent="0.2">
      <c r="C102" s="7" t="s">
        <v>186</v>
      </c>
      <c r="D102" s="188">
        <v>290.65738240000002</v>
      </c>
      <c r="E102" s="67">
        <v>299.93272252346372</v>
      </c>
      <c r="F102" s="67">
        <v>313.78732136667418</v>
      </c>
      <c r="G102" s="67">
        <v>334.71427894279265</v>
      </c>
      <c r="H102" s="67">
        <v>375.43823832876586</v>
      </c>
      <c r="I102" s="67">
        <v>377.79273930945044</v>
      </c>
      <c r="J102" s="67">
        <v>380.00528531173819</v>
      </c>
      <c r="K102" s="67">
        <v>354.3459194852025</v>
      </c>
      <c r="L102" s="67">
        <v>323.89596673030775</v>
      </c>
      <c r="M102" s="67">
        <v>316.33778898999265</v>
      </c>
      <c r="N102" s="67">
        <v>300.25433002279556</v>
      </c>
      <c r="O102" s="67">
        <v>275.74295042380129</v>
      </c>
      <c r="P102" s="188">
        <v>271.25004131931757</v>
      </c>
      <c r="Q102" s="67">
        <v>283.25464112289222</v>
      </c>
      <c r="R102" s="67">
        <v>318.62093053722077</v>
      </c>
      <c r="S102" s="67">
        <v>333.7035907543862</v>
      </c>
      <c r="T102" s="67">
        <v>379.51654423297873</v>
      </c>
      <c r="U102" s="67">
        <v>384.51874670884723</v>
      </c>
      <c r="V102" s="67">
        <v>378.42225110740912</v>
      </c>
      <c r="W102" s="67">
        <v>340.33932431529541</v>
      </c>
      <c r="X102" s="67">
        <v>320.523775468412</v>
      </c>
      <c r="Y102" s="67">
        <v>307.89247399793038</v>
      </c>
      <c r="Z102" s="67">
        <v>293.75142730746023</v>
      </c>
      <c r="AA102" s="197">
        <v>275.18775079454412</v>
      </c>
    </row>
    <row r="103" spans="3:28" ht="12.75" customHeight="1" x14ac:dyDescent="0.2">
      <c r="C103" s="7" t="s">
        <v>185</v>
      </c>
      <c r="D103" s="144">
        <v>8367.0032040000006</v>
      </c>
      <c r="E103" s="70">
        <v>8358.169526254027</v>
      </c>
      <c r="F103" s="70">
        <v>8506.6858548996042</v>
      </c>
      <c r="G103" s="70">
        <v>8298.4611094197426</v>
      </c>
      <c r="H103" s="70">
        <v>8754.3504883985006</v>
      </c>
      <c r="I103" s="70">
        <v>8728.9764383662969</v>
      </c>
      <c r="J103" s="70">
        <v>9381.6010022819355</v>
      </c>
      <c r="K103" s="70">
        <v>10126.210985892561</v>
      </c>
      <c r="L103" s="70">
        <v>10990.490628685584</v>
      </c>
      <c r="M103" s="70">
        <v>11883.200245340988</v>
      </c>
      <c r="N103" s="70">
        <v>11702.387274404839</v>
      </c>
      <c r="O103" s="70">
        <v>11876.596772997664</v>
      </c>
      <c r="P103" s="144">
        <v>12443.33819434693</v>
      </c>
      <c r="Q103" s="70">
        <v>12529.920560499875</v>
      </c>
      <c r="R103" s="70">
        <v>12551.701325299606</v>
      </c>
      <c r="S103" s="70">
        <v>11618.612314210908</v>
      </c>
      <c r="T103" s="70">
        <v>10814.6377427606</v>
      </c>
      <c r="U103" s="70">
        <v>10447.875841879484</v>
      </c>
      <c r="V103" s="70">
        <v>10824.646460940579</v>
      </c>
      <c r="W103" s="70">
        <v>11336.422855111468</v>
      </c>
      <c r="X103" s="70">
        <v>12115.33057689065</v>
      </c>
      <c r="Y103" s="70">
        <v>12171.767882402357</v>
      </c>
      <c r="Z103" s="70">
        <v>11952.392844152282</v>
      </c>
      <c r="AA103" s="145">
        <v>11666.094933787725</v>
      </c>
    </row>
    <row r="104" spans="3:28" ht="12.75" customHeight="1" x14ac:dyDescent="0.2">
      <c r="C104" s="7" t="s">
        <v>190</v>
      </c>
      <c r="D104" s="144">
        <v>5768.5550039999998</v>
      </c>
      <c r="E104" s="70">
        <v>5908.9900212378152</v>
      </c>
      <c r="F104" s="70">
        <v>6154.0208162406907</v>
      </c>
      <c r="G104" s="70">
        <v>5854.3287890672109</v>
      </c>
      <c r="H104" s="70">
        <v>6231.7642592247794</v>
      </c>
      <c r="I104" s="70">
        <v>6455.4145180911255</v>
      </c>
      <c r="J104" s="70">
        <v>7022.0494526919947</v>
      </c>
      <c r="K104" s="70">
        <v>7455.8715452540937</v>
      </c>
      <c r="L104" s="70">
        <v>8206.8966470914966</v>
      </c>
      <c r="M104" s="70">
        <v>8694.415859313136</v>
      </c>
      <c r="N104" s="70">
        <v>8800.4725266248734</v>
      </c>
      <c r="O104" s="70">
        <v>8387.0121138137838</v>
      </c>
      <c r="P104" s="144">
        <v>8840.4526140102134</v>
      </c>
      <c r="Q104" s="70">
        <v>8624.0110856997035</v>
      </c>
      <c r="R104" s="70">
        <v>8640.1177674893224</v>
      </c>
      <c r="S104" s="70">
        <v>8511.5778055379615</v>
      </c>
      <c r="T104" s="70">
        <v>8283.5070917901612</v>
      </c>
      <c r="U104" s="70">
        <v>8066.1154323586361</v>
      </c>
      <c r="V104" s="70">
        <v>8356.9424752834948</v>
      </c>
      <c r="W104" s="70">
        <v>8649.7283463689582</v>
      </c>
      <c r="X104" s="70">
        <v>8809.2546511157798</v>
      </c>
      <c r="Y104" s="70">
        <v>9270.960714619514</v>
      </c>
      <c r="Z104" s="70">
        <v>9317.2903021904058</v>
      </c>
      <c r="AA104" s="145">
        <v>8958.3570036977144</v>
      </c>
    </row>
    <row r="105" spans="3:28" ht="12.75" customHeight="1" x14ac:dyDescent="0.2">
      <c r="C105" s="8" t="s">
        <v>191</v>
      </c>
      <c r="D105" s="98">
        <f>SUM(D102:D104)</f>
        <v>14426.215590400001</v>
      </c>
      <c r="E105" s="98">
        <f t="shared" ref="E105:AA105" si="422">SUM(E102:E104)</f>
        <v>14567.092270015306</v>
      </c>
      <c r="F105" s="98">
        <f t="shared" si="422"/>
        <v>14974.493992506968</v>
      </c>
      <c r="G105" s="98">
        <f t="shared" si="422"/>
        <v>14487.504177429746</v>
      </c>
      <c r="H105" s="98">
        <f t="shared" si="422"/>
        <v>15361.552985952047</v>
      </c>
      <c r="I105" s="98">
        <f t="shared" si="422"/>
        <v>15562.183695766873</v>
      </c>
      <c r="J105" s="98">
        <f t="shared" si="422"/>
        <v>16783.655740285667</v>
      </c>
      <c r="K105" s="98">
        <f t="shared" si="422"/>
        <v>17936.428450631858</v>
      </c>
      <c r="L105" s="98">
        <f t="shared" si="422"/>
        <v>19521.283242507387</v>
      </c>
      <c r="M105" s="98">
        <f t="shared" si="422"/>
        <v>20893.953893644117</v>
      </c>
      <c r="N105" s="98">
        <f t="shared" si="422"/>
        <v>20803.114131052505</v>
      </c>
      <c r="O105" s="95">
        <f t="shared" si="422"/>
        <v>20539.351837235248</v>
      </c>
      <c r="P105" s="98">
        <f t="shared" si="422"/>
        <v>21555.040849676461</v>
      </c>
      <c r="Q105" s="98">
        <f t="shared" si="422"/>
        <v>21437.186287322471</v>
      </c>
      <c r="R105" s="98">
        <f t="shared" si="422"/>
        <v>21510.440023326148</v>
      </c>
      <c r="S105" s="98">
        <f t="shared" si="422"/>
        <v>20463.893710503256</v>
      </c>
      <c r="T105" s="98">
        <f t="shared" si="422"/>
        <v>19477.661378783741</v>
      </c>
      <c r="U105" s="98">
        <f t="shared" si="422"/>
        <v>18898.510020946967</v>
      </c>
      <c r="V105" s="98">
        <f t="shared" si="422"/>
        <v>19560.011187331482</v>
      </c>
      <c r="W105" s="98">
        <f t="shared" si="422"/>
        <v>20326.490525795722</v>
      </c>
      <c r="X105" s="98">
        <f t="shared" si="422"/>
        <v>21245.109003474841</v>
      </c>
      <c r="Y105" s="98">
        <f t="shared" si="422"/>
        <v>21750.621071019799</v>
      </c>
      <c r="Z105" s="98">
        <f t="shared" si="422"/>
        <v>21563.434573650149</v>
      </c>
      <c r="AA105" s="98">
        <f t="shared" si="422"/>
        <v>20899.639688279982</v>
      </c>
      <c r="AB105" s="11"/>
    </row>
    <row r="106" spans="3:28" ht="3" customHeight="1" x14ac:dyDescent="0.2">
      <c r="C106" s="24"/>
      <c r="D106" s="11"/>
      <c r="P106" s="11"/>
      <c r="AA106" s="15"/>
    </row>
    <row r="107" spans="3:28" ht="12.75" customHeight="1" x14ac:dyDescent="0.2">
      <c r="C107" s="7" t="s">
        <v>188</v>
      </c>
      <c r="D107" s="188">
        <v>8250</v>
      </c>
      <c r="E107" s="67">
        <v>8250</v>
      </c>
      <c r="F107" s="67">
        <v>8250</v>
      </c>
      <c r="G107" s="67">
        <v>8250</v>
      </c>
      <c r="H107" s="67">
        <v>8250</v>
      </c>
      <c r="I107" s="67">
        <v>8250</v>
      </c>
      <c r="J107" s="67">
        <v>8250</v>
      </c>
      <c r="K107" s="67">
        <v>8250</v>
      </c>
      <c r="L107" s="67">
        <v>8250</v>
      </c>
      <c r="M107" s="67">
        <v>8250</v>
      </c>
      <c r="N107" s="67">
        <v>8250</v>
      </c>
      <c r="O107" s="67">
        <v>3250</v>
      </c>
      <c r="P107" s="188">
        <v>3250</v>
      </c>
      <c r="Q107" s="67">
        <v>3250</v>
      </c>
      <c r="R107" s="67">
        <v>3250</v>
      </c>
      <c r="S107" s="67">
        <v>3250</v>
      </c>
      <c r="T107" s="67">
        <v>3250</v>
      </c>
      <c r="U107" s="67">
        <v>0</v>
      </c>
      <c r="V107" s="67">
        <v>0</v>
      </c>
      <c r="W107" s="67">
        <v>0</v>
      </c>
      <c r="X107" s="67">
        <v>0</v>
      </c>
      <c r="Y107" s="67">
        <v>0</v>
      </c>
      <c r="Z107" s="67">
        <v>0</v>
      </c>
      <c r="AA107" s="197">
        <v>0</v>
      </c>
    </row>
    <row r="108" spans="3:28" ht="12.75" customHeight="1" x14ac:dyDescent="0.2">
      <c r="C108" s="7" t="s">
        <v>187</v>
      </c>
      <c r="D108" s="144">
        <v>96000</v>
      </c>
      <c r="E108" s="70">
        <v>96000</v>
      </c>
      <c r="F108" s="70">
        <v>95750</v>
      </c>
      <c r="G108" s="70">
        <v>95750</v>
      </c>
      <c r="H108" s="70">
        <v>95750</v>
      </c>
      <c r="I108" s="70">
        <v>95500</v>
      </c>
      <c r="J108" s="70">
        <v>95500</v>
      </c>
      <c r="K108" s="70">
        <v>95500</v>
      </c>
      <c r="L108" s="70">
        <v>95250</v>
      </c>
      <c r="M108" s="70">
        <v>95250</v>
      </c>
      <c r="N108" s="70">
        <v>95250</v>
      </c>
      <c r="O108" s="70">
        <v>95000</v>
      </c>
      <c r="P108" s="144">
        <v>95000</v>
      </c>
      <c r="Q108" s="70">
        <v>95000</v>
      </c>
      <c r="R108" s="70">
        <v>94750</v>
      </c>
      <c r="S108" s="70">
        <v>94750</v>
      </c>
      <c r="T108" s="70">
        <v>94750</v>
      </c>
      <c r="U108" s="70">
        <v>94500</v>
      </c>
      <c r="V108" s="70">
        <v>94500</v>
      </c>
      <c r="W108" s="70">
        <v>94500</v>
      </c>
      <c r="X108" s="70">
        <v>94250</v>
      </c>
      <c r="Y108" s="70">
        <v>94250</v>
      </c>
      <c r="Z108" s="70">
        <v>94250</v>
      </c>
      <c r="AA108" s="145">
        <v>94000</v>
      </c>
    </row>
    <row r="109" spans="3:28" ht="12.75" customHeight="1" x14ac:dyDescent="0.2">
      <c r="C109" s="7" t="s">
        <v>189</v>
      </c>
      <c r="D109" s="144">
        <v>23842</v>
      </c>
      <c r="E109" s="70">
        <v>23842</v>
      </c>
      <c r="F109" s="70">
        <v>23842</v>
      </c>
      <c r="G109" s="70">
        <v>23842</v>
      </c>
      <c r="H109" s="70">
        <v>23842</v>
      </c>
      <c r="I109" s="70">
        <v>23842</v>
      </c>
      <c r="J109" s="70">
        <v>23842</v>
      </c>
      <c r="K109" s="70">
        <v>23842</v>
      </c>
      <c r="L109" s="70">
        <v>23842</v>
      </c>
      <c r="M109" s="70">
        <v>23842</v>
      </c>
      <c r="N109" s="70">
        <v>23842</v>
      </c>
      <c r="O109" s="70">
        <v>23842</v>
      </c>
      <c r="P109" s="144">
        <v>23842</v>
      </c>
      <c r="Q109" s="70">
        <v>23842</v>
      </c>
      <c r="R109" s="70">
        <v>23842</v>
      </c>
      <c r="S109" s="70">
        <v>23842</v>
      </c>
      <c r="T109" s="70">
        <v>23842</v>
      </c>
      <c r="U109" s="70">
        <v>23842</v>
      </c>
      <c r="V109" s="70">
        <v>23842</v>
      </c>
      <c r="W109" s="70">
        <v>23842</v>
      </c>
      <c r="X109" s="70">
        <v>23842</v>
      </c>
      <c r="Y109" s="70">
        <v>23842</v>
      </c>
      <c r="Z109" s="70">
        <v>23842</v>
      </c>
      <c r="AA109" s="145">
        <v>23842</v>
      </c>
    </row>
    <row r="110" spans="3:28" ht="12.75" customHeight="1" x14ac:dyDescent="0.2">
      <c r="C110" s="216" t="s">
        <v>192</v>
      </c>
      <c r="D110" s="214">
        <f>SUM(D105,D107:D109)</f>
        <v>142518.21559040001</v>
      </c>
      <c r="E110" s="214">
        <f t="shared" ref="E110:AA110" si="423">SUM(E105,E107:E109)</f>
        <v>142659.0922700153</v>
      </c>
      <c r="F110" s="214">
        <f t="shared" si="423"/>
        <v>142816.49399250696</v>
      </c>
      <c r="G110" s="214">
        <f t="shared" si="423"/>
        <v>142329.50417742974</v>
      </c>
      <c r="H110" s="214">
        <f t="shared" si="423"/>
        <v>143203.55298595206</v>
      </c>
      <c r="I110" s="214">
        <f t="shared" si="423"/>
        <v>143154.18369576687</v>
      </c>
      <c r="J110" s="214">
        <f t="shared" si="423"/>
        <v>144375.65574028567</v>
      </c>
      <c r="K110" s="214">
        <f t="shared" si="423"/>
        <v>145528.42845063185</v>
      </c>
      <c r="L110" s="214">
        <f t="shared" si="423"/>
        <v>146863.28324250737</v>
      </c>
      <c r="M110" s="214">
        <f t="shared" si="423"/>
        <v>148235.95389364412</v>
      </c>
      <c r="N110" s="214">
        <f t="shared" si="423"/>
        <v>148145.11413105251</v>
      </c>
      <c r="O110" s="214">
        <f t="shared" si="423"/>
        <v>142631.35183723524</v>
      </c>
      <c r="P110" s="215">
        <f t="shared" si="423"/>
        <v>143647.04084967647</v>
      </c>
      <c r="Q110" s="214">
        <f t="shared" si="423"/>
        <v>143529.18628732249</v>
      </c>
      <c r="R110" s="214">
        <f t="shared" si="423"/>
        <v>143352.44002332614</v>
      </c>
      <c r="S110" s="214">
        <f t="shared" si="423"/>
        <v>142305.89371050324</v>
      </c>
      <c r="T110" s="214">
        <f t="shared" si="423"/>
        <v>141319.66137878376</v>
      </c>
      <c r="U110" s="214">
        <f t="shared" si="423"/>
        <v>137240.51002094697</v>
      </c>
      <c r="V110" s="214">
        <f t="shared" si="423"/>
        <v>137902.01118733149</v>
      </c>
      <c r="W110" s="214">
        <f t="shared" si="423"/>
        <v>138668.49052579573</v>
      </c>
      <c r="X110" s="214">
        <f t="shared" si="423"/>
        <v>139337.10900347485</v>
      </c>
      <c r="Y110" s="214">
        <f t="shared" si="423"/>
        <v>139842.62107101979</v>
      </c>
      <c r="Z110" s="214">
        <f t="shared" si="423"/>
        <v>139655.43457365016</v>
      </c>
      <c r="AA110" s="217">
        <f t="shared" si="423"/>
        <v>138741.63968827997</v>
      </c>
    </row>
    <row r="111" spans="3:28" ht="6" customHeight="1" x14ac:dyDescent="0.2">
      <c r="D111" s="11"/>
      <c r="P111" s="11"/>
      <c r="AA111" s="15"/>
    </row>
    <row r="112" spans="3:28" ht="12.75" customHeight="1" x14ac:dyDescent="0.2">
      <c r="C112" s="7" t="s">
        <v>193</v>
      </c>
      <c r="D112" s="188">
        <v>82320.123000000007</v>
      </c>
      <c r="E112" s="67">
        <v>82320.123000000007</v>
      </c>
      <c r="F112" s="67">
        <v>82320.123000000007</v>
      </c>
      <c r="G112" s="67">
        <v>82320.123000000007</v>
      </c>
      <c r="H112" s="67">
        <v>82320.123000000007</v>
      </c>
      <c r="I112" s="67">
        <v>82320.123000000007</v>
      </c>
      <c r="J112" s="67">
        <v>82320.123000000007</v>
      </c>
      <c r="K112" s="67">
        <v>82320.123000000007</v>
      </c>
      <c r="L112" s="67">
        <v>82320.123000000007</v>
      </c>
      <c r="M112" s="67">
        <v>82320.123000000007</v>
      </c>
      <c r="N112" s="67">
        <v>82320.123000000007</v>
      </c>
      <c r="O112" s="67">
        <v>82320.123000000007</v>
      </c>
      <c r="P112" s="188">
        <v>82320.123000000007</v>
      </c>
      <c r="Q112" s="67">
        <v>82320.123000000007</v>
      </c>
      <c r="R112" s="67">
        <v>82320.123000000007</v>
      </c>
      <c r="S112" s="67">
        <v>82320.123000000007</v>
      </c>
      <c r="T112" s="67">
        <v>82320.123000000007</v>
      </c>
      <c r="U112" s="67">
        <v>82320.123000000007</v>
      </c>
      <c r="V112" s="67">
        <v>82320.123000000007</v>
      </c>
      <c r="W112" s="67">
        <v>82320.123000000007</v>
      </c>
      <c r="X112" s="67">
        <v>82320.123000000007</v>
      </c>
      <c r="Y112" s="67">
        <v>82320.123000000007</v>
      </c>
      <c r="Z112" s="67">
        <v>82320.123000000007</v>
      </c>
      <c r="AA112" s="197">
        <v>82320.123000000007</v>
      </c>
    </row>
    <row r="113" spans="3:27" ht="12.75" customHeight="1" x14ac:dyDescent="0.2">
      <c r="C113" s="7" t="s">
        <v>194</v>
      </c>
      <c r="D113" s="144">
        <v>32234.34</v>
      </c>
      <c r="E113" s="70">
        <v>31923.856802731592</v>
      </c>
      <c r="F113" s="70">
        <v>31309.091376071457</v>
      </c>
      <c r="G113" s="70">
        <v>30546.996353464605</v>
      </c>
      <c r="H113" s="70">
        <v>29514.686619668264</v>
      </c>
      <c r="I113" s="70">
        <v>28526.688394162004</v>
      </c>
      <c r="J113" s="70">
        <v>28733.895382723706</v>
      </c>
      <c r="K113" s="70">
        <v>31084.002030272684</v>
      </c>
      <c r="L113" s="70">
        <v>32945.776687869773</v>
      </c>
      <c r="M113" s="70">
        <v>34867.784630029782</v>
      </c>
      <c r="N113" s="70">
        <v>38023.507922100398</v>
      </c>
      <c r="O113" s="70">
        <v>40908.769862782181</v>
      </c>
      <c r="P113" s="144">
        <v>43005.397862147271</v>
      </c>
      <c r="Q113" s="70">
        <v>44343.084104179419</v>
      </c>
      <c r="R113" s="70">
        <v>45330.345291841229</v>
      </c>
      <c r="S113" s="70">
        <v>45460.416566016233</v>
      </c>
      <c r="T113" s="70">
        <v>44971.450153430575</v>
      </c>
      <c r="U113" s="70">
        <v>44765.281758151126</v>
      </c>
      <c r="V113" s="70">
        <v>45676.668513001547</v>
      </c>
      <c r="W113" s="70">
        <v>47739.922070844754</v>
      </c>
      <c r="X113" s="70">
        <v>49216.740211222073</v>
      </c>
      <c r="Y113" s="70">
        <v>51126.697082548315</v>
      </c>
      <c r="Z113" s="70">
        <v>53499.871689155058</v>
      </c>
      <c r="AA113" s="145">
        <v>55983.783974848702</v>
      </c>
    </row>
    <row r="114" spans="3:27" ht="12.75" customHeight="1" x14ac:dyDescent="0.2">
      <c r="C114" s="8" t="s">
        <v>195</v>
      </c>
      <c r="D114" s="94">
        <f>SUM(D112:D113)</f>
        <v>114554.463</v>
      </c>
      <c r="E114" s="98">
        <f t="shared" ref="E114:AA114" si="424">SUM(E112:E113)</f>
        <v>114243.9798027316</v>
      </c>
      <c r="F114" s="98">
        <f t="shared" si="424"/>
        <v>113629.21437607147</v>
      </c>
      <c r="G114" s="98">
        <f t="shared" si="424"/>
        <v>112867.11935346462</v>
      </c>
      <c r="H114" s="98">
        <f t="shared" si="424"/>
        <v>111834.80961966827</v>
      </c>
      <c r="I114" s="98">
        <f t="shared" si="424"/>
        <v>110846.81139416201</v>
      </c>
      <c r="J114" s="98">
        <f t="shared" si="424"/>
        <v>111054.01838272371</v>
      </c>
      <c r="K114" s="98">
        <f t="shared" si="424"/>
        <v>113404.1250302727</v>
      </c>
      <c r="L114" s="98">
        <f t="shared" si="424"/>
        <v>115265.89968786978</v>
      </c>
      <c r="M114" s="98">
        <f t="shared" si="424"/>
        <v>117187.90763002979</v>
      </c>
      <c r="N114" s="98">
        <f t="shared" si="424"/>
        <v>120343.6309221004</v>
      </c>
      <c r="O114" s="98">
        <f t="shared" si="424"/>
        <v>123228.89286278219</v>
      </c>
      <c r="P114" s="94">
        <f t="shared" si="424"/>
        <v>125325.52086214727</v>
      </c>
      <c r="Q114" s="98">
        <f t="shared" si="424"/>
        <v>126663.20710417943</v>
      </c>
      <c r="R114" s="98">
        <f t="shared" si="424"/>
        <v>127650.46829184124</v>
      </c>
      <c r="S114" s="98">
        <f t="shared" si="424"/>
        <v>127780.53956601623</v>
      </c>
      <c r="T114" s="98">
        <f t="shared" si="424"/>
        <v>127291.57315343058</v>
      </c>
      <c r="U114" s="98">
        <f t="shared" si="424"/>
        <v>127085.40475815113</v>
      </c>
      <c r="V114" s="98">
        <f t="shared" si="424"/>
        <v>127996.79151300155</v>
      </c>
      <c r="W114" s="98">
        <f t="shared" si="424"/>
        <v>130060.04507084476</v>
      </c>
      <c r="X114" s="98">
        <f t="shared" si="424"/>
        <v>131536.86321122208</v>
      </c>
      <c r="Y114" s="98">
        <f t="shared" si="424"/>
        <v>133446.82008254831</v>
      </c>
      <c r="Z114" s="98">
        <f t="shared" si="424"/>
        <v>135819.99468915508</v>
      </c>
      <c r="AA114" s="95">
        <f t="shared" si="424"/>
        <v>138303.90697484871</v>
      </c>
    </row>
    <row r="115" spans="3:27" ht="12.75" customHeight="1" x14ac:dyDescent="0.2">
      <c r="D115" s="11"/>
      <c r="P115" s="11"/>
      <c r="AA115" s="15"/>
    </row>
    <row r="116" spans="3:27" ht="12.75" customHeight="1" x14ac:dyDescent="0.2">
      <c r="C116" s="180" t="s">
        <v>196</v>
      </c>
      <c r="D116" s="181">
        <f>D114+D110</f>
        <v>257072.67859040003</v>
      </c>
      <c r="E116" s="181">
        <f t="shared" ref="E116:AA116" si="425">E114+E110</f>
        <v>256903.0720727469</v>
      </c>
      <c r="F116" s="181">
        <f t="shared" si="425"/>
        <v>256445.70836857843</v>
      </c>
      <c r="G116" s="181">
        <f t="shared" si="425"/>
        <v>255196.62353089434</v>
      </c>
      <c r="H116" s="181">
        <f t="shared" si="425"/>
        <v>255038.36260562035</v>
      </c>
      <c r="I116" s="181">
        <f t="shared" si="425"/>
        <v>254000.99508992888</v>
      </c>
      <c r="J116" s="181">
        <f t="shared" si="425"/>
        <v>255429.67412300938</v>
      </c>
      <c r="K116" s="181">
        <f t="shared" si="425"/>
        <v>258932.55348090455</v>
      </c>
      <c r="L116" s="181">
        <f t="shared" si="425"/>
        <v>262129.18293037714</v>
      </c>
      <c r="M116" s="181">
        <f t="shared" si="425"/>
        <v>265423.86152367393</v>
      </c>
      <c r="N116" s="181">
        <f t="shared" si="425"/>
        <v>268488.7450531529</v>
      </c>
      <c r="O116" s="181">
        <f t="shared" si="425"/>
        <v>265860.24470001744</v>
      </c>
      <c r="P116" s="182">
        <f t="shared" si="425"/>
        <v>268972.56171182374</v>
      </c>
      <c r="Q116" s="181">
        <f t="shared" si="425"/>
        <v>270192.39339150192</v>
      </c>
      <c r="R116" s="181">
        <f t="shared" si="425"/>
        <v>271002.90831516741</v>
      </c>
      <c r="S116" s="181">
        <f t="shared" si="425"/>
        <v>270086.43327651947</v>
      </c>
      <c r="T116" s="181">
        <f t="shared" si="425"/>
        <v>268611.23453221435</v>
      </c>
      <c r="U116" s="181">
        <f t="shared" si="425"/>
        <v>264325.91477909812</v>
      </c>
      <c r="V116" s="181">
        <f t="shared" si="425"/>
        <v>265898.80270033306</v>
      </c>
      <c r="W116" s="181">
        <f t="shared" si="425"/>
        <v>268728.53559664049</v>
      </c>
      <c r="X116" s="181">
        <f t="shared" si="425"/>
        <v>270873.97221469693</v>
      </c>
      <c r="Y116" s="181">
        <f t="shared" si="425"/>
        <v>273289.4411535681</v>
      </c>
      <c r="Z116" s="181">
        <f t="shared" si="425"/>
        <v>275475.42926280526</v>
      </c>
      <c r="AA116" s="183">
        <f t="shared" si="425"/>
        <v>277045.54666312865</v>
      </c>
    </row>
    <row r="117" spans="3:27" ht="12.75" customHeight="1" x14ac:dyDescent="0.2">
      <c r="C117" s="16" t="s">
        <v>227</v>
      </c>
      <c r="D117" s="76">
        <f>D116-D100</f>
        <v>0</v>
      </c>
      <c r="E117" s="76">
        <f t="shared" ref="E117:AA117" si="426">E116-E100</f>
        <v>0</v>
      </c>
      <c r="F117" s="76">
        <f t="shared" si="426"/>
        <v>0</v>
      </c>
      <c r="G117" s="76">
        <f t="shared" si="426"/>
        <v>0</v>
      </c>
      <c r="H117" s="76">
        <f t="shared" si="426"/>
        <v>0</v>
      </c>
      <c r="I117" s="76">
        <f t="shared" si="426"/>
        <v>0</v>
      </c>
      <c r="J117" s="76">
        <f t="shared" si="426"/>
        <v>0</v>
      </c>
      <c r="K117" s="76">
        <f t="shared" si="426"/>
        <v>0</v>
      </c>
      <c r="L117" s="76">
        <f t="shared" si="426"/>
        <v>0</v>
      </c>
      <c r="M117" s="76">
        <f t="shared" si="426"/>
        <v>0</v>
      </c>
      <c r="N117" s="76">
        <f t="shared" si="426"/>
        <v>0</v>
      </c>
      <c r="O117" s="76">
        <f t="shared" si="426"/>
        <v>0</v>
      </c>
      <c r="P117" s="76">
        <f t="shared" si="426"/>
        <v>0</v>
      </c>
      <c r="Q117" s="76">
        <f t="shared" si="426"/>
        <v>0</v>
      </c>
      <c r="R117" s="76">
        <f t="shared" si="426"/>
        <v>0</v>
      </c>
      <c r="S117" s="76">
        <f t="shared" si="426"/>
        <v>0</v>
      </c>
      <c r="T117" s="76">
        <f t="shared" si="426"/>
        <v>0</v>
      </c>
      <c r="U117" s="76">
        <f t="shared" si="426"/>
        <v>0</v>
      </c>
      <c r="V117" s="76">
        <f t="shared" si="426"/>
        <v>0</v>
      </c>
      <c r="W117" s="76">
        <f t="shared" si="426"/>
        <v>0</v>
      </c>
      <c r="X117" s="76">
        <f t="shared" si="426"/>
        <v>0</v>
      </c>
      <c r="Y117" s="76">
        <f t="shared" si="426"/>
        <v>0</v>
      </c>
      <c r="Z117" s="76">
        <f t="shared" si="426"/>
        <v>0</v>
      </c>
      <c r="AA117" s="76">
        <f t="shared" si="426"/>
        <v>0</v>
      </c>
    </row>
    <row r="118" spans="3:27" ht="12.75" customHeight="1" x14ac:dyDescent="0.2"/>
    <row r="119" spans="3:27" ht="12.75" customHeight="1" x14ac:dyDescent="0.2">
      <c r="C119" s="189" t="s">
        <v>213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3:27" ht="3" customHeight="1" x14ac:dyDescent="0.2"/>
    <row r="121" spans="3:27" x14ac:dyDescent="0.2">
      <c r="C121" s="7" t="s">
        <v>201</v>
      </c>
      <c r="D121" s="194">
        <f>D90/D122*365/4</f>
        <v>32.315122107515741</v>
      </c>
      <c r="E121" s="194">
        <f t="shared" ref="E121:AA121" si="427">E90/E122*365/4</f>
        <v>31.818351695928321</v>
      </c>
      <c r="F121" s="194">
        <f t="shared" si="427"/>
        <v>32.1</v>
      </c>
      <c r="G121" s="194">
        <f t="shared" si="427"/>
        <v>32.00982941160926</v>
      </c>
      <c r="H121" s="194">
        <f t="shared" si="427"/>
        <v>31.415830442516835</v>
      </c>
      <c r="I121" s="194">
        <f t="shared" si="427"/>
        <v>31.224715070846841</v>
      </c>
      <c r="J121" s="194">
        <f t="shared" si="427"/>
        <v>30.918926003866869</v>
      </c>
      <c r="K121" s="194">
        <f t="shared" si="427"/>
        <v>31.791766823896157</v>
      </c>
      <c r="L121" s="194">
        <f t="shared" si="427"/>
        <v>32.840008792706485</v>
      </c>
      <c r="M121" s="194">
        <f t="shared" si="427"/>
        <v>33.748072829660209</v>
      </c>
      <c r="N121" s="194">
        <f t="shared" si="427"/>
        <v>33.663702265840627</v>
      </c>
      <c r="O121" s="91">
        <f t="shared" si="427"/>
        <v>33.168108301305644</v>
      </c>
      <c r="P121" s="194">
        <f t="shared" si="427"/>
        <v>33.755935158785292</v>
      </c>
      <c r="Q121" s="194">
        <f t="shared" si="427"/>
        <v>34.336472361421144</v>
      </c>
      <c r="R121" s="194">
        <f t="shared" si="427"/>
        <v>33.626089803190766</v>
      </c>
      <c r="S121" s="194">
        <f t="shared" si="427"/>
        <v>33.359001254690952</v>
      </c>
      <c r="T121" s="194">
        <f t="shared" si="427"/>
        <v>32.676031779204621</v>
      </c>
      <c r="U121" s="194">
        <f t="shared" si="427"/>
        <v>31.962592877753945</v>
      </c>
      <c r="V121" s="194">
        <f t="shared" si="427"/>
        <v>32.589351683966598</v>
      </c>
      <c r="W121" s="194">
        <f t="shared" si="427"/>
        <v>32.491901470375097</v>
      </c>
      <c r="X121" s="194">
        <f t="shared" si="427"/>
        <v>32.48365611861454</v>
      </c>
      <c r="Y121" s="194">
        <f t="shared" si="427"/>
        <v>32.466785805570339</v>
      </c>
      <c r="Z121" s="194">
        <f t="shared" si="427"/>
        <v>33.036958256788147</v>
      </c>
      <c r="AA121" s="194">
        <f t="shared" si="427"/>
        <v>33.825982755791323</v>
      </c>
    </row>
    <row r="122" spans="3:27" x14ac:dyDescent="0.2">
      <c r="C122" s="190" t="s">
        <v>198</v>
      </c>
      <c r="D122" s="191">
        <v>25984.482</v>
      </c>
      <c r="E122" s="191">
        <v>26312.12</v>
      </c>
      <c r="F122" s="195">
        <f>SUM(D$14:F$14)</f>
        <v>27627.614076119084</v>
      </c>
      <c r="G122" s="195">
        <f t="shared" ref="G122:AA122" si="428">SUM(E$14:G$14)</f>
        <v>27365.086635064392</v>
      </c>
      <c r="H122" s="195">
        <f t="shared" si="428"/>
        <v>28334.454327159154</v>
      </c>
      <c r="I122" s="195">
        <f t="shared" si="428"/>
        <v>28220.691000777922</v>
      </c>
      <c r="J122" s="195">
        <f t="shared" si="428"/>
        <v>29516.507053925976</v>
      </c>
      <c r="K122" s="195">
        <f t="shared" si="428"/>
        <v>32636.90270405692</v>
      </c>
      <c r="L122" s="195">
        <f t="shared" si="428"/>
        <v>34880.826405639738</v>
      </c>
      <c r="M122" s="195">
        <f t="shared" si="428"/>
        <v>36586.827933664477</v>
      </c>
      <c r="N122" s="195">
        <f t="shared" si="428"/>
        <v>36700.774104507494</v>
      </c>
      <c r="O122" s="196">
        <f t="shared" si="428"/>
        <v>36359.927633831663</v>
      </c>
      <c r="P122" s="195">
        <f t="shared" si="428"/>
        <v>38026.219524755063</v>
      </c>
      <c r="Q122" s="195">
        <f t="shared" si="428"/>
        <v>37758.158189817863</v>
      </c>
      <c r="R122" s="195">
        <f t="shared" si="428"/>
        <v>38954.132363948607</v>
      </c>
      <c r="S122" s="195">
        <f t="shared" si="428"/>
        <v>37217.814415764733</v>
      </c>
      <c r="T122" s="195">
        <f t="shared" si="428"/>
        <v>36303.158821107718</v>
      </c>
      <c r="U122" s="195">
        <f t="shared" si="428"/>
        <v>34562.089545290815</v>
      </c>
      <c r="V122" s="195">
        <f t="shared" si="428"/>
        <v>35473.102717578862</v>
      </c>
      <c r="W122" s="195">
        <f t="shared" si="428"/>
        <v>36854.621451815125</v>
      </c>
      <c r="X122" s="195">
        <f t="shared" si="428"/>
        <v>38063.975000844599</v>
      </c>
      <c r="Y122" s="195">
        <f t="shared" si="428"/>
        <v>39060.728403238914</v>
      </c>
      <c r="Z122" s="195">
        <f t="shared" si="428"/>
        <v>38089.271320482578</v>
      </c>
      <c r="AA122" s="195">
        <f t="shared" si="428"/>
        <v>35886.944457524616</v>
      </c>
    </row>
    <row r="123" spans="3:27" ht="6" customHeight="1" x14ac:dyDescent="0.2">
      <c r="C123" s="190"/>
      <c r="D123" s="191"/>
      <c r="E123" s="191"/>
      <c r="F123" s="192"/>
      <c r="G123" s="192"/>
      <c r="H123" s="192"/>
      <c r="I123" s="192"/>
      <c r="J123" s="192"/>
      <c r="K123" s="192"/>
      <c r="L123" s="192"/>
      <c r="M123" s="192"/>
      <c r="N123" s="192"/>
      <c r="O123" s="193"/>
      <c r="P123" s="192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  <c r="AA123" s="192"/>
    </row>
    <row r="124" spans="3:27" x14ac:dyDescent="0.2">
      <c r="C124" s="7" t="s">
        <v>200</v>
      </c>
      <c r="D124" s="194">
        <f>D91/D125*365/4</f>
        <v>28.320000000000004</v>
      </c>
      <c r="E124" s="194">
        <f t="shared" ref="E124:AA124" si="429">E91/E125*365/4</f>
        <v>28.885207662987092</v>
      </c>
      <c r="F124" s="194">
        <f t="shared" si="429"/>
        <v>28.781528141614793</v>
      </c>
      <c r="G124" s="194">
        <f t="shared" si="429"/>
        <v>28.939630519821467</v>
      </c>
      <c r="H124" s="194">
        <f t="shared" si="429"/>
        <v>29.074286312726443</v>
      </c>
      <c r="I124" s="194">
        <f t="shared" si="429"/>
        <v>29.363654770049937</v>
      </c>
      <c r="J124" s="194">
        <f t="shared" si="429"/>
        <v>29.068110584613688</v>
      </c>
      <c r="K124" s="194">
        <f t="shared" si="429"/>
        <v>29.299142590866978</v>
      </c>
      <c r="L124" s="194">
        <f t="shared" si="429"/>
        <v>28.746908114668521</v>
      </c>
      <c r="M124" s="194">
        <f t="shared" si="429"/>
        <v>29.08817177478139</v>
      </c>
      <c r="N124" s="194">
        <f t="shared" si="429"/>
        <v>28.512111549942603</v>
      </c>
      <c r="O124" s="91">
        <f t="shared" si="429"/>
        <v>27.986307640652981</v>
      </c>
      <c r="P124" s="194">
        <f t="shared" si="429"/>
        <v>27.990025876262298</v>
      </c>
      <c r="Q124" s="194">
        <f t="shared" si="429"/>
        <v>27.410711465182839</v>
      </c>
      <c r="R124" s="194">
        <f t="shared" si="429"/>
        <v>26.781053670672861</v>
      </c>
      <c r="S124" s="194">
        <f t="shared" si="429"/>
        <v>26.215722953353595</v>
      </c>
      <c r="T124" s="194">
        <f t="shared" si="429"/>
        <v>25.450979306245177</v>
      </c>
      <c r="U124" s="194">
        <f t="shared" si="429"/>
        <v>25.167260308840202</v>
      </c>
      <c r="V124" s="194">
        <f t="shared" si="429"/>
        <v>24.714456491437549</v>
      </c>
      <c r="W124" s="194">
        <f t="shared" si="429"/>
        <v>24.232845245485009</v>
      </c>
      <c r="X124" s="194">
        <f t="shared" si="429"/>
        <v>24.00041102646702</v>
      </c>
      <c r="Y124" s="194">
        <f t="shared" si="429"/>
        <v>23.228103266884567</v>
      </c>
      <c r="Z124" s="194">
        <f t="shared" si="429"/>
        <v>23.81315145762909</v>
      </c>
      <c r="AA124" s="194">
        <f t="shared" si="429"/>
        <v>24.560085054586551</v>
      </c>
    </row>
    <row r="125" spans="3:27" x14ac:dyDescent="0.2">
      <c r="C125" s="190" t="s">
        <v>199</v>
      </c>
      <c r="D125" s="191">
        <v>2287.12</v>
      </c>
      <c r="E125" s="191">
        <v>2312.23</v>
      </c>
      <c r="F125" s="195">
        <f>-(SUM(D$23:F$23))</f>
        <v>2259.9382308962399</v>
      </c>
      <c r="G125" s="195">
        <f t="shared" ref="G125:AA125" si="430">-(SUM(E$23:G$23))</f>
        <v>2380.1940780035629</v>
      </c>
      <c r="H125" s="195">
        <f t="shared" si="430"/>
        <v>2656.2879330416554</v>
      </c>
      <c r="I125" s="195">
        <f t="shared" si="430"/>
        <v>2693.9197098441578</v>
      </c>
      <c r="J125" s="195">
        <f t="shared" si="430"/>
        <v>2681.5555992446907</v>
      </c>
      <c r="K125" s="195">
        <f t="shared" si="430"/>
        <v>2464.5481868718343</v>
      </c>
      <c r="L125" s="195">
        <f t="shared" si="430"/>
        <v>2247.5396062227369</v>
      </c>
      <c r="M125" s="195">
        <f t="shared" si="430"/>
        <v>2160.1579263695103</v>
      </c>
      <c r="N125" s="195">
        <f t="shared" si="430"/>
        <v>2034.9744141907104</v>
      </c>
      <c r="O125" s="196">
        <f t="shared" si="430"/>
        <v>1819.0006054086396</v>
      </c>
      <c r="P125" s="195">
        <f t="shared" si="430"/>
        <v>1885.487926052931</v>
      </c>
      <c r="Q125" s="195">
        <f t="shared" si="430"/>
        <v>2049.2102452692625</v>
      </c>
      <c r="R125" s="195">
        <f t="shared" si="430"/>
        <v>2417.185708893192</v>
      </c>
      <c r="S125" s="195">
        <f t="shared" si="430"/>
        <v>2566.2735978995529</v>
      </c>
      <c r="T125" s="195">
        <f t="shared" si="430"/>
        <v>2879.4821564745966</v>
      </c>
      <c r="U125" s="195">
        <f t="shared" si="430"/>
        <v>2940.8587031856737</v>
      </c>
      <c r="V125" s="195">
        <f t="shared" si="430"/>
        <v>2944.5798949932373</v>
      </c>
      <c r="W125" s="195">
        <f t="shared" si="430"/>
        <v>2631.8491349702795</v>
      </c>
      <c r="X125" s="195">
        <f t="shared" si="430"/>
        <v>2436.603486777145</v>
      </c>
      <c r="Y125" s="195">
        <f t="shared" si="430"/>
        <v>2337.2257669950745</v>
      </c>
      <c r="Z125" s="195">
        <f t="shared" si="430"/>
        <v>2192.4759026726938</v>
      </c>
      <c r="AA125" s="195">
        <f t="shared" si="430"/>
        <v>1996.8328965529408</v>
      </c>
    </row>
    <row r="126" spans="3:27" ht="6" customHeight="1" x14ac:dyDescent="0.2">
      <c r="C126" s="190"/>
      <c r="D126" s="191"/>
      <c r="E126" s="191"/>
      <c r="F126" s="192"/>
      <c r="G126" s="192"/>
      <c r="H126" s="192"/>
      <c r="I126" s="192"/>
      <c r="J126" s="192"/>
      <c r="K126" s="192"/>
      <c r="L126" s="192"/>
      <c r="M126" s="192"/>
      <c r="N126" s="192"/>
      <c r="O126" s="193"/>
      <c r="P126" s="192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  <c r="AA126" s="192"/>
    </row>
    <row r="127" spans="3:27" x14ac:dyDescent="0.2">
      <c r="C127" s="7" t="s">
        <v>207</v>
      </c>
      <c r="D127" s="110">
        <f>D92/D128</f>
        <v>3.8283779947358994E-2</v>
      </c>
      <c r="E127" s="110">
        <f t="shared" ref="E127:AA127" si="431">E92/E128</f>
        <v>7.5816699776116936E-2</v>
      </c>
      <c r="F127" s="110">
        <f t="shared" si="431"/>
        <v>0.1150102891908817</v>
      </c>
      <c r="G127" s="110">
        <f t="shared" si="431"/>
        <v>0.15161413731202711</v>
      </c>
      <c r="H127" s="110">
        <f t="shared" si="431"/>
        <v>0.18839648897452332</v>
      </c>
      <c r="I127" s="110">
        <f t="shared" si="431"/>
        <v>0.21283194039457351</v>
      </c>
      <c r="J127" s="110">
        <f t="shared" si="431"/>
        <v>0.24954310687326137</v>
      </c>
      <c r="K127" s="110">
        <f t="shared" si="431"/>
        <v>0.29122750121615004</v>
      </c>
      <c r="L127" s="110">
        <f t="shared" si="431"/>
        <v>0.32977379254126721</v>
      </c>
      <c r="M127" s="110">
        <f t="shared" si="431"/>
        <v>0.36396731656014852</v>
      </c>
      <c r="N127" s="110">
        <f t="shared" si="431"/>
        <v>0.39509144849217342</v>
      </c>
      <c r="O127" s="103">
        <f t="shared" si="431"/>
        <v>1.6228304537984129E-3</v>
      </c>
      <c r="P127" s="110">
        <f t="shared" si="431"/>
        <v>4.0668341997735884E-2</v>
      </c>
      <c r="Q127" s="110">
        <f t="shared" si="431"/>
        <v>7.7784000746755719E-2</v>
      </c>
      <c r="R127" s="110">
        <f t="shared" si="431"/>
        <v>0.11280949402090584</v>
      </c>
      <c r="S127" s="110">
        <f t="shared" si="431"/>
        <v>0.14819343677255084</v>
      </c>
      <c r="T127" s="110">
        <f t="shared" si="431"/>
        <v>0.18461299233485104</v>
      </c>
      <c r="U127" s="110">
        <f t="shared" si="431"/>
        <v>0.22408364357022398</v>
      </c>
      <c r="V127" s="110">
        <f t="shared" si="431"/>
        <v>0.25557114950594501</v>
      </c>
      <c r="W127" s="110">
        <f t="shared" si="431"/>
        <v>0.29612920602550957</v>
      </c>
      <c r="X127" s="110">
        <f t="shared" si="431"/>
        <v>0.33770741451258757</v>
      </c>
      <c r="Y127" s="110">
        <f t="shared" si="431"/>
        <v>0.37665574421606524</v>
      </c>
      <c r="Z127" s="110">
        <f t="shared" si="431"/>
        <v>0.41870778951205373</v>
      </c>
      <c r="AA127" s="110">
        <f t="shared" si="431"/>
        <v>1.8300334398247365E-3</v>
      </c>
    </row>
    <row r="128" spans="3:27" x14ac:dyDescent="0.2">
      <c r="C128" s="190" t="s">
        <v>205</v>
      </c>
      <c r="D128" s="191">
        <v>2078.23</v>
      </c>
      <c r="E128" s="191">
        <v>2114.1999999999998</v>
      </c>
      <c r="F128" s="195">
        <f>-(SUM(D$41:F$41))</f>
        <v>2095.645833333333</v>
      </c>
      <c r="G128" s="195">
        <f t="shared" ref="G128:AA128" si="432">-(SUM(E$41:G$41))</f>
        <v>2123.8124999999991</v>
      </c>
      <c r="H128" s="195">
        <f t="shared" si="432"/>
        <v>2140.8749999999991</v>
      </c>
      <c r="I128" s="195">
        <f t="shared" si="432"/>
        <v>2136.2708333333326</v>
      </c>
      <c r="J128" s="195">
        <f t="shared" si="432"/>
        <v>2097.4999999999995</v>
      </c>
      <c r="K128" s="195">
        <f t="shared" si="432"/>
        <v>2055.6666666666661</v>
      </c>
      <c r="L128" s="195">
        <f t="shared" si="432"/>
        <v>2044.583333333333</v>
      </c>
      <c r="M128" s="195">
        <f t="shared" si="432"/>
        <v>2060.1666666666665</v>
      </c>
      <c r="N128" s="195">
        <f t="shared" si="432"/>
        <v>2085.645833333333</v>
      </c>
      <c r="O128" s="196">
        <f t="shared" si="432"/>
        <v>2105.3749999999995</v>
      </c>
      <c r="P128" s="195">
        <f t="shared" si="432"/>
        <v>2172.0416666666665</v>
      </c>
      <c r="Q128" s="195">
        <f t="shared" si="432"/>
        <v>2231.8749999999995</v>
      </c>
      <c r="R128" s="195">
        <f t="shared" si="432"/>
        <v>2297.9374999999995</v>
      </c>
      <c r="S128" s="195">
        <f t="shared" si="432"/>
        <v>2300.0624999999995</v>
      </c>
      <c r="T128" s="195">
        <f t="shared" si="432"/>
        <v>2277.6249999999995</v>
      </c>
      <c r="U128" s="195">
        <f t="shared" si="432"/>
        <v>2249.6249999999995</v>
      </c>
      <c r="V128" s="195">
        <f t="shared" si="432"/>
        <v>2196.958333333333</v>
      </c>
      <c r="W128" s="195">
        <f t="shared" si="432"/>
        <v>2165.7916666666665</v>
      </c>
      <c r="X128" s="195">
        <f t="shared" si="432"/>
        <v>2106.7916666666665</v>
      </c>
      <c r="Y128" s="195">
        <f t="shared" si="432"/>
        <v>2098.125</v>
      </c>
      <c r="Z128" s="195">
        <f t="shared" si="432"/>
        <v>2057.520833333333</v>
      </c>
      <c r="AA128" s="195">
        <f t="shared" si="432"/>
        <v>2047.6249999999998</v>
      </c>
    </row>
    <row r="129" spans="3:27" ht="6" customHeight="1" x14ac:dyDescent="0.2">
      <c r="C129" s="190"/>
      <c r="D129" s="191"/>
      <c r="E129" s="191"/>
      <c r="F129" s="192"/>
      <c r="G129" s="192"/>
      <c r="H129" s="192"/>
      <c r="I129" s="192"/>
      <c r="J129" s="192"/>
      <c r="K129" s="192"/>
      <c r="L129" s="192"/>
      <c r="M129" s="192"/>
      <c r="N129" s="192"/>
      <c r="O129" s="193"/>
      <c r="P129" s="192"/>
      <c r="Q129" s="192"/>
      <c r="R129" s="192"/>
      <c r="S129" s="192"/>
      <c r="T129" s="192"/>
      <c r="U129" s="192"/>
      <c r="V129" s="192"/>
      <c r="W129" s="192"/>
      <c r="X129" s="192"/>
      <c r="Y129" s="192"/>
      <c r="Z129" s="192"/>
      <c r="AA129" s="192"/>
    </row>
    <row r="130" spans="3:27" x14ac:dyDescent="0.2">
      <c r="C130" s="7" t="s">
        <v>202</v>
      </c>
      <c r="D130" s="110">
        <f>D93/D122</f>
        <v>0.222</v>
      </c>
      <c r="E130" s="110">
        <f t="shared" ref="E130:AA130" si="433">E93/E122</f>
        <v>0.21999306233891805</v>
      </c>
      <c r="F130" s="110">
        <f t="shared" si="433"/>
        <v>0.21581527456571512</v>
      </c>
      <c r="G130" s="110">
        <f t="shared" si="433"/>
        <v>0.21979757374033027</v>
      </c>
      <c r="H130" s="110">
        <f t="shared" si="433"/>
        <v>0.21007874803599391</v>
      </c>
      <c r="I130" s="110">
        <f t="shared" si="433"/>
        <v>0.20714336950264797</v>
      </c>
      <c r="J130" s="110">
        <f t="shared" si="433"/>
        <v>0.21427838729664692</v>
      </c>
      <c r="K130" s="110">
        <f t="shared" si="433"/>
        <v>0.21531117410904899</v>
      </c>
      <c r="L130" s="110">
        <f t="shared" si="433"/>
        <v>0.22413028823835826</v>
      </c>
      <c r="M130" s="110">
        <f t="shared" si="433"/>
        <v>0.21623419040301411</v>
      </c>
      <c r="N130" s="110">
        <f t="shared" si="433"/>
        <v>0.20758795577471587</v>
      </c>
      <c r="O130" s="103">
        <f t="shared" si="433"/>
        <v>0.19783289950712235</v>
      </c>
      <c r="P130" s="110">
        <f t="shared" si="433"/>
        <v>0.19530870993085114</v>
      </c>
      <c r="Q130" s="110">
        <f t="shared" si="433"/>
        <v>0.20511598644637707</v>
      </c>
      <c r="R130" s="110">
        <f t="shared" si="433"/>
        <v>0.21126273677259708</v>
      </c>
      <c r="S130" s="110">
        <f t="shared" si="433"/>
        <v>0.20155242323416195</v>
      </c>
      <c r="T130" s="110">
        <f t="shared" si="433"/>
        <v>0.20514262645659379</v>
      </c>
      <c r="U130" s="110">
        <f t="shared" si="433"/>
        <v>0.19763450076826183</v>
      </c>
      <c r="V130" s="110">
        <f t="shared" si="433"/>
        <v>0.19924592768440408</v>
      </c>
      <c r="W130" s="110">
        <f t="shared" si="433"/>
        <v>0.20653758541915077</v>
      </c>
      <c r="X130" s="110">
        <f t="shared" si="433"/>
        <v>0.21247590443350681</v>
      </c>
      <c r="Y130" s="110">
        <f t="shared" si="433"/>
        <v>0.22427590585938148</v>
      </c>
      <c r="Z130" s="110">
        <f t="shared" si="433"/>
        <v>0.21901961277572066</v>
      </c>
      <c r="AA130" s="110">
        <f t="shared" si="433"/>
        <v>0.23622506586189956</v>
      </c>
    </row>
    <row r="131" spans="3:27" ht="6" customHeight="1" x14ac:dyDescent="0.2">
      <c r="C131" s="190"/>
      <c r="D131" s="191"/>
      <c r="E131" s="191"/>
      <c r="F131" s="192"/>
      <c r="G131" s="192"/>
      <c r="H131" s="192"/>
      <c r="I131" s="192"/>
      <c r="J131" s="192"/>
      <c r="K131" s="192"/>
      <c r="L131" s="192"/>
      <c r="M131" s="192"/>
      <c r="N131" s="192"/>
      <c r="O131" s="193"/>
      <c r="P131" s="192"/>
      <c r="Q131" s="192"/>
      <c r="R131" s="192"/>
      <c r="S131" s="192"/>
      <c r="T131" s="192"/>
      <c r="U131" s="192"/>
      <c r="V131" s="192"/>
      <c r="W131" s="192"/>
      <c r="X131" s="192"/>
      <c r="Y131" s="192"/>
      <c r="Z131" s="192"/>
      <c r="AA131" s="192"/>
    </row>
    <row r="132" spans="3:27" x14ac:dyDescent="0.2">
      <c r="C132" s="7" t="s">
        <v>206</v>
      </c>
      <c r="D132" s="110">
        <f>D102/D133</f>
        <v>0.43231999999999998</v>
      </c>
      <c r="E132" s="110">
        <f>E102/E133</f>
        <v>0.43963578635278971</v>
      </c>
      <c r="F132" s="110">
        <f t="shared" ref="F132:AA132" si="434">F102/F133</f>
        <v>0.44055913267421826</v>
      </c>
      <c r="G132" s="110">
        <f t="shared" si="434"/>
        <v>0.44516142198771269</v>
      </c>
      <c r="H132" s="110">
        <f t="shared" si="434"/>
        <v>0.45501005800347438</v>
      </c>
      <c r="I132" s="110">
        <f t="shared" si="434"/>
        <v>0.45261637091663437</v>
      </c>
      <c r="J132" s="110">
        <f t="shared" si="434"/>
        <v>0.45969988166585929</v>
      </c>
      <c r="K132" s="110">
        <f t="shared" si="434"/>
        <v>0.46419021504342295</v>
      </c>
      <c r="L132" s="110">
        <f t="shared" si="434"/>
        <v>0.46123431121754316</v>
      </c>
      <c r="M132" s="110">
        <f t="shared" si="434"/>
        <v>0.46728197759365647</v>
      </c>
      <c r="N132" s="110">
        <f t="shared" si="434"/>
        <v>0.46314366602894042</v>
      </c>
      <c r="O132" s="103">
        <f t="shared" si="434"/>
        <v>0.46914315394240119</v>
      </c>
      <c r="P132" s="110">
        <f t="shared" si="434"/>
        <v>0.46032107394765825</v>
      </c>
      <c r="Q132" s="110">
        <f t="shared" si="434"/>
        <v>0.46492316019556995</v>
      </c>
      <c r="R132" s="110">
        <f t="shared" si="434"/>
        <v>0.46125622877963118</v>
      </c>
      <c r="S132" s="110">
        <f t="shared" si="434"/>
        <v>0.45924679603739982</v>
      </c>
      <c r="T132" s="110">
        <f t="shared" si="434"/>
        <v>0.46752406829965271</v>
      </c>
      <c r="U132" s="110">
        <f t="shared" si="434"/>
        <v>0.46576091847688278</v>
      </c>
      <c r="V132" s="110">
        <f t="shared" si="434"/>
        <v>0.45583569984464739</v>
      </c>
      <c r="W132" s="110">
        <f t="shared" si="434"/>
        <v>0.45685470005875983</v>
      </c>
      <c r="X132" s="110">
        <f t="shared" si="434"/>
        <v>0.45688368220223124</v>
      </c>
      <c r="Y132" s="110">
        <f t="shared" si="434"/>
        <v>0.45181526352281948</v>
      </c>
      <c r="Z132" s="110">
        <f t="shared" si="434"/>
        <v>0.45068792996001522</v>
      </c>
      <c r="AA132" s="110">
        <f t="shared" si="434"/>
        <v>0.45923137548481691</v>
      </c>
    </row>
    <row r="133" spans="3:27" x14ac:dyDescent="0.2">
      <c r="C133" s="190" t="s">
        <v>204</v>
      </c>
      <c r="D133" s="191">
        <v>672.32</v>
      </c>
      <c r="E133" s="191">
        <v>682.23</v>
      </c>
      <c r="F133" s="195">
        <f>-(SUM(D$44:F$44))</f>
        <v>712.24790974588996</v>
      </c>
      <c r="G133" s="195">
        <f t="shared" ref="G133:AA133" si="435">-(SUM(E$44:G$44))</f>
        <v>751.89417233920017</v>
      </c>
      <c r="H133" s="195">
        <f t="shared" si="435"/>
        <v>825.1207456295374</v>
      </c>
      <c r="I133" s="195">
        <f t="shared" si="435"/>
        <v>834.68642228814701</v>
      </c>
      <c r="J133" s="195">
        <f t="shared" si="435"/>
        <v>826.63777057039033</v>
      </c>
      <c r="K133" s="195">
        <f t="shared" si="435"/>
        <v>763.36361259156445</v>
      </c>
      <c r="L133" s="195">
        <f t="shared" si="435"/>
        <v>702.23736364127694</v>
      </c>
      <c r="M133" s="195">
        <f t="shared" si="435"/>
        <v>676.97408451108015</v>
      </c>
      <c r="N133" s="195">
        <f t="shared" si="435"/>
        <v>648.29631072625659</v>
      </c>
      <c r="O133" s="196">
        <f t="shared" si="435"/>
        <v>587.75865768608332</v>
      </c>
      <c r="P133" s="195">
        <f t="shared" si="435"/>
        <v>589.26270525290056</v>
      </c>
      <c r="Q133" s="195">
        <f t="shared" si="435"/>
        <v>609.25044259731249</v>
      </c>
      <c r="R133" s="195">
        <f t="shared" si="435"/>
        <v>690.76775695845276</v>
      </c>
      <c r="S133" s="195">
        <f t="shared" si="435"/>
        <v>726.63237639051545</v>
      </c>
      <c r="T133" s="195">
        <f t="shared" si="435"/>
        <v>811.75830286823475</v>
      </c>
      <c r="U133" s="195">
        <f t="shared" si="435"/>
        <v>825.57108476659823</v>
      </c>
      <c r="V133" s="195">
        <f t="shared" si="435"/>
        <v>830.17247494300818</v>
      </c>
      <c r="W133" s="195">
        <f t="shared" si="435"/>
        <v>744.96185389254299</v>
      </c>
      <c r="X133" s="195">
        <f t="shared" si="435"/>
        <v>701.54349554234682</v>
      </c>
      <c r="Y133" s="195">
        <f t="shared" si="435"/>
        <v>681.45655726033237</v>
      </c>
      <c r="Z133" s="195">
        <f t="shared" si="435"/>
        <v>651.7845448701537</v>
      </c>
      <c r="AA133" s="195">
        <f t="shared" si="435"/>
        <v>599.23551718134377</v>
      </c>
    </row>
    <row r="134" spans="3:27" ht="6" customHeight="1" x14ac:dyDescent="0.2">
      <c r="C134" s="190"/>
      <c r="D134" s="191"/>
      <c r="E134" s="191"/>
      <c r="F134" s="192"/>
      <c r="G134" s="192"/>
      <c r="H134" s="192"/>
      <c r="I134" s="192"/>
      <c r="J134" s="192"/>
      <c r="K134" s="192"/>
      <c r="L134" s="192"/>
      <c r="M134" s="192"/>
      <c r="N134" s="192"/>
      <c r="O134" s="193"/>
      <c r="P134" s="192"/>
      <c r="Q134" s="192"/>
      <c r="R134" s="192"/>
      <c r="S134" s="192"/>
      <c r="T134" s="192"/>
      <c r="U134" s="192"/>
      <c r="V134" s="192"/>
      <c r="W134" s="192"/>
      <c r="X134" s="192"/>
      <c r="Y134" s="192"/>
      <c r="Z134" s="192"/>
      <c r="AA134" s="192"/>
    </row>
    <row r="135" spans="3:27" x14ac:dyDescent="0.2">
      <c r="C135" s="7" t="s">
        <v>203</v>
      </c>
      <c r="D135" s="110">
        <f>D103/D122</f>
        <v>0.32200000000000001</v>
      </c>
      <c r="E135" s="110">
        <f t="shared" ref="E135:AA135" si="436">E103/E122</f>
        <v>0.31765473577400938</v>
      </c>
      <c r="F135" s="110">
        <f t="shared" si="436"/>
        <v>0.30790519338594141</v>
      </c>
      <c r="G135" s="110">
        <f t="shared" si="436"/>
        <v>0.30324994837715835</v>
      </c>
      <c r="H135" s="110">
        <f t="shared" si="436"/>
        <v>0.30896485202495244</v>
      </c>
      <c r="I135" s="110">
        <f t="shared" si="436"/>
        <v>0.30931122268146011</v>
      </c>
      <c r="J135" s="110">
        <f t="shared" si="436"/>
        <v>0.31784252063233526</v>
      </c>
      <c r="K135" s="110">
        <f t="shared" si="436"/>
        <v>0.31026874938821403</v>
      </c>
      <c r="L135" s="110">
        <f t="shared" si="436"/>
        <v>0.31508687612139191</v>
      </c>
      <c r="M135" s="110">
        <f t="shared" si="436"/>
        <v>0.32479449344136641</v>
      </c>
      <c r="N135" s="110">
        <f t="shared" si="436"/>
        <v>0.31885941264022499</v>
      </c>
      <c r="O135" s="103">
        <f t="shared" si="436"/>
        <v>0.3266397252657593</v>
      </c>
      <c r="P135" s="110">
        <f t="shared" si="436"/>
        <v>0.32723048333127935</v>
      </c>
      <c r="Q135" s="110">
        <f t="shared" si="436"/>
        <v>0.33184670972321906</v>
      </c>
      <c r="R135" s="110">
        <f t="shared" si="436"/>
        <v>0.32221745328657336</v>
      </c>
      <c r="S135" s="110">
        <f t="shared" si="436"/>
        <v>0.31217879116753006</v>
      </c>
      <c r="T135" s="110">
        <f t="shared" si="436"/>
        <v>0.29789798171702497</v>
      </c>
      <c r="U135" s="110">
        <f t="shared" si="436"/>
        <v>0.30229294522799005</v>
      </c>
      <c r="V135" s="110">
        <f t="shared" si="436"/>
        <v>0.30515082221934803</v>
      </c>
      <c r="W135" s="110">
        <f t="shared" si="436"/>
        <v>0.30759840716131243</v>
      </c>
      <c r="X135" s="110">
        <f t="shared" si="436"/>
        <v>0.31828863319245621</v>
      </c>
      <c r="Y135" s="110">
        <f t="shared" si="436"/>
        <v>0.31161139026258083</v>
      </c>
      <c r="Z135" s="110">
        <f t="shared" si="436"/>
        <v>0.3137994618900693</v>
      </c>
      <c r="AA135" s="110">
        <f t="shared" si="436"/>
        <v>0.32507908126855389</v>
      </c>
    </row>
    <row r="136" spans="3:27" x14ac:dyDescent="0.2">
      <c r="C136" s="7" t="s">
        <v>275</v>
      </c>
      <c r="D136" s="110">
        <f>D104/D122</f>
        <v>0.222</v>
      </c>
      <c r="E136" s="110">
        <f t="shared" ref="E136:AA136" si="437">E104/E122</f>
        <v>0.22457293525712924</v>
      </c>
      <c r="F136" s="110">
        <f t="shared" si="437"/>
        <v>0.22274890619527435</v>
      </c>
      <c r="G136" s="110">
        <f t="shared" si="437"/>
        <v>0.2139342318604516</v>
      </c>
      <c r="H136" s="110">
        <f t="shared" si="437"/>
        <v>0.21993591926178391</v>
      </c>
      <c r="I136" s="110">
        <f t="shared" si="437"/>
        <v>0.22874757099013548</v>
      </c>
      <c r="J136" s="110">
        <f t="shared" si="437"/>
        <v>0.23790245369693888</v>
      </c>
      <c r="K136" s="110">
        <f t="shared" si="437"/>
        <v>0.22844911518908606</v>
      </c>
      <c r="L136" s="110">
        <f t="shared" si="437"/>
        <v>0.23528389355375356</v>
      </c>
      <c r="M136" s="110">
        <f t="shared" si="437"/>
        <v>0.23763786997541761</v>
      </c>
      <c r="N136" s="110">
        <f t="shared" si="437"/>
        <v>0.23978983390282282</v>
      </c>
      <c r="O136" s="103">
        <f t="shared" si="437"/>
        <v>0.230666358807875</v>
      </c>
      <c r="P136" s="110">
        <f t="shared" si="437"/>
        <v>0.23248307942510774</v>
      </c>
      <c r="Q136" s="110">
        <f t="shared" si="437"/>
        <v>0.22840126476363237</v>
      </c>
      <c r="R136" s="110">
        <f t="shared" si="437"/>
        <v>0.22180234145031569</v>
      </c>
      <c r="S136" s="110">
        <f t="shared" si="437"/>
        <v>0.22869633639563275</v>
      </c>
      <c r="T136" s="110">
        <f t="shared" si="437"/>
        <v>0.22817593181378718</v>
      </c>
      <c r="U136" s="110">
        <f t="shared" si="437"/>
        <v>0.23338043325733088</v>
      </c>
      <c r="V136" s="110">
        <f t="shared" si="437"/>
        <v>0.23558532620666905</v>
      </c>
      <c r="W136" s="110">
        <f t="shared" si="437"/>
        <v>0.23469860781714666</v>
      </c>
      <c r="X136" s="110">
        <f t="shared" si="437"/>
        <v>0.23143286141083036</v>
      </c>
      <c r="Y136" s="110">
        <f t="shared" si="437"/>
        <v>0.23734735867984394</v>
      </c>
      <c r="Z136" s="110">
        <f t="shared" si="437"/>
        <v>0.2446171842930483</v>
      </c>
      <c r="AA136" s="110">
        <f t="shared" si="437"/>
        <v>0.24962718724355942</v>
      </c>
    </row>
    <row r="137" spans="3:27" ht="3" customHeight="1" x14ac:dyDescent="0.2">
      <c r="C137" s="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8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spans="3:27" x14ac:dyDescent="0.2">
      <c r="C138" s="7" t="s">
        <v>208</v>
      </c>
      <c r="D138" s="67">
        <v>412</v>
      </c>
      <c r="E138" s="67">
        <v>152</v>
      </c>
      <c r="F138" s="67">
        <v>411.19267407647482</v>
      </c>
      <c r="G138" s="67">
        <v>336.47837954596264</v>
      </c>
      <c r="H138" s="67">
        <v>393.87971886245282</v>
      </c>
      <c r="I138" s="67">
        <v>460.08015382654702</v>
      </c>
      <c r="J138" s="67">
        <v>216.46686762628451</v>
      </c>
      <c r="K138" s="67">
        <v>158.94479923921025</v>
      </c>
      <c r="L138" s="67">
        <v>446.21065922243832</v>
      </c>
      <c r="M138" s="67">
        <v>253.42893265118158</v>
      </c>
      <c r="N138" s="67">
        <v>486.2360092511941</v>
      </c>
      <c r="O138" s="197">
        <v>165.12531428552404</v>
      </c>
      <c r="P138" s="67">
        <v>406.13059894954881</v>
      </c>
      <c r="Q138" s="67">
        <v>313.89240550034822</v>
      </c>
      <c r="R138" s="67">
        <v>586.33886804221004</v>
      </c>
      <c r="S138" s="67">
        <v>241.70205013282862</v>
      </c>
      <c r="T138" s="67">
        <v>311.22965526454328</v>
      </c>
      <c r="U138" s="67">
        <v>359.91580697245956</v>
      </c>
      <c r="V138" s="67">
        <v>183.89003945362211</v>
      </c>
      <c r="W138" s="67">
        <v>374.09544836202303</v>
      </c>
      <c r="X138" s="67">
        <v>312.09698940257658</v>
      </c>
      <c r="Y138" s="67">
        <v>272.42133224000929</v>
      </c>
      <c r="Z138" s="67">
        <v>518.73183484979086</v>
      </c>
      <c r="AA138" s="67">
        <v>279.00198469799716</v>
      </c>
    </row>
    <row r="139" spans="3:27" x14ac:dyDescent="0.2">
      <c r="C139" s="190" t="s">
        <v>209</v>
      </c>
      <c r="D139" s="117">
        <v>1141.5507724848903</v>
      </c>
      <c r="E139" s="117">
        <v>1042</v>
      </c>
      <c r="F139" s="198">
        <f>SUM(D138:F138)</f>
        <v>975.19267407647476</v>
      </c>
      <c r="G139" s="199">
        <f t="shared" ref="G139:AA139" si="438">SUM(E138:G138)</f>
        <v>899.6710536224374</v>
      </c>
      <c r="H139" s="199">
        <f t="shared" si="438"/>
        <v>1141.5507724848903</v>
      </c>
      <c r="I139" s="199">
        <f t="shared" si="438"/>
        <v>1190.4382522349624</v>
      </c>
      <c r="J139" s="199">
        <f t="shared" si="438"/>
        <v>1070.4267403152844</v>
      </c>
      <c r="K139" s="199">
        <f t="shared" si="438"/>
        <v>835.49182069204187</v>
      </c>
      <c r="L139" s="199">
        <f t="shared" si="438"/>
        <v>821.62232608793306</v>
      </c>
      <c r="M139" s="199">
        <f t="shared" si="438"/>
        <v>858.58439111283019</v>
      </c>
      <c r="N139" s="199">
        <f t="shared" si="438"/>
        <v>1185.875601124814</v>
      </c>
      <c r="O139" s="118">
        <f t="shared" si="438"/>
        <v>904.79025618789967</v>
      </c>
      <c r="P139" s="199">
        <f t="shared" si="438"/>
        <v>1057.491922486267</v>
      </c>
      <c r="Q139" s="199">
        <f t="shared" si="438"/>
        <v>885.14831873542107</v>
      </c>
      <c r="R139" s="199">
        <f t="shared" si="438"/>
        <v>1306.3618724921071</v>
      </c>
      <c r="S139" s="199">
        <f t="shared" si="438"/>
        <v>1141.9333236753869</v>
      </c>
      <c r="T139" s="199">
        <f t="shared" si="438"/>
        <v>1139.270573439582</v>
      </c>
      <c r="U139" s="199">
        <f t="shared" si="438"/>
        <v>912.84751236983141</v>
      </c>
      <c r="V139" s="199">
        <f t="shared" si="438"/>
        <v>855.03550169062498</v>
      </c>
      <c r="W139" s="199">
        <f t="shared" si="438"/>
        <v>917.90129478810468</v>
      </c>
      <c r="X139" s="199">
        <f t="shared" si="438"/>
        <v>870.0824772182217</v>
      </c>
      <c r="Y139" s="199">
        <f t="shared" si="438"/>
        <v>958.61377000460891</v>
      </c>
      <c r="Z139" s="199">
        <f t="shared" si="438"/>
        <v>1103.2501564923768</v>
      </c>
      <c r="AA139" s="199">
        <f t="shared" si="438"/>
        <v>1070.1551517877974</v>
      </c>
    </row>
    <row r="140" spans="3:27" x14ac:dyDescent="0.2">
      <c r="C140" s="190" t="s">
        <v>210</v>
      </c>
      <c r="D140" s="111">
        <f>D139/D122</f>
        <v>4.3932019598654705E-2</v>
      </c>
      <c r="E140" s="111">
        <f t="shared" ref="E140:AA140" si="439">E139/E122</f>
        <v>3.9601522036232732E-2</v>
      </c>
      <c r="F140" s="111">
        <f t="shared" si="439"/>
        <v>3.5297752147168487E-2</v>
      </c>
      <c r="G140" s="111">
        <f t="shared" si="439"/>
        <v>3.2876601693986214E-2</v>
      </c>
      <c r="H140" s="111">
        <f t="shared" si="439"/>
        <v>4.0288433272939038E-2</v>
      </c>
      <c r="I140" s="111">
        <f t="shared" si="439"/>
        <v>4.2183171638219177E-2</v>
      </c>
      <c r="J140" s="111">
        <f t="shared" si="439"/>
        <v>3.6265359527793702E-2</v>
      </c>
      <c r="K140" s="111">
        <f t="shared" si="439"/>
        <v>2.5599605093291723E-2</v>
      </c>
      <c r="L140" s="111">
        <f t="shared" si="439"/>
        <v>2.3555127866898482E-2</v>
      </c>
      <c r="M140" s="111">
        <f t="shared" si="439"/>
        <v>2.3467035531736402E-2</v>
      </c>
      <c r="N140" s="111">
        <f t="shared" si="439"/>
        <v>3.2312005129591197E-2</v>
      </c>
      <c r="O140" s="97">
        <f t="shared" si="439"/>
        <v>2.488426999359656E-2</v>
      </c>
      <c r="P140" s="111">
        <f t="shared" si="439"/>
        <v>2.7809546562940338E-2</v>
      </c>
      <c r="Q140" s="111">
        <f t="shared" si="439"/>
        <v>2.3442571385119005E-2</v>
      </c>
      <c r="R140" s="111">
        <f t="shared" si="439"/>
        <v>3.3535899613595883E-2</v>
      </c>
      <c r="S140" s="111">
        <f t="shared" si="439"/>
        <v>3.0682439084646691E-2</v>
      </c>
      <c r="T140" s="111">
        <f t="shared" si="439"/>
        <v>3.1382133413062029E-2</v>
      </c>
      <c r="U140" s="111">
        <f t="shared" si="439"/>
        <v>2.6411814921479756E-2</v>
      </c>
      <c r="V140" s="111">
        <f t="shared" si="439"/>
        <v>2.4103769791383602E-2</v>
      </c>
      <c r="W140" s="111">
        <f t="shared" si="439"/>
        <v>2.4906002520964633E-2</v>
      </c>
      <c r="X140" s="111">
        <f t="shared" si="439"/>
        <v>2.2858423934938889E-2</v>
      </c>
      <c r="Y140" s="111">
        <f t="shared" si="439"/>
        <v>2.4541625545444787E-2</v>
      </c>
      <c r="Z140" s="111">
        <f t="shared" si="439"/>
        <v>2.8964853310257527E-2</v>
      </c>
      <c r="AA140" s="111">
        <f t="shared" si="439"/>
        <v>2.9820180234469976E-2</v>
      </c>
    </row>
    <row r="141" spans="3:27" ht="12.75" customHeight="1" x14ac:dyDescent="0.2"/>
    <row r="142" spans="3:27" ht="12.75" customHeight="1" x14ac:dyDescent="0.2">
      <c r="C142" s="189" t="s">
        <v>214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3:27" ht="3" customHeight="1" x14ac:dyDescent="0.2"/>
    <row r="144" spans="3:27" x14ac:dyDescent="0.2">
      <c r="C144" s="7" t="s">
        <v>218</v>
      </c>
      <c r="D144" s="201">
        <v>4.3105299999999999E-2</v>
      </c>
      <c r="E144" s="201">
        <v>4.52561E-2</v>
      </c>
      <c r="F144" s="201">
        <v>4.6300399999999999E-2</v>
      </c>
      <c r="G144" s="201">
        <v>4.8223500000000002E-2</v>
      </c>
      <c r="H144" s="201">
        <v>5.0405199999999997E-2</v>
      </c>
      <c r="I144" s="201">
        <v>5.0652799999999998E-2</v>
      </c>
      <c r="J144" s="201">
        <v>5.1014499999999997E-2</v>
      </c>
      <c r="K144" s="201">
        <v>5.3113500000000001E-2</v>
      </c>
      <c r="L144" s="201">
        <v>5.31663E-2</v>
      </c>
      <c r="M144" s="201">
        <v>5.3199799999999998E-2</v>
      </c>
      <c r="N144" s="201">
        <v>5.3307399999999998E-2</v>
      </c>
      <c r="O144" s="162">
        <v>5.3440700000000001E-2</v>
      </c>
      <c r="P144" s="201">
        <v>5.3313600000000003E-2</v>
      </c>
      <c r="Q144" s="201">
        <v>5.3199799999999998E-2</v>
      </c>
      <c r="R144" s="201">
        <v>5.3224E-2</v>
      </c>
      <c r="S144" s="201">
        <v>5.3274200000000001E-2</v>
      </c>
      <c r="T144" s="201">
        <v>5.32433E-2</v>
      </c>
      <c r="U144" s="201">
        <v>5.3364300000000003E-2</v>
      </c>
      <c r="V144" s="201">
        <v>5.3511599999999999E-2</v>
      </c>
      <c r="W144" s="201">
        <v>5.3464999999999999E-2</v>
      </c>
      <c r="X144" s="201">
        <v>5.1633399999999996E-2</v>
      </c>
      <c r="Y144" s="201">
        <v>4.8494599999999999E-2</v>
      </c>
      <c r="Z144" s="201">
        <v>4.6657599999999994E-2</v>
      </c>
      <c r="AA144" s="201">
        <v>4.52766E-2</v>
      </c>
    </row>
    <row r="145" spans="2:33" ht="6" customHeight="1" x14ac:dyDescent="0.2">
      <c r="C145" s="7"/>
      <c r="D145" s="194"/>
      <c r="E145" s="194"/>
      <c r="F145" s="194"/>
      <c r="G145" s="194"/>
      <c r="H145" s="194"/>
      <c r="I145" s="194"/>
      <c r="J145" s="194"/>
      <c r="K145" s="194"/>
      <c r="L145" s="194"/>
      <c r="M145" s="194"/>
      <c r="N145" s="194"/>
      <c r="O145" s="91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  <c r="AA145" s="194"/>
    </row>
    <row r="146" spans="2:33" x14ac:dyDescent="0.2">
      <c r="C146" s="7" t="s">
        <v>215</v>
      </c>
      <c r="D146" s="203">
        <f>D144+$AG$146/10^4</f>
        <v>9.8105300000000006E-2</v>
      </c>
      <c r="E146" s="203">
        <f t="shared" ref="E146:AA146" si="440">E144+$AG$146/10^4</f>
        <v>0.1002561</v>
      </c>
      <c r="F146" s="203">
        <f t="shared" si="440"/>
        <v>0.1013004</v>
      </c>
      <c r="G146" s="203">
        <f t="shared" si="440"/>
        <v>0.1032235</v>
      </c>
      <c r="H146" s="203">
        <f t="shared" si="440"/>
        <v>0.1054052</v>
      </c>
      <c r="I146" s="203">
        <f t="shared" si="440"/>
        <v>0.10565279999999999</v>
      </c>
      <c r="J146" s="203">
        <f t="shared" si="440"/>
        <v>0.1060145</v>
      </c>
      <c r="K146" s="203">
        <f t="shared" si="440"/>
        <v>0.1081135</v>
      </c>
      <c r="L146" s="203">
        <f t="shared" si="440"/>
        <v>0.10816629999999999</v>
      </c>
      <c r="M146" s="203">
        <f t="shared" si="440"/>
        <v>0.1081998</v>
      </c>
      <c r="N146" s="203">
        <f t="shared" si="440"/>
        <v>0.1083074</v>
      </c>
      <c r="O146" s="204">
        <f t="shared" si="440"/>
        <v>0.1084407</v>
      </c>
      <c r="P146" s="203">
        <f t="shared" si="440"/>
        <v>0.10831360000000001</v>
      </c>
      <c r="Q146" s="203">
        <f t="shared" si="440"/>
        <v>0.1081998</v>
      </c>
      <c r="R146" s="203">
        <f t="shared" si="440"/>
        <v>0.108224</v>
      </c>
      <c r="S146" s="203">
        <f t="shared" si="440"/>
        <v>0.1082742</v>
      </c>
      <c r="T146" s="203">
        <f t="shared" si="440"/>
        <v>0.1082433</v>
      </c>
      <c r="U146" s="203">
        <f t="shared" si="440"/>
        <v>0.1083643</v>
      </c>
      <c r="V146" s="203">
        <f t="shared" si="440"/>
        <v>0.1085116</v>
      </c>
      <c r="W146" s="203">
        <f t="shared" si="440"/>
        <v>0.10846500000000001</v>
      </c>
      <c r="X146" s="203">
        <f t="shared" si="440"/>
        <v>0.10663339999999999</v>
      </c>
      <c r="Y146" s="203">
        <f t="shared" si="440"/>
        <v>0.10349459999999999</v>
      </c>
      <c r="Z146" s="203">
        <f t="shared" si="440"/>
        <v>0.10165759999999999</v>
      </c>
      <c r="AA146" s="203">
        <f t="shared" si="440"/>
        <v>0.10027659999999999</v>
      </c>
      <c r="AG146" s="202">
        <v>550</v>
      </c>
    </row>
    <row r="147" spans="2:33" x14ac:dyDescent="0.2">
      <c r="C147" s="190" t="s">
        <v>217</v>
      </c>
      <c r="D147" s="191">
        <v>15000</v>
      </c>
      <c r="E147" s="191">
        <v>15000</v>
      </c>
      <c r="F147" s="191">
        <v>15000</v>
      </c>
      <c r="G147" s="191">
        <v>15000</v>
      </c>
      <c r="H147" s="191">
        <v>15000</v>
      </c>
      <c r="I147" s="191">
        <v>15000</v>
      </c>
      <c r="J147" s="191">
        <v>15000</v>
      </c>
      <c r="K147" s="191">
        <v>15000</v>
      </c>
      <c r="L147" s="191">
        <v>15000</v>
      </c>
      <c r="M147" s="191">
        <v>15000</v>
      </c>
      <c r="N147" s="191">
        <v>15000</v>
      </c>
      <c r="O147" s="200">
        <v>15000</v>
      </c>
      <c r="P147" s="191">
        <v>15000</v>
      </c>
      <c r="Q147" s="191">
        <v>15000</v>
      </c>
      <c r="R147" s="191">
        <v>15000</v>
      </c>
      <c r="S147" s="191">
        <v>15000</v>
      </c>
      <c r="T147" s="191">
        <v>15000</v>
      </c>
      <c r="U147" s="191">
        <v>15000</v>
      </c>
      <c r="V147" s="191">
        <v>15000</v>
      </c>
      <c r="W147" s="191">
        <v>15000</v>
      </c>
      <c r="X147" s="191">
        <v>15000</v>
      </c>
      <c r="Y147" s="191">
        <v>15000</v>
      </c>
      <c r="Z147" s="191">
        <v>15000</v>
      </c>
      <c r="AA147" s="191">
        <v>15000</v>
      </c>
    </row>
    <row r="148" spans="2:33" ht="6" customHeight="1" x14ac:dyDescent="0.2">
      <c r="C148" s="190"/>
      <c r="D148" s="191"/>
      <c r="E148" s="191"/>
      <c r="F148" s="195"/>
      <c r="G148" s="195"/>
      <c r="H148" s="195"/>
      <c r="I148" s="195"/>
      <c r="J148" s="195"/>
      <c r="K148" s="195"/>
      <c r="L148" s="195"/>
      <c r="M148" s="195"/>
      <c r="N148" s="195"/>
      <c r="O148" s="196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  <c r="AA148" s="195"/>
    </row>
    <row r="149" spans="2:33" x14ac:dyDescent="0.2">
      <c r="C149" s="7" t="s">
        <v>216</v>
      </c>
      <c r="D149" s="203">
        <f>D144+$AG$149/10000</f>
        <v>9.3105300000000002E-2</v>
      </c>
      <c r="E149" s="203">
        <f t="shared" ref="E149:AA149" si="441">E144+$AG$149/10000</f>
        <v>9.525610000000001E-2</v>
      </c>
      <c r="F149" s="203">
        <f t="shared" si="441"/>
        <v>9.6300400000000008E-2</v>
      </c>
      <c r="G149" s="203">
        <f t="shared" si="441"/>
        <v>9.8223500000000005E-2</v>
      </c>
      <c r="H149" s="203">
        <f t="shared" si="441"/>
        <v>0.1004052</v>
      </c>
      <c r="I149" s="203">
        <f t="shared" si="441"/>
        <v>0.1006528</v>
      </c>
      <c r="J149" s="203">
        <f t="shared" si="441"/>
        <v>0.10101450000000001</v>
      </c>
      <c r="K149" s="203">
        <f t="shared" si="441"/>
        <v>0.1031135</v>
      </c>
      <c r="L149" s="203">
        <f t="shared" si="441"/>
        <v>0.1031663</v>
      </c>
      <c r="M149" s="203">
        <f t="shared" si="441"/>
        <v>0.10319980000000001</v>
      </c>
      <c r="N149" s="203">
        <f t="shared" si="441"/>
        <v>0.10330739999999999</v>
      </c>
      <c r="O149" s="204">
        <f t="shared" si="441"/>
        <v>0.1034407</v>
      </c>
      <c r="P149" s="203">
        <f t="shared" si="441"/>
        <v>0.10331360000000001</v>
      </c>
      <c r="Q149" s="203">
        <f t="shared" si="441"/>
        <v>0.10319980000000001</v>
      </c>
      <c r="R149" s="203">
        <f t="shared" si="441"/>
        <v>0.10322400000000001</v>
      </c>
      <c r="S149" s="203">
        <f t="shared" si="441"/>
        <v>0.10327420000000001</v>
      </c>
      <c r="T149" s="203">
        <f t="shared" si="441"/>
        <v>0.10324330000000001</v>
      </c>
      <c r="U149" s="203">
        <f t="shared" si="441"/>
        <v>0.10336430000000001</v>
      </c>
      <c r="V149" s="203">
        <f t="shared" si="441"/>
        <v>0.10351160000000001</v>
      </c>
      <c r="W149" s="203">
        <f t="shared" si="441"/>
        <v>0.103465</v>
      </c>
      <c r="X149" s="203">
        <f t="shared" si="441"/>
        <v>0.1016334</v>
      </c>
      <c r="Y149" s="203">
        <f t="shared" si="441"/>
        <v>9.8494600000000002E-2</v>
      </c>
      <c r="Z149" s="203">
        <f t="shared" si="441"/>
        <v>9.6657599999999996E-2</v>
      </c>
      <c r="AA149" s="203">
        <f t="shared" si="441"/>
        <v>9.5276600000000003E-2</v>
      </c>
      <c r="AG149" s="202">
        <v>500</v>
      </c>
    </row>
    <row r="150" spans="2:33" ht="6" customHeight="1" x14ac:dyDescent="0.2"/>
    <row r="152" spans="2:33" ht="13.5" thickBot="1" x14ac:dyDescent="0.25">
      <c r="B152" s="2" t="s">
        <v>0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3">
        <f ca="1">TODAY()</f>
        <v>45999</v>
      </c>
      <c r="AE152" s="1"/>
    </row>
    <row r="153" spans="2:33" x14ac:dyDescent="0.2">
      <c r="C153" t="s">
        <v>161</v>
      </c>
    </row>
    <row r="155" spans="2:33" x14ac:dyDescent="0.2">
      <c r="D155" s="208">
        <v>2023</v>
      </c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10"/>
      <c r="P155" s="208">
        <v>2024</v>
      </c>
      <c r="Q155" s="209"/>
      <c r="R155" s="209"/>
      <c r="S155" s="209"/>
      <c r="T155" s="209"/>
      <c r="U155" s="209"/>
      <c r="V155" s="209"/>
      <c r="W155" s="209"/>
      <c r="X155" s="209"/>
      <c r="Y155" s="209"/>
      <c r="Z155" s="209"/>
      <c r="AA155" s="210"/>
      <c r="AC155" s="20" t="s">
        <v>14</v>
      </c>
      <c r="AD155" s="22"/>
    </row>
    <row r="156" spans="2:33" ht="15" x14ac:dyDescent="0.35">
      <c r="D156" s="211">
        <v>44957</v>
      </c>
      <c r="E156" s="212">
        <f>EOMONTH(D156,1)</f>
        <v>44985</v>
      </c>
      <c r="F156" s="212">
        <f t="shared" ref="F156" si="442">EOMONTH(E156,1)</f>
        <v>45016</v>
      </c>
      <c r="G156" s="212">
        <f t="shared" ref="G156" si="443">EOMONTH(F156,1)</f>
        <v>45046</v>
      </c>
      <c r="H156" s="212">
        <f t="shared" ref="H156" si="444">EOMONTH(G156,1)</f>
        <v>45077</v>
      </c>
      <c r="I156" s="212">
        <f t="shared" ref="I156" si="445">EOMONTH(H156,1)</f>
        <v>45107</v>
      </c>
      <c r="J156" s="212">
        <f t="shared" ref="J156" si="446">EOMONTH(I156,1)</f>
        <v>45138</v>
      </c>
      <c r="K156" s="212">
        <f t="shared" ref="K156" si="447">EOMONTH(J156,1)</f>
        <v>45169</v>
      </c>
      <c r="L156" s="212">
        <f t="shared" ref="L156" si="448">EOMONTH(K156,1)</f>
        <v>45199</v>
      </c>
      <c r="M156" s="212">
        <f t="shared" ref="M156" si="449">EOMONTH(L156,1)</f>
        <v>45230</v>
      </c>
      <c r="N156" s="212">
        <f t="shared" ref="N156" si="450">EOMONTH(M156,1)</f>
        <v>45260</v>
      </c>
      <c r="O156" s="213">
        <f t="shared" ref="O156" si="451">EOMONTH(N156,1)</f>
        <v>45291</v>
      </c>
      <c r="P156" s="211">
        <f t="shared" ref="P156" si="452">EOMONTH(O156,1)</f>
        <v>45322</v>
      </c>
      <c r="Q156" s="212">
        <f t="shared" ref="Q156" si="453">EOMONTH(P156,1)</f>
        <v>45351</v>
      </c>
      <c r="R156" s="212">
        <f t="shared" ref="R156" si="454">EOMONTH(Q156,1)</f>
        <v>45382</v>
      </c>
      <c r="S156" s="212">
        <f t="shared" ref="S156" si="455">EOMONTH(R156,1)</f>
        <v>45412</v>
      </c>
      <c r="T156" s="212">
        <f t="shared" ref="T156" si="456">EOMONTH(S156,1)</f>
        <v>45443</v>
      </c>
      <c r="U156" s="212">
        <f t="shared" ref="U156" si="457">EOMONTH(T156,1)</f>
        <v>45473</v>
      </c>
      <c r="V156" s="212">
        <f t="shared" ref="V156" si="458">EOMONTH(U156,1)</f>
        <v>45504</v>
      </c>
      <c r="W156" s="212">
        <f t="shared" ref="W156" si="459">EOMONTH(V156,1)</f>
        <v>45535</v>
      </c>
      <c r="X156" s="212">
        <f t="shared" ref="X156" si="460">EOMONTH(W156,1)</f>
        <v>45565</v>
      </c>
      <c r="Y156" s="212">
        <f t="shared" ref="Y156" si="461">EOMONTH(X156,1)</f>
        <v>45596</v>
      </c>
      <c r="Z156" s="212">
        <f t="shared" ref="Z156" si="462">EOMONTH(Y156,1)</f>
        <v>45626</v>
      </c>
      <c r="AA156" s="213">
        <f t="shared" ref="AA156" si="463">EOMONTH(Z156,1)</f>
        <v>45657</v>
      </c>
      <c r="AB156" s="12"/>
      <c r="AC156" s="13">
        <v>45291</v>
      </c>
      <c r="AD156" s="14">
        <v>45657</v>
      </c>
    </row>
    <row r="157" spans="2:33" ht="3" customHeight="1" x14ac:dyDescent="0.2">
      <c r="D157" s="11"/>
      <c r="P157" s="11"/>
      <c r="AA157" s="15"/>
      <c r="AC157" s="11"/>
      <c r="AD157" s="15"/>
    </row>
    <row r="158" spans="2:33" ht="12.75" customHeight="1" x14ac:dyDescent="0.2">
      <c r="C158" s="7" t="s">
        <v>220</v>
      </c>
      <c r="D158" s="205">
        <f>D72</f>
        <v>17.968479363075623</v>
      </c>
      <c r="E158" s="76">
        <f t="shared" ref="E158:AA158" si="464">E72</f>
        <v>-310.48319726840623</v>
      </c>
      <c r="F158" s="76">
        <f t="shared" si="464"/>
        <v>-614.76542666013552</v>
      </c>
      <c r="G158" s="76">
        <f t="shared" si="464"/>
        <v>-762.09502260685417</v>
      </c>
      <c r="H158" s="76">
        <f t="shared" si="464"/>
        <v>-1032.3097337963404</v>
      </c>
      <c r="I158" s="76">
        <f t="shared" si="464"/>
        <v>-987.99822550626027</v>
      </c>
      <c r="J158" s="76">
        <f t="shared" si="464"/>
        <v>207.2069885617027</v>
      </c>
      <c r="K158" s="76">
        <f t="shared" si="464"/>
        <v>2350.1066475489788</v>
      </c>
      <c r="L158" s="76">
        <f t="shared" si="464"/>
        <v>1861.7746575970868</v>
      </c>
      <c r="M158" s="76">
        <f t="shared" si="464"/>
        <v>1922.0079421600108</v>
      </c>
      <c r="N158" s="76">
        <f t="shared" si="464"/>
        <v>3155.7232920706147</v>
      </c>
      <c r="O158" s="76">
        <f t="shared" si="464"/>
        <v>2885.261940681783</v>
      </c>
      <c r="P158" s="205">
        <f t="shared" si="464"/>
        <v>2096.6279993650865</v>
      </c>
      <c r="Q158" s="76">
        <f t="shared" si="464"/>
        <v>1337.6862420321513</v>
      </c>
      <c r="R158" s="76">
        <f t="shared" si="464"/>
        <v>987.26118766181048</v>
      </c>
      <c r="S158" s="76">
        <f t="shared" si="464"/>
        <v>130.0712741750059</v>
      </c>
      <c r="T158" s="76">
        <f t="shared" si="464"/>
        <v>-488.96641258565455</v>
      </c>
      <c r="U158" s="76">
        <f t="shared" si="464"/>
        <v>-206.16839527944961</v>
      </c>
      <c r="V158" s="76">
        <f t="shared" si="464"/>
        <v>911.38675485042347</v>
      </c>
      <c r="W158" s="76">
        <f t="shared" si="464"/>
        <v>2063.2535578432062</v>
      </c>
      <c r="X158" s="76">
        <f t="shared" si="464"/>
        <v>1476.818140377321</v>
      </c>
      <c r="Y158" s="76">
        <f t="shared" si="464"/>
        <v>1909.9568713262404</v>
      </c>
      <c r="Z158" s="76">
        <f t="shared" si="464"/>
        <v>2125.2199262872878</v>
      </c>
      <c r="AA158" s="206">
        <f t="shared" si="464"/>
        <v>1334.4535315956837</v>
      </c>
      <c r="AC158" s="56">
        <f>SUM(D158:O158)</f>
        <v>8692.3983421452558</v>
      </c>
      <c r="AD158" s="61">
        <f>SUM(P158:AA158)</f>
        <v>13677.600677649112</v>
      </c>
    </row>
    <row r="159" spans="2:33" ht="12.75" customHeight="1" x14ac:dyDescent="0.2">
      <c r="C159" s="7" t="s">
        <v>211</v>
      </c>
      <c r="D159" s="92">
        <f t="shared" ref="D159:AA159" si="465">-D56</f>
        <v>253</v>
      </c>
      <c r="E159" s="198">
        <f t="shared" si="465"/>
        <v>255.7308530750426</v>
      </c>
      <c r="F159" s="198">
        <f t="shared" si="465"/>
        <v>258.40340466710484</v>
      </c>
      <c r="G159" s="198">
        <f t="shared" si="465"/>
        <v>259.60678420177265</v>
      </c>
      <c r="H159" s="198">
        <f t="shared" si="465"/>
        <v>261.47674917474262</v>
      </c>
      <c r="I159" s="198">
        <f t="shared" si="465"/>
        <v>264.00202882950407</v>
      </c>
      <c r="J159" s="198">
        <f t="shared" si="465"/>
        <v>265.14940300854772</v>
      </c>
      <c r="K159" s="198">
        <f t="shared" si="465"/>
        <v>266.7890411858487</v>
      </c>
      <c r="L159" s="198">
        <f t="shared" si="465"/>
        <v>267.63399238241425</v>
      </c>
      <c r="M159" s="198">
        <f t="shared" si="465"/>
        <v>268.11154070798165</v>
      </c>
      <c r="N159" s="198">
        <f t="shared" si="465"/>
        <v>269.03199725991476</v>
      </c>
      <c r="O159" s="198">
        <f t="shared" si="465"/>
        <v>269.28655462515945</v>
      </c>
      <c r="P159" s="92">
        <f t="shared" si="465"/>
        <v>270.50629078272163</v>
      </c>
      <c r="Q159" s="198">
        <f t="shared" si="465"/>
        <v>272.72644995042026</v>
      </c>
      <c r="R159" s="198">
        <f t="shared" si="465"/>
        <v>273.79265508374073</v>
      </c>
      <c r="S159" s="198">
        <f t="shared" si="465"/>
        <v>276.30401479562977</v>
      </c>
      <c r="T159" s="198">
        <f t="shared" si="465"/>
        <v>277.40446744760874</v>
      </c>
      <c r="U159" s="198">
        <f t="shared" si="465"/>
        <v>277.7156246291965</v>
      </c>
      <c r="V159" s="198">
        <f t="shared" si="465"/>
        <v>280.01495286046446</v>
      </c>
      <c r="W159" s="198">
        <f t="shared" si="465"/>
        <v>281.12454906163094</v>
      </c>
      <c r="X159" s="198">
        <f t="shared" si="465"/>
        <v>281.14232262519704</v>
      </c>
      <c r="Y159" s="198">
        <f t="shared" si="465"/>
        <v>281.86988559273749</v>
      </c>
      <c r="Z159" s="198">
        <f t="shared" si="465"/>
        <v>282.59861993495548</v>
      </c>
      <c r="AA159" s="93">
        <f t="shared" si="465"/>
        <v>283.21799175333791</v>
      </c>
      <c r="AC159" s="32">
        <f t="shared" ref="AC159:AC168" si="466">SUM(D159:O159)</f>
        <v>3158.2223491180339</v>
      </c>
      <c r="AD159" s="33">
        <f t="shared" ref="AD159:AD168" si="467">SUM(P159:AA159)</f>
        <v>3338.4178245176408</v>
      </c>
    </row>
    <row r="160" spans="2:33" ht="12.75" customHeight="1" x14ac:dyDescent="0.2">
      <c r="C160" s="7" t="s">
        <v>212</v>
      </c>
      <c r="D160" s="92">
        <f t="shared" ref="D160:AA160" si="468">-D59</f>
        <v>12.132</v>
      </c>
      <c r="E160" s="198">
        <f t="shared" si="468"/>
        <v>12.132</v>
      </c>
      <c r="F160" s="198">
        <f t="shared" si="468"/>
        <v>12.132</v>
      </c>
      <c r="G160" s="198">
        <f t="shared" si="468"/>
        <v>12.132</v>
      </c>
      <c r="H160" s="198">
        <f t="shared" si="468"/>
        <v>12.132</v>
      </c>
      <c r="I160" s="198">
        <f t="shared" si="468"/>
        <v>12.132</v>
      </c>
      <c r="J160" s="198">
        <f t="shared" si="468"/>
        <v>12.132</v>
      </c>
      <c r="K160" s="198">
        <f t="shared" si="468"/>
        <v>12.132</v>
      </c>
      <c r="L160" s="198">
        <f t="shared" si="468"/>
        <v>12.132</v>
      </c>
      <c r="M160" s="198">
        <f t="shared" si="468"/>
        <v>12.132</v>
      </c>
      <c r="N160" s="198">
        <f t="shared" si="468"/>
        <v>12.132</v>
      </c>
      <c r="O160" s="198">
        <f t="shared" si="468"/>
        <v>12.132</v>
      </c>
      <c r="P160" s="92">
        <f t="shared" si="468"/>
        <v>12.132</v>
      </c>
      <c r="Q160" s="198">
        <f t="shared" si="468"/>
        <v>12.132</v>
      </c>
      <c r="R160" s="198">
        <f t="shared" si="468"/>
        <v>12.132</v>
      </c>
      <c r="S160" s="198">
        <f t="shared" si="468"/>
        <v>12.132</v>
      </c>
      <c r="T160" s="198">
        <f t="shared" si="468"/>
        <v>12.132</v>
      </c>
      <c r="U160" s="198">
        <f t="shared" si="468"/>
        <v>12.132</v>
      </c>
      <c r="V160" s="198">
        <f t="shared" si="468"/>
        <v>12.132</v>
      </c>
      <c r="W160" s="198">
        <f t="shared" si="468"/>
        <v>12.132</v>
      </c>
      <c r="X160" s="198">
        <f t="shared" si="468"/>
        <v>12.132</v>
      </c>
      <c r="Y160" s="198">
        <f t="shared" si="468"/>
        <v>12.132</v>
      </c>
      <c r="Z160" s="198">
        <f t="shared" si="468"/>
        <v>12.132</v>
      </c>
      <c r="AA160" s="93">
        <f t="shared" si="468"/>
        <v>12.132</v>
      </c>
      <c r="AC160" s="32">
        <f t="shared" si="466"/>
        <v>145.58400000000003</v>
      </c>
      <c r="AD160" s="33">
        <f t="shared" si="467"/>
        <v>145.58400000000003</v>
      </c>
    </row>
    <row r="161" spans="3:30" ht="12.75" customHeight="1" x14ac:dyDescent="0.2">
      <c r="C161" s="7" t="str">
        <f>"Change in "&amp;C90</f>
        <v>Change in Accounts receivable net</v>
      </c>
      <c r="D161" s="144">
        <v>-45.593783004198528</v>
      </c>
      <c r="E161" s="198">
        <f t="shared" ref="E161:AA161" si="469">D90-E90</f>
        <v>27.215569370688172</v>
      </c>
      <c r="F161" s="198">
        <f t="shared" si="469"/>
        <v>-543.97943910085633</v>
      </c>
      <c r="G161" s="198">
        <f t="shared" si="469"/>
        <v>119.39349940934699</v>
      </c>
      <c r="H161" s="198">
        <f t="shared" si="469"/>
        <v>-155.60172932547539</v>
      </c>
      <c r="I161" s="198">
        <f t="shared" si="469"/>
        <v>98.272627085667409</v>
      </c>
      <c r="J161" s="198">
        <f t="shared" si="469"/>
        <v>-344.50040428766624</v>
      </c>
      <c r="K161" s="198">
        <f t="shared" si="469"/>
        <v>-1369.4915411354723</v>
      </c>
      <c r="L161" s="198">
        <f t="shared" si="469"/>
        <v>-1182.4859751946733</v>
      </c>
      <c r="M161" s="198">
        <f t="shared" si="469"/>
        <v>-978.06342853126262</v>
      </c>
      <c r="N161" s="198">
        <f t="shared" si="469"/>
        <v>-8.2082045858478523</v>
      </c>
      <c r="O161" s="198">
        <f t="shared" si="469"/>
        <v>323.22098403780183</v>
      </c>
      <c r="P161" s="92">
        <f t="shared" si="469"/>
        <v>-850.63652629920762</v>
      </c>
      <c r="Q161" s="198">
        <f t="shared" si="469"/>
        <v>-141.05593963267347</v>
      </c>
      <c r="R161" s="198">
        <f t="shared" si="469"/>
        <v>-146.77477230320073</v>
      </c>
      <c r="S161" s="198">
        <f t="shared" si="469"/>
        <v>748.77846885660256</v>
      </c>
      <c r="T161" s="198">
        <f t="shared" si="469"/>
        <v>606.09256403640757</v>
      </c>
      <c r="U161" s="198">
        <f t="shared" si="469"/>
        <v>893.68958009229755</v>
      </c>
      <c r="V161" s="198">
        <f t="shared" si="469"/>
        <v>-562.75531664704067</v>
      </c>
      <c r="W161" s="198">
        <f t="shared" si="469"/>
        <v>-454.04174417206195</v>
      </c>
      <c r="X161" s="198">
        <f t="shared" si="469"/>
        <v>-427.18186843426884</v>
      </c>
      <c r="Y161" s="198">
        <f t="shared" si="469"/>
        <v>-347.60797854837074</v>
      </c>
      <c r="Z161" s="198">
        <f t="shared" si="469"/>
        <v>107.64532417813098</v>
      </c>
      <c r="AA161" s="93">
        <f t="shared" si="469"/>
        <v>487.04112074511977</v>
      </c>
      <c r="AC161" s="32">
        <f t="shared" si="466"/>
        <v>-4059.8218252619481</v>
      </c>
      <c r="AD161" s="33">
        <f t="shared" si="467"/>
        <v>-86.807088128265605</v>
      </c>
    </row>
    <row r="162" spans="3:30" ht="12.75" customHeight="1" x14ac:dyDescent="0.2">
      <c r="C162" s="7" t="str">
        <f>"Change in "&amp;C91</f>
        <v>Change in Inventories</v>
      </c>
      <c r="D162" s="144">
        <v>-0.83680827189516549</v>
      </c>
      <c r="E162" s="198">
        <f t="shared" ref="E162:AA162" si="470">D91-E91</f>
        <v>-22.115126735218041</v>
      </c>
      <c r="F162" s="198">
        <f t="shared" si="470"/>
        <v>19.120744369724662</v>
      </c>
      <c r="G162" s="198">
        <f t="shared" si="470"/>
        <v>-42.05437141960499</v>
      </c>
      <c r="H162" s="198">
        <f t="shared" si="470"/>
        <v>-91.482068070171863</v>
      </c>
      <c r="I162" s="198">
        <f t="shared" si="470"/>
        <v>-20.533177466340135</v>
      </c>
      <c r="J162" s="198">
        <f t="shared" si="470"/>
        <v>12.663820717394628</v>
      </c>
      <c r="K162" s="198">
        <f t="shared" si="470"/>
        <v>62.888832311387887</v>
      </c>
      <c r="L162" s="198">
        <f t="shared" si="470"/>
        <v>83.280374849942518</v>
      </c>
      <c r="M162" s="198">
        <f t="shared" si="470"/>
        <v>19.449531192015456</v>
      </c>
      <c r="N162" s="198">
        <f t="shared" si="470"/>
        <v>52.752080265284917</v>
      </c>
      <c r="O162" s="198">
        <f t="shared" si="470"/>
        <v>77.965007749966276</v>
      </c>
      <c r="P162" s="92">
        <f t="shared" si="470"/>
        <v>-20.468441623029776</v>
      </c>
      <c r="Q162" s="198">
        <f t="shared" si="470"/>
        <v>-37.210464931185015</v>
      </c>
      <c r="R162" s="198">
        <f t="shared" si="470"/>
        <v>-93.857199312654188</v>
      </c>
      <c r="S162" s="198">
        <f t="shared" si="470"/>
        <v>-27.856848911656016</v>
      </c>
      <c r="T162" s="198">
        <f t="shared" si="470"/>
        <v>-65.851212187359806</v>
      </c>
      <c r="U162" s="198">
        <f t="shared" si="470"/>
        <v>-7.9749669858068728</v>
      </c>
      <c r="V162" s="198">
        <f t="shared" si="470"/>
        <v>13.585367827068126</v>
      </c>
      <c r="W162" s="198">
        <f t="shared" si="470"/>
        <v>98.591768801903982</v>
      </c>
      <c r="X162" s="198">
        <f t="shared" si="470"/>
        <v>58.057069655059649</v>
      </c>
      <c r="Y162" s="198">
        <f t="shared" si="470"/>
        <v>45.919602382346284</v>
      </c>
      <c r="Z162" s="198">
        <f t="shared" si="470"/>
        <v>22.789706698500368</v>
      </c>
      <c r="AA162" s="93">
        <f t="shared" si="470"/>
        <v>34.710958448331667</v>
      </c>
      <c r="AC162" s="32">
        <f t="shared" si="466"/>
        <v>151.09883949248615</v>
      </c>
      <c r="AD162" s="33">
        <f t="shared" si="467"/>
        <v>20.435339861518401</v>
      </c>
    </row>
    <row r="163" spans="3:30" ht="12.75" customHeight="1" x14ac:dyDescent="0.2">
      <c r="C163" s="7" t="str">
        <f>"Change in "&amp;C92</f>
        <v>Change in Accrued Compensation</v>
      </c>
      <c r="D163" s="144">
        <v>29.31087266222697</v>
      </c>
      <c r="E163" s="198">
        <f t="shared" ref="E163:AA163" si="471">D92-E92</f>
        <v>-80.729166666666515</v>
      </c>
      <c r="F163" s="198">
        <f t="shared" si="471"/>
        <v>-80.729166666666515</v>
      </c>
      <c r="G163" s="198">
        <f t="shared" si="471"/>
        <v>-80.979166666666515</v>
      </c>
      <c r="H163" s="198">
        <f t="shared" si="471"/>
        <v>-81.33333333333303</v>
      </c>
      <c r="I163" s="198">
        <f t="shared" si="471"/>
        <v>-51.333333333333258</v>
      </c>
      <c r="J163" s="198">
        <f t="shared" si="471"/>
        <v>-68.749999999999886</v>
      </c>
      <c r="K163" s="198">
        <f t="shared" si="471"/>
        <v>-75.25</v>
      </c>
      <c r="L163" s="198">
        <f t="shared" si="471"/>
        <v>-75.583333333333485</v>
      </c>
      <c r="M163" s="198">
        <f t="shared" si="471"/>
        <v>-75.583333333333485</v>
      </c>
      <c r="N163" s="198">
        <f t="shared" si="471"/>
        <v>-74.187500000000114</v>
      </c>
      <c r="O163" s="198">
        <f t="shared" si="471"/>
        <v>820.60416666666686</v>
      </c>
      <c r="P163" s="92">
        <f t="shared" si="471"/>
        <v>-84.916666666666401</v>
      </c>
      <c r="Q163" s="198">
        <f t="shared" si="471"/>
        <v>-85.270833333333144</v>
      </c>
      <c r="R163" s="198">
        <f t="shared" si="471"/>
        <v>-85.624999999999886</v>
      </c>
      <c r="S163" s="198">
        <f t="shared" si="471"/>
        <v>-81.624999999999886</v>
      </c>
      <c r="T163" s="198">
        <f t="shared" si="471"/>
        <v>-79.624999999999886</v>
      </c>
      <c r="U163" s="198">
        <f t="shared" si="471"/>
        <v>-83.625</v>
      </c>
      <c r="V163" s="198">
        <f t="shared" si="471"/>
        <v>-57.375</v>
      </c>
      <c r="W163" s="198">
        <f t="shared" si="471"/>
        <v>-79.875</v>
      </c>
      <c r="X163" s="198">
        <f t="shared" si="471"/>
        <v>-70.125000000000114</v>
      </c>
      <c r="Y163" s="198">
        <f t="shared" si="471"/>
        <v>-78.791666666666742</v>
      </c>
      <c r="Z163" s="198">
        <f t="shared" si="471"/>
        <v>-71.229166666666742</v>
      </c>
      <c r="AA163" s="93">
        <f t="shared" si="471"/>
        <v>857.75277777777751</v>
      </c>
      <c r="AC163" s="32">
        <f t="shared" si="466"/>
        <v>105.45670599556104</v>
      </c>
      <c r="AD163" s="33">
        <f t="shared" si="467"/>
        <v>-0.33055555555529281</v>
      </c>
    </row>
    <row r="164" spans="3:30" ht="12.75" customHeight="1" x14ac:dyDescent="0.2">
      <c r="C164" s="7" t="str">
        <f>"Change in "&amp;C93</f>
        <v>Change in Prepaid expenses and other current assets</v>
      </c>
      <c r="D164" s="144">
        <v>27.506081952619041</v>
      </c>
      <c r="E164" s="198">
        <f t="shared" ref="E164:AA164" si="472">D93-E93</f>
        <v>-19.928851429091992</v>
      </c>
      <c r="F164" s="198">
        <f t="shared" si="472"/>
        <v>-173.977262004164</v>
      </c>
      <c r="G164" s="198">
        <f t="shared" si="472"/>
        <v>-52.3185301478361</v>
      </c>
      <c r="H164" s="198">
        <f t="shared" si="472"/>
        <v>62.312956248446426</v>
      </c>
      <c r="I164" s="198">
        <f t="shared" si="472"/>
        <v>106.73766773845182</v>
      </c>
      <c r="J164" s="198">
        <f t="shared" si="472"/>
        <v>-479.02050655116727</v>
      </c>
      <c r="K164" s="198">
        <f t="shared" si="472"/>
        <v>-702.34031034793043</v>
      </c>
      <c r="L164" s="198">
        <f t="shared" si="472"/>
        <v>-790.75983579488093</v>
      </c>
      <c r="M164" s="198">
        <f t="shared" si="472"/>
        <v>-93.473441362148151</v>
      </c>
      <c r="N164" s="198">
        <f t="shared" si="472"/>
        <v>292.68444594598168</v>
      </c>
      <c r="O164" s="198">
        <f t="shared" si="472"/>
        <v>425.44876203427884</v>
      </c>
      <c r="P164" s="92">
        <f t="shared" si="472"/>
        <v>-233.66196925719487</v>
      </c>
      <c r="Q164" s="198">
        <f t="shared" si="472"/>
        <v>-317.94998457558722</v>
      </c>
      <c r="R164" s="198">
        <f t="shared" si="472"/>
        <v>-484.75474830693747</v>
      </c>
      <c r="S164" s="198">
        <f t="shared" si="472"/>
        <v>728.21592883307221</v>
      </c>
      <c r="T164" s="198">
        <f t="shared" si="472"/>
        <v>54.015333743808696</v>
      </c>
      <c r="U164" s="198">
        <f t="shared" si="472"/>
        <v>616.664036441387</v>
      </c>
      <c r="V164" s="198">
        <f t="shared" si="472"/>
        <v>-237.20994601664461</v>
      </c>
      <c r="W164" s="198">
        <f t="shared" si="472"/>
        <v>-543.99326738657601</v>
      </c>
      <c r="X164" s="198">
        <f t="shared" si="472"/>
        <v>-475.81298844411685</v>
      </c>
      <c r="Y164" s="198">
        <f t="shared" si="472"/>
        <v>-672.70273152482969</v>
      </c>
      <c r="Z164" s="198">
        <f t="shared" si="472"/>
        <v>418.08279064222188</v>
      </c>
      <c r="AA164" s="93">
        <f t="shared" si="472"/>
        <v>-135.09836253962749</v>
      </c>
      <c r="AC164" s="32">
        <f t="shared" si="466"/>
        <v>-1397.1288237174413</v>
      </c>
      <c r="AD164" s="33">
        <f t="shared" si="467"/>
        <v>-1284.2059083910244</v>
      </c>
    </row>
    <row r="165" spans="3:30" ht="12.75" customHeight="1" x14ac:dyDescent="0.2">
      <c r="C165" s="7" t="str">
        <f>"Change in "&amp;C99</f>
        <v>Change in Other assets</v>
      </c>
      <c r="D165" s="144">
        <v>-5.8813055783213599</v>
      </c>
      <c r="E165" s="198">
        <f>D99-E99</f>
        <v>-4.8370011473793966</v>
      </c>
      <c r="F165" s="198">
        <f t="shared" ref="F165:AA165" si="473">E99-F99</f>
        <v>4.6253898656705132</v>
      </c>
      <c r="G165" s="198">
        <f t="shared" si="473"/>
        <v>-2.1713024472578581</v>
      </c>
      <c r="H165" s="198">
        <f t="shared" si="473"/>
        <v>4.2133683564316016</v>
      </c>
      <c r="I165" s="198">
        <f t="shared" si="473"/>
        <v>3.6205327277225479</v>
      </c>
      <c r="J165" s="198">
        <f t="shared" si="473"/>
        <v>1.2720166602020981</v>
      </c>
      <c r="K165" s="198">
        <f t="shared" si="473"/>
        <v>2.8585329619877484</v>
      </c>
      <c r="L165" s="198">
        <f t="shared" si="473"/>
        <v>4.5882815953546014</v>
      </c>
      <c r="M165" s="198">
        <f t="shared" si="473"/>
        <v>4.2780863490929733</v>
      </c>
      <c r="N165" s="198">
        <f t="shared" si="473"/>
        <v>-3.6075774245055072</v>
      </c>
      <c r="O165" s="198">
        <f t="shared" si="473"/>
        <v>-3.7255883214370442</v>
      </c>
      <c r="P165" s="92">
        <f t="shared" si="473"/>
        <v>-4.1817286624086591</v>
      </c>
      <c r="Q165" s="198">
        <f t="shared" si="473"/>
        <v>2.0923991450372341</v>
      </c>
      <c r="R165" s="198">
        <f t="shared" si="473"/>
        <v>4.6467255994102743</v>
      </c>
      <c r="S165" s="198">
        <f t="shared" si="473"/>
        <v>2.5506180193483488</v>
      </c>
      <c r="T165" s="198">
        <f t="shared" si="473"/>
        <v>-1.1720992990758532</v>
      </c>
      <c r="U165" s="198">
        <f t="shared" si="473"/>
        <v>2.5565464623696244</v>
      </c>
      <c r="V165" s="198">
        <f t="shared" si="473"/>
        <v>-3.3149234795255325</v>
      </c>
      <c r="W165" s="198">
        <f t="shared" si="473"/>
        <v>4.9483326043837224</v>
      </c>
      <c r="X165" s="198">
        <f t="shared" si="473"/>
        <v>3.4651043470248624</v>
      </c>
      <c r="Y165" s="198">
        <f t="shared" si="473"/>
        <v>2.8979871107026156</v>
      </c>
      <c r="Z165" s="198">
        <f t="shared" si="473"/>
        <v>-2.0103077601861514</v>
      </c>
      <c r="AA165" s="93">
        <f t="shared" si="473"/>
        <v>0.75314978101778252</v>
      </c>
      <c r="AC165" s="32">
        <f t="shared" si="466"/>
        <v>5.2334335975609179</v>
      </c>
      <c r="AD165" s="33">
        <f t="shared" si="467"/>
        <v>13.231803868098268</v>
      </c>
    </row>
    <row r="166" spans="3:30" ht="12.75" customHeight="1" x14ac:dyDescent="0.2">
      <c r="C166" s="7" t="str">
        <f>"Change in "&amp;C102</f>
        <v>Change in Accounts Payable</v>
      </c>
      <c r="D166" s="144">
        <v>42.846010587375289</v>
      </c>
      <c r="E166" s="198">
        <f t="shared" ref="E166:AA166" si="474">E102-D102</f>
        <v>9.2753401234637067</v>
      </c>
      <c r="F166" s="198">
        <f t="shared" si="474"/>
        <v>13.854598843210454</v>
      </c>
      <c r="G166" s="198">
        <f t="shared" si="474"/>
        <v>20.926957576118468</v>
      </c>
      <c r="H166" s="198">
        <f t="shared" si="474"/>
        <v>40.723959385973217</v>
      </c>
      <c r="I166" s="198">
        <f t="shared" si="474"/>
        <v>2.3545009806845769</v>
      </c>
      <c r="J166" s="198">
        <f t="shared" si="474"/>
        <v>2.2125460022877519</v>
      </c>
      <c r="K166" s="198">
        <f t="shared" si="474"/>
        <v>-25.659365826535691</v>
      </c>
      <c r="L166" s="198">
        <f t="shared" si="474"/>
        <v>-30.449952754894753</v>
      </c>
      <c r="M166" s="198">
        <f t="shared" si="474"/>
        <v>-7.5581777403151023</v>
      </c>
      <c r="N166" s="198">
        <f t="shared" si="474"/>
        <v>-16.083458967197089</v>
      </c>
      <c r="O166" s="198">
        <f t="shared" si="474"/>
        <v>-24.511379598994267</v>
      </c>
      <c r="P166" s="92">
        <f t="shared" si="474"/>
        <v>-4.4929091044837151</v>
      </c>
      <c r="Q166" s="198">
        <f t="shared" si="474"/>
        <v>12.004599803574649</v>
      </c>
      <c r="R166" s="198">
        <f t="shared" si="474"/>
        <v>35.366289414328548</v>
      </c>
      <c r="S166" s="198">
        <f t="shared" si="474"/>
        <v>15.082660217165426</v>
      </c>
      <c r="T166" s="198">
        <f t="shared" si="474"/>
        <v>45.812953478592533</v>
      </c>
      <c r="U166" s="198">
        <f t="shared" si="474"/>
        <v>5.0022024758685006</v>
      </c>
      <c r="V166" s="198">
        <f t="shared" si="474"/>
        <v>-6.0964956014381073</v>
      </c>
      <c r="W166" s="198">
        <f t="shared" si="474"/>
        <v>-38.08292679211371</v>
      </c>
      <c r="X166" s="198">
        <f t="shared" si="474"/>
        <v>-19.815548846883416</v>
      </c>
      <c r="Y166" s="198">
        <f t="shared" si="474"/>
        <v>-12.631301470481617</v>
      </c>
      <c r="Z166" s="198">
        <f t="shared" si="474"/>
        <v>-14.141046690470148</v>
      </c>
      <c r="AA166" s="93">
        <f t="shared" si="474"/>
        <v>-18.563676512916118</v>
      </c>
      <c r="AC166" s="32">
        <f t="shared" si="466"/>
        <v>27.931578611176576</v>
      </c>
      <c r="AD166" s="33">
        <f t="shared" si="467"/>
        <v>-0.55519962925717437</v>
      </c>
    </row>
    <row r="167" spans="3:30" ht="12.75" customHeight="1" x14ac:dyDescent="0.2">
      <c r="C167" s="7" t="str">
        <f>"Change in "&amp;C103</f>
        <v>Change in Deferred Revenue</v>
      </c>
      <c r="D167" s="144">
        <v>19.505832784996684</v>
      </c>
      <c r="E167" s="198">
        <f t="shared" ref="E167:AA167" si="475">E103-D103</f>
        <v>-8.8336777459735458</v>
      </c>
      <c r="F167" s="198">
        <f t="shared" si="475"/>
        <v>148.51632864557723</v>
      </c>
      <c r="G167" s="198">
        <f t="shared" si="475"/>
        <v>-208.22474547986167</v>
      </c>
      <c r="H167" s="198">
        <f t="shared" si="475"/>
        <v>455.88937897875803</v>
      </c>
      <c r="I167" s="198">
        <f t="shared" si="475"/>
        <v>-25.374050032203741</v>
      </c>
      <c r="J167" s="198">
        <f t="shared" si="475"/>
        <v>652.62456391563865</v>
      </c>
      <c r="K167" s="198">
        <f t="shared" si="475"/>
        <v>744.60998361062593</v>
      </c>
      <c r="L167" s="198">
        <f t="shared" si="475"/>
        <v>864.2796427930225</v>
      </c>
      <c r="M167" s="198">
        <f t="shared" si="475"/>
        <v>892.70961665540381</v>
      </c>
      <c r="N167" s="198">
        <f t="shared" si="475"/>
        <v>-180.81297093614921</v>
      </c>
      <c r="O167" s="198">
        <f t="shared" si="475"/>
        <v>174.20949859282518</v>
      </c>
      <c r="P167" s="92">
        <f t="shared" si="475"/>
        <v>566.7414213492666</v>
      </c>
      <c r="Q167" s="198">
        <f t="shared" si="475"/>
        <v>86.582366152944815</v>
      </c>
      <c r="R167" s="198">
        <f t="shared" si="475"/>
        <v>21.780764799730605</v>
      </c>
      <c r="S167" s="198">
        <f t="shared" si="475"/>
        <v>-933.08901108869759</v>
      </c>
      <c r="T167" s="198">
        <f t="shared" si="475"/>
        <v>-803.97457145030785</v>
      </c>
      <c r="U167" s="198">
        <f t="shared" si="475"/>
        <v>-366.76190088111616</v>
      </c>
      <c r="V167" s="198">
        <f t="shared" si="475"/>
        <v>376.7706190610952</v>
      </c>
      <c r="W167" s="198">
        <f t="shared" si="475"/>
        <v>511.77639417088903</v>
      </c>
      <c r="X167" s="198">
        <f t="shared" si="475"/>
        <v>778.90772177918188</v>
      </c>
      <c r="Y167" s="198">
        <f t="shared" si="475"/>
        <v>56.437305511706654</v>
      </c>
      <c r="Z167" s="198">
        <f t="shared" si="475"/>
        <v>-219.37503825007479</v>
      </c>
      <c r="AA167" s="93">
        <f t="shared" si="475"/>
        <v>-286.29791036455754</v>
      </c>
      <c r="AC167" s="32">
        <f t="shared" si="466"/>
        <v>3529.0994017826597</v>
      </c>
      <c r="AD167" s="33">
        <f t="shared" si="467"/>
        <v>-210.50183920993913</v>
      </c>
    </row>
    <row r="168" spans="3:30" ht="12.75" customHeight="1" x14ac:dyDescent="0.2">
      <c r="C168" s="7" t="str">
        <f>"Change in "&amp;C104</f>
        <v>Change in Accrued expenses and other current liabilities</v>
      </c>
      <c r="D168" s="144">
        <v>25.31151674912941</v>
      </c>
      <c r="E168" s="198">
        <f t="shared" ref="E168:AA168" si="476">E104-D104</f>
        <v>140.43501723781537</v>
      </c>
      <c r="F168" s="198">
        <f t="shared" si="476"/>
        <v>245.03079500287549</v>
      </c>
      <c r="G168" s="198">
        <f t="shared" si="476"/>
        <v>-299.6920271734798</v>
      </c>
      <c r="H168" s="198">
        <f t="shared" si="476"/>
        <v>377.43547015756849</v>
      </c>
      <c r="I168" s="198">
        <f t="shared" si="476"/>
        <v>223.65025886634612</v>
      </c>
      <c r="J168" s="198">
        <f t="shared" si="476"/>
        <v>566.6349346008692</v>
      </c>
      <c r="K168" s="198">
        <f t="shared" si="476"/>
        <v>433.82209256209899</v>
      </c>
      <c r="L168" s="198">
        <f t="shared" si="476"/>
        <v>751.02510183740287</v>
      </c>
      <c r="M168" s="198">
        <f t="shared" si="476"/>
        <v>487.51921222163946</v>
      </c>
      <c r="N168" s="198">
        <f t="shared" si="476"/>
        <v>106.05666731173733</v>
      </c>
      <c r="O168" s="198">
        <f t="shared" si="476"/>
        <v>-413.46041281108955</v>
      </c>
      <c r="P168" s="92">
        <f t="shared" si="476"/>
        <v>453.44050019642964</v>
      </c>
      <c r="Q168" s="198">
        <f t="shared" si="476"/>
        <v>-216.44152831050997</v>
      </c>
      <c r="R168" s="198">
        <f t="shared" si="476"/>
        <v>16.10668178961896</v>
      </c>
      <c r="S168" s="198">
        <f t="shared" si="476"/>
        <v>-128.53996195136097</v>
      </c>
      <c r="T168" s="198">
        <f t="shared" si="476"/>
        <v>-228.07071374780026</v>
      </c>
      <c r="U168" s="198">
        <f t="shared" si="476"/>
        <v>-217.39165943152511</v>
      </c>
      <c r="V168" s="198">
        <f t="shared" si="476"/>
        <v>290.82704292485869</v>
      </c>
      <c r="W168" s="198">
        <f t="shared" si="476"/>
        <v>292.78587108546344</v>
      </c>
      <c r="X168" s="198">
        <f t="shared" si="476"/>
        <v>159.52630474682155</v>
      </c>
      <c r="Y168" s="198">
        <f t="shared" si="476"/>
        <v>461.70606350373419</v>
      </c>
      <c r="Z168" s="198">
        <f t="shared" si="476"/>
        <v>46.329587570891817</v>
      </c>
      <c r="AA168" s="93">
        <f t="shared" si="476"/>
        <v>-358.93329849269139</v>
      </c>
      <c r="AC168" s="32">
        <f t="shared" si="466"/>
        <v>2643.7686265629136</v>
      </c>
      <c r="AD168" s="33">
        <f t="shared" si="467"/>
        <v>571.34488988393059</v>
      </c>
    </row>
    <row r="169" spans="3:30" ht="12.75" customHeight="1" x14ac:dyDescent="0.2">
      <c r="C169" s="186" t="s">
        <v>225</v>
      </c>
      <c r="D169" s="184">
        <f>SUM(D158:D168)</f>
        <v>375.26889724500802</v>
      </c>
      <c r="E169" s="187">
        <f>SUM(E158:E168)</f>
        <v>-2.1382411857258603</v>
      </c>
      <c r="F169" s="187">
        <f t="shared" ref="F169:AD169" si="477">SUM(F158:F168)</f>
        <v>-711.76803303765928</v>
      </c>
      <c r="G169" s="187">
        <f t="shared" si="477"/>
        <v>-1035.4759247543229</v>
      </c>
      <c r="H169" s="187">
        <f t="shared" si="477"/>
        <v>-146.54298222340037</v>
      </c>
      <c r="I169" s="187">
        <f t="shared" si="477"/>
        <v>-374.46917010976085</v>
      </c>
      <c r="J169" s="187">
        <f t="shared" si="477"/>
        <v>827.62536262780941</v>
      </c>
      <c r="K169" s="187">
        <f t="shared" si="477"/>
        <v>1700.46591287099</v>
      </c>
      <c r="L169" s="187">
        <f t="shared" si="477"/>
        <v>1765.4349539774412</v>
      </c>
      <c r="M169" s="187">
        <f t="shared" si="477"/>
        <v>2451.5295483190848</v>
      </c>
      <c r="N169" s="187">
        <f t="shared" si="477"/>
        <v>3605.4807709398333</v>
      </c>
      <c r="O169" s="187">
        <f t="shared" si="477"/>
        <v>4546.4315336569598</v>
      </c>
      <c r="P169" s="184">
        <f t="shared" si="477"/>
        <v>2201.0899700805135</v>
      </c>
      <c r="Q169" s="187">
        <f t="shared" si="477"/>
        <v>925.29530630083968</v>
      </c>
      <c r="R169" s="187">
        <f t="shared" si="477"/>
        <v>540.07458442584732</v>
      </c>
      <c r="S169" s="187">
        <f t="shared" si="477"/>
        <v>742.02414294510982</v>
      </c>
      <c r="T169" s="187">
        <f t="shared" si="477"/>
        <v>-672.20269056378061</v>
      </c>
      <c r="U169" s="187">
        <f t="shared" si="477"/>
        <v>925.8380675232213</v>
      </c>
      <c r="V169" s="187">
        <f t="shared" si="477"/>
        <v>1017.9650557792611</v>
      </c>
      <c r="W169" s="187">
        <f t="shared" si="477"/>
        <v>2148.619535216726</v>
      </c>
      <c r="X169" s="187">
        <f t="shared" si="477"/>
        <v>1777.1132578053371</v>
      </c>
      <c r="Y169" s="187">
        <f t="shared" si="477"/>
        <v>1659.1860372171191</v>
      </c>
      <c r="Z169" s="187">
        <f t="shared" si="477"/>
        <v>2708.0423959445907</v>
      </c>
      <c r="AA169" s="185">
        <f t="shared" si="477"/>
        <v>2211.168282191476</v>
      </c>
      <c r="AC169" s="184">
        <f t="shared" si="477"/>
        <v>13001.84262832626</v>
      </c>
      <c r="AD169" s="185">
        <f t="shared" si="477"/>
        <v>16184.213944866255</v>
      </c>
    </row>
    <row r="170" spans="3:30" ht="12.75" customHeight="1" x14ac:dyDescent="0.2">
      <c r="C170" s="7"/>
      <c r="D170" s="188"/>
      <c r="P170" s="11"/>
      <c r="AA170" s="15"/>
      <c r="AC170" s="11"/>
      <c r="AD170" s="15"/>
    </row>
    <row r="171" spans="3:30" ht="12.75" customHeight="1" x14ac:dyDescent="0.2">
      <c r="C171" s="7" t="s">
        <v>208</v>
      </c>
      <c r="D171" s="205">
        <f>-D138</f>
        <v>-412</v>
      </c>
      <c r="E171" s="76">
        <f t="shared" ref="E171:AA171" si="478">-E138</f>
        <v>-152</v>
      </c>
      <c r="F171" s="76">
        <f t="shared" si="478"/>
        <v>-411.19267407647482</v>
      </c>
      <c r="G171" s="76">
        <f t="shared" si="478"/>
        <v>-336.47837954596264</v>
      </c>
      <c r="H171" s="76">
        <f t="shared" si="478"/>
        <v>-393.87971886245282</v>
      </c>
      <c r="I171" s="76">
        <f t="shared" si="478"/>
        <v>-460.08015382654702</v>
      </c>
      <c r="J171" s="76">
        <f t="shared" si="478"/>
        <v>-216.46686762628451</v>
      </c>
      <c r="K171" s="76">
        <f t="shared" si="478"/>
        <v>-158.94479923921025</v>
      </c>
      <c r="L171" s="76">
        <f t="shared" si="478"/>
        <v>-446.21065922243832</v>
      </c>
      <c r="M171" s="76">
        <f t="shared" si="478"/>
        <v>-253.42893265118158</v>
      </c>
      <c r="N171" s="76">
        <f t="shared" si="478"/>
        <v>-486.2360092511941</v>
      </c>
      <c r="O171" s="76">
        <f t="shared" si="478"/>
        <v>-165.12531428552404</v>
      </c>
      <c r="P171" s="205">
        <f t="shared" si="478"/>
        <v>-406.13059894954881</v>
      </c>
      <c r="Q171" s="76">
        <f t="shared" si="478"/>
        <v>-313.89240550034822</v>
      </c>
      <c r="R171" s="76">
        <f t="shared" si="478"/>
        <v>-586.33886804221004</v>
      </c>
      <c r="S171" s="76">
        <f t="shared" si="478"/>
        <v>-241.70205013282862</v>
      </c>
      <c r="T171" s="76">
        <f t="shared" si="478"/>
        <v>-311.22965526454328</v>
      </c>
      <c r="U171" s="76">
        <f t="shared" si="478"/>
        <v>-359.91580697245956</v>
      </c>
      <c r="V171" s="76">
        <f t="shared" si="478"/>
        <v>-183.89003945362211</v>
      </c>
      <c r="W171" s="76">
        <f t="shared" si="478"/>
        <v>-374.09544836202303</v>
      </c>
      <c r="X171" s="76">
        <f t="shared" si="478"/>
        <v>-312.09698940257658</v>
      </c>
      <c r="Y171" s="76">
        <f t="shared" si="478"/>
        <v>-272.42133224000929</v>
      </c>
      <c r="Z171" s="76">
        <f t="shared" si="478"/>
        <v>-518.73183484979086</v>
      </c>
      <c r="AA171" s="206">
        <f t="shared" si="478"/>
        <v>-279.00198469799716</v>
      </c>
      <c r="AC171" s="56">
        <f>SUM(D171:O171)</f>
        <v>-3892.0435085872696</v>
      </c>
      <c r="AD171" s="61">
        <f>SUM(P171:AA171)</f>
        <v>-4159.4470138679571</v>
      </c>
    </row>
    <row r="172" spans="3:30" ht="12.75" customHeight="1" x14ac:dyDescent="0.2">
      <c r="C172" s="186" t="s">
        <v>223</v>
      </c>
      <c r="D172" s="184">
        <f>D171</f>
        <v>-412</v>
      </c>
      <c r="E172" s="187">
        <f t="shared" ref="E172:AD172" si="479">E171</f>
        <v>-152</v>
      </c>
      <c r="F172" s="187">
        <f t="shared" si="479"/>
        <v>-411.19267407647482</v>
      </c>
      <c r="G172" s="187">
        <f t="shared" si="479"/>
        <v>-336.47837954596264</v>
      </c>
      <c r="H172" s="187">
        <f t="shared" si="479"/>
        <v>-393.87971886245282</v>
      </c>
      <c r="I172" s="187">
        <f t="shared" si="479"/>
        <v>-460.08015382654702</v>
      </c>
      <c r="J172" s="187">
        <f t="shared" si="479"/>
        <v>-216.46686762628451</v>
      </c>
      <c r="K172" s="187">
        <f t="shared" si="479"/>
        <v>-158.94479923921025</v>
      </c>
      <c r="L172" s="187">
        <f t="shared" si="479"/>
        <v>-446.21065922243832</v>
      </c>
      <c r="M172" s="187">
        <f t="shared" si="479"/>
        <v>-253.42893265118158</v>
      </c>
      <c r="N172" s="187">
        <f t="shared" si="479"/>
        <v>-486.2360092511941</v>
      </c>
      <c r="O172" s="187">
        <f t="shared" si="479"/>
        <v>-165.12531428552404</v>
      </c>
      <c r="P172" s="184">
        <f t="shared" si="479"/>
        <v>-406.13059894954881</v>
      </c>
      <c r="Q172" s="187">
        <f t="shared" si="479"/>
        <v>-313.89240550034822</v>
      </c>
      <c r="R172" s="187">
        <f t="shared" si="479"/>
        <v>-586.33886804221004</v>
      </c>
      <c r="S172" s="187">
        <f t="shared" si="479"/>
        <v>-241.70205013282862</v>
      </c>
      <c r="T172" s="187">
        <f t="shared" si="479"/>
        <v>-311.22965526454328</v>
      </c>
      <c r="U172" s="187">
        <f t="shared" si="479"/>
        <v>-359.91580697245956</v>
      </c>
      <c r="V172" s="187">
        <f t="shared" si="479"/>
        <v>-183.89003945362211</v>
      </c>
      <c r="W172" s="187">
        <f t="shared" si="479"/>
        <v>-374.09544836202303</v>
      </c>
      <c r="X172" s="187">
        <f t="shared" si="479"/>
        <v>-312.09698940257658</v>
      </c>
      <c r="Y172" s="187">
        <f t="shared" si="479"/>
        <v>-272.42133224000929</v>
      </c>
      <c r="Z172" s="187">
        <f t="shared" si="479"/>
        <v>-518.73183484979086</v>
      </c>
      <c r="AA172" s="185">
        <f t="shared" si="479"/>
        <v>-279.00198469799716</v>
      </c>
      <c r="AC172" s="184">
        <f t="shared" si="479"/>
        <v>-3892.0435085872696</v>
      </c>
      <c r="AD172" s="185">
        <f t="shared" si="479"/>
        <v>-4159.4470138679571</v>
      </c>
    </row>
    <row r="173" spans="3:30" ht="12.75" customHeight="1" x14ac:dyDescent="0.2">
      <c r="C173" s="7"/>
      <c r="D173" s="188"/>
      <c r="P173" s="11"/>
      <c r="AA173" s="15"/>
      <c r="AC173" s="11"/>
      <c r="AD173" s="15"/>
    </row>
    <row r="174" spans="3:30" ht="12.75" customHeight="1" x14ac:dyDescent="0.2">
      <c r="C174" s="7" t="s">
        <v>276</v>
      </c>
      <c r="D174" s="188">
        <v>0</v>
      </c>
      <c r="E174" s="70">
        <v>0</v>
      </c>
      <c r="F174" s="70">
        <v>0</v>
      </c>
      <c r="G174" s="70">
        <v>0</v>
      </c>
      <c r="H174" s="70">
        <v>0</v>
      </c>
      <c r="I174" s="70">
        <v>0</v>
      </c>
      <c r="J174" s="70">
        <v>0</v>
      </c>
      <c r="K174" s="70">
        <v>0</v>
      </c>
      <c r="L174" s="70">
        <v>0</v>
      </c>
      <c r="M174" s="70">
        <v>0</v>
      </c>
      <c r="N174" s="70">
        <v>0</v>
      </c>
      <c r="O174" s="70">
        <v>0</v>
      </c>
      <c r="P174" s="144">
        <v>0</v>
      </c>
      <c r="Q174" s="70">
        <v>0</v>
      </c>
      <c r="R174" s="70">
        <v>0</v>
      </c>
      <c r="S174" s="70">
        <v>0</v>
      </c>
      <c r="T174" s="70">
        <v>0</v>
      </c>
      <c r="U174" s="70">
        <v>0</v>
      </c>
      <c r="V174" s="70">
        <v>0</v>
      </c>
      <c r="W174" s="70">
        <v>0</v>
      </c>
      <c r="X174" s="70">
        <v>0</v>
      </c>
      <c r="Y174" s="70">
        <v>0</v>
      </c>
      <c r="Z174" s="70">
        <v>0</v>
      </c>
      <c r="AA174" s="145">
        <v>0</v>
      </c>
      <c r="AC174" s="56">
        <f>SUM(D174:O174)</f>
        <v>0</v>
      </c>
      <c r="AD174" s="61">
        <f>SUM(P174:AA174)</f>
        <v>0</v>
      </c>
    </row>
    <row r="175" spans="3:30" ht="12.75" customHeight="1" x14ac:dyDescent="0.2">
      <c r="C175" s="7" t="s">
        <v>221</v>
      </c>
      <c r="D175" s="188">
        <v>0</v>
      </c>
      <c r="E175" s="70">
        <v>0</v>
      </c>
      <c r="F175" s="70">
        <v>0</v>
      </c>
      <c r="G175" s="70">
        <v>0</v>
      </c>
      <c r="H175" s="70">
        <v>0</v>
      </c>
      <c r="I175" s="70">
        <v>0</v>
      </c>
      <c r="J175" s="70">
        <v>0</v>
      </c>
      <c r="K175" s="70">
        <v>0</v>
      </c>
      <c r="L175" s="70">
        <v>0</v>
      </c>
      <c r="M175" s="70">
        <v>0</v>
      </c>
      <c r="N175" s="70">
        <v>0</v>
      </c>
      <c r="O175" s="70">
        <v>-5000</v>
      </c>
      <c r="P175" s="144">
        <v>0</v>
      </c>
      <c r="Q175" s="70">
        <v>0</v>
      </c>
      <c r="R175" s="70">
        <v>0</v>
      </c>
      <c r="S175" s="70">
        <v>0</v>
      </c>
      <c r="T175" s="70">
        <v>0</v>
      </c>
      <c r="U175" s="70">
        <f>-3250</f>
        <v>-3250</v>
      </c>
      <c r="V175" s="70">
        <v>0</v>
      </c>
      <c r="W175" s="70">
        <v>0</v>
      </c>
      <c r="X175" s="70">
        <v>0</v>
      </c>
      <c r="Y175" s="70">
        <v>0</v>
      </c>
      <c r="Z175" s="70">
        <v>0</v>
      </c>
      <c r="AA175" s="145">
        <v>0</v>
      </c>
      <c r="AC175" s="32">
        <f t="shared" ref="AC175:AC176" si="480">SUM(D175:O175)</f>
        <v>-5000</v>
      </c>
      <c r="AD175" s="33">
        <f t="shared" ref="AD175:AD176" si="481">SUM(P175:AA175)</f>
        <v>-3250</v>
      </c>
    </row>
    <row r="176" spans="3:30" ht="12.75" customHeight="1" x14ac:dyDescent="0.2">
      <c r="C176" s="7" t="s">
        <v>222</v>
      </c>
      <c r="D176" s="188">
        <v>0</v>
      </c>
      <c r="E176" s="198">
        <f>E108-D108</f>
        <v>0</v>
      </c>
      <c r="F176" s="198">
        <f t="shared" ref="F176:AA176" si="482">F108-E108</f>
        <v>-250</v>
      </c>
      <c r="G176" s="198">
        <f t="shared" si="482"/>
        <v>0</v>
      </c>
      <c r="H176" s="198">
        <f t="shared" si="482"/>
        <v>0</v>
      </c>
      <c r="I176" s="198">
        <f t="shared" si="482"/>
        <v>-250</v>
      </c>
      <c r="J176" s="198">
        <f t="shared" si="482"/>
        <v>0</v>
      </c>
      <c r="K176" s="198">
        <f t="shared" si="482"/>
        <v>0</v>
      </c>
      <c r="L176" s="198">
        <f t="shared" si="482"/>
        <v>-250</v>
      </c>
      <c r="M176" s="198">
        <f t="shared" si="482"/>
        <v>0</v>
      </c>
      <c r="N176" s="198">
        <f t="shared" si="482"/>
        <v>0</v>
      </c>
      <c r="O176" s="198">
        <f t="shared" si="482"/>
        <v>-250</v>
      </c>
      <c r="P176" s="92">
        <f t="shared" si="482"/>
        <v>0</v>
      </c>
      <c r="Q176" s="198">
        <f t="shared" si="482"/>
        <v>0</v>
      </c>
      <c r="R176" s="198">
        <f t="shared" si="482"/>
        <v>-250</v>
      </c>
      <c r="S176" s="198">
        <f t="shared" si="482"/>
        <v>0</v>
      </c>
      <c r="T176" s="198">
        <f t="shared" si="482"/>
        <v>0</v>
      </c>
      <c r="U176" s="198">
        <f t="shared" si="482"/>
        <v>-250</v>
      </c>
      <c r="V176" s="198">
        <f t="shared" si="482"/>
        <v>0</v>
      </c>
      <c r="W176" s="198">
        <f t="shared" si="482"/>
        <v>0</v>
      </c>
      <c r="X176" s="198">
        <f t="shared" si="482"/>
        <v>-250</v>
      </c>
      <c r="Y176" s="198">
        <f t="shared" si="482"/>
        <v>0</v>
      </c>
      <c r="Z176" s="198">
        <f t="shared" si="482"/>
        <v>0</v>
      </c>
      <c r="AA176" s="93">
        <f t="shared" si="482"/>
        <v>-250</v>
      </c>
      <c r="AC176" s="32">
        <f t="shared" si="480"/>
        <v>-1000</v>
      </c>
      <c r="AD176" s="33">
        <f t="shared" si="481"/>
        <v>-1000</v>
      </c>
    </row>
    <row r="177" spans="3:30" ht="12.75" customHeight="1" x14ac:dyDescent="0.2">
      <c r="C177" s="186" t="s">
        <v>224</v>
      </c>
      <c r="D177" s="184">
        <f>SUM(D174:D176)</f>
        <v>0</v>
      </c>
      <c r="E177" s="187">
        <f t="shared" ref="E177:AD177" si="483">SUM(E174:E176)</f>
        <v>0</v>
      </c>
      <c r="F177" s="187">
        <f t="shared" si="483"/>
        <v>-250</v>
      </c>
      <c r="G177" s="187">
        <f t="shared" si="483"/>
        <v>0</v>
      </c>
      <c r="H177" s="187">
        <f t="shared" si="483"/>
        <v>0</v>
      </c>
      <c r="I177" s="187">
        <f t="shared" si="483"/>
        <v>-250</v>
      </c>
      <c r="J177" s="187">
        <f t="shared" si="483"/>
        <v>0</v>
      </c>
      <c r="K177" s="187">
        <f t="shared" si="483"/>
        <v>0</v>
      </c>
      <c r="L177" s="187">
        <f t="shared" si="483"/>
        <v>-250</v>
      </c>
      <c r="M177" s="187">
        <f t="shared" si="483"/>
        <v>0</v>
      </c>
      <c r="N177" s="187">
        <f t="shared" si="483"/>
        <v>0</v>
      </c>
      <c r="O177" s="187">
        <f t="shared" si="483"/>
        <v>-5250</v>
      </c>
      <c r="P177" s="184">
        <f t="shared" si="483"/>
        <v>0</v>
      </c>
      <c r="Q177" s="187">
        <f t="shared" si="483"/>
        <v>0</v>
      </c>
      <c r="R177" s="187">
        <f t="shared" si="483"/>
        <v>-250</v>
      </c>
      <c r="S177" s="187">
        <f t="shared" si="483"/>
        <v>0</v>
      </c>
      <c r="T177" s="187">
        <f t="shared" si="483"/>
        <v>0</v>
      </c>
      <c r="U177" s="187">
        <f t="shared" si="483"/>
        <v>-3500</v>
      </c>
      <c r="V177" s="187">
        <f t="shared" si="483"/>
        <v>0</v>
      </c>
      <c r="W177" s="187">
        <f t="shared" si="483"/>
        <v>0</v>
      </c>
      <c r="X177" s="187">
        <f t="shared" si="483"/>
        <v>-250</v>
      </c>
      <c r="Y177" s="187">
        <f t="shared" si="483"/>
        <v>0</v>
      </c>
      <c r="Z177" s="187">
        <f t="shared" si="483"/>
        <v>0</v>
      </c>
      <c r="AA177" s="185">
        <f t="shared" si="483"/>
        <v>-250</v>
      </c>
      <c r="AC177" s="184">
        <f t="shared" si="483"/>
        <v>-6000</v>
      </c>
      <c r="AD177" s="185">
        <f t="shared" si="483"/>
        <v>-4250</v>
      </c>
    </row>
    <row r="178" spans="3:30" ht="12.75" customHeight="1" x14ac:dyDescent="0.2">
      <c r="C178" s="7"/>
      <c r="D178" s="188"/>
      <c r="P178" s="11"/>
      <c r="AA178" s="15"/>
      <c r="AC178" s="11"/>
      <c r="AD178" s="15"/>
    </row>
    <row r="179" spans="3:30" ht="12.75" customHeight="1" x14ac:dyDescent="0.2">
      <c r="C179" s="207" t="s">
        <v>226</v>
      </c>
      <c r="D179" s="181">
        <f>D169+D172+D177</f>
        <v>-36.73110275499198</v>
      </c>
      <c r="E179" s="181">
        <f t="shared" ref="E179:AD179" si="484">E169+E172+E177</f>
        <v>-154.13824118572586</v>
      </c>
      <c r="F179" s="181">
        <f t="shared" si="484"/>
        <v>-1372.960707114134</v>
      </c>
      <c r="G179" s="181">
        <f t="shared" si="484"/>
        <v>-1371.9543043002855</v>
      </c>
      <c r="H179" s="181">
        <f t="shared" si="484"/>
        <v>-540.42270108585319</v>
      </c>
      <c r="I179" s="181">
        <f t="shared" si="484"/>
        <v>-1084.5493239363079</v>
      </c>
      <c r="J179" s="181">
        <f t="shared" si="484"/>
        <v>611.1584950015249</v>
      </c>
      <c r="K179" s="181">
        <f t="shared" si="484"/>
        <v>1541.5211136317798</v>
      </c>
      <c r="L179" s="181">
        <f t="shared" si="484"/>
        <v>1069.2242947550028</v>
      </c>
      <c r="M179" s="181">
        <f t="shared" si="484"/>
        <v>2198.1006156679032</v>
      </c>
      <c r="N179" s="181">
        <f t="shared" si="484"/>
        <v>3119.2447616886393</v>
      </c>
      <c r="O179" s="181">
        <f t="shared" si="484"/>
        <v>-868.69378062856413</v>
      </c>
      <c r="P179" s="182">
        <f t="shared" si="484"/>
        <v>1794.9593711309647</v>
      </c>
      <c r="Q179" s="181">
        <f t="shared" si="484"/>
        <v>611.40290080049147</v>
      </c>
      <c r="R179" s="181">
        <f t="shared" si="484"/>
        <v>-296.26428361636272</v>
      </c>
      <c r="S179" s="181">
        <f t="shared" si="484"/>
        <v>500.3220928122812</v>
      </c>
      <c r="T179" s="181">
        <f t="shared" si="484"/>
        <v>-983.43234582832383</v>
      </c>
      <c r="U179" s="181">
        <f t="shared" si="484"/>
        <v>-2934.0777394492384</v>
      </c>
      <c r="V179" s="181">
        <f t="shared" si="484"/>
        <v>834.07501632563901</v>
      </c>
      <c r="W179" s="181">
        <f t="shared" si="484"/>
        <v>1774.524086854703</v>
      </c>
      <c r="X179" s="181">
        <f t="shared" si="484"/>
        <v>1215.0162684027605</v>
      </c>
      <c r="Y179" s="181">
        <f t="shared" si="484"/>
        <v>1386.7647049771099</v>
      </c>
      <c r="Z179" s="181">
        <f t="shared" si="484"/>
        <v>2189.3105610947996</v>
      </c>
      <c r="AA179" s="183">
        <f t="shared" si="484"/>
        <v>1682.1662974934789</v>
      </c>
      <c r="AC179" s="182">
        <f t="shared" si="484"/>
        <v>3109.7991197389892</v>
      </c>
      <c r="AD179" s="183">
        <f t="shared" si="484"/>
        <v>7774.7669309982975</v>
      </c>
    </row>
    <row r="180" spans="3:30" ht="12.75" customHeight="1" x14ac:dyDescent="0.2">
      <c r="C180" s="7"/>
      <c r="D180" s="67"/>
    </row>
    <row r="181" spans="3:30" ht="12.75" customHeight="1" x14ac:dyDescent="0.2">
      <c r="C181" s="7"/>
      <c r="D181" s="67"/>
    </row>
  </sheetData>
  <pageMargins left="0.25" right="0.25" top="0.25" bottom="0.25" header="0.3" footer="0.3"/>
  <pageSetup scale="3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BE514-57E6-4858-87D1-FE97F2FE13E8}">
  <sheetPr>
    <tabColor theme="0"/>
  </sheetPr>
  <dimension ref="B1:AJ1580"/>
  <sheetViews>
    <sheetView showGridLines="0" view="pageBreakPreview" zoomScale="85" zoomScaleNormal="70" zoomScaleSheetLayoutView="85" workbookViewId="0">
      <pane xSplit="6" ySplit="10" topLeftCell="G11" activePane="bottomRight" state="frozen"/>
      <selection pane="topRight"/>
      <selection pane="bottomLeft"/>
      <selection pane="bottomRight" activeCell="G11" sqref="G11"/>
    </sheetView>
  </sheetViews>
  <sheetFormatPr defaultRowHeight="12.75" x14ac:dyDescent="0.2"/>
  <cols>
    <col min="1" max="1" width="3.7109375" customWidth="1"/>
    <col min="2" max="3" width="6.7109375" customWidth="1"/>
    <col min="4" max="4" width="3.7109375" customWidth="1"/>
    <col min="5" max="5" width="3.7109375" style="47" customWidth="1"/>
    <col min="6" max="6" width="50.42578125" bestFit="1" customWidth="1"/>
    <col min="7" max="30" width="9.5703125" bestFit="1" customWidth="1"/>
    <col min="31" max="31" width="3.7109375" customWidth="1"/>
    <col min="32" max="33" width="9.7109375" customWidth="1"/>
    <col min="34" max="34" width="3.7109375" customWidth="1"/>
  </cols>
  <sheetData>
    <row r="1" spans="2:34" x14ac:dyDescent="0.2"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 spans="2:34" ht="15.75" thickBot="1" x14ac:dyDescent="0.4">
      <c r="B2" s="35" t="s">
        <v>52</v>
      </c>
      <c r="C2" s="35" t="s">
        <v>233</v>
      </c>
      <c r="D2" s="9" t="s">
        <v>56</v>
      </c>
      <c r="E2" s="48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3">
        <f ca="1">TODAY()</f>
        <v>45999</v>
      </c>
      <c r="AH2" s="1"/>
    </row>
    <row r="3" spans="2:34" x14ac:dyDescent="0.2">
      <c r="B3" s="9">
        <f>G5</f>
        <v>1</v>
      </c>
      <c r="C3" s="9"/>
      <c r="D3" s="9" t="s">
        <v>56</v>
      </c>
      <c r="F3" t="s">
        <v>159</v>
      </c>
      <c r="AG3" s="6" t="s">
        <v>16</v>
      </c>
    </row>
    <row r="4" spans="2:34" x14ac:dyDescent="0.2">
      <c r="B4" s="9"/>
      <c r="C4" s="9"/>
      <c r="D4" s="9" t="s">
        <v>56</v>
      </c>
      <c r="AG4" s="6"/>
    </row>
    <row r="5" spans="2:34" x14ac:dyDescent="0.2">
      <c r="B5" s="9">
        <f>G5</f>
        <v>1</v>
      </c>
      <c r="C5" s="9"/>
      <c r="D5" s="9" t="s">
        <v>56</v>
      </c>
      <c r="F5" s="40" t="s">
        <v>53</v>
      </c>
      <c r="G5" s="42">
        <v>1</v>
      </c>
    </row>
    <row r="6" spans="2:34" x14ac:dyDescent="0.2">
      <c r="B6" s="9">
        <f>G5</f>
        <v>1</v>
      </c>
      <c r="C6" s="9"/>
      <c r="D6" s="9" t="s">
        <v>56</v>
      </c>
      <c r="F6" s="39" t="s">
        <v>18</v>
      </c>
      <c r="G6" s="41"/>
      <c r="H6" s="11"/>
    </row>
    <row r="7" spans="2:34" x14ac:dyDescent="0.2">
      <c r="B7" s="9">
        <f>G5</f>
        <v>1</v>
      </c>
      <c r="C7" s="9"/>
      <c r="D7" s="9" t="s">
        <v>56</v>
      </c>
      <c r="G7" s="23"/>
    </row>
    <row r="8" spans="2:34" x14ac:dyDescent="0.2">
      <c r="B8" s="9">
        <f>G5</f>
        <v>1</v>
      </c>
      <c r="C8" s="9"/>
      <c r="D8" s="9" t="s">
        <v>56</v>
      </c>
      <c r="G8" s="20">
        <v>2023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2"/>
      <c r="S8" s="20">
        <v>2024</v>
      </c>
      <c r="T8" s="21"/>
      <c r="U8" s="21"/>
      <c r="V8" s="21"/>
      <c r="W8" s="21"/>
      <c r="X8" s="21"/>
      <c r="Y8" s="21"/>
      <c r="Z8" s="21"/>
      <c r="AA8" s="21"/>
      <c r="AB8" s="21"/>
      <c r="AC8" s="21"/>
      <c r="AD8" s="22"/>
      <c r="AF8" s="17" t="s">
        <v>14</v>
      </c>
      <c r="AG8" s="18"/>
    </row>
    <row r="9" spans="2:34" ht="15" customHeight="1" x14ac:dyDescent="0.35">
      <c r="B9" s="9">
        <f>G5</f>
        <v>1</v>
      </c>
      <c r="C9" s="9"/>
      <c r="D9" s="9" t="s">
        <v>56</v>
      </c>
      <c r="G9" s="4">
        <v>44957</v>
      </c>
      <c r="H9" s="19">
        <f>EOMONTH(G9,1)</f>
        <v>44985</v>
      </c>
      <c r="I9" s="19">
        <f t="shared" ref="I9:AD9" si="0">EOMONTH(H9,1)</f>
        <v>45016</v>
      </c>
      <c r="J9" s="19">
        <f t="shared" si="0"/>
        <v>45046</v>
      </c>
      <c r="K9" s="19">
        <f t="shared" si="0"/>
        <v>45077</v>
      </c>
      <c r="L9" s="19">
        <f t="shared" si="0"/>
        <v>45107</v>
      </c>
      <c r="M9" s="19">
        <f t="shared" si="0"/>
        <v>45138</v>
      </c>
      <c r="N9" s="19">
        <f t="shared" si="0"/>
        <v>45169</v>
      </c>
      <c r="O9" s="19">
        <f t="shared" si="0"/>
        <v>45199</v>
      </c>
      <c r="P9" s="19">
        <f t="shared" si="0"/>
        <v>45230</v>
      </c>
      <c r="Q9" s="19">
        <f t="shared" si="0"/>
        <v>45260</v>
      </c>
      <c r="R9" s="5">
        <f t="shared" si="0"/>
        <v>45291</v>
      </c>
      <c r="S9" s="4">
        <f t="shared" si="0"/>
        <v>45322</v>
      </c>
      <c r="T9" s="19">
        <f t="shared" si="0"/>
        <v>45351</v>
      </c>
      <c r="U9" s="19">
        <f t="shared" si="0"/>
        <v>45382</v>
      </c>
      <c r="V9" s="19">
        <f t="shared" si="0"/>
        <v>45412</v>
      </c>
      <c r="W9" s="19">
        <f t="shared" si="0"/>
        <v>45443</v>
      </c>
      <c r="X9" s="19">
        <f t="shared" si="0"/>
        <v>45473</v>
      </c>
      <c r="Y9" s="19">
        <f t="shared" si="0"/>
        <v>45504</v>
      </c>
      <c r="Z9" s="19">
        <f t="shared" si="0"/>
        <v>45535</v>
      </c>
      <c r="AA9" s="19">
        <f t="shared" si="0"/>
        <v>45565</v>
      </c>
      <c r="AB9" s="19">
        <f t="shared" si="0"/>
        <v>45596</v>
      </c>
      <c r="AC9" s="19">
        <f t="shared" si="0"/>
        <v>45626</v>
      </c>
      <c r="AD9" s="5">
        <f t="shared" si="0"/>
        <v>45657</v>
      </c>
      <c r="AE9" s="12"/>
      <c r="AF9" s="13">
        <v>45291</v>
      </c>
      <c r="AG9" s="14">
        <v>45657</v>
      </c>
    </row>
    <row r="10" spans="2:34" ht="0.95" customHeight="1" x14ac:dyDescent="0.2">
      <c r="B10" s="9">
        <f>G5</f>
        <v>1</v>
      </c>
      <c r="C10" s="9"/>
      <c r="D10" s="9" t="s">
        <v>56</v>
      </c>
      <c r="G10" s="11"/>
      <c r="S10" s="11"/>
      <c r="AD10" s="15"/>
      <c r="AE10" s="15"/>
      <c r="AF10" s="11"/>
      <c r="AG10" s="15"/>
    </row>
    <row r="11" spans="2:34" x14ac:dyDescent="0.2">
      <c r="B11" s="9">
        <f>G5</f>
        <v>1</v>
      </c>
      <c r="C11" s="9" t="str">
        <f>B11&amp;" - "&amp;F11</f>
        <v>1 - Employed Vets</v>
      </c>
      <c r="D11" s="9" t="s">
        <v>56</v>
      </c>
      <c r="F11" s="7" t="s">
        <v>160</v>
      </c>
      <c r="G11" s="121">
        <v>4</v>
      </c>
      <c r="H11" s="122">
        <v>4</v>
      </c>
      <c r="I11" s="122">
        <v>4</v>
      </c>
      <c r="J11" s="122">
        <v>4</v>
      </c>
      <c r="K11" s="122">
        <v>4</v>
      </c>
      <c r="L11" s="122">
        <v>5</v>
      </c>
      <c r="M11" s="122">
        <v>5</v>
      </c>
      <c r="N11" s="122">
        <v>5</v>
      </c>
      <c r="O11" s="122">
        <v>5</v>
      </c>
      <c r="P11" s="122">
        <v>5</v>
      </c>
      <c r="Q11" s="122">
        <v>5</v>
      </c>
      <c r="R11" s="122">
        <v>5</v>
      </c>
      <c r="S11" s="121">
        <v>4</v>
      </c>
      <c r="T11" s="122">
        <v>4</v>
      </c>
      <c r="U11" s="122">
        <v>4</v>
      </c>
      <c r="V11" s="122">
        <v>3</v>
      </c>
      <c r="W11" s="122">
        <v>3</v>
      </c>
      <c r="X11" s="122">
        <v>4</v>
      </c>
      <c r="Y11" s="122">
        <v>4</v>
      </c>
      <c r="Z11" s="122">
        <v>5</v>
      </c>
      <c r="AA11" s="122">
        <v>5</v>
      </c>
      <c r="AB11" s="122">
        <v>5</v>
      </c>
      <c r="AC11" s="122">
        <v>5</v>
      </c>
      <c r="AD11" s="156">
        <f>MROUND(AVERAGE(S11:AC11),1)</f>
        <v>4</v>
      </c>
      <c r="AE11" s="15"/>
      <c r="AF11" s="90">
        <f>AF13/AF12</f>
        <v>4.5873605947955394</v>
      </c>
      <c r="AG11" s="91">
        <f t="shared" ref="AG11" si="1">AG13/AG12</f>
        <v>4.1635687732342008</v>
      </c>
    </row>
    <row r="12" spans="2:34" x14ac:dyDescent="0.2">
      <c r="B12" s="9">
        <f>G5</f>
        <v>1</v>
      </c>
      <c r="C12" s="9" t="str">
        <f t="shared" ref="C12:C48" si="2">B12&amp;" - "&amp;F12</f>
        <v>1 - Workdays in Month / Year</v>
      </c>
      <c r="D12" s="9" t="s">
        <v>56</v>
      </c>
      <c r="F12" s="7" t="s">
        <v>54</v>
      </c>
      <c r="G12" s="121">
        <v>22</v>
      </c>
      <c r="H12" s="124">
        <v>21</v>
      </c>
      <c r="I12" s="124">
        <v>24</v>
      </c>
      <c r="J12" s="122">
        <v>21</v>
      </c>
      <c r="K12" s="122">
        <v>23</v>
      </c>
      <c r="L12" s="122">
        <v>23</v>
      </c>
      <c r="M12" s="122">
        <v>22</v>
      </c>
      <c r="N12" s="122">
        <v>24</v>
      </c>
      <c r="O12" s="122">
        <v>22</v>
      </c>
      <c r="P12" s="122">
        <v>22</v>
      </c>
      <c r="Q12" s="122">
        <v>23</v>
      </c>
      <c r="R12" s="122">
        <v>22</v>
      </c>
      <c r="S12" s="121">
        <v>23</v>
      </c>
      <c r="T12" s="122">
        <v>22</v>
      </c>
      <c r="U12" s="122">
        <v>22</v>
      </c>
      <c r="V12" s="122">
        <v>22</v>
      </c>
      <c r="W12" s="122">
        <v>24</v>
      </c>
      <c r="X12" s="122">
        <v>21</v>
      </c>
      <c r="Y12" s="122">
        <v>23</v>
      </c>
      <c r="Z12" s="122">
        <v>23</v>
      </c>
      <c r="AA12" s="122">
        <v>21</v>
      </c>
      <c r="AB12" s="122">
        <v>24</v>
      </c>
      <c r="AC12" s="122">
        <v>22</v>
      </c>
      <c r="AD12" s="123">
        <v>22</v>
      </c>
      <c r="AE12" s="15"/>
      <c r="AF12" s="92">
        <f>SUM(G12:R12)</f>
        <v>269</v>
      </c>
      <c r="AG12" s="93">
        <f>SUM(S12:AD12)</f>
        <v>269</v>
      </c>
    </row>
    <row r="13" spans="2:34" ht="12.75" customHeight="1" x14ac:dyDescent="0.2">
      <c r="B13" s="9">
        <f>G5</f>
        <v>1</v>
      </c>
      <c r="C13" s="9" t="str">
        <f t="shared" si="2"/>
        <v>1 - Total Vet Days</v>
      </c>
      <c r="D13" s="9" t="s">
        <v>56</v>
      </c>
      <c r="F13" s="8" t="s">
        <v>51</v>
      </c>
      <c r="G13" s="125">
        <f>G11*G12</f>
        <v>88</v>
      </c>
      <c r="H13" s="126">
        <f t="shared" ref="H13:AD13" si="3">H11*H12</f>
        <v>84</v>
      </c>
      <c r="I13" s="126">
        <f t="shared" si="3"/>
        <v>96</v>
      </c>
      <c r="J13" s="127">
        <f t="shared" si="3"/>
        <v>84</v>
      </c>
      <c r="K13" s="127">
        <f t="shared" si="3"/>
        <v>92</v>
      </c>
      <c r="L13" s="127">
        <f t="shared" si="3"/>
        <v>115</v>
      </c>
      <c r="M13" s="127">
        <f t="shared" si="3"/>
        <v>110</v>
      </c>
      <c r="N13" s="127">
        <f t="shared" si="3"/>
        <v>120</v>
      </c>
      <c r="O13" s="127">
        <f t="shared" si="3"/>
        <v>110</v>
      </c>
      <c r="P13" s="127">
        <f t="shared" si="3"/>
        <v>110</v>
      </c>
      <c r="Q13" s="127">
        <f t="shared" si="3"/>
        <v>115</v>
      </c>
      <c r="R13" s="127">
        <f t="shared" si="3"/>
        <v>110</v>
      </c>
      <c r="S13" s="125">
        <f t="shared" si="3"/>
        <v>92</v>
      </c>
      <c r="T13" s="127">
        <f t="shared" si="3"/>
        <v>88</v>
      </c>
      <c r="U13" s="127">
        <f t="shared" si="3"/>
        <v>88</v>
      </c>
      <c r="V13" s="127">
        <f t="shared" si="3"/>
        <v>66</v>
      </c>
      <c r="W13" s="127">
        <f t="shared" si="3"/>
        <v>72</v>
      </c>
      <c r="X13" s="127">
        <f t="shared" si="3"/>
        <v>84</v>
      </c>
      <c r="Y13" s="127">
        <f t="shared" si="3"/>
        <v>92</v>
      </c>
      <c r="Z13" s="127">
        <f t="shared" si="3"/>
        <v>115</v>
      </c>
      <c r="AA13" s="127">
        <f t="shared" si="3"/>
        <v>105</v>
      </c>
      <c r="AB13" s="127">
        <f t="shared" si="3"/>
        <v>120</v>
      </c>
      <c r="AC13" s="127">
        <f t="shared" si="3"/>
        <v>110</v>
      </c>
      <c r="AD13" s="128">
        <f t="shared" si="3"/>
        <v>88</v>
      </c>
      <c r="AF13" s="119">
        <f>SUM(G13:R13)</f>
        <v>1234</v>
      </c>
      <c r="AG13" s="120">
        <f>SUM(S13:AD13)</f>
        <v>1120</v>
      </c>
    </row>
    <row r="14" spans="2:34" x14ac:dyDescent="0.2">
      <c r="B14" s="9">
        <f>G5</f>
        <v>1</v>
      </c>
      <c r="C14" s="9" t="str">
        <f t="shared" si="2"/>
        <v>1 - Production per Vet Workday</v>
      </c>
      <c r="D14" s="9" t="s">
        <v>56</v>
      </c>
      <c r="F14" s="7" t="s">
        <v>50</v>
      </c>
      <c r="G14" s="129">
        <v>4.2874428604809829</v>
      </c>
      <c r="H14" s="130">
        <v>4.5533557276949139</v>
      </c>
      <c r="I14" s="130">
        <v>4.9904487486102305</v>
      </c>
      <c r="J14" s="130">
        <v>5.2857594110648431</v>
      </c>
      <c r="K14" s="130">
        <v>5.5890707671924744</v>
      </c>
      <c r="L14" s="130">
        <v>4.8776401385497135</v>
      </c>
      <c r="M14" s="130">
        <v>4.5927163196441487</v>
      </c>
      <c r="N14" s="130">
        <v>4.1834102049583466</v>
      </c>
      <c r="O14" s="130">
        <v>4.234991986003763</v>
      </c>
      <c r="P14" s="130">
        <v>4.4122144888570531</v>
      </c>
      <c r="Q14" s="130">
        <v>3.9231538334698497</v>
      </c>
      <c r="R14" s="130">
        <v>3.3392944541963097</v>
      </c>
      <c r="S14" s="129">
        <v>4.73713429249021</v>
      </c>
      <c r="T14" s="130">
        <v>4.8160244060927386</v>
      </c>
      <c r="U14" s="130">
        <v>5.1871467867651893</v>
      </c>
      <c r="V14" s="130">
        <v>5.9249640237352228</v>
      </c>
      <c r="W14" s="130">
        <v>5.7445991864455763</v>
      </c>
      <c r="X14" s="130">
        <v>4.9005212008164412</v>
      </c>
      <c r="Y14" s="130">
        <v>4.7825475742776886</v>
      </c>
      <c r="Z14" s="130">
        <v>4.1464776145075799</v>
      </c>
      <c r="AA14" s="130">
        <v>4.090287359072069</v>
      </c>
      <c r="AB14" s="130">
        <v>4.0705877219749302</v>
      </c>
      <c r="AC14" s="130">
        <v>3.6258351223385863</v>
      </c>
      <c r="AD14" s="131">
        <v>2.6331003298836642</v>
      </c>
      <c r="AE14" s="15"/>
      <c r="AF14" s="100">
        <f t="shared" ref="AF14" si="4">AF15/AF13</f>
        <v>4.4853100993199568</v>
      </c>
      <c r="AG14" s="101">
        <f>AG15/AG13</f>
        <v>4.4622702339895257</v>
      </c>
    </row>
    <row r="15" spans="2:34" x14ac:dyDescent="0.2">
      <c r="B15" s="9">
        <f>G5</f>
        <v>1</v>
      </c>
      <c r="C15" s="9" t="str">
        <f t="shared" si="2"/>
        <v>1 - Total Production</v>
      </c>
      <c r="D15" s="9" t="s">
        <v>56</v>
      </c>
      <c r="F15" s="8" t="s">
        <v>1</v>
      </c>
      <c r="G15" s="134">
        <f>G14*G13</f>
        <v>377.29497172232652</v>
      </c>
      <c r="H15" s="135">
        <f t="shared" ref="H15:AD15" si="5">H14*H13</f>
        <v>382.48188112637274</v>
      </c>
      <c r="I15" s="135">
        <f t="shared" si="5"/>
        <v>479.08307986658212</v>
      </c>
      <c r="J15" s="135">
        <f t="shared" si="5"/>
        <v>444.0037905294468</v>
      </c>
      <c r="K15" s="135">
        <f t="shared" si="5"/>
        <v>514.19451058170762</v>
      </c>
      <c r="L15" s="135">
        <f t="shared" si="5"/>
        <v>560.92861593321709</v>
      </c>
      <c r="M15" s="135">
        <f t="shared" si="5"/>
        <v>505.19879516085638</v>
      </c>
      <c r="N15" s="135">
        <f t="shared" si="5"/>
        <v>502.00922459500157</v>
      </c>
      <c r="O15" s="135">
        <f t="shared" si="5"/>
        <v>465.84911846041393</v>
      </c>
      <c r="P15" s="135">
        <f t="shared" si="5"/>
        <v>485.34359377427586</v>
      </c>
      <c r="Q15" s="135">
        <f t="shared" si="5"/>
        <v>451.16269084903274</v>
      </c>
      <c r="R15" s="135">
        <f t="shared" si="5"/>
        <v>367.32238996159407</v>
      </c>
      <c r="S15" s="134">
        <f t="shared" si="5"/>
        <v>435.81635490909935</v>
      </c>
      <c r="T15" s="135">
        <f t="shared" si="5"/>
        <v>423.81014773616101</v>
      </c>
      <c r="U15" s="135">
        <f t="shared" si="5"/>
        <v>456.46891723533668</v>
      </c>
      <c r="V15" s="135">
        <f t="shared" si="5"/>
        <v>391.04762556652469</v>
      </c>
      <c r="W15" s="135">
        <f t="shared" si="5"/>
        <v>413.6111414240815</v>
      </c>
      <c r="X15" s="135">
        <f t="shared" si="5"/>
        <v>411.64378086858108</v>
      </c>
      <c r="Y15" s="135">
        <f t="shared" si="5"/>
        <v>439.99437683354734</v>
      </c>
      <c r="Z15" s="135">
        <f t="shared" si="5"/>
        <v>476.84492566837167</v>
      </c>
      <c r="AA15" s="135">
        <f t="shared" si="5"/>
        <v>429.48017270256724</v>
      </c>
      <c r="AB15" s="135">
        <f t="shared" si="5"/>
        <v>488.47052663699162</v>
      </c>
      <c r="AC15" s="135">
        <f t="shared" si="5"/>
        <v>398.84186345724447</v>
      </c>
      <c r="AD15" s="136">
        <f t="shared" si="5"/>
        <v>231.71282902976245</v>
      </c>
      <c r="AE15" s="15"/>
      <c r="AF15" s="94">
        <f>SUM(G15:R15)</f>
        <v>5534.8726625608269</v>
      </c>
      <c r="AG15" s="95">
        <f>SUM(S15:AD15)</f>
        <v>4997.7426620682691</v>
      </c>
    </row>
    <row r="16" spans="2:34" x14ac:dyDescent="0.2">
      <c r="B16" s="9">
        <f>G5</f>
        <v>1</v>
      </c>
      <c r="C16" s="9" t="str">
        <f t="shared" si="2"/>
        <v>1 - Revenue as a % of Production</v>
      </c>
      <c r="D16" s="9" t="s">
        <v>56</v>
      </c>
      <c r="F16" s="7" t="s">
        <v>2</v>
      </c>
      <c r="G16" s="137">
        <v>0.98364295538393298</v>
      </c>
      <c r="H16" s="138">
        <v>0.98364295538393298</v>
      </c>
      <c r="I16" s="138">
        <v>0.98364295538393298</v>
      </c>
      <c r="J16" s="138">
        <v>0.98364295538393298</v>
      </c>
      <c r="K16" s="138">
        <v>0.98364295538393298</v>
      </c>
      <c r="L16" s="138">
        <v>0.98364295538393298</v>
      </c>
      <c r="M16" s="138">
        <v>0.98364295538393298</v>
      </c>
      <c r="N16" s="138">
        <v>0.98364295538393298</v>
      </c>
      <c r="O16" s="138">
        <v>0.98364295538393298</v>
      </c>
      <c r="P16" s="138">
        <v>0.98364295538393298</v>
      </c>
      <c r="Q16" s="138">
        <v>0.98364295538393298</v>
      </c>
      <c r="R16" s="138">
        <v>0.98364295538393298</v>
      </c>
      <c r="S16" s="137">
        <v>0.9785631729931672</v>
      </c>
      <c r="T16" s="138">
        <v>0.9785631729931672</v>
      </c>
      <c r="U16" s="138">
        <v>0.9785631729931672</v>
      </c>
      <c r="V16" s="138">
        <v>0.9785631729931672</v>
      </c>
      <c r="W16" s="138">
        <v>0.9785631729931672</v>
      </c>
      <c r="X16" s="138">
        <v>0.9785631729931672</v>
      </c>
      <c r="Y16" s="138">
        <v>0.9785631729931672</v>
      </c>
      <c r="Z16" s="138">
        <v>0.9785631729931672</v>
      </c>
      <c r="AA16" s="138">
        <v>0.9785631729931672</v>
      </c>
      <c r="AB16" s="138">
        <v>0.9785631729931672</v>
      </c>
      <c r="AC16" s="138">
        <v>0.9785631729931672</v>
      </c>
      <c r="AD16" s="139">
        <v>0.9785631729931672</v>
      </c>
      <c r="AE16" s="15"/>
      <c r="AF16" s="102">
        <f t="shared" ref="AF16" si="6">AF17/AF15</f>
        <v>0.9836429553839332</v>
      </c>
      <c r="AG16" s="103">
        <f>AG17/AG15</f>
        <v>0.97856317299316731</v>
      </c>
    </row>
    <row r="17" spans="2:33" x14ac:dyDescent="0.2">
      <c r="B17" s="9">
        <f>G5</f>
        <v>1</v>
      </c>
      <c r="C17" s="9" t="str">
        <f t="shared" si="2"/>
        <v>1 - Total Revenue</v>
      </c>
      <c r="D17" s="9" t="s">
        <v>56</v>
      </c>
      <c r="F17" s="8" t="s">
        <v>3</v>
      </c>
      <c r="G17" s="134">
        <f>G16*G15</f>
        <v>371.12354103644668</v>
      </c>
      <c r="H17" s="135">
        <f t="shared" ref="H17:AD17" si="7">H16*H15</f>
        <v>376.2256079319514</v>
      </c>
      <c r="I17" s="135">
        <f t="shared" si="7"/>
        <v>471.24669655440164</v>
      </c>
      <c r="J17" s="135">
        <f t="shared" si="7"/>
        <v>436.74120071805379</v>
      </c>
      <c r="K17" s="135">
        <f t="shared" si="7"/>
        <v>505.78380803078591</v>
      </c>
      <c r="L17" s="135">
        <f t="shared" si="7"/>
        <v>551.75348153596872</v>
      </c>
      <c r="M17" s="135">
        <f t="shared" si="7"/>
        <v>496.93523592842695</v>
      </c>
      <c r="N17" s="135">
        <f t="shared" si="7"/>
        <v>493.79783731062395</v>
      </c>
      <c r="O17" s="135">
        <f t="shared" si="7"/>
        <v>458.22920364540147</v>
      </c>
      <c r="P17" s="135">
        <f t="shared" si="7"/>
        <v>477.4048069567877</v>
      </c>
      <c r="Q17" s="135">
        <f t="shared" si="7"/>
        <v>443.78300258571028</v>
      </c>
      <c r="R17" s="135">
        <f t="shared" si="7"/>
        <v>361.31408124051188</v>
      </c>
      <c r="S17" s="134">
        <f t="shared" si="7"/>
        <v>426.47383510216451</v>
      </c>
      <c r="T17" s="135">
        <f t="shared" si="7"/>
        <v>414.72500291540069</v>
      </c>
      <c r="U17" s="135">
        <f t="shared" si="7"/>
        <v>446.6836720225665</v>
      </c>
      <c r="V17" s="135">
        <f t="shared" si="7"/>
        <v>382.66480526582239</v>
      </c>
      <c r="W17" s="135">
        <f t="shared" si="7"/>
        <v>404.74463093727479</v>
      </c>
      <c r="X17" s="135">
        <f t="shared" si="7"/>
        <v>402.81944434966272</v>
      </c>
      <c r="Y17" s="135">
        <f t="shared" si="7"/>
        <v>430.56229349338736</v>
      </c>
      <c r="Z17" s="135">
        <f t="shared" si="7"/>
        <v>466.62288348773274</v>
      </c>
      <c r="AA17" s="135">
        <f t="shared" si="7"/>
        <v>420.27348053747761</v>
      </c>
      <c r="AB17" s="135">
        <f t="shared" si="7"/>
        <v>477.99926845953792</v>
      </c>
      <c r="AC17" s="135">
        <f t="shared" si="7"/>
        <v>390.29195942722868</v>
      </c>
      <c r="AD17" s="136">
        <f t="shared" si="7"/>
        <v>226.74564119858761</v>
      </c>
      <c r="AE17" s="15"/>
      <c r="AF17" s="94">
        <f>SUM(G17:R17)</f>
        <v>5444.3385034750709</v>
      </c>
      <c r="AG17" s="95">
        <f>SUM(S17:AD17)</f>
        <v>4890.6069171968438</v>
      </c>
    </row>
    <row r="18" spans="2:33" x14ac:dyDescent="0.2">
      <c r="B18" s="9">
        <f>G5</f>
        <v>1</v>
      </c>
      <c r="C18" s="9" t="str">
        <f t="shared" si="2"/>
        <v>1 - % YoY Revenue Growth</v>
      </c>
      <c r="D18" s="9" t="s">
        <v>56</v>
      </c>
      <c r="F18" s="16" t="s">
        <v>174</v>
      </c>
      <c r="G18" s="82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148">
        <f>S17/G17-1</f>
        <v>0.14914250362868264</v>
      </c>
      <c r="T18" s="149">
        <f t="shared" ref="T18:AD18" si="8">T17/H17-1</f>
        <v>0.10233060741153155</v>
      </c>
      <c r="U18" s="149">
        <f t="shared" si="8"/>
        <v>-5.2123494363847556E-2</v>
      </c>
      <c r="V18" s="149">
        <f t="shared" si="8"/>
        <v>-0.12381793923569262</v>
      </c>
      <c r="W18" s="149">
        <f t="shared" si="8"/>
        <v>-0.19976752021164168</v>
      </c>
      <c r="X18" s="149">
        <f t="shared" si="8"/>
        <v>-0.2699285861716797</v>
      </c>
      <c r="Y18" s="149">
        <f t="shared" si="8"/>
        <v>-0.13356457267723154</v>
      </c>
      <c r="Z18" s="149">
        <f t="shared" si="8"/>
        <v>-5.5032549293642985E-2</v>
      </c>
      <c r="AA18" s="149">
        <f t="shared" si="8"/>
        <v>-8.283130539470307E-2</v>
      </c>
      <c r="AB18" s="149">
        <f t="shared" si="8"/>
        <v>1.2451937937945079E-3</v>
      </c>
      <c r="AC18" s="149">
        <f t="shared" si="8"/>
        <v>-0.12053423147532694</v>
      </c>
      <c r="AD18" s="150">
        <f t="shared" si="8"/>
        <v>-0.37244172599060044</v>
      </c>
      <c r="AE18" s="15"/>
      <c r="AF18" s="11"/>
      <c r="AG18" s="97">
        <f>AG17/AF17-1</f>
        <v>-0.10170778064677377</v>
      </c>
    </row>
    <row r="19" spans="2:33" ht="6" customHeight="1" x14ac:dyDescent="0.2">
      <c r="B19" s="9">
        <f>G5</f>
        <v>1</v>
      </c>
      <c r="C19" s="9" t="str">
        <f t="shared" si="2"/>
        <v xml:space="preserve">1 - </v>
      </c>
      <c r="D19" s="9" t="s">
        <v>56</v>
      </c>
      <c r="G19" s="80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80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81"/>
      <c r="AE19" s="15"/>
      <c r="AF19" s="11"/>
      <c r="AG19" s="15"/>
    </row>
    <row r="20" spans="2:33" x14ac:dyDescent="0.2">
      <c r="B20" s="9">
        <f>G5</f>
        <v>1</v>
      </c>
      <c r="C20" s="9" t="str">
        <f t="shared" si="2"/>
        <v>1 - Doctor Compensation</v>
      </c>
      <c r="D20" s="9" t="s">
        <v>56</v>
      </c>
      <c r="F20" t="s">
        <v>4</v>
      </c>
      <c r="G20" s="121">
        <v>-130.33772535816482</v>
      </c>
      <c r="H20" s="122">
        <v>-132.12624618245385</v>
      </c>
      <c r="I20" s="122">
        <v>-169.96095112521303</v>
      </c>
      <c r="J20" s="122">
        <v>-156.73399841551989</v>
      </c>
      <c r="K20" s="122">
        <v>-189.84978733183291</v>
      </c>
      <c r="L20" s="122">
        <v>-175.03114091953987</v>
      </c>
      <c r="M20" s="122">
        <v>-148.06701101962588</v>
      </c>
      <c r="N20" s="122">
        <v>-133.79343704803085</v>
      </c>
      <c r="O20" s="122">
        <v>-117.35348890571188</v>
      </c>
      <c r="P20" s="122">
        <v>-126.60327857428743</v>
      </c>
      <c r="Q20" s="122">
        <v>-105.93732670182786</v>
      </c>
      <c r="R20" s="122">
        <v>-84.586427486112498</v>
      </c>
      <c r="S20" s="121">
        <v>-135.67340467583452</v>
      </c>
      <c r="T20" s="122">
        <v>-136.66238401287569</v>
      </c>
      <c r="U20" s="122">
        <v>-156.48907891413424</v>
      </c>
      <c r="V20" s="122">
        <v>-166.13691345369526</v>
      </c>
      <c r="W20" s="122">
        <v>-184.63855846179345</v>
      </c>
      <c r="X20" s="122">
        <v>-143.79696471200157</v>
      </c>
      <c r="Y20" s="122">
        <v>-155.96362016602598</v>
      </c>
      <c r="Z20" s="122">
        <v>-129.38144349096953</v>
      </c>
      <c r="AA20" s="122">
        <v>-120.31213467493328</v>
      </c>
      <c r="AB20" s="122">
        <v>-148.49686341648126</v>
      </c>
      <c r="AC20" s="122">
        <v>-116.99113237958782</v>
      </c>
      <c r="AD20" s="123">
        <v>-90.458233163207183</v>
      </c>
      <c r="AE20" s="15"/>
      <c r="AF20" s="92">
        <f>SUM(G20:R20)</f>
        <v>-1670.380819068321</v>
      </c>
      <c r="AG20" s="93">
        <f>SUM(S20:AD20)</f>
        <v>-1685.0007315215398</v>
      </c>
    </row>
    <row r="21" spans="2:33" x14ac:dyDescent="0.2">
      <c r="B21" s="9">
        <f>G5</f>
        <v>1</v>
      </c>
      <c r="C21" s="9" t="str">
        <f t="shared" si="2"/>
        <v>1 - % of Revenue - Doctor Compensation</v>
      </c>
      <c r="D21" s="9" t="s">
        <v>56</v>
      </c>
      <c r="F21" s="16" t="str">
        <f>"% of Revenue - "&amp;F20</f>
        <v>% of Revenue - Doctor Compensation</v>
      </c>
      <c r="G21" s="148">
        <f>G20/G17</f>
        <v>-0.35119767663933998</v>
      </c>
      <c r="H21" s="149">
        <f t="shared" ref="H21:AD21" si="9">H20/H17</f>
        <v>-0.35118887018012812</v>
      </c>
      <c r="I21" s="149">
        <f t="shared" si="9"/>
        <v>-0.36066237146681496</v>
      </c>
      <c r="J21" s="149">
        <f t="shared" si="9"/>
        <v>-0.35887156548965565</v>
      </c>
      <c r="K21" s="149">
        <f t="shared" si="9"/>
        <v>-0.37535758226621047</v>
      </c>
      <c r="L21" s="149">
        <f t="shared" si="9"/>
        <v>-0.3172270711048148</v>
      </c>
      <c r="M21" s="149">
        <f t="shared" si="9"/>
        <v>-0.29796037856520968</v>
      </c>
      <c r="N21" s="149">
        <f t="shared" si="9"/>
        <v>-0.27094779875244368</v>
      </c>
      <c r="O21" s="149">
        <f t="shared" si="9"/>
        <v>-0.2561021601681357</v>
      </c>
      <c r="P21" s="149">
        <f t="shared" si="9"/>
        <v>-0.26519062382576081</v>
      </c>
      <c r="Q21" s="149">
        <f t="shared" si="9"/>
        <v>-0.23871425017312958</v>
      </c>
      <c r="R21" s="149">
        <f t="shared" si="9"/>
        <v>-0.23410775244545978</v>
      </c>
      <c r="S21" s="148">
        <f t="shared" si="9"/>
        <v>-0.31812831997848845</v>
      </c>
      <c r="T21" s="149">
        <f t="shared" si="9"/>
        <v>-0.32952530725704354</v>
      </c>
      <c r="U21" s="149">
        <f t="shared" si="9"/>
        <v>-0.35033534627661161</v>
      </c>
      <c r="V21" s="149">
        <f t="shared" si="9"/>
        <v>-0.43415780904723233</v>
      </c>
      <c r="W21" s="149">
        <f t="shared" si="9"/>
        <v>-0.45618531871373424</v>
      </c>
      <c r="X21" s="149">
        <f t="shared" si="9"/>
        <v>-0.35697622527670309</v>
      </c>
      <c r="Y21" s="149">
        <f t="shared" si="9"/>
        <v>-0.36223241682546753</v>
      </c>
      <c r="Z21" s="149">
        <f t="shared" si="9"/>
        <v>-0.27727196429784801</v>
      </c>
      <c r="AA21" s="149">
        <f t="shared" si="9"/>
        <v>-0.28627105978961365</v>
      </c>
      <c r="AB21" s="149">
        <f t="shared" si="9"/>
        <v>-0.31066336962197955</v>
      </c>
      <c r="AC21" s="149">
        <f t="shared" si="9"/>
        <v>-0.29975286334691004</v>
      </c>
      <c r="AD21" s="150">
        <f t="shared" si="9"/>
        <v>-0.39894144242438756</v>
      </c>
      <c r="AE21" s="15"/>
      <c r="AF21" s="96">
        <f t="shared" ref="AF21" si="10">AF20/AF17</f>
        <v>-0.30681061032522727</v>
      </c>
      <c r="AG21" s="97">
        <f t="shared" ref="AG21" si="11">AG20/AG17</f>
        <v>-0.3445381647002892</v>
      </c>
    </row>
    <row r="22" spans="2:33" ht="3" customHeight="1" x14ac:dyDescent="0.2">
      <c r="B22" s="9">
        <f>G5</f>
        <v>1</v>
      </c>
      <c r="C22" s="9" t="str">
        <f t="shared" si="2"/>
        <v xml:space="preserve">1 - </v>
      </c>
      <c r="D22" s="9" t="s">
        <v>56</v>
      </c>
      <c r="F22" s="16"/>
      <c r="G22" s="84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4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6"/>
      <c r="AE22" s="15"/>
      <c r="AF22" s="36"/>
      <c r="AG22" s="38"/>
    </row>
    <row r="23" spans="2:33" x14ac:dyDescent="0.2">
      <c r="B23" s="9">
        <f>G5</f>
        <v>1</v>
      </c>
      <c r="C23" s="9" t="str">
        <f t="shared" si="2"/>
        <v>1 - Administrative Staff Compensation</v>
      </c>
      <c r="D23" s="9" t="s">
        <v>56</v>
      </c>
      <c r="F23" t="s">
        <v>5</v>
      </c>
      <c r="G23" s="121">
        <v>-68.665113991657179</v>
      </c>
      <c r="H23" s="122">
        <v>-71.103830866103394</v>
      </c>
      <c r="I23" s="122">
        <v>-89.926703036052658</v>
      </c>
      <c r="J23" s="122">
        <v>-82.480725104652876</v>
      </c>
      <c r="K23" s="122">
        <v>-106.07466694243531</v>
      </c>
      <c r="L23" s="122">
        <v>-99.429683872912676</v>
      </c>
      <c r="M23" s="122">
        <v>-81.72552846266214</v>
      </c>
      <c r="N23" s="122">
        <v>-74.044006742936574</v>
      </c>
      <c r="O23" s="122">
        <v>-67.240708574059482</v>
      </c>
      <c r="P23" s="122">
        <v>-68.983098611834947</v>
      </c>
      <c r="Q23" s="122">
        <v>-57.698369172528515</v>
      </c>
      <c r="R23" s="122">
        <v>-43.462638358324853</v>
      </c>
      <c r="S23" s="121">
        <v>-71.662216487821397</v>
      </c>
      <c r="T23" s="122">
        <v>-70.741312372626453</v>
      </c>
      <c r="U23" s="122">
        <v>-83.643635389975472</v>
      </c>
      <c r="V23" s="122">
        <v>-93.399863823865942</v>
      </c>
      <c r="W23" s="122">
        <v>-99.535279078298785</v>
      </c>
      <c r="X23" s="122">
        <v>-79.219325472608332</v>
      </c>
      <c r="Y23" s="122">
        <v>-90.295168567774084</v>
      </c>
      <c r="Z23" s="122">
        <v>-75.944162962239702</v>
      </c>
      <c r="AA23" s="122">
        <v>-71.517706682629523</v>
      </c>
      <c r="AB23" s="122">
        <v>-89.383477614072561</v>
      </c>
      <c r="AC23" s="122">
        <v>-66.69838798857559</v>
      </c>
      <c r="AD23" s="123">
        <v>-48.935851159549451</v>
      </c>
      <c r="AE23" s="15"/>
      <c r="AF23" s="92">
        <f>SUM(G23:R23)</f>
        <v>-910.83507373616067</v>
      </c>
      <c r="AG23" s="93">
        <f>SUM(S23:AD23)</f>
        <v>-940.97638760003736</v>
      </c>
    </row>
    <row r="24" spans="2:33" x14ac:dyDescent="0.2">
      <c r="B24" s="9">
        <f>G5</f>
        <v>1</v>
      </c>
      <c r="C24" s="9" t="str">
        <f t="shared" si="2"/>
        <v>1 - % of Revenue - Administrative Staff Compensation</v>
      </c>
      <c r="D24" s="9" t="s">
        <v>56</v>
      </c>
      <c r="F24" s="16" t="str">
        <f>"% of Revenue - "&amp;F23</f>
        <v>% of Revenue - Administrative Staff Compensation</v>
      </c>
      <c r="G24" s="148">
        <f>G23/G17</f>
        <v>-0.18501955925483538</v>
      </c>
      <c r="H24" s="149">
        <f t="shared" ref="H24:AD24" si="12">H23/H17</f>
        <v>-0.18899253364742805</v>
      </c>
      <c r="I24" s="149">
        <f t="shared" si="12"/>
        <v>-0.19082723272877383</v>
      </c>
      <c r="J24" s="149">
        <f t="shared" si="12"/>
        <v>-0.1888549213333775</v>
      </c>
      <c r="K24" s="149">
        <f t="shared" si="12"/>
        <v>-0.20972333486796554</v>
      </c>
      <c r="L24" s="149">
        <f t="shared" si="12"/>
        <v>-0.18020671767420623</v>
      </c>
      <c r="M24" s="149">
        <f t="shared" si="12"/>
        <v>-0.16445911369109067</v>
      </c>
      <c r="N24" s="149">
        <f t="shared" si="12"/>
        <v>-0.14994801748465159</v>
      </c>
      <c r="O24" s="149">
        <f t="shared" si="12"/>
        <v>-0.14674033876307324</v>
      </c>
      <c r="P24" s="149">
        <f t="shared" si="12"/>
        <v>-0.1444960285414113</v>
      </c>
      <c r="Q24" s="149">
        <f t="shared" si="12"/>
        <v>-0.13001482444426182</v>
      </c>
      <c r="R24" s="149">
        <f t="shared" si="12"/>
        <v>-0.12029046365727875</v>
      </c>
      <c r="S24" s="148">
        <f t="shared" si="12"/>
        <v>-0.16803426280689474</v>
      </c>
      <c r="T24" s="149">
        <f t="shared" si="12"/>
        <v>-0.17057402345008096</v>
      </c>
      <c r="U24" s="149">
        <f t="shared" si="12"/>
        <v>-0.18725474117117447</v>
      </c>
      <c r="V24" s="149">
        <f t="shared" si="12"/>
        <v>-0.24407748645445634</v>
      </c>
      <c r="W24" s="149">
        <f t="shared" si="12"/>
        <v>-0.245921184544939</v>
      </c>
      <c r="X24" s="149">
        <f t="shared" si="12"/>
        <v>-0.19666211893148564</v>
      </c>
      <c r="Y24" s="149">
        <f t="shared" si="12"/>
        <v>-0.20971452895970058</v>
      </c>
      <c r="Z24" s="149">
        <f t="shared" si="12"/>
        <v>-0.1627527617047016</v>
      </c>
      <c r="AA24" s="149">
        <f t="shared" si="12"/>
        <v>-0.17016944916716434</v>
      </c>
      <c r="AB24" s="149">
        <f t="shared" si="12"/>
        <v>-0.18699500922277829</v>
      </c>
      <c r="AC24" s="149">
        <f t="shared" si="12"/>
        <v>-0.17089357435510208</v>
      </c>
      <c r="AD24" s="150">
        <f t="shared" si="12"/>
        <v>-0.21581826623379549</v>
      </c>
      <c r="AE24" s="15"/>
      <c r="AF24" s="96">
        <f t="shared" ref="AF24" si="13">AF23/AF17</f>
        <v>-0.16729949343796002</v>
      </c>
      <c r="AG24" s="97">
        <f t="shared" ref="AG24" si="14">AG23/AG17</f>
        <v>-0.19240482899807007</v>
      </c>
    </row>
    <row r="25" spans="2:33" ht="3" customHeight="1" x14ac:dyDescent="0.2">
      <c r="B25" s="9">
        <f>G5</f>
        <v>1</v>
      </c>
      <c r="C25" s="9" t="str">
        <f t="shared" si="2"/>
        <v xml:space="preserve">1 - </v>
      </c>
      <c r="D25" s="9" t="s">
        <v>56</v>
      </c>
      <c r="F25" s="16"/>
      <c r="G25" s="84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4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6"/>
      <c r="AE25" s="15"/>
      <c r="AF25" s="36"/>
      <c r="AG25" s="38"/>
    </row>
    <row r="26" spans="2:33" x14ac:dyDescent="0.2">
      <c r="B26" s="9">
        <f>G5</f>
        <v>1</v>
      </c>
      <c r="C26" s="9" t="str">
        <f t="shared" si="2"/>
        <v>1 - Office Supplies</v>
      </c>
      <c r="D26" s="9" t="s">
        <v>56</v>
      </c>
      <c r="F26" t="s">
        <v>6</v>
      </c>
      <c r="G26" s="121">
        <v>-32.315919584573059</v>
      </c>
      <c r="H26" s="122">
        <v>-31.71807054221501</v>
      </c>
      <c r="I26" s="122">
        <v>-43.301642916864999</v>
      </c>
      <c r="J26" s="122">
        <v>-40.375669785465298</v>
      </c>
      <c r="K26" s="122">
        <v>-48.445231920820433</v>
      </c>
      <c r="L26" s="122">
        <v>-43.127773633191723</v>
      </c>
      <c r="M26" s="122">
        <v>-37.880358897945023</v>
      </c>
      <c r="N26" s="122">
        <v>-35.279657952078843</v>
      </c>
      <c r="O26" s="122">
        <v>-32.451188409099451</v>
      </c>
      <c r="P26" s="122">
        <v>-33.379507572091583</v>
      </c>
      <c r="Q26" s="122">
        <v>-30.040042205725346</v>
      </c>
      <c r="R26" s="122">
        <v>-23.908510784072337</v>
      </c>
      <c r="S26" s="121">
        <v>-39.117157404884232</v>
      </c>
      <c r="T26" s="122">
        <v>-38.116145549465777</v>
      </c>
      <c r="U26" s="122">
        <v>-45.756335057857974</v>
      </c>
      <c r="V26" s="122">
        <v>-49.367418568517479</v>
      </c>
      <c r="W26" s="122">
        <v>-53.790407732127697</v>
      </c>
      <c r="X26" s="122">
        <v>-41.751224379109196</v>
      </c>
      <c r="Y26" s="122">
        <v>-46.102047183473481</v>
      </c>
      <c r="Z26" s="122">
        <v>-37.265388564005541</v>
      </c>
      <c r="AA26" s="122">
        <v>-32.315579369665421</v>
      </c>
      <c r="AB26" s="122">
        <v>-38.052407224160085</v>
      </c>
      <c r="AC26" s="122">
        <v>-30.975522739566291</v>
      </c>
      <c r="AD26" s="123">
        <v>-23.45187404139844</v>
      </c>
      <c r="AE26" s="15"/>
      <c r="AF26" s="92">
        <f>SUM(G26:R26)</f>
        <v>-432.22357420414318</v>
      </c>
      <c r="AG26" s="93">
        <f>SUM(S26:AD26)</f>
        <v>-476.06150781423173</v>
      </c>
    </row>
    <row r="27" spans="2:33" x14ac:dyDescent="0.2">
      <c r="B27" s="9">
        <f>G5</f>
        <v>1</v>
      </c>
      <c r="C27" s="9" t="str">
        <f t="shared" si="2"/>
        <v>1 - % of Revenue - Office Supplies</v>
      </c>
      <c r="D27" s="9" t="s">
        <v>56</v>
      </c>
      <c r="F27" s="16" t="str">
        <f>"% of Revenue - "&amp;F26</f>
        <v>% of Revenue - Office Supplies</v>
      </c>
      <c r="G27" s="148">
        <f>G26/G17</f>
        <v>-8.7075908723880796E-2</v>
      </c>
      <c r="H27" s="149">
        <f t="shared" ref="H27:AD27" si="15">H26/H17</f>
        <v>-8.4305985221377902E-2</v>
      </c>
      <c r="I27" s="149">
        <f t="shared" si="15"/>
        <v>-9.1887419547918625E-2</v>
      </c>
      <c r="J27" s="149">
        <f t="shared" si="15"/>
        <v>-9.2447586165635295E-2</v>
      </c>
      <c r="K27" s="149">
        <f t="shared" si="15"/>
        <v>-9.5782488785943268E-2</v>
      </c>
      <c r="L27" s="149">
        <f t="shared" si="15"/>
        <v>-7.8164932486031319E-2</v>
      </c>
      <c r="M27" s="149">
        <f t="shared" si="15"/>
        <v>-7.6227959217206501E-2</v>
      </c>
      <c r="N27" s="149">
        <f t="shared" si="15"/>
        <v>-7.1445549750122017E-2</v>
      </c>
      <c r="O27" s="149">
        <f t="shared" si="15"/>
        <v>-7.08186823339432E-2</v>
      </c>
      <c r="P27" s="149">
        <f t="shared" si="15"/>
        <v>-6.991866668638913E-2</v>
      </c>
      <c r="Q27" s="149">
        <f t="shared" si="15"/>
        <v>-6.7690835454932832E-2</v>
      </c>
      <c r="R27" s="149">
        <f t="shared" si="15"/>
        <v>-6.6170990906267574E-2</v>
      </c>
      <c r="S27" s="148">
        <f t="shared" si="15"/>
        <v>-9.172229146370367E-2</v>
      </c>
      <c r="T27" s="149">
        <f t="shared" si="15"/>
        <v>-9.1907035460895639E-2</v>
      </c>
      <c r="U27" s="149">
        <f t="shared" si="15"/>
        <v>-0.10243565620089727</v>
      </c>
      <c r="V27" s="149">
        <f t="shared" si="15"/>
        <v>-0.12900956108107159</v>
      </c>
      <c r="W27" s="149">
        <f t="shared" si="15"/>
        <v>-0.13289962020636131</v>
      </c>
      <c r="X27" s="149">
        <f t="shared" si="15"/>
        <v>-0.10364749012182126</v>
      </c>
      <c r="Y27" s="149">
        <f t="shared" si="15"/>
        <v>-0.10707404684563146</v>
      </c>
      <c r="Z27" s="149">
        <f t="shared" si="15"/>
        <v>-7.9861896796549259E-2</v>
      </c>
      <c r="AA27" s="149">
        <f t="shared" si="15"/>
        <v>-7.6891788005128969E-2</v>
      </c>
      <c r="AB27" s="149">
        <f t="shared" si="15"/>
        <v>-7.9607668327176903E-2</v>
      </c>
      <c r="AC27" s="149">
        <f t="shared" si="15"/>
        <v>-7.936500353485193E-2</v>
      </c>
      <c r="AD27" s="150">
        <f t="shared" si="15"/>
        <v>-0.10342811406398282</v>
      </c>
      <c r="AE27" s="15"/>
      <c r="AF27" s="96">
        <f t="shared" ref="AF27" si="16">AF26/AF17</f>
        <v>-7.9389548230378928E-2</v>
      </c>
      <c r="AG27" s="97">
        <f t="shared" ref="AG27" si="17">AG26/AG17</f>
        <v>-9.7342010076552341E-2</v>
      </c>
    </row>
    <row r="28" spans="2:33" ht="6" customHeight="1" x14ac:dyDescent="0.2">
      <c r="B28" s="9">
        <f>G5</f>
        <v>1</v>
      </c>
      <c r="C28" s="9" t="str">
        <f t="shared" si="2"/>
        <v xml:space="preserve">1 - </v>
      </c>
      <c r="D28" s="9" t="s">
        <v>56</v>
      </c>
      <c r="F28" s="16"/>
      <c r="G28" s="80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80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81"/>
      <c r="AE28" s="15"/>
      <c r="AF28" s="11"/>
      <c r="AG28" s="15"/>
    </row>
    <row r="29" spans="2:33" x14ac:dyDescent="0.2">
      <c r="B29" s="9">
        <f>G5</f>
        <v>1</v>
      </c>
      <c r="C29" s="9" t="str">
        <f t="shared" si="2"/>
        <v>1 - Office Gross Profit</v>
      </c>
      <c r="D29" s="9" t="s">
        <v>56</v>
      </c>
      <c r="F29" s="8" t="s">
        <v>11</v>
      </c>
      <c r="G29" s="134">
        <f>G17+G20+G23+G26</f>
        <v>139.8047821020516</v>
      </c>
      <c r="H29" s="135">
        <f t="shared" ref="H29:AD29" si="18">H17+H20+H23+H26</f>
        <v>141.27746034117916</v>
      </c>
      <c r="I29" s="135">
        <f t="shared" si="18"/>
        <v>168.05739947627097</v>
      </c>
      <c r="J29" s="135">
        <f t="shared" si="18"/>
        <v>157.15080741241567</v>
      </c>
      <c r="K29" s="135">
        <f t="shared" si="18"/>
        <v>161.41412183569719</v>
      </c>
      <c r="L29" s="135">
        <f t="shared" si="18"/>
        <v>234.16488311032441</v>
      </c>
      <c r="M29" s="135">
        <f t="shared" si="18"/>
        <v>229.26233754819384</v>
      </c>
      <c r="N29" s="135">
        <f t="shared" si="18"/>
        <v>250.68073556757767</v>
      </c>
      <c r="O29" s="135">
        <f t="shared" si="18"/>
        <v>241.18381775653066</v>
      </c>
      <c r="P29" s="135">
        <f t="shared" si="18"/>
        <v>248.43892219857366</v>
      </c>
      <c r="Q29" s="135">
        <f t="shared" si="18"/>
        <v>250.10726450562862</v>
      </c>
      <c r="R29" s="135">
        <f t="shared" si="18"/>
        <v>209.3565046120022</v>
      </c>
      <c r="S29" s="134">
        <f t="shared" si="18"/>
        <v>180.02105653362432</v>
      </c>
      <c r="T29" s="135">
        <f t="shared" si="18"/>
        <v>169.20516098043277</v>
      </c>
      <c r="U29" s="135">
        <f t="shared" si="18"/>
        <v>160.79462266059883</v>
      </c>
      <c r="V29" s="135">
        <f t="shared" si="18"/>
        <v>73.760609419743716</v>
      </c>
      <c r="W29" s="135">
        <f t="shared" si="18"/>
        <v>66.780385665054865</v>
      </c>
      <c r="X29" s="135">
        <f t="shared" si="18"/>
        <v>138.05192978594363</v>
      </c>
      <c r="Y29" s="135">
        <f t="shared" si="18"/>
        <v>138.20145757611382</v>
      </c>
      <c r="Z29" s="135">
        <f t="shared" si="18"/>
        <v>224.03188847051797</v>
      </c>
      <c r="AA29" s="135">
        <f t="shared" si="18"/>
        <v>196.12805981024943</v>
      </c>
      <c r="AB29" s="135">
        <f t="shared" si="18"/>
        <v>202.06652020482406</v>
      </c>
      <c r="AC29" s="135">
        <f t="shared" si="18"/>
        <v>175.62691631949897</v>
      </c>
      <c r="AD29" s="136">
        <f t="shared" si="18"/>
        <v>63.899682834432525</v>
      </c>
      <c r="AE29" s="15"/>
      <c r="AF29" s="98">
        <f>SUM(G29:R29)</f>
        <v>2430.8990364664455</v>
      </c>
      <c r="AG29" s="95">
        <f>SUM(S29:AD29)</f>
        <v>1788.5682902610349</v>
      </c>
    </row>
    <row r="30" spans="2:33" x14ac:dyDescent="0.2">
      <c r="B30" s="9">
        <f>G5</f>
        <v>1</v>
      </c>
      <c r="C30" s="9" t="str">
        <f t="shared" si="2"/>
        <v>1 - % of Revenue - Office Gross Profit</v>
      </c>
      <c r="D30" s="9" t="s">
        <v>56</v>
      </c>
      <c r="F30" s="16" t="str">
        <f>"% of Revenue - "&amp;F29</f>
        <v>% of Revenue - Office Gross Profit</v>
      </c>
      <c r="G30" s="148">
        <f>G29/G17</f>
        <v>0.37670685538194382</v>
      </c>
      <c r="H30" s="149">
        <f t="shared" ref="H30:AD30" si="19">H29/H17</f>
        <v>0.37551261095106603</v>
      </c>
      <c r="I30" s="149">
        <f t="shared" si="19"/>
        <v>0.35662297625649264</v>
      </c>
      <c r="J30" s="149">
        <f t="shared" si="19"/>
        <v>0.35982592701133143</v>
      </c>
      <c r="K30" s="149">
        <f t="shared" si="19"/>
        <v>0.3191365940798806</v>
      </c>
      <c r="L30" s="149">
        <f t="shared" si="19"/>
        <v>0.4244012787349476</v>
      </c>
      <c r="M30" s="149">
        <f t="shared" si="19"/>
        <v>0.46135254852649299</v>
      </c>
      <c r="N30" s="149">
        <f t="shared" si="19"/>
        <v>0.50765863401278277</v>
      </c>
      <c r="O30" s="149">
        <f t="shared" si="19"/>
        <v>0.52633881873484789</v>
      </c>
      <c r="P30" s="149">
        <f t="shared" si="19"/>
        <v>0.52039468094643859</v>
      </c>
      <c r="Q30" s="149">
        <f t="shared" si="19"/>
        <v>0.56358008992767594</v>
      </c>
      <c r="R30" s="149">
        <f t="shared" si="19"/>
        <v>0.57943079299099387</v>
      </c>
      <c r="S30" s="148">
        <f t="shared" si="19"/>
        <v>0.42211512575091303</v>
      </c>
      <c r="T30" s="149">
        <f t="shared" si="19"/>
        <v>0.40799363383197984</v>
      </c>
      <c r="U30" s="149">
        <f t="shared" si="19"/>
        <v>0.35997425635131675</v>
      </c>
      <c r="V30" s="149">
        <f t="shared" si="19"/>
        <v>0.19275514341723976</v>
      </c>
      <c r="W30" s="149">
        <f t="shared" si="19"/>
        <v>0.16499387653496542</v>
      </c>
      <c r="X30" s="149">
        <f t="shared" si="19"/>
        <v>0.34271416566999002</v>
      </c>
      <c r="Y30" s="149">
        <f t="shared" si="19"/>
        <v>0.32097900736920043</v>
      </c>
      <c r="Z30" s="149">
        <f t="shared" si="19"/>
        <v>0.48011337720090114</v>
      </c>
      <c r="AA30" s="149">
        <f t="shared" si="19"/>
        <v>0.46666770303809313</v>
      </c>
      <c r="AB30" s="149">
        <f t="shared" si="19"/>
        <v>0.42273395282806536</v>
      </c>
      <c r="AC30" s="149">
        <f t="shared" si="19"/>
        <v>0.44998855876313598</v>
      </c>
      <c r="AD30" s="150">
        <f t="shared" si="19"/>
        <v>0.28181217727783409</v>
      </c>
      <c r="AE30" s="15"/>
      <c r="AF30" s="111">
        <f t="shared" ref="AF30" si="20">AF29/AF17</f>
        <v>0.44650034800643368</v>
      </c>
      <c r="AG30" s="97">
        <f t="shared" ref="AG30" si="21">AG29/AG17</f>
        <v>0.36571499622508841</v>
      </c>
    </row>
    <row r="31" spans="2:33" ht="6" customHeight="1" x14ac:dyDescent="0.2">
      <c r="B31" s="9">
        <f>G5</f>
        <v>1</v>
      </c>
      <c r="C31" s="9" t="str">
        <f t="shared" si="2"/>
        <v xml:space="preserve">1 - </v>
      </c>
      <c r="D31" s="9" t="s">
        <v>56</v>
      </c>
      <c r="F31" s="16"/>
      <c r="G31" s="80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80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81"/>
      <c r="AE31" s="15"/>
      <c r="AF31" s="11"/>
      <c r="AG31" s="15"/>
    </row>
    <row r="32" spans="2:33" x14ac:dyDescent="0.2">
      <c r="B32" s="9">
        <f>G5</f>
        <v>1</v>
      </c>
      <c r="C32" s="9" t="str">
        <f t="shared" si="2"/>
        <v>1 - General and Administrative Expense</v>
      </c>
      <c r="D32" s="9" t="s">
        <v>56</v>
      </c>
      <c r="F32" t="s">
        <v>10</v>
      </c>
      <c r="G32" s="121">
        <v>-25.787446553545013</v>
      </c>
      <c r="H32" s="122">
        <v>-25.091986617438319</v>
      </c>
      <c r="I32" s="122">
        <v>-31.669940383397634</v>
      </c>
      <c r="J32" s="122">
        <v>-28.642655342210002</v>
      </c>
      <c r="K32" s="122">
        <v>-35.021664482301162</v>
      </c>
      <c r="L32" s="122">
        <v>-35.560457255912581</v>
      </c>
      <c r="M32" s="122">
        <v>-30.914512745659803</v>
      </c>
      <c r="N32" s="122">
        <v>-29.17958530630159</v>
      </c>
      <c r="O32" s="122">
        <v>-26.379458966372361</v>
      </c>
      <c r="P32" s="122">
        <v>-27.271622644667918</v>
      </c>
      <c r="Q32" s="122">
        <v>-22.485668879322393</v>
      </c>
      <c r="R32" s="122">
        <v>-16.523738164172073</v>
      </c>
      <c r="S32" s="121">
        <v>-26.153611943183805</v>
      </c>
      <c r="T32" s="122">
        <v>-26.879656671745504</v>
      </c>
      <c r="U32" s="122">
        <v>-31.963287776421808</v>
      </c>
      <c r="V32" s="122">
        <v>-33.530066004546001</v>
      </c>
      <c r="W32" s="122">
        <v>-39.912042280936852</v>
      </c>
      <c r="X32" s="122">
        <v>-31.063624222224895</v>
      </c>
      <c r="Y32" s="122">
        <v>-36.377021911435506</v>
      </c>
      <c r="Z32" s="122">
        <v>-29.210481069057742</v>
      </c>
      <c r="AA32" s="122">
        <v>-27.219607396760352</v>
      </c>
      <c r="AB32" s="122">
        <v>-31.294737432652656</v>
      </c>
      <c r="AC32" s="122">
        <v>-24.860211257932018</v>
      </c>
      <c r="AD32" s="123">
        <v>-17.606031356436798</v>
      </c>
      <c r="AE32" s="15"/>
      <c r="AF32" s="92">
        <f>SUM(G32:R32)</f>
        <v>-334.52873734130083</v>
      </c>
      <c r="AG32" s="93">
        <f>SUM(S32:AD32)</f>
        <v>-356.0703793233339</v>
      </c>
    </row>
    <row r="33" spans="2:33" x14ac:dyDescent="0.2">
      <c r="B33" s="9">
        <f>G5</f>
        <v>1</v>
      </c>
      <c r="C33" s="9" t="str">
        <f t="shared" si="2"/>
        <v>1 - % of Revenue - General and Administrative Expense</v>
      </c>
      <c r="D33" s="9" t="s">
        <v>56</v>
      </c>
      <c r="F33" s="16" t="str">
        <f>"% of Revenue - "&amp;F32</f>
        <v>% of Revenue - General and Administrative Expense</v>
      </c>
      <c r="G33" s="148">
        <f>G32/G17</f>
        <v>-6.9484804120826499E-2</v>
      </c>
      <c r="H33" s="149">
        <f t="shared" ref="H33:AD33" si="22">H32/H17</f>
        <v>-6.669398916082489E-2</v>
      </c>
      <c r="I33" s="149">
        <f t="shared" si="22"/>
        <v>-6.7204588626207151E-2</v>
      </c>
      <c r="J33" s="149">
        <f t="shared" si="22"/>
        <v>-6.5582672976852455E-2</v>
      </c>
      <c r="K33" s="149">
        <f t="shared" si="22"/>
        <v>-6.9242359929737957E-2</v>
      </c>
      <c r="L33" s="149">
        <f t="shared" si="22"/>
        <v>-6.4449900990057277E-2</v>
      </c>
      <c r="M33" s="149">
        <f t="shared" si="22"/>
        <v>-6.2210345555195015E-2</v>
      </c>
      <c r="N33" s="149">
        <f t="shared" si="22"/>
        <v>-5.9092169105524346E-2</v>
      </c>
      <c r="O33" s="149">
        <f t="shared" si="22"/>
        <v>-5.7568262250666115E-2</v>
      </c>
      <c r="P33" s="149">
        <f t="shared" si="22"/>
        <v>-5.7124734077376831E-2</v>
      </c>
      <c r="Q33" s="149">
        <f t="shared" si="22"/>
        <v>-5.0668161575159951E-2</v>
      </c>
      <c r="R33" s="149">
        <f t="shared" si="22"/>
        <v>-4.5732339319410314E-2</v>
      </c>
      <c r="S33" s="148">
        <f t="shared" si="22"/>
        <v>-6.1325243873210984E-2</v>
      </c>
      <c r="T33" s="149">
        <f t="shared" si="22"/>
        <v>-6.4813205094433765E-2</v>
      </c>
      <c r="U33" s="149">
        <f t="shared" si="22"/>
        <v>-7.1556875208116003E-2</v>
      </c>
      <c r="V33" s="149">
        <f t="shared" si="22"/>
        <v>-8.7622549926570759E-2</v>
      </c>
      <c r="W33" s="149">
        <f t="shared" si="22"/>
        <v>-9.8610430454659226E-2</v>
      </c>
      <c r="X33" s="149">
        <f t="shared" si="22"/>
        <v>-7.7115503379872788E-2</v>
      </c>
      <c r="Y33" s="149">
        <f t="shared" si="22"/>
        <v>-8.4487244845081147E-2</v>
      </c>
      <c r="Z33" s="149">
        <f t="shared" si="22"/>
        <v>-6.2599761183434702E-2</v>
      </c>
      <c r="AA33" s="149">
        <f t="shared" si="22"/>
        <v>-6.4766416767362653E-2</v>
      </c>
      <c r="AB33" s="149">
        <f t="shared" si="22"/>
        <v>-6.5470262189955039E-2</v>
      </c>
      <c r="AC33" s="149">
        <f t="shared" si="22"/>
        <v>-6.3696447383685587E-2</v>
      </c>
      <c r="AD33" s="150">
        <f t="shared" si="22"/>
        <v>-7.764661434447219E-2</v>
      </c>
      <c r="AE33" s="15"/>
      <c r="AF33" s="96">
        <f t="shared" ref="AF33" si="23">AF32/AF17</f>
        <v>-6.1445249432557185E-2</v>
      </c>
      <c r="AG33" s="97">
        <f t="shared" ref="AG33" si="24">AG32/AG17</f>
        <v>-7.2806992128376422E-2</v>
      </c>
    </row>
    <row r="34" spans="2:33" ht="3" customHeight="1" x14ac:dyDescent="0.2">
      <c r="B34" s="9">
        <f>G5</f>
        <v>1</v>
      </c>
      <c r="C34" s="9" t="str">
        <f t="shared" si="2"/>
        <v xml:space="preserve">1 - </v>
      </c>
      <c r="D34" s="9" t="s">
        <v>56</v>
      </c>
      <c r="F34" s="16"/>
      <c r="G34" s="84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4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6"/>
      <c r="AE34" s="15"/>
      <c r="AF34" s="36"/>
      <c r="AG34" s="38"/>
    </row>
    <row r="35" spans="2:33" x14ac:dyDescent="0.2">
      <c r="B35" s="9">
        <f>G5</f>
        <v>1</v>
      </c>
      <c r="C35" s="9" t="str">
        <f t="shared" si="2"/>
        <v>1 - Marketing</v>
      </c>
      <c r="D35" s="9" t="s">
        <v>56</v>
      </c>
      <c r="F35" t="s">
        <v>7</v>
      </c>
      <c r="G35" s="121">
        <v>-20.829662327399603</v>
      </c>
      <c r="H35" s="122">
        <v>-22.11577673422854</v>
      </c>
      <c r="I35" s="122">
        <v>-28.61500466763863</v>
      </c>
      <c r="J35" s="122">
        <v>-26.034966709927232</v>
      </c>
      <c r="K35" s="122">
        <v>-32.410537491145149</v>
      </c>
      <c r="L35" s="122">
        <v>-28.876896547329451</v>
      </c>
      <c r="M35" s="122">
        <v>-25.959034761591163</v>
      </c>
      <c r="N35" s="122">
        <v>-21.518133174830542</v>
      </c>
      <c r="O35" s="122">
        <v>-20.525308879734297</v>
      </c>
      <c r="P35" s="122">
        <v>-22.062703564323101</v>
      </c>
      <c r="Q35" s="122">
        <v>-18.483129737272296</v>
      </c>
      <c r="R35" s="122">
        <v>-15.021374658313505</v>
      </c>
      <c r="S35" s="121">
        <v>-22.508831122458947</v>
      </c>
      <c r="T35" s="122">
        <v>-23.552363510093414</v>
      </c>
      <c r="U35" s="122">
        <v>-28.326141023716563</v>
      </c>
      <c r="V35" s="122">
        <v>-30.584046335344393</v>
      </c>
      <c r="W35" s="122">
        <v>-33.584182253814099</v>
      </c>
      <c r="X35" s="122">
        <v>-26.859613520978101</v>
      </c>
      <c r="Y35" s="122">
        <v>-31.103692010609745</v>
      </c>
      <c r="Z35" s="122">
        <v>-26.438497470499502</v>
      </c>
      <c r="AA35" s="122">
        <v>-22.978164470709384</v>
      </c>
      <c r="AB35" s="122">
        <v>-26.992335827545819</v>
      </c>
      <c r="AC35" s="122">
        <v>-22.277109374471486</v>
      </c>
      <c r="AD35" s="123">
        <v>-16.235661184467684</v>
      </c>
      <c r="AE35" s="15"/>
      <c r="AF35" s="92">
        <f>SUM(G35:R35)</f>
        <v>-282.45252925373359</v>
      </c>
      <c r="AG35" s="93">
        <f>SUM(S35:AD35)</f>
        <v>-311.44063810470914</v>
      </c>
    </row>
    <row r="36" spans="2:33" x14ac:dyDescent="0.2">
      <c r="B36" s="9">
        <f>G5</f>
        <v>1</v>
      </c>
      <c r="C36" s="9" t="str">
        <f t="shared" si="2"/>
        <v>1 - % of Revenue - Marketing</v>
      </c>
      <c r="D36" s="9" t="s">
        <v>56</v>
      </c>
      <c r="F36" s="16" t="str">
        <f>"% of Revenue - "&amp;F35</f>
        <v>% of Revenue - Marketing</v>
      </c>
      <c r="G36" s="148">
        <f>G35/G17</f>
        <v>-5.6125952746700049E-2</v>
      </c>
      <c r="H36" s="149">
        <f t="shared" ref="H36:AD36" si="25">H35/H17</f>
        <v>-5.8783283933795012E-2</v>
      </c>
      <c r="I36" s="149">
        <f t="shared" si="25"/>
        <v>-6.0721920974432249E-2</v>
      </c>
      <c r="J36" s="149">
        <f t="shared" si="25"/>
        <v>-5.9611886094379674E-2</v>
      </c>
      <c r="K36" s="149">
        <f t="shared" si="25"/>
        <v>-6.4079824178895808E-2</v>
      </c>
      <c r="L36" s="149">
        <f t="shared" si="25"/>
        <v>-5.2336591455557441E-2</v>
      </c>
      <c r="M36" s="149">
        <f t="shared" si="25"/>
        <v>-5.2238265441354244E-2</v>
      </c>
      <c r="N36" s="149">
        <f t="shared" si="25"/>
        <v>-4.3576807245703959E-2</v>
      </c>
      <c r="O36" s="149">
        <f t="shared" si="25"/>
        <v>-4.4792668639290198E-2</v>
      </c>
      <c r="P36" s="149">
        <f t="shared" si="25"/>
        <v>-4.6213827851800636E-2</v>
      </c>
      <c r="Q36" s="149">
        <f t="shared" si="25"/>
        <v>-4.1649025829245331E-2</v>
      </c>
      <c r="R36" s="149">
        <f t="shared" si="25"/>
        <v>-4.1574285194587793E-2</v>
      </c>
      <c r="S36" s="148">
        <f t="shared" si="25"/>
        <v>-5.2778926325144457E-2</v>
      </c>
      <c r="T36" s="149">
        <f t="shared" si="25"/>
        <v>-5.6790314894271846E-2</v>
      </c>
      <c r="U36" s="149">
        <f t="shared" si="25"/>
        <v>-6.3414319344732004E-2</v>
      </c>
      <c r="V36" s="149">
        <f t="shared" si="25"/>
        <v>-7.9923854805771438E-2</v>
      </c>
      <c r="W36" s="149">
        <f t="shared" si="25"/>
        <v>-8.2976226703841804E-2</v>
      </c>
      <c r="X36" s="149">
        <f t="shared" si="25"/>
        <v>-6.6679039201650178E-2</v>
      </c>
      <c r="Y36" s="149">
        <f t="shared" si="25"/>
        <v>-7.2239702548610285E-2</v>
      </c>
      <c r="Z36" s="149">
        <f t="shared" si="25"/>
        <v>-5.6659238983067482E-2</v>
      </c>
      <c r="AA36" s="149">
        <f t="shared" si="25"/>
        <v>-5.4674314547097203E-2</v>
      </c>
      <c r="AB36" s="149">
        <f t="shared" si="25"/>
        <v>-5.6469408236825974E-2</v>
      </c>
      <c r="AC36" s="149">
        <f t="shared" si="25"/>
        <v>-5.7078063834992053E-2</v>
      </c>
      <c r="AD36" s="150">
        <f t="shared" si="25"/>
        <v>-7.160296929478005E-2</v>
      </c>
      <c r="AE36" s="15"/>
      <c r="AF36" s="96">
        <f t="shared" ref="AF36" si="26">AF35/AF17</f>
        <v>-5.1880045495600019E-2</v>
      </c>
      <c r="AG36" s="97">
        <f t="shared" ref="AG36" si="27">AG35/AG17</f>
        <v>-6.3681388297552655E-2</v>
      </c>
    </row>
    <row r="37" spans="2:33" ht="3" customHeight="1" x14ac:dyDescent="0.2">
      <c r="B37" s="9">
        <f>G5</f>
        <v>1</v>
      </c>
      <c r="C37" s="9" t="str">
        <f t="shared" si="2"/>
        <v xml:space="preserve">1 - </v>
      </c>
      <c r="D37" s="9" t="s">
        <v>56</v>
      </c>
      <c r="F37" s="16"/>
      <c r="G37" s="84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4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6"/>
      <c r="AE37" s="15"/>
      <c r="AF37" s="36"/>
      <c r="AG37" s="38"/>
    </row>
    <row r="38" spans="2:33" x14ac:dyDescent="0.2">
      <c r="B38" s="9">
        <f>G5</f>
        <v>1</v>
      </c>
      <c r="C38" s="9" t="str">
        <f t="shared" si="2"/>
        <v>1 - Office Rent</v>
      </c>
      <c r="D38" s="9" t="s">
        <v>56</v>
      </c>
      <c r="F38" t="s">
        <v>162</v>
      </c>
      <c r="G38" s="121">
        <v>-31.059434673830431</v>
      </c>
      <c r="H38" s="122">
        <v>-31.059434673830431</v>
      </c>
      <c r="I38" s="122">
        <v>-31.059434673830431</v>
      </c>
      <c r="J38" s="122">
        <v>-31.059434673830431</v>
      </c>
      <c r="K38" s="122">
        <v>-31.059434673830431</v>
      </c>
      <c r="L38" s="122">
        <v>-31.059434673830431</v>
      </c>
      <c r="M38" s="122">
        <v>-31.059434673830431</v>
      </c>
      <c r="N38" s="122">
        <v>-31.059434673830431</v>
      </c>
      <c r="O38" s="122">
        <v>-31.059434673830431</v>
      </c>
      <c r="P38" s="122">
        <v>-31.991217714045341</v>
      </c>
      <c r="Q38" s="122">
        <v>-31.991217714045341</v>
      </c>
      <c r="R38" s="122">
        <v>-31.991217714045341</v>
      </c>
      <c r="S38" s="121">
        <v>-31.991039689572641</v>
      </c>
      <c r="T38" s="122">
        <v>-31.991039689572641</v>
      </c>
      <c r="U38" s="122">
        <v>-31.991039689572641</v>
      </c>
      <c r="V38" s="122">
        <v>-31.991039689572641</v>
      </c>
      <c r="W38" s="122">
        <v>-31.991039689572641</v>
      </c>
      <c r="X38" s="122">
        <v>-31.991039689572641</v>
      </c>
      <c r="Y38" s="122">
        <v>-31.991039689572641</v>
      </c>
      <c r="Z38" s="122">
        <v>-31.991039689572641</v>
      </c>
      <c r="AA38" s="122">
        <v>-31.991039689572641</v>
      </c>
      <c r="AB38" s="122">
        <v>-32.950770880259824</v>
      </c>
      <c r="AC38" s="122">
        <v>-32.950770880259824</v>
      </c>
      <c r="AD38" s="123">
        <v>-32.950770880259824</v>
      </c>
      <c r="AE38" s="15"/>
      <c r="AF38" s="92">
        <f>SUM(G38:R38)</f>
        <v>-375.50856520660983</v>
      </c>
      <c r="AG38" s="93">
        <f>SUM(S38:AD38)</f>
        <v>-386.77166984693321</v>
      </c>
    </row>
    <row r="39" spans="2:33" x14ac:dyDescent="0.2">
      <c r="B39" s="9">
        <f>G5</f>
        <v>1</v>
      </c>
      <c r="C39" s="9" t="str">
        <f t="shared" si="2"/>
        <v>1 - % YoY Growth</v>
      </c>
      <c r="D39" s="9" t="s">
        <v>56</v>
      </c>
      <c r="F39" s="16" t="s">
        <v>8</v>
      </c>
      <c r="G39" s="82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148">
        <f>S38/G38-1</f>
        <v>2.9994268264230461E-2</v>
      </c>
      <c r="T39" s="149">
        <f t="shared" ref="T39:AD39" si="28">T38/H38-1</f>
        <v>2.9994268264230461E-2</v>
      </c>
      <c r="U39" s="149">
        <f t="shared" si="28"/>
        <v>2.9994268264230461E-2</v>
      </c>
      <c r="V39" s="149">
        <f t="shared" si="28"/>
        <v>2.9994268264230461E-2</v>
      </c>
      <c r="W39" s="149">
        <f t="shared" si="28"/>
        <v>2.9994268264230461E-2</v>
      </c>
      <c r="X39" s="149">
        <f t="shared" si="28"/>
        <v>2.9994268264230461E-2</v>
      </c>
      <c r="Y39" s="149">
        <f t="shared" si="28"/>
        <v>2.9994268264230461E-2</v>
      </c>
      <c r="Z39" s="149">
        <f t="shared" si="28"/>
        <v>2.9994268264230461E-2</v>
      </c>
      <c r="AA39" s="149">
        <f t="shared" si="28"/>
        <v>2.9994268264230461E-2</v>
      </c>
      <c r="AB39" s="149">
        <f t="shared" si="28"/>
        <v>2.9994268264230683E-2</v>
      </c>
      <c r="AC39" s="149">
        <f t="shared" si="28"/>
        <v>2.9994268264230683E-2</v>
      </c>
      <c r="AD39" s="150">
        <f t="shared" si="28"/>
        <v>2.9994268264230683E-2</v>
      </c>
      <c r="AE39" s="15"/>
      <c r="AF39" s="11"/>
      <c r="AG39" s="97">
        <f>AG38/AF38-1</f>
        <v>2.9994268264230683E-2</v>
      </c>
    </row>
    <row r="40" spans="2:33" ht="6" customHeight="1" x14ac:dyDescent="0.2">
      <c r="B40" s="9">
        <f>G5</f>
        <v>1</v>
      </c>
      <c r="C40" s="9" t="str">
        <f t="shared" si="2"/>
        <v xml:space="preserve">1 - </v>
      </c>
      <c r="D40" s="9" t="s">
        <v>56</v>
      </c>
      <c r="F40" s="16"/>
      <c r="G40" s="80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80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81"/>
      <c r="AE40" s="15"/>
      <c r="AF40" s="11"/>
      <c r="AG40" s="15"/>
    </row>
    <row r="41" spans="2:33" x14ac:dyDescent="0.2">
      <c r="B41" s="9">
        <f>G5</f>
        <v>1</v>
      </c>
      <c r="C41" s="9" t="str">
        <f t="shared" si="2"/>
        <v>1 - Office EBITDA</v>
      </c>
      <c r="D41" s="9" t="s">
        <v>56</v>
      </c>
      <c r="F41" s="8" t="s">
        <v>12</v>
      </c>
      <c r="G41" s="134">
        <f>G29+G32+G35+G38</f>
        <v>62.12823854727656</v>
      </c>
      <c r="H41" s="135">
        <f t="shared" ref="H41:AD41" si="29">H29+H32+H35+H38</f>
        <v>63.010262315681864</v>
      </c>
      <c r="I41" s="135">
        <f t="shared" si="29"/>
        <v>76.713019751404289</v>
      </c>
      <c r="J41" s="135">
        <f t="shared" si="29"/>
        <v>71.413750686448026</v>
      </c>
      <c r="K41" s="135">
        <f t="shared" si="29"/>
        <v>62.922485188420445</v>
      </c>
      <c r="L41" s="135">
        <f t="shared" si="29"/>
        <v>138.66809463325194</v>
      </c>
      <c r="M41" s="135">
        <f t="shared" si="29"/>
        <v>141.32935536711244</v>
      </c>
      <c r="N41" s="135">
        <f t="shared" si="29"/>
        <v>168.9235824126151</v>
      </c>
      <c r="O41" s="135">
        <f t="shared" si="29"/>
        <v>163.21961523659357</v>
      </c>
      <c r="P41" s="135">
        <f t="shared" si="29"/>
        <v>167.11337827553729</v>
      </c>
      <c r="Q41" s="135">
        <f t="shared" si="29"/>
        <v>177.14724817498859</v>
      </c>
      <c r="R41" s="135">
        <f t="shared" si="29"/>
        <v>145.82017407547127</v>
      </c>
      <c r="S41" s="134">
        <f t="shared" si="29"/>
        <v>99.367573778408925</v>
      </c>
      <c r="T41" s="135">
        <f t="shared" si="29"/>
        <v>86.782101109021212</v>
      </c>
      <c r="U41" s="135">
        <f t="shared" si="29"/>
        <v>68.514154170887807</v>
      </c>
      <c r="V41" s="135">
        <f t="shared" si="29"/>
        <v>-22.344542609719319</v>
      </c>
      <c r="W41" s="135">
        <f t="shared" si="29"/>
        <v>-38.706878559268731</v>
      </c>
      <c r="X41" s="135">
        <f t="shared" si="29"/>
        <v>48.137652353167994</v>
      </c>
      <c r="Y41" s="135">
        <f t="shared" si="29"/>
        <v>38.729703964495926</v>
      </c>
      <c r="Z41" s="135">
        <f t="shared" si="29"/>
        <v>136.39187024138809</v>
      </c>
      <c r="AA41" s="135">
        <f t="shared" si="29"/>
        <v>113.93924825320705</v>
      </c>
      <c r="AB41" s="135">
        <f t="shared" si="29"/>
        <v>110.82867606436577</v>
      </c>
      <c r="AC41" s="135">
        <f t="shared" si="29"/>
        <v>95.538824806835663</v>
      </c>
      <c r="AD41" s="136">
        <f t="shared" si="29"/>
        <v>-2.8927805867317851</v>
      </c>
      <c r="AE41" s="15"/>
      <c r="AF41" s="94">
        <f>SUM(G41:R41)</f>
        <v>1438.4092046648013</v>
      </c>
      <c r="AG41" s="95">
        <f>SUM(S41:AD41)</f>
        <v>734.28560298605862</v>
      </c>
    </row>
    <row r="42" spans="2:33" x14ac:dyDescent="0.2">
      <c r="B42" s="9">
        <f>G5</f>
        <v>1</v>
      </c>
      <c r="C42" s="9" t="str">
        <f t="shared" si="2"/>
        <v>1 - % of Revenue - Office EBITDA</v>
      </c>
      <c r="D42" s="9" t="s">
        <v>56</v>
      </c>
      <c r="F42" s="16" t="str">
        <f>"% of Revenue - "&amp;F41</f>
        <v>% of Revenue - Office EBITDA</v>
      </c>
      <c r="G42" s="148">
        <f>G41/G17</f>
        <v>0.1674058141765121</v>
      </c>
      <c r="H42" s="149">
        <f t="shared" ref="H42:AD42" si="30">H41/H17</f>
        <v>0.16747999335302727</v>
      </c>
      <c r="I42" s="149">
        <f t="shared" si="30"/>
        <v>0.16278738994311101</v>
      </c>
      <c r="J42" s="149">
        <f t="shared" si="30"/>
        <v>0.16351503034070392</v>
      </c>
      <c r="K42" s="149">
        <f t="shared" si="30"/>
        <v>0.12440589079631133</v>
      </c>
      <c r="L42" s="149">
        <f t="shared" si="30"/>
        <v>0.25132255486132749</v>
      </c>
      <c r="M42" s="149">
        <f t="shared" si="30"/>
        <v>0.28440196055541522</v>
      </c>
      <c r="N42" s="149">
        <f t="shared" si="30"/>
        <v>0.34209056753392297</v>
      </c>
      <c r="O42" s="149">
        <f t="shared" si="30"/>
        <v>0.3561964491527701</v>
      </c>
      <c r="P42" s="149">
        <f t="shared" si="30"/>
        <v>0.35004544537538257</v>
      </c>
      <c r="Q42" s="149">
        <f t="shared" si="30"/>
        <v>0.39917537882892473</v>
      </c>
      <c r="R42" s="149">
        <f t="shared" si="30"/>
        <v>0.40358287054526609</v>
      </c>
      <c r="S42" s="148">
        <f t="shared" si="30"/>
        <v>0.23299805427595527</v>
      </c>
      <c r="T42" s="149">
        <f t="shared" si="30"/>
        <v>0.20925215624562621</v>
      </c>
      <c r="U42" s="149">
        <f t="shared" si="30"/>
        <v>0.15338405780685546</v>
      </c>
      <c r="V42" s="149">
        <f t="shared" si="30"/>
        <v>-5.8391945907325951E-2</v>
      </c>
      <c r="W42" s="149">
        <f t="shared" si="30"/>
        <v>-9.5632840069143049E-2</v>
      </c>
      <c r="X42" s="149">
        <f t="shared" si="30"/>
        <v>0.11950180913159363</v>
      </c>
      <c r="Y42" s="149">
        <f t="shared" si="30"/>
        <v>8.9951453134134565E-2</v>
      </c>
      <c r="Z42" s="149">
        <f t="shared" si="30"/>
        <v>0.29229571687941824</v>
      </c>
      <c r="AA42" s="149">
        <f t="shared" si="30"/>
        <v>0.27110739442206278</v>
      </c>
      <c r="AB42" s="149">
        <f t="shared" si="30"/>
        <v>0.23185950978865835</v>
      </c>
      <c r="AC42" s="149">
        <f t="shared" si="30"/>
        <v>0.24478809388500666</v>
      </c>
      <c r="AD42" s="150">
        <f t="shared" si="30"/>
        <v>-1.2757822251578541E-2</v>
      </c>
      <c r="AE42" s="15"/>
      <c r="AF42" s="96">
        <f t="shared" ref="AF42" si="31">AF41/AF17</f>
        <v>0.26420275002127036</v>
      </c>
      <c r="AG42" s="97">
        <f t="shared" ref="AG42" si="32">AG41/AG17</f>
        <v>0.15014202028874776</v>
      </c>
    </row>
    <row r="43" spans="2:33" ht="6" customHeight="1" x14ac:dyDescent="0.2">
      <c r="B43" s="9">
        <f>G5</f>
        <v>1</v>
      </c>
      <c r="C43" s="9" t="str">
        <f t="shared" si="2"/>
        <v xml:space="preserve">1 - </v>
      </c>
      <c r="D43" s="9" t="s">
        <v>56</v>
      </c>
      <c r="G43" s="80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80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81"/>
      <c r="AE43" s="15"/>
      <c r="AF43" s="11"/>
      <c r="AG43" s="15"/>
    </row>
    <row r="44" spans="2:33" x14ac:dyDescent="0.2">
      <c r="B44" s="9">
        <f>G5</f>
        <v>1</v>
      </c>
      <c r="C44" s="9" t="str">
        <f t="shared" si="2"/>
        <v>1 - Memo:</v>
      </c>
      <c r="D44" s="9" t="s">
        <v>56</v>
      </c>
      <c r="F44" s="6" t="s">
        <v>13</v>
      </c>
      <c r="G44" s="80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80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81"/>
      <c r="AE44" s="15"/>
      <c r="AF44" s="11"/>
      <c r="AG44" s="15"/>
    </row>
    <row r="45" spans="2:33" s="24" customFormat="1" x14ac:dyDescent="0.2">
      <c r="B45" s="9">
        <f>G5</f>
        <v>1</v>
      </c>
      <c r="C45" s="9" t="str">
        <f t="shared" si="2"/>
        <v>1 - Collections</v>
      </c>
      <c r="D45" s="9" t="s">
        <v>56</v>
      </c>
      <c r="E45" s="49"/>
      <c r="F45" s="24" t="s">
        <v>15</v>
      </c>
      <c r="G45" s="169">
        <f>G46*G15</f>
        <v>372.94119022479128</v>
      </c>
      <c r="H45" s="170">
        <f t="shared" ref="H45:AD45" si="33">H46*H15</f>
        <v>372.9958877945183</v>
      </c>
      <c r="I45" s="170">
        <f t="shared" si="33"/>
        <v>465.0133924753261</v>
      </c>
      <c r="J45" s="170">
        <f t="shared" si="33"/>
        <v>432.96868305336642</v>
      </c>
      <c r="K45" s="170">
        <f t="shared" si="33"/>
        <v>503.73128483161656</v>
      </c>
      <c r="L45" s="170">
        <f t="shared" si="33"/>
        <v>542.12788729603312</v>
      </c>
      <c r="M45" s="170">
        <f t="shared" si="33"/>
        <v>502.03535269278831</v>
      </c>
      <c r="N45" s="170">
        <f t="shared" si="33"/>
        <v>492.17528245410267</v>
      </c>
      <c r="O45" s="170">
        <f t="shared" si="33"/>
        <v>465.517409397866</v>
      </c>
      <c r="P45" s="170">
        <f t="shared" si="33"/>
        <v>471.80441140443116</v>
      </c>
      <c r="Q45" s="170">
        <f t="shared" si="33"/>
        <v>444.82352548287366</v>
      </c>
      <c r="R45" s="170">
        <f t="shared" si="33"/>
        <v>360.71402845581929</v>
      </c>
      <c r="S45" s="169">
        <f t="shared" si="33"/>
        <v>422.94348744224442</v>
      </c>
      <c r="T45" s="170">
        <f t="shared" si="33"/>
        <v>407.12303219895921</v>
      </c>
      <c r="U45" s="170">
        <f t="shared" si="33"/>
        <v>455.89217044663826</v>
      </c>
      <c r="V45" s="170">
        <f t="shared" si="33"/>
        <v>380.45241542122091</v>
      </c>
      <c r="W45" s="170">
        <f t="shared" si="33"/>
        <v>403.47619616457581</v>
      </c>
      <c r="X45" s="170">
        <f t="shared" si="33"/>
        <v>407.86078659955439</v>
      </c>
      <c r="Y45" s="170">
        <f t="shared" si="33"/>
        <v>437.52423585449623</v>
      </c>
      <c r="Z45" s="170">
        <f t="shared" si="33"/>
        <v>476.14498420595186</v>
      </c>
      <c r="AA45" s="170">
        <f t="shared" si="33"/>
        <v>418.73667142301861</v>
      </c>
      <c r="AB45" s="170">
        <f t="shared" si="33"/>
        <v>479.83885764401998</v>
      </c>
      <c r="AC45" s="170">
        <f t="shared" si="33"/>
        <v>390.75276380778382</v>
      </c>
      <c r="AD45" s="171">
        <f t="shared" si="33"/>
        <v>229.09013179113578</v>
      </c>
      <c r="AE45" s="26"/>
      <c r="AF45" s="68">
        <f>SUM(G45:R45)</f>
        <v>5426.8483355635326</v>
      </c>
      <c r="AG45" s="99">
        <f>SUM(S45:AD45)</f>
        <v>4909.8357329995988</v>
      </c>
    </row>
    <row r="46" spans="2:33" x14ac:dyDescent="0.2">
      <c r="B46" s="9">
        <f>G5</f>
        <v>1</v>
      </c>
      <c r="C46" s="9" t="str">
        <f t="shared" si="2"/>
        <v>1 - Collections as a % of Production</v>
      </c>
      <c r="D46" s="9" t="s">
        <v>56</v>
      </c>
      <c r="F46" s="16" t="s">
        <v>17</v>
      </c>
      <c r="G46" s="140">
        <v>0.98846053665210409</v>
      </c>
      <c r="H46" s="141">
        <v>0.97519884261204981</v>
      </c>
      <c r="I46" s="141">
        <v>0.9706320511357357</v>
      </c>
      <c r="J46" s="141">
        <v>0.97514636651429998</v>
      </c>
      <c r="K46" s="141">
        <v>0.97965123015752542</v>
      </c>
      <c r="L46" s="141">
        <v>0.96648284986155475</v>
      </c>
      <c r="M46" s="141">
        <v>0.99373822246139598</v>
      </c>
      <c r="N46" s="141">
        <v>0.98041083378730243</v>
      </c>
      <c r="O46" s="141">
        <v>0.99928794742889238</v>
      </c>
      <c r="P46" s="141">
        <v>0.97210392278064861</v>
      </c>
      <c r="Q46" s="141">
        <v>0.98594926953239514</v>
      </c>
      <c r="R46" s="141">
        <v>0.982009369190738</v>
      </c>
      <c r="S46" s="140">
        <v>0.97046263335037097</v>
      </c>
      <c r="T46" s="141">
        <v>0.96062596512533205</v>
      </c>
      <c r="U46" s="141">
        <v>0.99873650369845213</v>
      </c>
      <c r="V46" s="141">
        <v>0.97290557606645967</v>
      </c>
      <c r="W46" s="141">
        <v>0.97549644038937</v>
      </c>
      <c r="X46" s="141">
        <v>0.99081002933885109</v>
      </c>
      <c r="Y46" s="141">
        <v>0.99438597148257291</v>
      </c>
      <c r="Z46" s="141">
        <v>0.99853214027298554</v>
      </c>
      <c r="AA46" s="141">
        <v>0.97498487249843557</v>
      </c>
      <c r="AB46" s="141">
        <v>0.98232919178891154</v>
      </c>
      <c r="AC46" s="141">
        <v>0.97971852909485824</v>
      </c>
      <c r="AD46" s="142">
        <v>0.98868126012008684</v>
      </c>
      <c r="AE46" s="15"/>
      <c r="AF46" s="96">
        <f t="shared" ref="AF46" si="34">AF45/AF15</f>
        <v>0.98048296075029939</v>
      </c>
      <c r="AG46" s="97">
        <f t="shared" ref="AG46" si="35">AG45/AG15</f>
        <v>0.98241067317533892</v>
      </c>
    </row>
    <row r="47" spans="2:33" ht="6" customHeight="1" x14ac:dyDescent="0.2">
      <c r="B47" s="9">
        <f>G5</f>
        <v>1</v>
      </c>
      <c r="C47" s="9" t="str">
        <f t="shared" si="2"/>
        <v xml:space="preserve">1 - </v>
      </c>
      <c r="D47" s="9" t="s">
        <v>56</v>
      </c>
      <c r="F47" s="27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81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81"/>
      <c r="AE47" s="15"/>
      <c r="AF47" s="11"/>
      <c r="AG47" s="15"/>
    </row>
    <row r="48" spans="2:33" s="24" customFormat="1" x14ac:dyDescent="0.2">
      <c r="B48" s="9">
        <f>G5</f>
        <v>1</v>
      </c>
      <c r="C48" s="9" t="str">
        <f t="shared" si="2"/>
        <v>1 - Production per Vet Workday - YoY Change</v>
      </c>
      <c r="D48" s="9" t="s">
        <v>56</v>
      </c>
      <c r="E48" s="49"/>
      <c r="F48" s="24" t="s">
        <v>55</v>
      </c>
      <c r="G48" s="88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151">
        <f>S14/G14-1</f>
        <v>0.1048856968227394</v>
      </c>
      <c r="T48" s="152">
        <f t="shared" ref="T48:AD48" si="36">T14/H14-1</f>
        <v>5.7686834525181752E-2</v>
      </c>
      <c r="U48" s="152">
        <f t="shared" si="36"/>
        <v>3.941489995458558E-2</v>
      </c>
      <c r="V48" s="152">
        <f t="shared" si="36"/>
        <v>0.12092956999372939</v>
      </c>
      <c r="W48" s="152">
        <f t="shared" si="36"/>
        <v>2.7827241008656634E-2</v>
      </c>
      <c r="X48" s="152">
        <f t="shared" si="36"/>
        <v>4.6910107381417099E-3</v>
      </c>
      <c r="Y48" s="152">
        <f t="shared" si="36"/>
        <v>4.1333111261757205E-2</v>
      </c>
      <c r="Z48" s="152">
        <f t="shared" si="36"/>
        <v>-8.8283454505591052E-3</v>
      </c>
      <c r="AA48" s="152">
        <f t="shared" si="36"/>
        <v>-3.4168807735629469E-2</v>
      </c>
      <c r="AB48" s="152">
        <f t="shared" si="36"/>
        <v>-7.742750669644316E-2</v>
      </c>
      <c r="AC48" s="152">
        <f t="shared" si="36"/>
        <v>-7.5785636697375813E-2</v>
      </c>
      <c r="AD48" s="153">
        <f t="shared" si="36"/>
        <v>-0.21148003987046116</v>
      </c>
      <c r="AF48" s="43"/>
      <c r="AG48" s="104">
        <f>AG14/AF14-1</f>
        <v>-5.1367385577029134E-3</v>
      </c>
    </row>
    <row r="49" spans="2:34" s="24" customFormat="1" ht="6" customHeight="1" x14ac:dyDescent="0.2">
      <c r="D49" s="9" t="s">
        <v>56</v>
      </c>
      <c r="E49" s="49"/>
      <c r="G49" s="28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29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29"/>
      <c r="AE49" s="25"/>
      <c r="AF49" s="28"/>
      <c r="AG49" s="29"/>
    </row>
    <row r="50" spans="2:34" ht="6" customHeight="1" x14ac:dyDescent="0.2">
      <c r="D50" s="9" t="s">
        <v>56</v>
      </c>
      <c r="F50" s="16"/>
    </row>
    <row r="51" spans="2:34" x14ac:dyDescent="0.2">
      <c r="D51" s="9" t="s">
        <v>56</v>
      </c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spans="2:34" ht="15.75" thickBot="1" x14ac:dyDescent="0.4">
      <c r="B52" s="35" t="s">
        <v>52</v>
      </c>
      <c r="C52" s="35"/>
      <c r="D52" s="9" t="s">
        <v>56</v>
      </c>
      <c r="E52" s="48" t="s">
        <v>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3">
        <v>45511</v>
      </c>
      <c r="AH52" s="1"/>
    </row>
    <row r="53" spans="2:34" x14ac:dyDescent="0.2">
      <c r="B53" s="9">
        <f>G55</f>
        <v>2</v>
      </c>
      <c r="C53" s="9"/>
      <c r="D53" s="9" t="s">
        <v>56</v>
      </c>
      <c r="F53" t="s">
        <v>159</v>
      </c>
      <c r="AG53" s="6" t="s">
        <v>16</v>
      </c>
    </row>
    <row r="54" spans="2:34" x14ac:dyDescent="0.2">
      <c r="B54" s="9"/>
      <c r="C54" s="9"/>
      <c r="D54" s="9" t="s">
        <v>56</v>
      </c>
      <c r="AG54" s="6"/>
    </row>
    <row r="55" spans="2:34" x14ac:dyDescent="0.2">
      <c r="B55" s="9">
        <f>G55</f>
        <v>2</v>
      </c>
      <c r="C55" s="9"/>
      <c r="D55" s="9" t="s">
        <v>56</v>
      </c>
      <c r="F55" s="40" t="s">
        <v>53</v>
      </c>
      <c r="G55" s="42">
        <v>2</v>
      </c>
    </row>
    <row r="56" spans="2:34" x14ac:dyDescent="0.2">
      <c r="B56" s="9">
        <f>G55</f>
        <v>2</v>
      </c>
      <c r="C56" s="9"/>
      <c r="D56" s="9" t="s">
        <v>56</v>
      </c>
      <c r="F56" s="39" t="s">
        <v>19</v>
      </c>
      <c r="G56" s="41"/>
      <c r="H56" s="11"/>
    </row>
    <row r="57" spans="2:34" x14ac:dyDescent="0.2">
      <c r="B57" s="9">
        <f>G55</f>
        <v>2</v>
      </c>
      <c r="C57" s="9"/>
      <c r="D57" s="9" t="s">
        <v>56</v>
      </c>
      <c r="G57" s="23"/>
    </row>
    <row r="58" spans="2:34" x14ac:dyDescent="0.2">
      <c r="B58" s="9">
        <f>G55</f>
        <v>2</v>
      </c>
      <c r="C58" s="9"/>
      <c r="D58" s="9" t="s">
        <v>56</v>
      </c>
      <c r="G58" s="20">
        <v>2023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2"/>
      <c r="S58" s="20">
        <v>2024</v>
      </c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2"/>
      <c r="AF58" s="17" t="s">
        <v>14</v>
      </c>
      <c r="AG58" s="18"/>
    </row>
    <row r="59" spans="2:34" ht="15" customHeight="1" x14ac:dyDescent="0.35">
      <c r="B59" s="116">
        <f>G55</f>
        <v>2</v>
      </c>
      <c r="C59" s="116"/>
      <c r="D59" s="9" t="s">
        <v>56</v>
      </c>
      <c r="E59" s="163"/>
      <c r="F59" s="164"/>
      <c r="G59" s="165">
        <v>44957</v>
      </c>
      <c r="H59" s="166">
        <v>44985</v>
      </c>
      <c r="I59" s="166">
        <v>45016</v>
      </c>
      <c r="J59" s="166">
        <v>45046</v>
      </c>
      <c r="K59" s="166">
        <v>45077</v>
      </c>
      <c r="L59" s="166">
        <v>45107</v>
      </c>
      <c r="M59" s="166">
        <v>45138</v>
      </c>
      <c r="N59" s="166">
        <v>45169</v>
      </c>
      <c r="O59" s="166">
        <v>45199</v>
      </c>
      <c r="P59" s="166">
        <v>45230</v>
      </c>
      <c r="Q59" s="166">
        <v>45260</v>
      </c>
      <c r="R59" s="167">
        <v>45291</v>
      </c>
      <c r="S59" s="165">
        <v>45322</v>
      </c>
      <c r="T59" s="166">
        <v>45351</v>
      </c>
      <c r="U59" s="166">
        <v>45382</v>
      </c>
      <c r="V59" s="166">
        <v>45412</v>
      </c>
      <c r="W59" s="166">
        <v>45443</v>
      </c>
      <c r="X59" s="166">
        <v>45473</v>
      </c>
      <c r="Y59" s="166">
        <v>45504</v>
      </c>
      <c r="Z59" s="166">
        <v>45535</v>
      </c>
      <c r="AA59" s="166">
        <v>45565</v>
      </c>
      <c r="AB59" s="166">
        <v>45596</v>
      </c>
      <c r="AC59" s="166">
        <v>45626</v>
      </c>
      <c r="AD59" s="167">
        <v>45657</v>
      </c>
      <c r="AE59" s="168"/>
      <c r="AF59" s="13">
        <v>45291</v>
      </c>
      <c r="AG59" s="14">
        <v>45657</v>
      </c>
      <c r="AH59" s="164"/>
    </row>
    <row r="60" spans="2:34" ht="0.95" customHeight="1" x14ac:dyDescent="0.2">
      <c r="B60" s="9">
        <f>G55</f>
        <v>2</v>
      </c>
      <c r="C60" s="9"/>
      <c r="D60" s="9" t="s">
        <v>56</v>
      </c>
      <c r="G60" s="11"/>
      <c r="S60" s="11"/>
      <c r="AD60" s="15"/>
      <c r="AE60" s="15"/>
      <c r="AF60" s="11"/>
      <c r="AG60" s="15"/>
    </row>
    <row r="61" spans="2:34" x14ac:dyDescent="0.2">
      <c r="B61" s="9">
        <f>G55</f>
        <v>2</v>
      </c>
      <c r="C61" s="9" t="str">
        <f>B61&amp;" - "&amp;F61</f>
        <v>2 - Employed Vets</v>
      </c>
      <c r="D61" s="9" t="s">
        <v>56</v>
      </c>
      <c r="F61" s="7" t="s">
        <v>160</v>
      </c>
      <c r="G61" s="121">
        <v>1</v>
      </c>
      <c r="H61" s="154">
        <f>MAX(MIN(IF(H64/G64&gt;1.1,G61-1,IF(H64/G64&lt;0.9,G61+1,G61)),5),1)</f>
        <v>1</v>
      </c>
      <c r="I61" s="154">
        <f t="shared" ref="I61:AC61" si="37">MAX(MIN(IF(I64/H64&gt;1.1,H61-1,IF(I64/H64&lt;0.9,H61+1,H61)),5),1)</f>
        <v>1</v>
      </c>
      <c r="J61" s="154">
        <f t="shared" si="37"/>
        <v>1</v>
      </c>
      <c r="K61" s="154">
        <f t="shared" si="37"/>
        <v>1</v>
      </c>
      <c r="L61" s="154">
        <f t="shared" si="37"/>
        <v>1</v>
      </c>
      <c r="M61" s="154">
        <f t="shared" si="37"/>
        <v>2</v>
      </c>
      <c r="N61" s="154">
        <f t="shared" si="37"/>
        <v>3</v>
      </c>
      <c r="O61" s="154">
        <f t="shared" si="37"/>
        <v>3</v>
      </c>
      <c r="P61" s="154">
        <f t="shared" si="37"/>
        <v>3</v>
      </c>
      <c r="Q61" s="154">
        <f t="shared" si="37"/>
        <v>4</v>
      </c>
      <c r="R61" s="154">
        <f t="shared" si="37"/>
        <v>5</v>
      </c>
      <c r="S61" s="155">
        <f t="shared" si="37"/>
        <v>4</v>
      </c>
      <c r="T61" s="154">
        <f t="shared" si="37"/>
        <v>3</v>
      </c>
      <c r="U61" s="154">
        <f t="shared" si="37"/>
        <v>3</v>
      </c>
      <c r="V61" s="154">
        <f t="shared" si="37"/>
        <v>3</v>
      </c>
      <c r="W61" s="154">
        <f t="shared" si="37"/>
        <v>2</v>
      </c>
      <c r="X61" s="154">
        <f t="shared" si="37"/>
        <v>2</v>
      </c>
      <c r="Y61" s="154">
        <f t="shared" si="37"/>
        <v>3</v>
      </c>
      <c r="Z61" s="154">
        <f t="shared" si="37"/>
        <v>4</v>
      </c>
      <c r="AA61" s="154">
        <f t="shared" si="37"/>
        <v>4</v>
      </c>
      <c r="AB61" s="154">
        <f t="shared" si="37"/>
        <v>4</v>
      </c>
      <c r="AC61" s="154">
        <f t="shared" si="37"/>
        <v>4</v>
      </c>
      <c r="AD61" s="156">
        <f>MROUND(AVERAGE(S61:AC61),1)</f>
        <v>3</v>
      </c>
      <c r="AE61" s="15"/>
      <c r="AF61" s="90">
        <f>AVERAGE(G61:R61)</f>
        <v>2.1666666666666665</v>
      </c>
      <c r="AG61" s="91">
        <f>AVERAGE(S61:AD61)</f>
        <v>3.25</v>
      </c>
    </row>
    <row r="62" spans="2:34" x14ac:dyDescent="0.2">
      <c r="B62" s="9">
        <f>G55</f>
        <v>2</v>
      </c>
      <c r="C62" s="9" t="str">
        <f t="shared" ref="C62:C98" si="38">B62&amp;" - "&amp;F62</f>
        <v>2 - Workdays in Month / Year</v>
      </c>
      <c r="D62" s="9" t="s">
        <v>56</v>
      </c>
      <c r="F62" s="7" t="s">
        <v>54</v>
      </c>
      <c r="G62" s="121">
        <v>22</v>
      </c>
      <c r="H62" s="124">
        <v>21</v>
      </c>
      <c r="I62" s="124">
        <v>24</v>
      </c>
      <c r="J62" s="122">
        <v>21</v>
      </c>
      <c r="K62" s="122">
        <v>23</v>
      </c>
      <c r="L62" s="122">
        <v>23</v>
      </c>
      <c r="M62" s="122">
        <v>22</v>
      </c>
      <c r="N62" s="122">
        <v>24</v>
      </c>
      <c r="O62" s="122">
        <v>22</v>
      </c>
      <c r="P62" s="122">
        <v>22</v>
      </c>
      <c r="Q62" s="122">
        <v>23</v>
      </c>
      <c r="R62" s="122">
        <v>22</v>
      </c>
      <c r="S62" s="121">
        <v>23</v>
      </c>
      <c r="T62" s="122">
        <v>22</v>
      </c>
      <c r="U62" s="122">
        <v>22</v>
      </c>
      <c r="V62" s="122">
        <v>22</v>
      </c>
      <c r="W62" s="122">
        <v>24</v>
      </c>
      <c r="X62" s="122">
        <v>21</v>
      </c>
      <c r="Y62" s="122">
        <v>23</v>
      </c>
      <c r="Z62" s="122">
        <v>23</v>
      </c>
      <c r="AA62" s="122">
        <v>21</v>
      </c>
      <c r="AB62" s="122">
        <v>24</v>
      </c>
      <c r="AC62" s="122">
        <v>22</v>
      </c>
      <c r="AD62" s="123">
        <v>22</v>
      </c>
      <c r="AE62" s="15"/>
      <c r="AF62" s="144">
        <v>269</v>
      </c>
      <c r="AG62" s="145">
        <v>269</v>
      </c>
    </row>
    <row r="63" spans="2:34" ht="12.75" customHeight="1" x14ac:dyDescent="0.2">
      <c r="B63" s="9">
        <f>G55</f>
        <v>2</v>
      </c>
      <c r="C63" s="9" t="str">
        <f t="shared" si="38"/>
        <v>2 - Total Vet Days</v>
      </c>
      <c r="D63" s="9" t="s">
        <v>56</v>
      </c>
      <c r="F63" s="8" t="s">
        <v>51</v>
      </c>
      <c r="G63" s="125">
        <f>G61*G62</f>
        <v>22</v>
      </c>
      <c r="H63" s="126">
        <f t="shared" ref="H63" si="39">H61*H62</f>
        <v>21</v>
      </c>
      <c r="I63" s="126">
        <f t="shared" ref="I63" si="40">I61*I62</f>
        <v>24</v>
      </c>
      <c r="J63" s="127">
        <f t="shared" ref="J63" si="41">J61*J62</f>
        <v>21</v>
      </c>
      <c r="K63" s="127">
        <f t="shared" ref="K63" si="42">K61*K62</f>
        <v>23</v>
      </c>
      <c r="L63" s="127">
        <f t="shared" ref="L63" si="43">L61*L62</f>
        <v>23</v>
      </c>
      <c r="M63" s="127">
        <f t="shared" ref="M63" si="44">M61*M62</f>
        <v>44</v>
      </c>
      <c r="N63" s="127">
        <f t="shared" ref="N63" si="45">N61*N62</f>
        <v>72</v>
      </c>
      <c r="O63" s="127">
        <f t="shared" ref="O63" si="46">O61*O62</f>
        <v>66</v>
      </c>
      <c r="P63" s="127">
        <f t="shared" ref="P63" si="47">P61*P62</f>
        <v>66</v>
      </c>
      <c r="Q63" s="127">
        <f t="shared" ref="Q63" si="48">Q61*Q62</f>
        <v>92</v>
      </c>
      <c r="R63" s="127">
        <f t="shared" ref="R63" si="49">R61*R62</f>
        <v>110</v>
      </c>
      <c r="S63" s="125">
        <f t="shared" ref="S63" si="50">S61*S62</f>
        <v>92</v>
      </c>
      <c r="T63" s="127">
        <f t="shared" ref="T63" si="51">T61*T62</f>
        <v>66</v>
      </c>
      <c r="U63" s="127">
        <f t="shared" ref="U63" si="52">U61*U62</f>
        <v>66</v>
      </c>
      <c r="V63" s="127">
        <f t="shared" ref="V63" si="53">V61*V62</f>
        <v>66</v>
      </c>
      <c r="W63" s="127">
        <f t="shared" ref="W63" si="54">W61*W62</f>
        <v>48</v>
      </c>
      <c r="X63" s="127">
        <f t="shared" ref="X63" si="55">X61*X62</f>
        <v>42</v>
      </c>
      <c r="Y63" s="127">
        <f t="shared" ref="Y63" si="56">Y61*Y62</f>
        <v>69</v>
      </c>
      <c r="Z63" s="127">
        <f t="shared" ref="Z63" si="57">Z61*Z62</f>
        <v>92</v>
      </c>
      <c r="AA63" s="127">
        <f t="shared" ref="AA63" si="58">AA61*AA62</f>
        <v>84</v>
      </c>
      <c r="AB63" s="127">
        <f t="shared" ref="AB63" si="59">AB61*AB62</f>
        <v>96</v>
      </c>
      <c r="AC63" s="127">
        <f t="shared" ref="AC63" si="60">AC61*AC62</f>
        <v>88</v>
      </c>
      <c r="AD63" s="128">
        <f t="shared" ref="AD63" si="61">AD61*AD62</f>
        <v>66</v>
      </c>
      <c r="AF63" s="119">
        <f>SUM(G63:R63)</f>
        <v>584</v>
      </c>
      <c r="AG63" s="120">
        <f>SUM(S63:AD63)</f>
        <v>875</v>
      </c>
    </row>
    <row r="64" spans="2:34" x14ac:dyDescent="0.2">
      <c r="B64" s="9">
        <f>G55</f>
        <v>2</v>
      </c>
      <c r="C64" s="9" t="str">
        <f t="shared" si="38"/>
        <v>2 - Production per Vet Workday</v>
      </c>
      <c r="D64" s="9" t="s">
        <v>56</v>
      </c>
      <c r="F64" s="7" t="s">
        <v>50</v>
      </c>
      <c r="G64" s="129">
        <v>6.8147561353374568</v>
      </c>
      <c r="H64" s="130">
        <v>7.342454046516532</v>
      </c>
      <c r="I64" s="130">
        <v>8.2711265958625777</v>
      </c>
      <c r="J64" s="130">
        <v>8.8959608168072677</v>
      </c>
      <c r="K64" s="130">
        <v>10.275104591225015</v>
      </c>
      <c r="L64" s="130">
        <v>9.7514676041604638</v>
      </c>
      <c r="M64" s="130">
        <v>8.302111331861445</v>
      </c>
      <c r="N64" s="130">
        <v>7.2560617185719085</v>
      </c>
      <c r="O64" s="130">
        <v>7.6074053472781982</v>
      </c>
      <c r="P64" s="130">
        <v>7.4486851321891745</v>
      </c>
      <c r="Q64" s="130">
        <v>6.0638979164868463</v>
      </c>
      <c r="R64" s="130">
        <v>4.618786404531849</v>
      </c>
      <c r="S64" s="129">
        <v>6.1358020031352813</v>
      </c>
      <c r="T64" s="130">
        <v>7.0517745138669161</v>
      </c>
      <c r="U64" s="130">
        <v>7.5467398046801328</v>
      </c>
      <c r="V64" s="130">
        <v>7.7678368513988287</v>
      </c>
      <c r="W64" s="130">
        <v>8.6661667498863491</v>
      </c>
      <c r="X64" s="130">
        <v>9.4009747387965508</v>
      </c>
      <c r="Y64" s="130">
        <v>7.1963111800209365</v>
      </c>
      <c r="Z64" s="130">
        <v>6.2061327046936565</v>
      </c>
      <c r="AA64" s="130">
        <v>6.1450592067017817</v>
      </c>
      <c r="AB64" s="130">
        <v>5.8557165368706894</v>
      </c>
      <c r="AC64" s="130">
        <v>5.7959903941946331</v>
      </c>
      <c r="AD64" s="131">
        <v>4.7969624708751057</v>
      </c>
      <c r="AE64" s="15"/>
      <c r="AF64" s="132">
        <v>7.7292134571585498</v>
      </c>
      <c r="AG64" s="133">
        <v>6.9755933083683583</v>
      </c>
    </row>
    <row r="65" spans="2:33" x14ac:dyDescent="0.2">
      <c r="B65" s="9">
        <f>G55</f>
        <v>2</v>
      </c>
      <c r="C65" s="9" t="str">
        <f t="shared" si="38"/>
        <v>2 - Total Production</v>
      </c>
      <c r="D65" s="9" t="s">
        <v>56</v>
      </c>
      <c r="F65" s="8" t="s">
        <v>1</v>
      </c>
      <c r="G65" s="134">
        <f>G64*G63</f>
        <v>149.92463497742406</v>
      </c>
      <c r="H65" s="135">
        <f t="shared" ref="H65" si="62">H64*H63</f>
        <v>154.19153497684718</v>
      </c>
      <c r="I65" s="135">
        <f t="shared" ref="I65" si="63">I64*I63</f>
        <v>198.50703830070188</v>
      </c>
      <c r="J65" s="135">
        <f t="shared" ref="J65" si="64">J64*J63</f>
        <v>186.81517715295263</v>
      </c>
      <c r="K65" s="135">
        <f t="shared" ref="K65" si="65">K64*K63</f>
        <v>236.32740559817535</v>
      </c>
      <c r="L65" s="135">
        <f t="shared" ref="L65" si="66">L64*L63</f>
        <v>224.28375489569066</v>
      </c>
      <c r="M65" s="135">
        <f t="shared" ref="M65" si="67">M64*M63</f>
        <v>365.29289860190357</v>
      </c>
      <c r="N65" s="135">
        <f t="shared" ref="N65" si="68">N64*N63</f>
        <v>522.43644373717746</v>
      </c>
      <c r="O65" s="135">
        <f t="shared" ref="O65" si="69">O64*O63</f>
        <v>502.08875292036106</v>
      </c>
      <c r="P65" s="135">
        <f t="shared" ref="P65" si="70">P64*P63</f>
        <v>491.61321872448553</v>
      </c>
      <c r="Q65" s="135">
        <f t="shared" ref="Q65" si="71">Q64*Q63</f>
        <v>557.87860831678984</v>
      </c>
      <c r="R65" s="135">
        <f t="shared" ref="R65" si="72">R64*R63</f>
        <v>508.06650449850338</v>
      </c>
      <c r="S65" s="134">
        <f t="shared" ref="S65" si="73">S64*S63</f>
        <v>564.49378428844591</v>
      </c>
      <c r="T65" s="135">
        <f t="shared" ref="T65" si="74">T64*T63</f>
        <v>465.41711791521647</v>
      </c>
      <c r="U65" s="135">
        <f t="shared" ref="U65" si="75">U64*U63</f>
        <v>498.08482710888876</v>
      </c>
      <c r="V65" s="135">
        <f t="shared" ref="V65" si="76">V64*V63</f>
        <v>512.67723219232266</v>
      </c>
      <c r="W65" s="135">
        <f t="shared" ref="W65" si="77">W64*W63</f>
        <v>415.97600399454473</v>
      </c>
      <c r="X65" s="135">
        <f t="shared" ref="X65" si="78">X64*X63</f>
        <v>394.84093902945511</v>
      </c>
      <c r="Y65" s="135">
        <f t="shared" ref="Y65" si="79">Y64*Y63</f>
        <v>496.54547142144463</v>
      </c>
      <c r="Z65" s="135">
        <f t="shared" ref="Z65" si="80">Z64*Z63</f>
        <v>570.96420883181645</v>
      </c>
      <c r="AA65" s="135">
        <f t="shared" ref="AA65" si="81">AA64*AA63</f>
        <v>516.18497336294968</v>
      </c>
      <c r="AB65" s="135">
        <f t="shared" ref="AB65" si="82">AB64*AB63</f>
        <v>562.14878753958624</v>
      </c>
      <c r="AC65" s="135">
        <f t="shared" ref="AC65" si="83">AC64*AC63</f>
        <v>510.04715468912769</v>
      </c>
      <c r="AD65" s="136">
        <f t="shared" ref="AD65" si="84">AD64*AD63</f>
        <v>316.599523077757</v>
      </c>
      <c r="AE65" s="15"/>
      <c r="AF65" s="94">
        <f>SUM(G65:R65)</f>
        <v>4097.4259727010121</v>
      </c>
      <c r="AG65" s="95">
        <f>SUM(S65:AD65)</f>
        <v>5823.9800234515551</v>
      </c>
    </row>
    <row r="66" spans="2:33" x14ac:dyDescent="0.2">
      <c r="B66" s="9">
        <f>G55</f>
        <v>2</v>
      </c>
      <c r="C66" s="9" t="str">
        <f t="shared" si="38"/>
        <v>2 - Revenue as a % of Production</v>
      </c>
      <c r="D66" s="9" t="s">
        <v>56</v>
      </c>
      <c r="F66" s="7" t="s">
        <v>2</v>
      </c>
      <c r="G66" s="137">
        <v>0.98156385862474793</v>
      </c>
      <c r="H66" s="138">
        <v>0.98156385862474793</v>
      </c>
      <c r="I66" s="138">
        <v>0.98156385862474793</v>
      </c>
      <c r="J66" s="138">
        <v>0.98156385862474793</v>
      </c>
      <c r="K66" s="138">
        <v>0.98156385862474793</v>
      </c>
      <c r="L66" s="138">
        <v>0.98156385862474793</v>
      </c>
      <c r="M66" s="138">
        <v>0.98156385862474793</v>
      </c>
      <c r="N66" s="138">
        <v>0.98156385862474793</v>
      </c>
      <c r="O66" s="138">
        <v>0.98156385862474793</v>
      </c>
      <c r="P66" s="138">
        <v>0.98156385862474793</v>
      </c>
      <c r="Q66" s="138">
        <v>0.98156385862474793</v>
      </c>
      <c r="R66" s="138">
        <v>0.98156385862474793</v>
      </c>
      <c r="S66" s="137">
        <v>0.98521086410161607</v>
      </c>
      <c r="T66" s="138">
        <v>0.98521086410161607</v>
      </c>
      <c r="U66" s="138">
        <v>0.98521086410161607</v>
      </c>
      <c r="V66" s="138">
        <v>0.98521086410161607</v>
      </c>
      <c r="W66" s="138">
        <v>0.98521086410161607</v>
      </c>
      <c r="X66" s="138">
        <v>0.98521086410161607</v>
      </c>
      <c r="Y66" s="138">
        <v>0.98521086410161607</v>
      </c>
      <c r="Z66" s="138">
        <v>0.98521086410161607</v>
      </c>
      <c r="AA66" s="138">
        <v>0.98521086410161607</v>
      </c>
      <c r="AB66" s="138">
        <v>0.98521086410161607</v>
      </c>
      <c r="AC66" s="138">
        <v>0.98521086410161607</v>
      </c>
      <c r="AD66" s="139">
        <v>0.98521086410161607</v>
      </c>
      <c r="AE66" s="15"/>
      <c r="AF66" s="161">
        <v>0.98156385862474793</v>
      </c>
      <c r="AG66" s="162">
        <v>0.98521086410161596</v>
      </c>
    </row>
    <row r="67" spans="2:33" x14ac:dyDescent="0.2">
      <c r="B67" s="9">
        <f>G55</f>
        <v>2</v>
      </c>
      <c r="C67" s="9" t="str">
        <f t="shared" si="38"/>
        <v>2 - Total Revenue</v>
      </c>
      <c r="D67" s="9" t="s">
        <v>56</v>
      </c>
      <c r="F67" s="8" t="s">
        <v>3</v>
      </c>
      <c r="G67" s="134">
        <f>G66*G65</f>
        <v>147.16060321134722</v>
      </c>
      <c r="H67" s="135">
        <f t="shared" ref="H67" si="85">H66*H65</f>
        <v>151.3488380391469</v>
      </c>
      <c r="I67" s="135">
        <f t="shared" ref="I67" si="86">I66*I65</f>
        <v>194.84733447860756</v>
      </c>
      <c r="J67" s="135">
        <f t="shared" ref="J67" si="87">J66*J65</f>
        <v>183.37102613591804</v>
      </c>
      <c r="K67" s="135">
        <f t="shared" ref="K67" si="88">K66*K65</f>
        <v>231.97044013772086</v>
      </c>
      <c r="L67" s="135">
        <f t="shared" ref="L67" si="89">L66*L65</f>
        <v>220.14882788226132</v>
      </c>
      <c r="M67" s="135">
        <f t="shared" ref="M67" si="90">M66*M65</f>
        <v>358.55830707990327</v>
      </c>
      <c r="N67" s="135">
        <f t="shared" ref="N67" si="91">N66*N65</f>
        <v>512.80473160085489</v>
      </c>
      <c r="O67" s="135">
        <f t="shared" ref="O67" si="92">O66*O65</f>
        <v>492.83217368859727</v>
      </c>
      <c r="P67" s="135">
        <f t="shared" ref="P67" si="93">P66*P65</f>
        <v>482.54976792213819</v>
      </c>
      <c r="Q67" s="135">
        <f t="shared" ref="Q67" si="94">Q66*Q65</f>
        <v>547.59347942363263</v>
      </c>
      <c r="R67" s="135">
        <f t="shared" ref="R67" si="95">R66*R65</f>
        <v>498.69971859353882</v>
      </c>
      <c r="S67" s="134">
        <f t="shared" ref="S67" si="96">S66*S65</f>
        <v>556.14540899881104</v>
      </c>
      <c r="T67" s="135">
        <f t="shared" ref="T67" si="97">T66*T65</f>
        <v>458.53400090893416</v>
      </c>
      <c r="U67" s="135">
        <f t="shared" ref="U67" si="98">U66*U65</f>
        <v>490.71858291185237</v>
      </c>
      <c r="V67" s="135">
        <f t="shared" ref="V67" si="99">V66*V65</f>
        <v>505.09517893342309</v>
      </c>
      <c r="W67" s="135">
        <f t="shared" ref="W67" si="100">W66*W65</f>
        <v>409.82407834100269</v>
      </c>
      <c r="X67" s="135">
        <f t="shared" ref="X67" si="101">X66*X65</f>
        <v>389.00158272390297</v>
      </c>
      <c r="Y67" s="135">
        <f t="shared" ref="Y67" si="102">Y66*Y65</f>
        <v>489.20199296486578</v>
      </c>
      <c r="Z67" s="135">
        <f t="shared" ref="Z67" si="103">Z66*Z65</f>
        <v>562.52014155428947</v>
      </c>
      <c r="AA67" s="135">
        <f t="shared" ref="AA67" si="104">AA66*AA65</f>
        <v>508.55104364318134</v>
      </c>
      <c r="AB67" s="135">
        <f t="shared" ref="AB67" si="105">AB66*AB65</f>
        <v>553.83509272555159</v>
      </c>
      <c r="AC67" s="135">
        <f t="shared" ref="AC67" si="106">AC66*AC65</f>
        <v>502.50399800384611</v>
      </c>
      <c r="AD67" s="136">
        <f t="shared" ref="AD67" si="107">AD66*AD65</f>
        <v>311.91728970559649</v>
      </c>
      <c r="AE67" s="15"/>
      <c r="AF67" s="94">
        <f>SUM(G67:R67)</f>
        <v>4021.8852481936669</v>
      </c>
      <c r="AG67" s="95">
        <f>SUM(S67:AD67)</f>
        <v>5737.8483914152575</v>
      </c>
    </row>
    <row r="68" spans="2:33" x14ac:dyDescent="0.2">
      <c r="B68" s="9">
        <f>G55</f>
        <v>2</v>
      </c>
      <c r="C68" s="9" t="str">
        <f t="shared" si="38"/>
        <v>2 - % YoY Revenue Growth</v>
      </c>
      <c r="D68" s="9" t="s">
        <v>56</v>
      </c>
      <c r="F68" s="16" t="s">
        <v>174</v>
      </c>
      <c r="G68" s="82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148">
        <f>S67/G67-1</f>
        <v>2.7791732084713821</v>
      </c>
      <c r="T68" s="149">
        <f t="shared" ref="T68" si="108">T67/H67-1</f>
        <v>2.0296499586626013</v>
      </c>
      <c r="U68" s="149">
        <f t="shared" ref="U68" si="109">U67/I67-1</f>
        <v>1.5184772695247148</v>
      </c>
      <c r="V68" s="149">
        <f t="shared" ref="V68" si="110">V67/J67-1</f>
        <v>1.7544982954888253</v>
      </c>
      <c r="W68" s="149">
        <f t="shared" ref="W68" si="111">W67/K67-1</f>
        <v>0.76670819824150915</v>
      </c>
      <c r="X68" s="149">
        <f t="shared" ref="X68" si="112">X67/L67-1</f>
        <v>0.76699365818084875</v>
      </c>
      <c r="Y68" s="149">
        <f t="shared" ref="Y68" si="113">Y67/M67-1</f>
        <v>0.36435827396922948</v>
      </c>
      <c r="Z68" s="149">
        <f t="shared" ref="Z68" si="114">Z67/N67-1</f>
        <v>9.6948032827690156E-2</v>
      </c>
      <c r="AA68" s="149">
        <f t="shared" ref="AA68" si="115">AA67/O67-1</f>
        <v>3.1894975193961894E-2</v>
      </c>
      <c r="AB68" s="149">
        <f t="shared" ref="AB68" si="116">AB67/P67-1</f>
        <v>0.14772636843318443</v>
      </c>
      <c r="AC68" s="149">
        <f t="shared" ref="AC68" si="117">AC67/Q67-1</f>
        <v>-8.234115838494882E-2</v>
      </c>
      <c r="AD68" s="150">
        <f t="shared" ref="AD68" si="118">AD67/R67-1</f>
        <v>-0.37453886963224425</v>
      </c>
      <c r="AE68" s="15"/>
      <c r="AF68" s="11"/>
      <c r="AG68" s="97">
        <f>AG67/AF67-1</f>
        <v>0.42665641541918031</v>
      </c>
    </row>
    <row r="69" spans="2:33" ht="6" customHeight="1" x14ac:dyDescent="0.2">
      <c r="B69" s="9">
        <f>G55</f>
        <v>2</v>
      </c>
      <c r="C69" s="9" t="str">
        <f t="shared" si="38"/>
        <v xml:space="preserve">2 - </v>
      </c>
      <c r="D69" s="9" t="s">
        <v>56</v>
      </c>
      <c r="G69" s="11"/>
      <c r="S69" s="11"/>
      <c r="AD69" s="15"/>
      <c r="AE69" s="15"/>
      <c r="AF69" s="11"/>
      <c r="AG69" s="15"/>
    </row>
    <row r="70" spans="2:33" x14ac:dyDescent="0.2">
      <c r="B70" s="9">
        <f>G55</f>
        <v>2</v>
      </c>
      <c r="C70" s="9" t="str">
        <f t="shared" si="38"/>
        <v>2 - Doctor Compensation</v>
      </c>
      <c r="D70" s="9" t="s">
        <v>56</v>
      </c>
      <c r="F70" t="s">
        <v>4</v>
      </c>
      <c r="G70" s="144">
        <v>-54.049236150528337</v>
      </c>
      <c r="H70" s="70">
        <v>-54.498930918983476</v>
      </c>
      <c r="I70" s="70">
        <v>-70.567204082857444</v>
      </c>
      <c r="J70" s="70">
        <v>-66.045585499455896</v>
      </c>
      <c r="K70" s="70">
        <v>-83.221806347809604</v>
      </c>
      <c r="L70" s="70">
        <v>-77.655586368001039</v>
      </c>
      <c r="M70" s="70">
        <v>-63.729193360311719</v>
      </c>
      <c r="N70" s="70">
        <v>-89.548311161213064</v>
      </c>
      <c r="O70" s="70">
        <v>-87.464812000544057</v>
      </c>
      <c r="P70" s="70">
        <v>-86.106094727807815</v>
      </c>
      <c r="Q70" s="70">
        <v>-110.90021358031798</v>
      </c>
      <c r="R70" s="70">
        <v>-81.123480975077001</v>
      </c>
      <c r="S70" s="144">
        <v>-91.878959778140143</v>
      </c>
      <c r="T70" s="70">
        <v>-120.07230489714682</v>
      </c>
      <c r="U70" s="70">
        <v>-126.41341134740341</v>
      </c>
      <c r="V70" s="70">
        <v>-106.40046634430618</v>
      </c>
      <c r="W70" s="70">
        <v>-126.71038145314728</v>
      </c>
      <c r="X70" s="70">
        <v>-120.98996955752602</v>
      </c>
      <c r="Y70" s="70">
        <v>-132.9003773731209</v>
      </c>
      <c r="Z70" s="70">
        <v>-142.61027805690395</v>
      </c>
      <c r="AA70" s="70">
        <v>-129.19315344296061</v>
      </c>
      <c r="AB70" s="70">
        <v>-144.55018306234825</v>
      </c>
      <c r="AC70" s="70">
        <v>-115.97414856048266</v>
      </c>
      <c r="AD70" s="145">
        <v>-96.371517786880872</v>
      </c>
      <c r="AE70" s="15"/>
      <c r="AF70" s="92">
        <f>SUM(G70:R70)</f>
        <v>-924.91045517290729</v>
      </c>
      <c r="AG70" s="93">
        <f>SUM(S70:AD70)</f>
        <v>-1454.0651516603671</v>
      </c>
    </row>
    <row r="71" spans="2:33" x14ac:dyDescent="0.2">
      <c r="B71" s="9">
        <f>G55</f>
        <v>2</v>
      </c>
      <c r="C71" s="9" t="str">
        <f t="shared" si="38"/>
        <v>2 - % of Revenue - Doctor Compensation</v>
      </c>
      <c r="D71" s="9" t="s">
        <v>56</v>
      </c>
      <c r="F71" s="16" t="str">
        <f>"% of Revenue - "&amp;F70</f>
        <v>% of Revenue - Doctor Compensation</v>
      </c>
      <c r="G71" s="148">
        <f>G70/G67</f>
        <v>-0.36728061023849295</v>
      </c>
      <c r="H71" s="149">
        <f t="shared" ref="H71" si="119">H70/H67</f>
        <v>-0.36008820170054517</v>
      </c>
      <c r="I71" s="149">
        <f t="shared" ref="I71" si="120">I70/I67</f>
        <v>-0.36216663816155553</v>
      </c>
      <c r="J71" s="149">
        <f t="shared" ref="J71" si="121">J70/J67</f>
        <v>-0.3601745973243432</v>
      </c>
      <c r="K71" s="149">
        <f t="shared" ref="K71" si="122">K70/K67</f>
        <v>-0.35876039334322429</v>
      </c>
      <c r="L71" s="149">
        <f t="shared" ref="L71" si="123">L70/L67</f>
        <v>-0.35274131193436259</v>
      </c>
      <c r="M71" s="149">
        <f t="shared" ref="M71" si="124">M70/M67</f>
        <v>-0.17773732222053895</v>
      </c>
      <c r="N71" s="149">
        <f t="shared" ref="N71" si="125">N70/N67</f>
        <v>-0.17462458055264907</v>
      </c>
      <c r="O71" s="149">
        <f t="shared" ref="O71" si="126">O70/O67</f>
        <v>-0.17747382713655763</v>
      </c>
      <c r="P71" s="149">
        <f t="shared" ref="P71" si="127">P70/P67</f>
        <v>-0.17843982206971337</v>
      </c>
      <c r="Q71" s="149">
        <f t="shared" ref="Q71" si="128">Q70/Q67</f>
        <v>-0.20252288923718662</v>
      </c>
      <c r="R71" s="149">
        <f t="shared" ref="R71" si="129">R70/R67</f>
        <v>-0.16266999549120667</v>
      </c>
      <c r="S71" s="148">
        <f t="shared" ref="S71" si="130">S70/S67</f>
        <v>-0.1652067216441529</v>
      </c>
      <c r="T71" s="149">
        <f t="shared" ref="T71" si="131">T70/T67</f>
        <v>-0.26186128980431583</v>
      </c>
      <c r="U71" s="149">
        <f t="shared" ref="U71" si="132">U70/U67</f>
        <v>-0.25760877160445955</v>
      </c>
      <c r="V71" s="149">
        <f t="shared" ref="V71" si="133">V70/V67</f>
        <v>-0.21065429008644507</v>
      </c>
      <c r="W71" s="149">
        <f t="shared" ref="W71" si="134">W70/W67</f>
        <v>-0.30918237397392562</v>
      </c>
      <c r="X71" s="149">
        <f t="shared" ref="X71" si="135">X70/X67</f>
        <v>-0.31102693390170505</v>
      </c>
      <c r="Y71" s="149">
        <f t="shared" ref="Y71" si="136">Y70/Y67</f>
        <v>-0.27166769409025227</v>
      </c>
      <c r="Z71" s="149">
        <f t="shared" ref="Z71" si="137">Z70/Z67</f>
        <v>-0.25352030535806241</v>
      </c>
      <c r="AA71" s="149">
        <f t="shared" ref="AA71" si="138">AA70/AA67</f>
        <v>-0.25404166417089769</v>
      </c>
      <c r="AB71" s="149">
        <f t="shared" ref="AB71" si="139">AB70/AB67</f>
        <v>-0.26099859860989144</v>
      </c>
      <c r="AC71" s="149">
        <f t="shared" ref="AC71" si="140">AC70/AC67</f>
        <v>-0.23079248925616511</v>
      </c>
      <c r="AD71" s="150">
        <f t="shared" ref="AD71" si="141">AD70/AD67</f>
        <v>-0.30896497554797697</v>
      </c>
      <c r="AE71" s="15"/>
      <c r="AF71" s="96">
        <f t="shared" ref="AF71" si="142">AF70/AF67</f>
        <v>-0.22996937955609464</v>
      </c>
      <c r="AG71" s="97">
        <f t="shared" ref="AG71" si="143">AG70/AG67</f>
        <v>-0.25341644680537079</v>
      </c>
    </row>
    <row r="72" spans="2:33" ht="3" customHeight="1" x14ac:dyDescent="0.2">
      <c r="B72" s="9">
        <f>G55</f>
        <v>2</v>
      </c>
      <c r="C72" s="9" t="str">
        <f t="shared" si="38"/>
        <v xml:space="preserve">2 - </v>
      </c>
      <c r="D72" s="9" t="s">
        <v>56</v>
      </c>
      <c r="F72" s="16"/>
      <c r="G72" s="36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6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8"/>
      <c r="AE72" s="15"/>
      <c r="AF72" s="36"/>
      <c r="AG72" s="38"/>
    </row>
    <row r="73" spans="2:33" x14ac:dyDescent="0.2">
      <c r="B73" s="9">
        <f>G55</f>
        <v>2</v>
      </c>
      <c r="C73" s="9" t="str">
        <f t="shared" si="38"/>
        <v>2 - Administrative Staff Compensation</v>
      </c>
      <c r="D73" s="9" t="s">
        <v>56</v>
      </c>
      <c r="F73" t="s">
        <v>5</v>
      </c>
      <c r="G73" s="144">
        <v>-29.995128273800415</v>
      </c>
      <c r="H73" s="70">
        <v>-31.723990951256752</v>
      </c>
      <c r="I73" s="70">
        <v>-42.447072881459547</v>
      </c>
      <c r="J73" s="70">
        <v>-38.821547893251221</v>
      </c>
      <c r="K73" s="70">
        <v>-50.933859489049205</v>
      </c>
      <c r="L73" s="70">
        <v>-48.246869205962696</v>
      </c>
      <c r="M73" s="70">
        <v>-38.96385795096235</v>
      </c>
      <c r="N73" s="70">
        <v>-35.921256865812602</v>
      </c>
      <c r="O73" s="70">
        <v>-34.136224313734473</v>
      </c>
      <c r="P73" s="70">
        <v>-32.753268081936518</v>
      </c>
      <c r="Q73" s="70">
        <v>-26.877739635353866</v>
      </c>
      <c r="R73" s="70">
        <v>-19.38237644252245</v>
      </c>
      <c r="S73" s="144">
        <v>-55.327627979209502</v>
      </c>
      <c r="T73" s="70">
        <v>-52.981192420526597</v>
      </c>
      <c r="U73" s="70">
        <v>-57.161149989458345</v>
      </c>
      <c r="V73" s="70">
        <v>-61.260980802870414</v>
      </c>
      <c r="W73" s="70">
        <v>-72.771924561371762</v>
      </c>
      <c r="X73" s="70">
        <v>-72.025328986874285</v>
      </c>
      <c r="Y73" s="70">
        <v>-60.145438591414774</v>
      </c>
      <c r="Z73" s="70">
        <v>-49.770814371335497</v>
      </c>
      <c r="AA73" s="70">
        <v>-50.997830260344379</v>
      </c>
      <c r="AB73" s="70">
        <v>-69.695372308909285</v>
      </c>
      <c r="AC73" s="70">
        <v>-59.585915479488833</v>
      </c>
      <c r="AD73" s="145">
        <v>-50.435623624406915</v>
      </c>
      <c r="AE73" s="15"/>
      <c r="AF73" s="92">
        <f>SUM(G73:R73)</f>
        <v>-430.20319198510214</v>
      </c>
      <c r="AG73" s="93">
        <f>SUM(S73:AD73)</f>
        <v>-712.15919937621061</v>
      </c>
    </row>
    <row r="74" spans="2:33" x14ac:dyDescent="0.2">
      <c r="B74" s="9">
        <f>G55</f>
        <v>2</v>
      </c>
      <c r="C74" s="9" t="str">
        <f t="shared" si="38"/>
        <v>2 - % of Revenue - Administrative Staff Compensation</v>
      </c>
      <c r="D74" s="9" t="s">
        <v>56</v>
      </c>
      <c r="F74" s="16" t="str">
        <f>"% of Revenue - "&amp;F73</f>
        <v>% of Revenue - Administrative Staff Compensation</v>
      </c>
      <c r="G74" s="148">
        <f>G73/G67</f>
        <v>-0.20382580404840009</v>
      </c>
      <c r="H74" s="149">
        <f t="shared" ref="H74" si="144">H73/H67</f>
        <v>-0.20960842093185567</v>
      </c>
      <c r="I74" s="149">
        <f t="shared" ref="I74" si="145">I73/I67</f>
        <v>-0.21784784993360964</v>
      </c>
      <c r="J74" s="149">
        <f t="shared" ref="J74" si="146">J73/J67</f>
        <v>-0.21171037056026487</v>
      </c>
      <c r="K74" s="149">
        <f t="shared" ref="K74" si="147">K73/K67</f>
        <v>-0.21957047397422608</v>
      </c>
      <c r="L74" s="149">
        <f t="shared" ref="L74" si="148">L73/L67</f>
        <v>-0.21915569421866646</v>
      </c>
      <c r="M74" s="149">
        <f t="shared" ref="M74" si="149">M73/M67</f>
        <v>-0.10866812225962293</v>
      </c>
      <c r="N74" s="149">
        <f t="shared" ref="N74" si="150">N73/N67</f>
        <v>-7.0048606520604725E-2</v>
      </c>
      <c r="O74" s="149">
        <f t="shared" ref="O74" si="151">O73/O67</f>
        <v>-6.9265413534677051E-2</v>
      </c>
      <c r="P74" s="149">
        <f t="shared" ref="P74" si="152">P73/P67</f>
        <v>-6.7875419820368502E-2</v>
      </c>
      <c r="Q74" s="149">
        <f t="shared" ref="Q74" si="153">Q73/Q67</f>
        <v>-4.9083381459625715E-2</v>
      </c>
      <c r="R74" s="149">
        <f t="shared" ref="R74" si="154">R73/R67</f>
        <v>-3.8865825906591094E-2</v>
      </c>
      <c r="S74" s="148">
        <f t="shared" ref="S74" si="155">S73/S67</f>
        <v>-9.9484104487730804E-2</v>
      </c>
      <c r="T74" s="149">
        <f t="shared" ref="T74" si="156">T73/T67</f>
        <v>-0.11554474109990542</v>
      </c>
      <c r="U74" s="149">
        <f t="shared" ref="U74" si="157">U73/U67</f>
        <v>-0.11648458399572405</v>
      </c>
      <c r="V74" s="149">
        <f t="shared" ref="V74" si="158">V73/V67</f>
        <v>-0.12128601372167376</v>
      </c>
      <c r="W74" s="149">
        <f t="shared" ref="W74" si="159">W73/W67</f>
        <v>-0.17756868960935077</v>
      </c>
      <c r="X74" s="149">
        <f t="shared" ref="X74" si="160">X73/X67</f>
        <v>-0.18515433403260687</v>
      </c>
      <c r="Y74" s="149">
        <f t="shared" ref="Y74" si="161">Y73/Y67</f>
        <v>-0.12294602118625135</v>
      </c>
      <c r="Z74" s="149">
        <f t="shared" ref="Z74" si="162">Z73/Z67</f>
        <v>-8.8478279611134705E-2</v>
      </c>
      <c r="AA74" s="149">
        <f t="shared" ref="AA74" si="163">AA73/AA67</f>
        <v>-0.1002806520560921</v>
      </c>
      <c r="AB74" s="149">
        <f t="shared" ref="AB74" si="164">AB73/AB67</f>
        <v>-0.12584137990592489</v>
      </c>
      <c r="AC74" s="149">
        <f t="shared" ref="AC74" si="165">AC73/AC67</f>
        <v>-0.11857799284421369</v>
      </c>
      <c r="AD74" s="150">
        <f t="shared" ref="AD74" si="166">AD73/AD67</f>
        <v>-0.16169550483081793</v>
      </c>
      <c r="AE74" s="15"/>
      <c r="AF74" s="96">
        <f t="shared" ref="AF74" si="167">AF73/AF67</f>
        <v>-0.10696555606063539</v>
      </c>
      <c r="AG74" s="97">
        <f t="shared" ref="AG74" si="168">AG73/AG67</f>
        <v>-0.12411607118126633</v>
      </c>
    </row>
    <row r="75" spans="2:33" ht="3" customHeight="1" x14ac:dyDescent="0.2">
      <c r="B75" s="9">
        <f>G55</f>
        <v>2</v>
      </c>
      <c r="C75" s="9" t="str">
        <f t="shared" si="38"/>
        <v xml:space="preserve">2 - </v>
      </c>
      <c r="D75" s="9" t="s">
        <v>56</v>
      </c>
      <c r="F75" s="16"/>
      <c r="G75" s="36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6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8"/>
      <c r="AE75" s="15"/>
      <c r="AF75" s="36"/>
      <c r="AG75" s="38"/>
    </row>
    <row r="76" spans="2:33" x14ac:dyDescent="0.2">
      <c r="B76" s="9">
        <f>G55</f>
        <v>2</v>
      </c>
      <c r="C76" s="9" t="str">
        <f t="shared" si="38"/>
        <v>2 - Office Supplies</v>
      </c>
      <c r="D76" s="9" t="s">
        <v>56</v>
      </c>
      <c r="F76" t="s">
        <v>6</v>
      </c>
      <c r="G76" s="144">
        <v>-10.378201741345185</v>
      </c>
      <c r="H76" s="70">
        <v>-11.008784324118016</v>
      </c>
      <c r="I76" s="70">
        <v>-13.809955292524384</v>
      </c>
      <c r="J76" s="70">
        <v>-12.674138595673528</v>
      </c>
      <c r="K76" s="70">
        <v>-16.372535144885592</v>
      </c>
      <c r="L76" s="70">
        <v>-14.459064725470775</v>
      </c>
      <c r="M76" s="70">
        <v>-11.658320415343855</v>
      </c>
      <c r="N76" s="70">
        <v>-11.59597426214205</v>
      </c>
      <c r="O76" s="70">
        <v>-11.911597107700461</v>
      </c>
      <c r="P76" s="70">
        <v>-11.256803923686878</v>
      </c>
      <c r="Q76" s="70">
        <v>-9.8856225337965142</v>
      </c>
      <c r="R76" s="70">
        <v>-7.0886610506436014</v>
      </c>
      <c r="S76" s="144">
        <v>-11.896386572188066</v>
      </c>
      <c r="T76" s="70">
        <v>-12.221992304491875</v>
      </c>
      <c r="U76" s="70">
        <v>-13.432747314391323</v>
      </c>
      <c r="V76" s="70">
        <v>-13.623182775938568</v>
      </c>
      <c r="W76" s="70">
        <v>-16.700416333963943</v>
      </c>
      <c r="X76" s="70">
        <v>-17.009541299436254</v>
      </c>
      <c r="Y76" s="70">
        <v>-14.033907282169492</v>
      </c>
      <c r="Z76" s="70">
        <v>-11.282312202380441</v>
      </c>
      <c r="AA76" s="70">
        <v>-11.444751841390909</v>
      </c>
      <c r="AB76" s="70">
        <v>-12.323355834883786</v>
      </c>
      <c r="AC76" s="70">
        <v>-10.412950708073334</v>
      </c>
      <c r="AD76" s="145">
        <v>-9.0373056066791033</v>
      </c>
      <c r="AE76" s="15"/>
      <c r="AF76" s="92">
        <f>SUM(G76:R76)</f>
        <v>-142.09965911733082</v>
      </c>
      <c r="AG76" s="93">
        <f>SUM(S76:AD76)</f>
        <v>-153.41885007598711</v>
      </c>
    </row>
    <row r="77" spans="2:33" x14ac:dyDescent="0.2">
      <c r="B77" s="9">
        <f>G55</f>
        <v>2</v>
      </c>
      <c r="C77" s="9" t="str">
        <f t="shared" si="38"/>
        <v>2 - % of Revenue - Office Supplies</v>
      </c>
      <c r="D77" s="9" t="s">
        <v>56</v>
      </c>
      <c r="F77" s="16" t="str">
        <f>"% of Revenue - "&amp;F76</f>
        <v>% of Revenue - Office Supplies</v>
      </c>
      <c r="G77" s="148">
        <f>G76/G67</f>
        <v>-7.0522962769052747E-2</v>
      </c>
      <c r="H77" s="149">
        <f t="shared" ref="H77" si="169">H76/H67</f>
        <v>-7.2737818583519992E-2</v>
      </c>
      <c r="I77" s="149">
        <f t="shared" ref="I77" si="170">I76/I67</f>
        <v>-7.0875772201238862E-2</v>
      </c>
      <c r="J77" s="149">
        <f t="shared" ref="J77" si="171">J76/J67</f>
        <v>-6.9117454718714499E-2</v>
      </c>
      <c r="K77" s="149">
        <f t="shared" ref="K77" si="172">K76/K67</f>
        <v>-7.0580265033619013E-2</v>
      </c>
      <c r="L77" s="149">
        <f t="shared" ref="L77" si="173">L76/L67</f>
        <v>-6.5678590545136514E-2</v>
      </c>
      <c r="M77" s="149">
        <f t="shared" ref="M77" si="174">M76/M67</f>
        <v>-3.2514434012947985E-2</v>
      </c>
      <c r="N77" s="149">
        <f t="shared" ref="N77" si="175">N76/N67</f>
        <v>-2.2612845684832444E-2</v>
      </c>
      <c r="O77" s="149">
        <f t="shared" ref="O77" si="176">O76/O67</f>
        <v>-2.4169682386091469E-2</v>
      </c>
      <c r="P77" s="149">
        <f t="shared" ref="P77" si="177">P76/P67</f>
        <v>-2.3327757408647679E-2</v>
      </c>
      <c r="Q77" s="149">
        <f t="shared" ref="Q77" si="178">Q76/Q67</f>
        <v>-1.8052849249048011E-2</v>
      </c>
      <c r="R77" s="149">
        <f t="shared" ref="R77" si="179">R76/R67</f>
        <v>-1.4214287248116853E-2</v>
      </c>
      <c r="S77" s="148">
        <f t="shared" ref="S77" si="180">S76/S67</f>
        <v>-2.1390784459776956E-2</v>
      </c>
      <c r="T77" s="149">
        <f t="shared" ref="T77" si="181">T76/T67</f>
        <v>-2.6654495152518012E-2</v>
      </c>
      <c r="U77" s="149">
        <f t="shared" ref="U77" si="182">U76/U67</f>
        <v>-2.7373626722435013E-2</v>
      </c>
      <c r="V77" s="149">
        <f t="shared" ref="V77" si="183">V76/V67</f>
        <v>-2.6971516150096235E-2</v>
      </c>
      <c r="W77" s="149">
        <f t="shared" ref="W77" si="184">W76/W67</f>
        <v>-4.0750207751502614E-2</v>
      </c>
      <c r="X77" s="149">
        <f t="shared" ref="X77" si="185">X76/X67</f>
        <v>-4.3726149339368921E-2</v>
      </c>
      <c r="Y77" s="149">
        <f t="shared" ref="Y77" si="186">Y76/Y67</f>
        <v>-2.8687346911886763E-2</v>
      </c>
      <c r="Z77" s="149">
        <f t="shared" ref="Z77" si="187">Z76/Z67</f>
        <v>-2.0056725740000142E-2</v>
      </c>
      <c r="AA77" s="149">
        <f t="shared" ref="AA77" si="188">AA76/AA67</f>
        <v>-2.2504627577602573E-2</v>
      </c>
      <c r="AB77" s="149">
        <f t="shared" ref="AB77" si="189">AB76/AB67</f>
        <v>-2.2250947974852369E-2</v>
      </c>
      <c r="AC77" s="149">
        <f t="shared" ref="AC77" si="190">AC76/AC67</f>
        <v>-2.0722125096393033E-2</v>
      </c>
      <c r="AD77" s="150">
        <f t="shared" ref="AD77" si="191">AD76/AD67</f>
        <v>-2.8973403863597862E-2</v>
      </c>
      <c r="AE77" s="15"/>
      <c r="AF77" s="96">
        <f t="shared" ref="AF77" si="192">AF76/AF67</f>
        <v>-3.5331604545691966E-2</v>
      </c>
      <c r="AG77" s="97">
        <f t="shared" ref="AG77" si="193">AG76/AG67</f>
        <v>-2.6738045275913239E-2</v>
      </c>
    </row>
    <row r="78" spans="2:33" ht="6" customHeight="1" x14ac:dyDescent="0.2">
      <c r="B78" s="9">
        <f>G55</f>
        <v>2</v>
      </c>
      <c r="C78" s="9" t="str">
        <f t="shared" si="38"/>
        <v xml:space="preserve">2 - </v>
      </c>
      <c r="D78" s="9" t="s">
        <v>56</v>
      </c>
      <c r="F78" s="16"/>
      <c r="G78" s="11"/>
      <c r="S78" s="11"/>
      <c r="AD78" s="15"/>
      <c r="AE78" s="15"/>
      <c r="AF78" s="11"/>
      <c r="AG78" s="15"/>
    </row>
    <row r="79" spans="2:33" x14ac:dyDescent="0.2">
      <c r="B79" s="9">
        <f>G55</f>
        <v>2</v>
      </c>
      <c r="C79" s="9" t="str">
        <f t="shared" si="38"/>
        <v>2 - Office Gross Profit</v>
      </c>
      <c r="D79" s="9" t="s">
        <v>56</v>
      </c>
      <c r="F79" s="8" t="s">
        <v>11</v>
      </c>
      <c r="G79" s="134">
        <f>G67+G70+G73+G76</f>
        <v>52.738037045673273</v>
      </c>
      <c r="H79" s="135">
        <f t="shared" ref="H79:AD79" si="194">H67+H70+H73+H76</f>
        <v>54.117131844788652</v>
      </c>
      <c r="I79" s="135">
        <f t="shared" si="194"/>
        <v>68.023102221766194</v>
      </c>
      <c r="J79" s="135">
        <f t="shared" si="194"/>
        <v>65.8297541475374</v>
      </c>
      <c r="K79" s="135">
        <f t="shared" si="194"/>
        <v>81.442239155976452</v>
      </c>
      <c r="L79" s="135">
        <f t="shared" si="194"/>
        <v>79.787307582826799</v>
      </c>
      <c r="M79" s="135">
        <f t="shared" si="194"/>
        <v>244.20693535328533</v>
      </c>
      <c r="N79" s="135">
        <f t="shared" si="194"/>
        <v>375.73918931168714</v>
      </c>
      <c r="O79" s="135">
        <f t="shared" si="194"/>
        <v>359.31954026661828</v>
      </c>
      <c r="P79" s="135">
        <f t="shared" si="194"/>
        <v>352.43360118870692</v>
      </c>
      <c r="Q79" s="135">
        <f t="shared" si="194"/>
        <v>399.92990367416428</v>
      </c>
      <c r="R79" s="135">
        <f t="shared" si="194"/>
        <v>391.10520012529577</v>
      </c>
      <c r="S79" s="134">
        <f t="shared" si="194"/>
        <v>397.04243466927329</v>
      </c>
      <c r="T79" s="135">
        <f t="shared" si="194"/>
        <v>273.25851128676885</v>
      </c>
      <c r="U79" s="135">
        <f t="shared" si="194"/>
        <v>293.71127426059928</v>
      </c>
      <c r="V79" s="135">
        <f t="shared" si="194"/>
        <v>323.81054901030791</v>
      </c>
      <c r="W79" s="135">
        <f t="shared" si="194"/>
        <v>193.64135599251975</v>
      </c>
      <c r="X79" s="135">
        <f t="shared" si="194"/>
        <v>178.97674288006641</v>
      </c>
      <c r="Y79" s="135">
        <f t="shared" si="194"/>
        <v>282.12226971816062</v>
      </c>
      <c r="Z79" s="135">
        <f t="shared" si="194"/>
        <v>358.85673692366953</v>
      </c>
      <c r="AA79" s="135">
        <f t="shared" si="194"/>
        <v>316.91530809848547</v>
      </c>
      <c r="AB79" s="135">
        <f t="shared" si="194"/>
        <v>327.26618151941028</v>
      </c>
      <c r="AC79" s="135">
        <f t="shared" si="194"/>
        <v>316.53098325580129</v>
      </c>
      <c r="AD79" s="136">
        <f t="shared" si="194"/>
        <v>156.07284268762962</v>
      </c>
      <c r="AE79" s="15"/>
      <c r="AF79" s="98">
        <f>SUM(G79:R79)</f>
        <v>2524.6719419183264</v>
      </c>
      <c r="AG79" s="95">
        <f>SUM(S79:AD79)</f>
        <v>3418.2051903026922</v>
      </c>
    </row>
    <row r="80" spans="2:33" x14ac:dyDescent="0.2">
      <c r="B80" s="9">
        <f>G55</f>
        <v>2</v>
      </c>
      <c r="C80" s="9" t="str">
        <f t="shared" si="38"/>
        <v>2 - % of Revenue - Office Gross Profit</v>
      </c>
      <c r="D80" s="9" t="s">
        <v>56</v>
      </c>
      <c r="F80" s="16" t="str">
        <f>"% of Revenue - "&amp;F79</f>
        <v>% of Revenue - Office Gross Profit</v>
      </c>
      <c r="G80" s="148">
        <f>G79/G67</f>
        <v>0.35837062294405408</v>
      </c>
      <c r="H80" s="149">
        <f t="shared" ref="H80" si="195">H79/H67</f>
        <v>0.35756555878407914</v>
      </c>
      <c r="I80" s="149">
        <f t="shared" ref="I80" si="196">I79/I67</f>
        <v>0.34910973970359599</v>
      </c>
      <c r="J80" s="149">
        <f t="shared" ref="J80" si="197">J79/J67</f>
        <v>0.35899757739667743</v>
      </c>
      <c r="K80" s="149">
        <f t="shared" ref="K80" si="198">K79/K67</f>
        <v>0.3510888676489306</v>
      </c>
      <c r="L80" s="149">
        <f t="shared" ref="L80" si="199">L79/L67</f>
        <v>0.3624244033018344</v>
      </c>
      <c r="M80" s="149">
        <f t="shared" ref="M80" si="200">M79/M67</f>
        <v>0.68108012150689012</v>
      </c>
      <c r="N80" s="149">
        <f t="shared" ref="N80" si="201">N79/N67</f>
        <v>0.73271396724191373</v>
      </c>
      <c r="O80" s="149">
        <f t="shared" ref="O80" si="202">O79/O67</f>
        <v>0.72909107694267383</v>
      </c>
      <c r="P80" s="149">
        <f t="shared" ref="P80" si="203">P79/P67</f>
        <v>0.7303570007012703</v>
      </c>
      <c r="Q80" s="149">
        <f t="shared" ref="Q80" si="204">Q79/Q67</f>
        <v>0.73034088005413966</v>
      </c>
      <c r="R80" s="149">
        <f t="shared" ref="R80" si="205">R79/R67</f>
        <v>0.7842498913540854</v>
      </c>
      <c r="S80" s="148">
        <f t="shared" ref="S80" si="206">S79/S67</f>
        <v>0.71391838940833929</v>
      </c>
      <c r="T80" s="149">
        <f t="shared" ref="T80" si="207">T79/T67</f>
        <v>0.59593947394326074</v>
      </c>
      <c r="U80" s="149">
        <f t="shared" ref="U80" si="208">U79/U67</f>
        <v>0.59853301767738143</v>
      </c>
      <c r="V80" s="149">
        <f t="shared" ref="V80" si="209">V79/V67</f>
        <v>0.64108818004178492</v>
      </c>
      <c r="W80" s="149">
        <f t="shared" ref="W80" si="210">W79/W67</f>
        <v>0.47249872866522113</v>
      </c>
      <c r="X80" s="149">
        <f t="shared" ref="X80" si="211">X79/X67</f>
        <v>0.46009258272631914</v>
      </c>
      <c r="Y80" s="149">
        <f t="shared" ref="Y80" si="212">Y79/Y67</f>
        <v>0.57669893781160964</v>
      </c>
      <c r="Z80" s="149">
        <f t="shared" ref="Z80" si="213">Z79/Z67</f>
        <v>0.63794468929080272</v>
      </c>
      <c r="AA80" s="149">
        <f t="shared" ref="AA80" si="214">AA79/AA67</f>
        <v>0.62317305619540764</v>
      </c>
      <c r="AB80" s="149">
        <f t="shared" ref="AB80" si="215">AB79/AB67</f>
        <v>0.59090907350933131</v>
      </c>
      <c r="AC80" s="149">
        <f t="shared" ref="AC80" si="216">AC79/AC67</f>
        <v>0.62990739280322816</v>
      </c>
      <c r="AD80" s="150">
        <f t="shared" ref="AD80" si="217">AD79/AD67</f>
        <v>0.50036611575760725</v>
      </c>
      <c r="AE80" s="15"/>
      <c r="AF80" s="111">
        <f t="shared" ref="AF80" si="218">AF79/AF67</f>
        <v>0.62773345983757789</v>
      </c>
      <c r="AG80" s="97">
        <f t="shared" ref="AG80" si="219">AG79/AG67</f>
        <v>0.59572943673744949</v>
      </c>
    </row>
    <row r="81" spans="2:36" ht="6" customHeight="1" x14ac:dyDescent="0.2">
      <c r="B81" s="9">
        <f>G55</f>
        <v>2</v>
      </c>
      <c r="C81" s="9" t="str">
        <f t="shared" si="38"/>
        <v xml:space="preserve">2 - </v>
      </c>
      <c r="D81" s="9" t="s">
        <v>56</v>
      </c>
      <c r="F81" s="16"/>
      <c r="G81" s="11"/>
      <c r="S81" s="11"/>
      <c r="AD81" s="15"/>
      <c r="AE81" s="15"/>
      <c r="AF81" s="11"/>
      <c r="AG81" s="15"/>
    </row>
    <row r="82" spans="2:36" x14ac:dyDescent="0.2">
      <c r="B82" s="9">
        <f>G55</f>
        <v>2</v>
      </c>
      <c r="C82" s="9" t="str">
        <f t="shared" si="38"/>
        <v>2 - General and Administrative Expense</v>
      </c>
      <c r="D82" s="9" t="s">
        <v>56</v>
      </c>
      <c r="F82" t="s">
        <v>10</v>
      </c>
      <c r="G82" s="144">
        <v>-3.7711097410810011</v>
      </c>
      <c r="H82" s="70">
        <v>-3.4563564342511963</v>
      </c>
      <c r="I82" s="70">
        <v>-4.0659206310680185</v>
      </c>
      <c r="J82" s="70">
        <v>-3.797107413996347</v>
      </c>
      <c r="K82" s="70">
        <v>-5.7731298061821272</v>
      </c>
      <c r="L82" s="70">
        <v>-5.3710025344667596</v>
      </c>
      <c r="M82" s="70">
        <v>-3.9447418596209967</v>
      </c>
      <c r="N82" s="70">
        <v>-3.3646414344461646</v>
      </c>
      <c r="O82" s="70">
        <v>-2.9031871103241835</v>
      </c>
      <c r="P82" s="70">
        <v>-2.4387922762111254</v>
      </c>
      <c r="Q82" s="70">
        <v>-2.4460015431672169</v>
      </c>
      <c r="R82" s="70">
        <v>-1.6911100509102621</v>
      </c>
      <c r="S82" s="144">
        <v>-3.0132316468146727</v>
      </c>
      <c r="T82" s="70">
        <v>-2.9805501206716913</v>
      </c>
      <c r="U82" s="70">
        <v>-3.3981807482637185</v>
      </c>
      <c r="V82" s="70">
        <v>-4.3278925319106678</v>
      </c>
      <c r="W82" s="70">
        <v>-5.8090934578893307</v>
      </c>
      <c r="X82" s="70">
        <v>-6.3137860251541849</v>
      </c>
      <c r="Y82" s="70">
        <v>-5.6733855206976012</v>
      </c>
      <c r="Z82" s="70">
        <v>-5.2912866730466703</v>
      </c>
      <c r="AA82" s="70">
        <v>-5.7407422989562411</v>
      </c>
      <c r="AB82" s="70">
        <v>-5.6800432531779306</v>
      </c>
      <c r="AC82" s="70">
        <v>-4.5544866900838237</v>
      </c>
      <c r="AD82" s="145">
        <v>-3.281692041420361</v>
      </c>
      <c r="AE82" s="15"/>
      <c r="AF82" s="144">
        <v>-43.023100835725394</v>
      </c>
      <c r="AG82" s="145">
        <v>-56.064371008086901</v>
      </c>
    </row>
    <row r="83" spans="2:36" x14ac:dyDescent="0.2">
      <c r="B83" s="9">
        <f>G55</f>
        <v>2</v>
      </c>
      <c r="C83" s="9" t="str">
        <f t="shared" si="38"/>
        <v>2 - % of Revenue - General and Administrative Expense</v>
      </c>
      <c r="D83" s="9" t="s">
        <v>56</v>
      </c>
      <c r="F83" s="16" t="str">
        <f>"% of Revenue - "&amp;F82</f>
        <v>% of Revenue - General and Administrative Expense</v>
      </c>
      <c r="G83" s="148">
        <f>G82/G67</f>
        <v>-2.5625810568777413E-2</v>
      </c>
      <c r="H83" s="149">
        <f t="shared" ref="H83" si="220">H82/H67</f>
        <v>-2.2837019953580336E-2</v>
      </c>
      <c r="I83" s="149">
        <f t="shared" ref="I83" si="221">I82/I67</f>
        <v>-2.0867211973661457E-2</v>
      </c>
      <c r="J83" s="149">
        <f t="shared" ref="J83" si="222">J82/J67</f>
        <v>-2.0707237637323683E-2</v>
      </c>
      <c r="K83" s="149">
        <f t="shared" ref="K83" si="223">K82/K67</f>
        <v>-2.4887351176100799E-2</v>
      </c>
      <c r="L83" s="149">
        <f t="shared" ref="L83" si="224">L82/L67</f>
        <v>-2.4397143451244024E-2</v>
      </c>
      <c r="M83" s="149">
        <f t="shared" ref="M83" si="225">M82/M67</f>
        <v>-1.1001674711560725E-2</v>
      </c>
      <c r="N83" s="149">
        <f t="shared" ref="N83" si="226">N82/N67</f>
        <v>-6.5612527090819755E-3</v>
      </c>
      <c r="O83" s="149">
        <f t="shared" ref="O83" si="227">O82/O67</f>
        <v>-5.8908230130255293E-3</v>
      </c>
      <c r="P83" s="149">
        <f t="shared" ref="P83" si="228">P82/P67</f>
        <v>-5.0539704675697551E-3</v>
      </c>
      <c r="Q83" s="149">
        <f t="shared" ref="Q83" si="229">Q82/Q67</f>
        <v>-4.4668200683137173E-3</v>
      </c>
      <c r="R83" s="149">
        <f t="shared" ref="R83" si="230">R82/R67</f>
        <v>-3.3910387109895037E-3</v>
      </c>
      <c r="S83" s="148">
        <f t="shared" ref="S83" si="231">S82/S67</f>
        <v>-5.4180644091608686E-3</v>
      </c>
      <c r="T83" s="149">
        <f t="shared" ref="T83" si="232">T82/T67</f>
        <v>-6.5001725384888848E-3</v>
      </c>
      <c r="U83" s="149">
        <f t="shared" ref="U83" si="233">U82/U67</f>
        <v>-6.9249074043607854E-3</v>
      </c>
      <c r="V83" s="149">
        <f t="shared" ref="V83" si="234">V82/V67</f>
        <v>-8.5684692953308314E-3</v>
      </c>
      <c r="W83" s="149">
        <f t="shared" ref="W83" si="235">W82/W67</f>
        <v>-1.4174602628047036E-2</v>
      </c>
      <c r="X83" s="149">
        <f t="shared" ref="X83" si="236">X82/X67</f>
        <v>-1.6230746365974161E-2</v>
      </c>
      <c r="Y83" s="149">
        <f t="shared" ref="Y83" si="237">Y82/Y67</f>
        <v>-1.1597224872927001E-2</v>
      </c>
      <c r="Z83" s="149">
        <f t="shared" ref="Z83" si="238">Z82/Z67</f>
        <v>-9.4063950464536427E-3</v>
      </c>
      <c r="AA83" s="149">
        <f t="shared" ref="AA83" si="239">AA82/AA67</f>
        <v>-1.1288428901512909E-2</v>
      </c>
      <c r="AB83" s="149">
        <f t="shared" ref="AB83" si="240">AB82/AB67</f>
        <v>-1.0255838475718673E-2</v>
      </c>
      <c r="AC83" s="149">
        <f t="shared" ref="AC83" si="241">AC82/AC67</f>
        <v>-9.0635829927246947E-3</v>
      </c>
      <c r="AD83" s="150">
        <f t="shared" ref="AD83" si="242">AD82/AD67</f>
        <v>-1.0521032817763292E-2</v>
      </c>
      <c r="AE83" s="15"/>
      <c r="AF83" s="96">
        <f t="shared" ref="AF83" si="243">AF82/AF67</f>
        <v>-1.0697247231270008E-2</v>
      </c>
      <c r="AG83" s="97">
        <f t="shared" ref="AG83" si="244">AG82/AG67</f>
        <v>-9.7709746203765505E-3</v>
      </c>
    </row>
    <row r="84" spans="2:36" ht="3" customHeight="1" x14ac:dyDescent="0.2">
      <c r="B84" s="9">
        <f>G55</f>
        <v>2</v>
      </c>
      <c r="C84" s="9" t="str">
        <f t="shared" si="38"/>
        <v xml:space="preserve">2 - </v>
      </c>
      <c r="D84" s="9" t="s">
        <v>56</v>
      </c>
      <c r="F84" s="16"/>
      <c r="G84" s="36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6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8"/>
      <c r="AE84" s="15"/>
      <c r="AF84" s="36"/>
      <c r="AG84" s="38"/>
    </row>
    <row r="85" spans="2:36" x14ac:dyDescent="0.2">
      <c r="B85" s="9">
        <f>G55</f>
        <v>2</v>
      </c>
      <c r="C85" s="9" t="str">
        <f t="shared" si="38"/>
        <v>2 - Marketing</v>
      </c>
      <c r="D85" s="9" t="s">
        <v>56</v>
      </c>
      <c r="F85" t="s">
        <v>7</v>
      </c>
      <c r="G85" s="144">
        <v>-3.3249535993083361</v>
      </c>
      <c r="H85" s="70">
        <v>-3.3186383218106177</v>
      </c>
      <c r="I85" s="70">
        <v>-4.2197457498210866</v>
      </c>
      <c r="J85" s="70">
        <v>-3.0628725135372581</v>
      </c>
      <c r="K85" s="70">
        <v>-3.6444698412308481</v>
      </c>
      <c r="L85" s="70">
        <v>-4.0863301372164083</v>
      </c>
      <c r="M85" s="70">
        <v>-4.0134041096225124</v>
      </c>
      <c r="N85" s="70">
        <v>-4.636399957400025</v>
      </c>
      <c r="O85" s="70">
        <v>-4.2226472309527185</v>
      </c>
      <c r="P85" s="70">
        <v>-4.8057681838250588</v>
      </c>
      <c r="Q85" s="70">
        <v>-3.4905950637370768</v>
      </c>
      <c r="R85" s="70">
        <v>-2.7294356697379323</v>
      </c>
      <c r="S85" s="144">
        <v>-3.2023967682465906</v>
      </c>
      <c r="T85" s="70">
        <v>-3.1428718567534397</v>
      </c>
      <c r="U85" s="70">
        <v>-3.5143258813669278</v>
      </c>
      <c r="V85" s="70">
        <v>-3.5343478043284406</v>
      </c>
      <c r="W85" s="70">
        <v>-3.3114646497729683</v>
      </c>
      <c r="X85" s="70">
        <v>-2.8806230202816048</v>
      </c>
      <c r="Y85" s="70">
        <v>-2.1294592316671705</v>
      </c>
      <c r="Z85" s="70">
        <v>-1.4063003538857237</v>
      </c>
      <c r="AA85" s="70">
        <v>-1.7871600527257816</v>
      </c>
      <c r="AB85" s="70">
        <v>-2.6419679299254968</v>
      </c>
      <c r="AC85" s="70">
        <v>-1.5583651952453397</v>
      </c>
      <c r="AD85" s="145">
        <v>-1.1708359932998014</v>
      </c>
      <c r="AE85" s="15"/>
      <c r="AF85" s="144">
        <v>-45.555260378199876</v>
      </c>
      <c r="AG85" s="145">
        <v>-30.280118737499279</v>
      </c>
    </row>
    <row r="86" spans="2:36" x14ac:dyDescent="0.2">
      <c r="B86" s="9">
        <f>G55</f>
        <v>2</v>
      </c>
      <c r="C86" s="9" t="str">
        <f t="shared" si="38"/>
        <v>2 - % of Revenue - Marketing</v>
      </c>
      <c r="D86" s="9" t="s">
        <v>56</v>
      </c>
      <c r="F86" s="16" t="str">
        <f>"% of Revenue - "&amp;F85</f>
        <v>% of Revenue - Marketing</v>
      </c>
      <c r="G86" s="148">
        <f>G85/G67</f>
        <v>-2.2594047093794166E-2</v>
      </c>
      <c r="H86" s="149">
        <f t="shared" ref="H86" si="245">H85/H67</f>
        <v>-2.1927081600403436E-2</v>
      </c>
      <c r="I86" s="149">
        <f t="shared" ref="I86" si="246">I85/I67</f>
        <v>-2.1656676808603587E-2</v>
      </c>
      <c r="J86" s="149">
        <f t="shared" ref="J86" si="247">J85/J67</f>
        <v>-1.670314322867452E-2</v>
      </c>
      <c r="K86" s="149">
        <f t="shared" ref="K86" si="248">K85/K67</f>
        <v>-1.5710923508474296E-2</v>
      </c>
      <c r="L86" s="149">
        <f t="shared" ref="L86" si="249">L85/L67</f>
        <v>-1.8561671104612171E-2</v>
      </c>
      <c r="M86" s="149">
        <f t="shared" ref="M86" si="250">M85/M67</f>
        <v>-1.1193170065721392E-2</v>
      </c>
      <c r="N86" s="149">
        <f t="shared" ref="N86" si="251">N85/N67</f>
        <v>-9.0412581469876113E-3</v>
      </c>
      <c r="O86" s="149">
        <f t="shared" ref="O86" si="252">O85/O67</f>
        <v>-8.5681241128158486E-3</v>
      </c>
      <c r="P86" s="149">
        <f t="shared" ref="P86" si="253">P85/P67</f>
        <v>-9.9591140713189471E-3</v>
      </c>
      <c r="Q86" s="149">
        <f t="shared" ref="Q86" si="254">Q85/Q67</f>
        <v>-6.374427736815071E-3</v>
      </c>
      <c r="R86" s="149">
        <f t="shared" ref="R86" si="255">R85/R67</f>
        <v>-5.473104491487666E-3</v>
      </c>
      <c r="S86" s="148">
        <f t="shared" ref="S86" si="256">S85/S67</f>
        <v>-5.7582004929459677E-3</v>
      </c>
      <c r="T86" s="149">
        <f t="shared" ref="T86" si="257">T85/T67</f>
        <v>-6.8541740645697959E-3</v>
      </c>
      <c r="U86" s="149">
        <f t="shared" ref="U86" si="258">U85/U67</f>
        <v>-7.1615911924782462E-3</v>
      </c>
      <c r="V86" s="149">
        <f t="shared" ref="V86" si="259">V85/V67</f>
        <v>-6.9973897034449921E-3</v>
      </c>
      <c r="W86" s="149">
        <f t="shared" ref="W86" si="260">W85/W67</f>
        <v>-8.0802100822821715E-3</v>
      </c>
      <c r="X86" s="149">
        <f t="shared" ref="X86" si="261">X85/X67</f>
        <v>-7.4051704368672203E-3</v>
      </c>
      <c r="Y86" s="149">
        <f t="shared" ref="Y86" si="262">Y85/Y67</f>
        <v>-4.3529242772731448E-3</v>
      </c>
      <c r="Z86" s="149">
        <f t="shared" ref="Z86" si="263">Z85/Z67</f>
        <v>-2.5000000000000001E-3</v>
      </c>
      <c r="AA86" s="149">
        <f t="shared" ref="AA86" si="264">AA85/AA67</f>
        <v>-3.5142196148548674E-3</v>
      </c>
      <c r="AB86" s="149">
        <f t="shared" ref="AB86" si="265">AB85/AB67</f>
        <v>-4.7703151436716603E-3</v>
      </c>
      <c r="AC86" s="149">
        <f t="shared" ref="AC86" si="266">AC85/AC67</f>
        <v>-3.1011995952983686E-3</v>
      </c>
      <c r="AD86" s="150">
        <f t="shared" ref="AD86" si="267">AD85/AD67</f>
        <v>-3.7536745539335004E-3</v>
      </c>
      <c r="AE86" s="15"/>
      <c r="AF86" s="96">
        <f t="shared" ref="AF86" si="268">AF85/AF67</f>
        <v>-1.1326842405227728E-2</v>
      </c>
      <c r="AG86" s="97">
        <f t="shared" ref="AG86" si="269">AG85/AG67</f>
        <v>-5.2772601630261262E-3</v>
      </c>
    </row>
    <row r="87" spans="2:36" ht="3" customHeight="1" x14ac:dyDescent="0.2">
      <c r="B87" s="9">
        <f>G55</f>
        <v>2</v>
      </c>
      <c r="C87" s="9" t="str">
        <f t="shared" si="38"/>
        <v xml:space="preserve">2 - </v>
      </c>
      <c r="D87" s="9" t="s">
        <v>56</v>
      </c>
      <c r="F87" s="16"/>
      <c r="G87" s="36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6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8"/>
      <c r="AE87" s="15"/>
      <c r="AF87" s="36"/>
      <c r="AG87" s="38"/>
    </row>
    <row r="88" spans="2:36" x14ac:dyDescent="0.2">
      <c r="B88" s="9">
        <f>G55</f>
        <v>2</v>
      </c>
      <c r="C88" s="9" t="str">
        <f t="shared" si="38"/>
        <v>2 - Office Rent</v>
      </c>
      <c r="D88" s="9" t="s">
        <v>56</v>
      </c>
      <c r="F88" t="s">
        <v>162</v>
      </c>
      <c r="G88" s="144">
        <v>-16.7067307172208</v>
      </c>
      <c r="H88" s="70">
        <v>-16.7067307172208</v>
      </c>
      <c r="I88" s="70">
        <v>-16.7067307172208</v>
      </c>
      <c r="J88" s="70">
        <v>-16.7067307172208</v>
      </c>
      <c r="K88" s="70">
        <v>-16.7067307172208</v>
      </c>
      <c r="L88" s="70">
        <v>-16.7067307172208</v>
      </c>
      <c r="M88" s="70">
        <v>-17.207932638737425</v>
      </c>
      <c r="N88" s="70">
        <v>-17.207932638737425</v>
      </c>
      <c r="O88" s="70">
        <v>-17.207932638737425</v>
      </c>
      <c r="P88" s="70">
        <v>-17.207932638737425</v>
      </c>
      <c r="Q88" s="70">
        <v>-17.207932638737425</v>
      </c>
      <c r="R88" s="70">
        <v>-17.207932638737425</v>
      </c>
      <c r="S88" s="144">
        <v>-17.208037697884983</v>
      </c>
      <c r="T88" s="70">
        <v>-17.208037697884983</v>
      </c>
      <c r="U88" s="70">
        <v>-17.208037697884983</v>
      </c>
      <c r="V88" s="70">
        <v>-17.208037697884983</v>
      </c>
      <c r="W88" s="70">
        <v>-17.208037697884983</v>
      </c>
      <c r="X88" s="70">
        <v>-17.208037697884983</v>
      </c>
      <c r="Y88" s="70">
        <v>-17.724278828821532</v>
      </c>
      <c r="Z88" s="70">
        <v>-17.724278828821532</v>
      </c>
      <c r="AA88" s="70">
        <v>-17.724278828821532</v>
      </c>
      <c r="AB88" s="70">
        <v>-17.724278828821532</v>
      </c>
      <c r="AC88" s="70">
        <v>-17.724278828821532</v>
      </c>
      <c r="AD88" s="145">
        <v>-17.724278828821532</v>
      </c>
      <c r="AE88" s="15"/>
      <c r="AF88" s="144">
        <v>-203.48798013574932</v>
      </c>
      <c r="AG88" s="145">
        <v>-209.59389916023903</v>
      </c>
    </row>
    <row r="89" spans="2:36" x14ac:dyDescent="0.2">
      <c r="B89" s="9">
        <f>G55</f>
        <v>2</v>
      </c>
      <c r="C89" s="9" t="str">
        <f t="shared" si="38"/>
        <v>2 - % YoY Growth</v>
      </c>
      <c r="D89" s="9" t="s">
        <v>56</v>
      </c>
      <c r="F89" s="16" t="s">
        <v>8</v>
      </c>
      <c r="G89" s="82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148">
        <f>S88/G88-1</f>
        <v>3.0006288432449013E-2</v>
      </c>
      <c r="T89" s="149">
        <f t="shared" ref="T89" si="270">T88/H88-1</f>
        <v>3.0006288432449013E-2</v>
      </c>
      <c r="U89" s="149">
        <f t="shared" ref="U89" si="271">U88/I88-1</f>
        <v>3.0006288432449013E-2</v>
      </c>
      <c r="V89" s="149">
        <f t="shared" ref="V89" si="272">V88/J88-1</f>
        <v>3.0006288432449013E-2</v>
      </c>
      <c r="W89" s="149">
        <f t="shared" ref="W89" si="273">W88/K88-1</f>
        <v>3.0006288432449013E-2</v>
      </c>
      <c r="X89" s="149">
        <f t="shared" ref="X89" si="274">X88/L88-1</f>
        <v>3.0006288432449013E-2</v>
      </c>
      <c r="Y89" s="149">
        <f t="shared" ref="Y89" si="275">Y88/M88-1</f>
        <v>3.0006288432449013E-2</v>
      </c>
      <c r="Z89" s="149">
        <f t="shared" ref="Z89" si="276">Z88/N88-1</f>
        <v>3.0006288432449013E-2</v>
      </c>
      <c r="AA89" s="149">
        <f t="shared" ref="AA89" si="277">AA88/O88-1</f>
        <v>3.0006288432449013E-2</v>
      </c>
      <c r="AB89" s="149">
        <f t="shared" ref="AB89" si="278">AB88/P88-1</f>
        <v>3.0006288432449013E-2</v>
      </c>
      <c r="AC89" s="149">
        <f t="shared" ref="AC89" si="279">AC88/Q88-1</f>
        <v>3.0006288432449013E-2</v>
      </c>
      <c r="AD89" s="150">
        <f t="shared" ref="AD89" si="280">AD88/R88-1</f>
        <v>3.0006288432449013E-2</v>
      </c>
      <c r="AE89" s="15"/>
      <c r="AF89" s="11"/>
      <c r="AG89" s="97">
        <f>AG88/AF88-1</f>
        <v>3.0006288432448791E-2</v>
      </c>
    </row>
    <row r="90" spans="2:36" ht="6" customHeight="1" x14ac:dyDescent="0.2">
      <c r="B90" s="9">
        <f>G55</f>
        <v>2</v>
      </c>
      <c r="C90" s="9" t="str">
        <f t="shared" si="38"/>
        <v xml:space="preserve">2 - </v>
      </c>
      <c r="D90" s="9" t="s">
        <v>56</v>
      </c>
      <c r="F90" s="16"/>
      <c r="G90" s="11"/>
      <c r="S90" s="11"/>
      <c r="AD90" s="15"/>
      <c r="AE90" s="15"/>
      <c r="AF90" s="11"/>
      <c r="AG90" s="15"/>
    </row>
    <row r="91" spans="2:36" x14ac:dyDescent="0.2">
      <c r="B91" s="9">
        <f>G55</f>
        <v>2</v>
      </c>
      <c r="C91" s="9" t="str">
        <f t="shared" si="38"/>
        <v>2 - Office EBITDA</v>
      </c>
      <c r="D91" s="9" t="s">
        <v>56</v>
      </c>
      <c r="F91" s="8" t="s">
        <v>12</v>
      </c>
      <c r="G91" s="134">
        <f>G79+G82+G85+G88</f>
        <v>28.935242988063138</v>
      </c>
      <c r="H91" s="135">
        <f t="shared" ref="H91:AD91" si="281">H79+H82+H85+H88</f>
        <v>30.635406371506036</v>
      </c>
      <c r="I91" s="135">
        <f t="shared" si="281"/>
        <v>43.03070512365629</v>
      </c>
      <c r="J91" s="135">
        <f t="shared" si="281"/>
        <v>42.263043502782999</v>
      </c>
      <c r="K91" s="135">
        <f t="shared" si="281"/>
        <v>55.317908791342681</v>
      </c>
      <c r="L91" s="135">
        <f t="shared" si="281"/>
        <v>53.623244193922837</v>
      </c>
      <c r="M91" s="135">
        <f t="shared" si="281"/>
        <v>219.04085674530441</v>
      </c>
      <c r="N91" s="135">
        <f t="shared" si="281"/>
        <v>350.53021528110349</v>
      </c>
      <c r="O91" s="135">
        <f t="shared" si="281"/>
        <v>334.98577328660394</v>
      </c>
      <c r="P91" s="135">
        <f t="shared" si="281"/>
        <v>327.98110808993329</v>
      </c>
      <c r="Q91" s="135">
        <f t="shared" si="281"/>
        <v>376.78537442852257</v>
      </c>
      <c r="R91" s="135">
        <f t="shared" si="281"/>
        <v>369.47672176591016</v>
      </c>
      <c r="S91" s="134">
        <f t="shared" si="281"/>
        <v>373.61876855632698</v>
      </c>
      <c r="T91" s="135">
        <f t="shared" si="281"/>
        <v>249.92705161145872</v>
      </c>
      <c r="U91" s="135">
        <f t="shared" si="281"/>
        <v>269.59072993308365</v>
      </c>
      <c r="V91" s="135">
        <f t="shared" si="281"/>
        <v>298.74027097618381</v>
      </c>
      <c r="W91" s="135">
        <f t="shared" si="281"/>
        <v>167.31276018697247</v>
      </c>
      <c r="X91" s="135">
        <f t="shared" si="281"/>
        <v>152.57429613674566</v>
      </c>
      <c r="Y91" s="135">
        <f t="shared" si="281"/>
        <v>256.59514613697434</v>
      </c>
      <c r="Z91" s="135">
        <f t="shared" si="281"/>
        <v>334.43487106791559</v>
      </c>
      <c r="AA91" s="135">
        <f t="shared" si="281"/>
        <v>291.66312691798191</v>
      </c>
      <c r="AB91" s="135">
        <f t="shared" si="281"/>
        <v>301.21989150748533</v>
      </c>
      <c r="AC91" s="135">
        <f t="shared" si="281"/>
        <v>292.69385254165059</v>
      </c>
      <c r="AD91" s="136">
        <f t="shared" si="281"/>
        <v>133.89603582408793</v>
      </c>
      <c r="AE91" s="15"/>
      <c r="AF91" s="94">
        <f>SUM(G91:R91)</f>
        <v>2232.6056005686519</v>
      </c>
      <c r="AG91" s="95">
        <f>SUM(S91:AD91)</f>
        <v>3122.2668013968673</v>
      </c>
    </row>
    <row r="92" spans="2:36" x14ac:dyDescent="0.2">
      <c r="B92" s="9">
        <f>G55</f>
        <v>2</v>
      </c>
      <c r="C92" s="9" t="str">
        <f t="shared" si="38"/>
        <v>2 - % of Revenue - Office EBITDA</v>
      </c>
      <c r="D92" s="9" t="s">
        <v>56</v>
      </c>
      <c r="F92" s="16" t="str">
        <f>"% of Revenue - "&amp;F91</f>
        <v>% of Revenue - Office EBITDA</v>
      </c>
      <c r="G92" s="148">
        <f>G91/G67</f>
        <v>0.1966235687856436</v>
      </c>
      <c r="H92" s="149">
        <f t="shared" ref="H92" si="282">H91/H67</f>
        <v>0.20241586766316688</v>
      </c>
      <c r="I92" s="149">
        <f t="shared" ref="I92" si="283">I91/I67</f>
        <v>0.22084318083592086</v>
      </c>
      <c r="J92" s="149">
        <f t="shared" ref="J92" si="284">J91/J67</f>
        <v>0.23047830616084811</v>
      </c>
      <c r="K92" s="149">
        <f t="shared" ref="K92" si="285">K91/K67</f>
        <v>0.23846964621225203</v>
      </c>
      <c r="L92" s="149">
        <f t="shared" ref="L92" si="286">L91/L67</f>
        <v>0.24357724140417092</v>
      </c>
      <c r="M92" s="149">
        <f t="shared" ref="M92" si="287">M91/M67</f>
        <v>0.61089327013274874</v>
      </c>
      <c r="N92" s="149">
        <f t="shared" ref="N92" si="288">N91/N67</f>
        <v>0.68355495509339625</v>
      </c>
      <c r="O92" s="149">
        <f t="shared" ref="O92" si="289">O91/O67</f>
        <v>0.67971571494492011</v>
      </c>
      <c r="P92" s="149">
        <f t="shared" ref="P92" si="290">P91/P67</f>
        <v>0.67968348529566525</v>
      </c>
      <c r="Q92" s="149">
        <f t="shared" ref="Q92" si="291">Q91/Q67</f>
        <v>0.68807498369978137</v>
      </c>
      <c r="R92" s="149">
        <f t="shared" ref="R92" si="292">R91/R67</f>
        <v>0.74088014889587128</v>
      </c>
      <c r="S92" s="148">
        <f t="shared" ref="S92" si="293">S91/S67</f>
        <v>0.67180050848379069</v>
      </c>
      <c r="T92" s="149">
        <f t="shared" ref="T92" si="294">T91/T67</f>
        <v>0.54505674849855845</v>
      </c>
      <c r="U92" s="149">
        <f t="shared" ref="U92" si="295">U91/U67</f>
        <v>0.54937950043255268</v>
      </c>
      <c r="V92" s="149">
        <f t="shared" ref="V92" si="296">V91/V67</f>
        <v>0.59145341994159273</v>
      </c>
      <c r="W92" s="149">
        <f t="shared" ref="W92" si="297">W91/W67</f>
        <v>0.4082550758468525</v>
      </c>
      <c r="X92" s="149">
        <f t="shared" ref="X92" si="298">X91/X67</f>
        <v>0.39222024514238674</v>
      </c>
      <c r="Y92" s="149">
        <f t="shared" ref="Y92" si="299">Y91/Y67</f>
        <v>0.52451778575522456</v>
      </c>
      <c r="Z92" s="149">
        <f t="shared" ref="Z92" si="300">Z91/Z67</f>
        <v>0.5945295934539242</v>
      </c>
      <c r="AA92" s="149">
        <f t="shared" ref="AA92" si="301">AA91/AA67</f>
        <v>0.57351790063894514</v>
      </c>
      <c r="AB92" s="149">
        <f t="shared" ref="AB92" si="302">AB91/AB67</f>
        <v>0.54388011063927355</v>
      </c>
      <c r="AC92" s="149">
        <f t="shared" ref="AC92" si="303">AC91/AC67</f>
        <v>0.58247069417228858</v>
      </c>
      <c r="AD92" s="150">
        <f t="shared" ref="AD92" si="304">AD91/AD67</f>
        <v>0.42926775861147637</v>
      </c>
      <c r="AE92" s="15"/>
      <c r="AF92" s="96">
        <f t="shared" ref="AF92" si="305">AF91/AF67</f>
        <v>0.555114197147065</v>
      </c>
      <c r="AG92" s="97">
        <f t="shared" ref="AG92" si="306">AG91/AG67</f>
        <v>0.54415289293252844</v>
      </c>
    </row>
    <row r="93" spans="2:36" ht="6" customHeight="1" x14ac:dyDescent="0.2">
      <c r="B93" s="9">
        <f>G55</f>
        <v>2</v>
      </c>
      <c r="C93" s="9" t="str">
        <f t="shared" si="38"/>
        <v xml:space="preserve">2 - </v>
      </c>
      <c r="D93" s="9" t="s">
        <v>56</v>
      </c>
      <c r="G93" s="11"/>
      <c r="S93" s="11"/>
      <c r="AD93" s="15"/>
      <c r="AE93" s="15"/>
      <c r="AF93" s="11"/>
      <c r="AG93" s="15"/>
    </row>
    <row r="94" spans="2:36" x14ac:dyDescent="0.2">
      <c r="B94" s="9">
        <f>G55</f>
        <v>2</v>
      </c>
      <c r="C94" s="9" t="str">
        <f t="shared" si="38"/>
        <v>2 - Memo:</v>
      </c>
      <c r="D94" s="9" t="s">
        <v>56</v>
      </c>
      <c r="F94" s="6" t="s">
        <v>13</v>
      </c>
      <c r="G94" s="11"/>
      <c r="S94" s="11"/>
      <c r="AD94" s="15"/>
      <c r="AE94" s="15"/>
      <c r="AF94" s="11"/>
      <c r="AG94" s="15"/>
    </row>
    <row r="95" spans="2:36" s="24" customFormat="1" x14ac:dyDescent="0.2">
      <c r="B95" s="9">
        <f>G55</f>
        <v>2</v>
      </c>
      <c r="C95" s="9" t="str">
        <f t="shared" si="38"/>
        <v>2 - Collections</v>
      </c>
      <c r="D95" s="9" t="s">
        <v>56</v>
      </c>
      <c r="E95" s="49"/>
      <c r="F95" s="24" t="s">
        <v>15</v>
      </c>
      <c r="G95" s="169">
        <f>G96*G65</f>
        <v>149.80323075100674</v>
      </c>
      <c r="H95" s="170">
        <f t="shared" ref="H95" si="307">H96*H65</f>
        <v>152.84156809877382</v>
      </c>
      <c r="I95" s="170">
        <f t="shared" ref="I95" si="308">I96*I65</f>
        <v>192.58615397322109</v>
      </c>
      <c r="J95" s="170">
        <f t="shared" ref="J95" si="309">J96*J65</f>
        <v>181.61298192656193</v>
      </c>
      <c r="K95" s="170">
        <f t="shared" ref="K95" si="310">K96*K65</f>
        <v>228.05179765816288</v>
      </c>
      <c r="L95" s="170">
        <f t="shared" ref="L95" si="311">L96*L65</f>
        <v>218.0768752917763</v>
      </c>
      <c r="M95" s="170">
        <f t="shared" ref="M95" si="312">M96*M65</f>
        <v>355.81123494341267</v>
      </c>
      <c r="N95" s="170">
        <f t="shared" ref="N95" si="313">N96*N65</f>
        <v>518.19925941084693</v>
      </c>
      <c r="O95" s="170">
        <f t="shared" ref="O95" si="314">O96*O65</f>
        <v>492.51497083108274</v>
      </c>
      <c r="P95" s="170">
        <f t="shared" ref="P95" si="315">P96*P65</f>
        <v>491.50798173288661</v>
      </c>
      <c r="Q95" s="170">
        <f t="shared" ref="Q95" si="316">Q96*Q65</f>
        <v>553.55082543488174</v>
      </c>
      <c r="R95" s="170">
        <f t="shared" ref="R95" si="317">R96*R65</f>
        <v>496.45631009730369</v>
      </c>
      <c r="S95" s="169">
        <f t="shared" ref="S95" si="318">S96*S65</f>
        <v>546.65016020170856</v>
      </c>
      <c r="T95" s="170">
        <f t="shared" ref="T95" si="319">T96*T65</f>
        <v>458.24193391390838</v>
      </c>
      <c r="U95" s="170">
        <f t="shared" ref="U95" si="320">U96*U65</f>
        <v>478.67152359421965</v>
      </c>
      <c r="V95" s="170">
        <f t="shared" ref="V95" si="321">V96*V65</f>
        <v>508.47678668648973</v>
      </c>
      <c r="W95" s="170">
        <f t="shared" ref="W95" si="322">W96*W65</f>
        <v>405.27331947020906</v>
      </c>
      <c r="X95" s="170">
        <f t="shared" ref="X95" si="323">X96*X65</f>
        <v>392.47458576760454</v>
      </c>
      <c r="Y95" s="170">
        <f t="shared" ref="Y95" si="324">Y96*Y65</f>
        <v>479.48451536995532</v>
      </c>
      <c r="Z95" s="170">
        <f t="shared" ref="Z95" si="325">Z96*Z65</f>
        <v>558.93702378711805</v>
      </c>
      <c r="AA95" s="170">
        <f t="shared" ref="AA95" si="326">AA96*AA65</f>
        <v>499.32266338272615</v>
      </c>
      <c r="AB95" s="170">
        <f t="shared" ref="AB95" si="327">AB96*AB65</f>
        <v>550.32279679734449</v>
      </c>
      <c r="AC95" s="170">
        <f t="shared" ref="AC95" si="328">AC96*AC65</f>
        <v>499.67902546785683</v>
      </c>
      <c r="AD95" s="171">
        <f t="shared" ref="AD95" si="329">AD96*AD65</f>
        <v>314.83382876507295</v>
      </c>
      <c r="AE95" s="26"/>
      <c r="AF95" s="68">
        <f>SUM(G95:R95)</f>
        <v>4031.0131901499171</v>
      </c>
      <c r="AG95" s="99">
        <f>SUM(S95:AD95)</f>
        <v>5692.3681632042135</v>
      </c>
    </row>
    <row r="96" spans="2:36" x14ac:dyDescent="0.2">
      <c r="B96" s="116">
        <f>G55</f>
        <v>2</v>
      </c>
      <c r="C96" s="9" t="str">
        <f t="shared" si="38"/>
        <v>2 - Collections as a % of Production</v>
      </c>
      <c r="D96" s="9" t="s">
        <v>56</v>
      </c>
      <c r="E96" s="163"/>
      <c r="F96" s="172" t="s">
        <v>17</v>
      </c>
      <c r="G96" s="140">
        <v>0.99919023163581089</v>
      </c>
      <c r="H96" s="141">
        <v>0.99124487036025644</v>
      </c>
      <c r="I96" s="141">
        <v>0.97017292495940755</v>
      </c>
      <c r="J96" s="141">
        <v>0.97215325164865229</v>
      </c>
      <c r="K96" s="141">
        <v>0.96498244493030416</v>
      </c>
      <c r="L96" s="141">
        <v>0.97232577273908649</v>
      </c>
      <c r="M96" s="141">
        <v>0.97404366825968869</v>
      </c>
      <c r="N96" s="141">
        <v>0.99188956977040044</v>
      </c>
      <c r="O96" s="141">
        <v>0.98093209211799082</v>
      </c>
      <c r="P96" s="141">
        <v>0.99978593539068783</v>
      </c>
      <c r="Q96" s="141">
        <v>0.992242429056447</v>
      </c>
      <c r="R96" s="141">
        <v>0.97714827823050499</v>
      </c>
      <c r="S96" s="140">
        <v>0.96839004328589806</v>
      </c>
      <c r="T96" s="141">
        <v>0.98458332595619069</v>
      </c>
      <c r="U96" s="141">
        <v>0.96102410180339604</v>
      </c>
      <c r="V96" s="141">
        <v>0.99180684211804981</v>
      </c>
      <c r="W96" s="141">
        <v>0.97427090884676126</v>
      </c>
      <c r="X96" s="141">
        <v>0.99400681887833808</v>
      </c>
      <c r="Y96" s="141">
        <v>0.96564069751225512</v>
      </c>
      <c r="Z96" s="141">
        <v>0.97893530827561703</v>
      </c>
      <c r="AA96" s="141">
        <v>0.96733281507525215</v>
      </c>
      <c r="AB96" s="141">
        <v>0.97896288135032417</v>
      </c>
      <c r="AC96" s="141">
        <v>0.97967221437086494</v>
      </c>
      <c r="AD96" s="142">
        <v>0.99442294070591386</v>
      </c>
      <c r="AE96" s="173"/>
      <c r="AF96" s="96">
        <f t="shared" ref="AF96" si="330">AF95/AF65</f>
        <v>0.98379158452316939</v>
      </c>
      <c r="AG96" s="97">
        <f t="shared" ref="AG96" si="331">AG95/AG65</f>
        <v>0.97740173219733295</v>
      </c>
      <c r="AH96" s="164"/>
      <c r="AI96" s="164"/>
      <c r="AJ96" s="164"/>
    </row>
    <row r="97" spans="2:34" ht="6" customHeight="1" x14ac:dyDescent="0.2">
      <c r="B97" s="9">
        <f>G55</f>
        <v>2</v>
      </c>
      <c r="C97" s="9" t="str">
        <f t="shared" si="38"/>
        <v xml:space="preserve">2 - </v>
      </c>
      <c r="D97" s="9" t="s">
        <v>56</v>
      </c>
      <c r="F97" s="27"/>
      <c r="R97" s="15"/>
      <c r="AD97" s="15"/>
      <c r="AE97" s="15"/>
      <c r="AF97" s="11"/>
      <c r="AG97" s="15"/>
    </row>
    <row r="98" spans="2:34" s="24" customFormat="1" x14ac:dyDescent="0.2">
      <c r="B98" s="9">
        <f>G55</f>
        <v>2</v>
      </c>
      <c r="C98" s="9" t="str">
        <f t="shared" si="38"/>
        <v>2 - Production per Vet Workday - YoY Change</v>
      </c>
      <c r="D98" s="9" t="s">
        <v>56</v>
      </c>
      <c r="E98" s="49"/>
      <c r="F98" s="24" t="s">
        <v>55</v>
      </c>
      <c r="G98" s="88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151">
        <f>S64/G64-1</f>
        <v>-9.9629996836057666E-2</v>
      </c>
      <c r="T98" s="152">
        <f t="shared" ref="T98" si="332">T64/H64-1</f>
        <v>-3.9588880067628396E-2</v>
      </c>
      <c r="U98" s="152">
        <f t="shared" ref="U98" si="333">U64/I64-1</f>
        <v>-8.7580184245372505E-2</v>
      </c>
      <c r="V98" s="152">
        <f t="shared" ref="V98" si="334">V64/J64-1</f>
        <v>-0.12681305467050374</v>
      </c>
      <c r="W98" s="152">
        <f t="shared" ref="W98" si="335">W64/K64-1</f>
        <v>-0.15658603054149989</v>
      </c>
      <c r="X98" s="152">
        <f t="shared" ref="X98" si="336">X64/L64-1</f>
        <v>-3.5942575988702985E-2</v>
      </c>
      <c r="Y98" s="152">
        <f t="shared" ref="Y98" si="337">Y64/M64-1</f>
        <v>-0.13319505215459126</v>
      </c>
      <c r="Z98" s="152">
        <f t="shared" ref="Z98" si="338">Z64/N64-1</f>
        <v>-0.14469681413968072</v>
      </c>
      <c r="AA98" s="152">
        <f t="shared" ref="AA98" si="339">AA64/O64-1</f>
        <v>-0.19222666255053955</v>
      </c>
      <c r="AB98" s="152">
        <f t="shared" ref="AB98" si="340">AB64/P64-1</f>
        <v>-0.21385903243977111</v>
      </c>
      <c r="AC98" s="152">
        <f t="shared" ref="AC98" si="341">AC64/Q64-1</f>
        <v>-4.418074413222095E-2</v>
      </c>
      <c r="AD98" s="153">
        <f t="shared" ref="AD98" si="342">AD64/R64-1</f>
        <v>3.8576381485931899E-2</v>
      </c>
      <c r="AF98" s="43"/>
      <c r="AG98" s="104">
        <f>AG64/AF64-1</f>
        <v>-9.7502825218549583E-2</v>
      </c>
    </row>
    <row r="99" spans="2:34" s="24" customFormat="1" ht="6" customHeight="1" x14ac:dyDescent="0.2">
      <c r="D99" s="9" t="s">
        <v>56</v>
      </c>
      <c r="E99" s="49"/>
      <c r="G99" s="28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29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29"/>
      <c r="AE99" s="25"/>
      <c r="AF99" s="28"/>
      <c r="AG99" s="29"/>
    </row>
    <row r="100" spans="2:34" s="24" customFormat="1" ht="6" customHeight="1" x14ac:dyDescent="0.2">
      <c r="D100" s="9" t="s">
        <v>56</v>
      </c>
      <c r="E100" s="49"/>
    </row>
    <row r="101" spans="2:34" x14ac:dyDescent="0.2">
      <c r="D101" s="9" t="s">
        <v>56</v>
      </c>
      <c r="F101" s="16"/>
    </row>
    <row r="102" spans="2:34" ht="15.75" thickBot="1" x14ac:dyDescent="0.4">
      <c r="B102" s="35" t="s">
        <v>52</v>
      </c>
      <c r="C102" s="35"/>
      <c r="D102" s="9" t="s">
        <v>56</v>
      </c>
      <c r="E102" s="48" t="s">
        <v>0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74">
        <f ca="1">AG$2</f>
        <v>45999</v>
      </c>
      <c r="AH102" s="1"/>
    </row>
    <row r="103" spans="2:34" x14ac:dyDescent="0.2">
      <c r="B103" s="9">
        <f>G105</f>
        <v>3</v>
      </c>
      <c r="C103" s="9"/>
      <c r="D103" s="9" t="s">
        <v>56</v>
      </c>
      <c r="F103" t="s">
        <v>159</v>
      </c>
      <c r="AG103" s="6" t="s">
        <v>16</v>
      </c>
    </row>
    <row r="104" spans="2:34" x14ac:dyDescent="0.2">
      <c r="B104" s="9"/>
      <c r="C104" s="9"/>
      <c r="D104" s="9" t="s">
        <v>56</v>
      </c>
      <c r="AG104" s="6"/>
    </row>
    <row r="105" spans="2:34" x14ac:dyDescent="0.2">
      <c r="B105" s="9">
        <f>G105</f>
        <v>3</v>
      </c>
      <c r="C105" s="9"/>
      <c r="D105" s="9" t="s">
        <v>56</v>
      </c>
      <c r="F105" s="40" t="s">
        <v>53</v>
      </c>
      <c r="G105" s="42">
        <v>3</v>
      </c>
    </row>
    <row r="106" spans="2:34" x14ac:dyDescent="0.2">
      <c r="B106" s="9">
        <f>G105</f>
        <v>3</v>
      </c>
      <c r="C106" s="9"/>
      <c r="D106" s="9" t="s">
        <v>56</v>
      </c>
      <c r="F106" s="39" t="s">
        <v>20</v>
      </c>
      <c r="G106" s="41"/>
      <c r="H106" s="11"/>
    </row>
    <row r="107" spans="2:34" x14ac:dyDescent="0.2">
      <c r="B107" s="9">
        <f>G105</f>
        <v>3</v>
      </c>
      <c r="C107" s="9"/>
      <c r="D107" s="9" t="s">
        <v>56</v>
      </c>
      <c r="G107" s="23"/>
    </row>
    <row r="108" spans="2:34" x14ac:dyDescent="0.2">
      <c r="B108" s="9">
        <f>G105</f>
        <v>3</v>
      </c>
      <c r="C108" s="9"/>
      <c r="D108" s="9" t="s">
        <v>56</v>
      </c>
      <c r="G108" s="20">
        <v>2023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2"/>
      <c r="S108" s="20">
        <v>2024</v>
      </c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2"/>
      <c r="AF108" s="17" t="s">
        <v>14</v>
      </c>
      <c r="AG108" s="18"/>
    </row>
    <row r="109" spans="2:34" ht="15" customHeight="1" x14ac:dyDescent="0.35">
      <c r="B109" s="9">
        <f>G105</f>
        <v>3</v>
      </c>
      <c r="C109" s="9"/>
      <c r="D109" s="9" t="s">
        <v>56</v>
      </c>
      <c r="G109" s="165">
        <v>44957</v>
      </c>
      <c r="H109" s="166">
        <v>44985</v>
      </c>
      <c r="I109" s="166">
        <v>45016</v>
      </c>
      <c r="J109" s="166">
        <v>45046</v>
      </c>
      <c r="K109" s="166">
        <v>45077</v>
      </c>
      <c r="L109" s="166">
        <v>45107</v>
      </c>
      <c r="M109" s="166">
        <v>45138</v>
      </c>
      <c r="N109" s="166">
        <v>45169</v>
      </c>
      <c r="O109" s="166">
        <v>45199</v>
      </c>
      <c r="P109" s="166">
        <v>45230</v>
      </c>
      <c r="Q109" s="166">
        <v>45260</v>
      </c>
      <c r="R109" s="167">
        <v>45291</v>
      </c>
      <c r="S109" s="165">
        <v>45322</v>
      </c>
      <c r="T109" s="166">
        <v>45351</v>
      </c>
      <c r="U109" s="166">
        <v>45382</v>
      </c>
      <c r="V109" s="166">
        <v>45412</v>
      </c>
      <c r="W109" s="166">
        <v>45443</v>
      </c>
      <c r="X109" s="166">
        <v>45473</v>
      </c>
      <c r="Y109" s="166">
        <v>45504</v>
      </c>
      <c r="Z109" s="166">
        <v>45535</v>
      </c>
      <c r="AA109" s="166">
        <v>45565</v>
      </c>
      <c r="AB109" s="166">
        <v>45596</v>
      </c>
      <c r="AC109" s="166">
        <v>45626</v>
      </c>
      <c r="AD109" s="167">
        <v>45657</v>
      </c>
      <c r="AE109" s="168"/>
      <c r="AF109" s="13">
        <v>45291</v>
      </c>
      <c r="AG109" s="14">
        <v>45657</v>
      </c>
    </row>
    <row r="110" spans="2:34" ht="0.95" customHeight="1" x14ac:dyDescent="0.2">
      <c r="B110" s="9">
        <f>G105</f>
        <v>3</v>
      </c>
      <c r="C110" s="9"/>
      <c r="D110" s="9" t="s">
        <v>56</v>
      </c>
      <c r="G110" s="11"/>
      <c r="S110" s="11"/>
      <c r="AD110" s="15"/>
      <c r="AE110" s="15"/>
      <c r="AF110" s="11"/>
      <c r="AG110" s="15"/>
    </row>
    <row r="111" spans="2:34" x14ac:dyDescent="0.2">
      <c r="B111" s="9">
        <f>G105</f>
        <v>3</v>
      </c>
      <c r="C111" s="9" t="str">
        <f>B111&amp;" - "&amp;F111</f>
        <v>3 - Employed Vets</v>
      </c>
      <c r="D111" s="9" t="s">
        <v>56</v>
      </c>
      <c r="F111" s="7" t="s">
        <v>160</v>
      </c>
      <c r="G111" s="121">
        <v>4</v>
      </c>
      <c r="H111" s="154">
        <f>MAX(MIN(IF(H114/G114&gt;1.1,G111-1,IF(H114/G114&lt;0.9,G111+1,G111)),5),1)</f>
        <v>4</v>
      </c>
      <c r="I111" s="154">
        <f t="shared" ref="I111:AB111" si="343">MAX(MIN(IF(I114/H114&gt;1.1,H111-1,IF(I114/H114&lt;0.9,H111+1,H111)),5),1)</f>
        <v>3</v>
      </c>
      <c r="J111" s="154">
        <f t="shared" si="343"/>
        <v>3</v>
      </c>
      <c r="K111" s="154">
        <f t="shared" si="343"/>
        <v>2</v>
      </c>
      <c r="L111" s="154">
        <f t="shared" si="343"/>
        <v>2</v>
      </c>
      <c r="M111" s="154">
        <f t="shared" si="343"/>
        <v>2</v>
      </c>
      <c r="N111" s="154">
        <f t="shared" si="343"/>
        <v>3</v>
      </c>
      <c r="O111" s="154">
        <f t="shared" si="343"/>
        <v>3</v>
      </c>
      <c r="P111" s="154">
        <f t="shared" si="343"/>
        <v>3</v>
      </c>
      <c r="Q111" s="154">
        <f t="shared" si="343"/>
        <v>4</v>
      </c>
      <c r="R111" s="154">
        <f t="shared" si="343"/>
        <v>5</v>
      </c>
      <c r="S111" s="155">
        <f t="shared" si="343"/>
        <v>4</v>
      </c>
      <c r="T111" s="154">
        <f t="shared" si="343"/>
        <v>4</v>
      </c>
      <c r="U111" s="154">
        <f t="shared" si="343"/>
        <v>3</v>
      </c>
      <c r="V111" s="154">
        <f t="shared" si="343"/>
        <v>3</v>
      </c>
      <c r="W111" s="154">
        <f t="shared" si="343"/>
        <v>2</v>
      </c>
      <c r="X111" s="154">
        <f t="shared" si="343"/>
        <v>2</v>
      </c>
      <c r="Y111" s="154">
        <f t="shared" si="343"/>
        <v>2</v>
      </c>
      <c r="Z111" s="154">
        <f t="shared" si="343"/>
        <v>3</v>
      </c>
      <c r="AA111" s="154">
        <f t="shared" si="343"/>
        <v>3</v>
      </c>
      <c r="AB111" s="154">
        <f t="shared" si="343"/>
        <v>4</v>
      </c>
      <c r="AC111" s="154">
        <f>AB111</f>
        <v>4</v>
      </c>
      <c r="AD111" s="156">
        <f t="shared" ref="AD111" si="344">AC111</f>
        <v>4</v>
      </c>
      <c r="AE111" s="15"/>
      <c r="AF111" s="90">
        <f>AVERAGE(G111:R111)</f>
        <v>3.1666666666666665</v>
      </c>
      <c r="AG111" s="91">
        <f>AVERAGE(S111:AD111)</f>
        <v>3.1666666666666665</v>
      </c>
    </row>
    <row r="112" spans="2:34" x14ac:dyDescent="0.2">
      <c r="B112" s="9">
        <f>G105</f>
        <v>3</v>
      </c>
      <c r="C112" s="9" t="str">
        <f t="shared" ref="C112:C148" si="345">B112&amp;" - "&amp;F112</f>
        <v>3 - Workdays in Month / Year</v>
      </c>
      <c r="D112" s="9" t="s">
        <v>56</v>
      </c>
      <c r="F112" s="7" t="s">
        <v>54</v>
      </c>
      <c r="G112" s="121">
        <v>22</v>
      </c>
      <c r="H112" s="124">
        <v>21</v>
      </c>
      <c r="I112" s="124">
        <v>24</v>
      </c>
      <c r="J112" s="122">
        <v>21</v>
      </c>
      <c r="K112" s="122">
        <v>23</v>
      </c>
      <c r="L112" s="122">
        <v>23</v>
      </c>
      <c r="M112" s="122">
        <v>22</v>
      </c>
      <c r="N112" s="122">
        <v>24</v>
      </c>
      <c r="O112" s="122">
        <v>22</v>
      </c>
      <c r="P112" s="122">
        <v>22</v>
      </c>
      <c r="Q112" s="122">
        <v>23</v>
      </c>
      <c r="R112" s="122">
        <v>22</v>
      </c>
      <c r="S112" s="121">
        <v>23</v>
      </c>
      <c r="T112" s="122">
        <v>22</v>
      </c>
      <c r="U112" s="122">
        <v>22</v>
      </c>
      <c r="V112" s="122">
        <v>22</v>
      </c>
      <c r="W112" s="122">
        <v>24</v>
      </c>
      <c r="X112" s="122">
        <v>21</v>
      </c>
      <c r="Y112" s="122">
        <v>23</v>
      </c>
      <c r="Z112" s="122">
        <v>23</v>
      </c>
      <c r="AA112" s="122">
        <v>21</v>
      </c>
      <c r="AB112" s="122">
        <v>24</v>
      </c>
      <c r="AC112" s="122">
        <v>22</v>
      </c>
      <c r="AD112" s="123">
        <v>22</v>
      </c>
      <c r="AE112" s="15"/>
      <c r="AF112" s="144">
        <v>269</v>
      </c>
      <c r="AG112" s="145">
        <v>269</v>
      </c>
    </row>
    <row r="113" spans="2:33" ht="12.75" customHeight="1" x14ac:dyDescent="0.2">
      <c r="B113" s="9">
        <f>G105</f>
        <v>3</v>
      </c>
      <c r="C113" s="9" t="str">
        <f t="shared" si="345"/>
        <v>3 - Total Vet Days</v>
      </c>
      <c r="D113" s="9" t="s">
        <v>56</v>
      </c>
      <c r="F113" s="8" t="s">
        <v>51</v>
      </c>
      <c r="G113" s="125">
        <f>G111*G112</f>
        <v>88</v>
      </c>
      <c r="H113" s="126">
        <f t="shared" ref="H113" si="346">H111*H112</f>
        <v>84</v>
      </c>
      <c r="I113" s="126">
        <f t="shared" ref="I113" si="347">I111*I112</f>
        <v>72</v>
      </c>
      <c r="J113" s="127">
        <f t="shared" ref="J113" si="348">J111*J112</f>
        <v>63</v>
      </c>
      <c r="K113" s="127">
        <f t="shared" ref="K113" si="349">K111*K112</f>
        <v>46</v>
      </c>
      <c r="L113" s="127">
        <f t="shared" ref="L113" si="350">L111*L112</f>
        <v>46</v>
      </c>
      <c r="M113" s="127">
        <f t="shared" ref="M113" si="351">M111*M112</f>
        <v>44</v>
      </c>
      <c r="N113" s="127">
        <f t="shared" ref="N113" si="352">N111*N112</f>
        <v>72</v>
      </c>
      <c r="O113" s="127">
        <f t="shared" ref="O113" si="353">O111*O112</f>
        <v>66</v>
      </c>
      <c r="P113" s="127">
        <f t="shared" ref="P113" si="354">P111*P112</f>
        <v>66</v>
      </c>
      <c r="Q113" s="127">
        <f t="shared" ref="Q113" si="355">Q111*Q112</f>
        <v>92</v>
      </c>
      <c r="R113" s="127">
        <f t="shared" ref="R113" si="356">R111*R112</f>
        <v>110</v>
      </c>
      <c r="S113" s="125">
        <f t="shared" ref="S113" si="357">S111*S112</f>
        <v>92</v>
      </c>
      <c r="T113" s="127">
        <f t="shared" ref="T113" si="358">T111*T112</f>
        <v>88</v>
      </c>
      <c r="U113" s="127">
        <f t="shared" ref="U113" si="359">U111*U112</f>
        <v>66</v>
      </c>
      <c r="V113" s="127">
        <f t="shared" ref="V113" si="360">V111*V112</f>
        <v>66</v>
      </c>
      <c r="W113" s="127">
        <f t="shared" ref="W113" si="361">W111*W112</f>
        <v>48</v>
      </c>
      <c r="X113" s="127">
        <f t="shared" ref="X113" si="362">X111*X112</f>
        <v>42</v>
      </c>
      <c r="Y113" s="127">
        <f t="shared" ref="Y113" si="363">Y111*Y112</f>
        <v>46</v>
      </c>
      <c r="Z113" s="127">
        <f t="shared" ref="Z113" si="364">Z111*Z112</f>
        <v>69</v>
      </c>
      <c r="AA113" s="127">
        <f t="shared" ref="AA113" si="365">AA111*AA112</f>
        <v>63</v>
      </c>
      <c r="AB113" s="127">
        <f t="shared" ref="AB113" si="366">AB111*AB112</f>
        <v>96</v>
      </c>
      <c r="AC113" s="127">
        <f t="shared" ref="AC113" si="367">AC111*AC112</f>
        <v>88</v>
      </c>
      <c r="AD113" s="128">
        <f t="shared" ref="AD113" si="368">AD111*AD112</f>
        <v>88</v>
      </c>
      <c r="AF113" s="119">
        <f>SUM(G113:R113)</f>
        <v>849</v>
      </c>
      <c r="AG113" s="120">
        <f>SUM(S113:AD113)</f>
        <v>852</v>
      </c>
    </row>
    <row r="114" spans="2:33" x14ac:dyDescent="0.2">
      <c r="B114" s="9">
        <f>G105</f>
        <v>3</v>
      </c>
      <c r="C114" s="9" t="str">
        <f t="shared" si="345"/>
        <v>3 - Production per Vet Workday</v>
      </c>
      <c r="D114" s="9" t="s">
        <v>56</v>
      </c>
      <c r="F114" s="7" t="s">
        <v>50</v>
      </c>
      <c r="G114" s="129">
        <v>5.2402305749227978</v>
      </c>
      <c r="H114" s="130">
        <v>5.2825721834365291</v>
      </c>
      <c r="I114" s="130">
        <v>6.0226226477762621</v>
      </c>
      <c r="J114" s="130">
        <v>5.7923687132460717</v>
      </c>
      <c r="K114" s="130">
        <v>6.6338688367050507</v>
      </c>
      <c r="L114" s="130">
        <v>6.3811378001794345</v>
      </c>
      <c r="M114" s="130">
        <v>6.0142258190471329</v>
      </c>
      <c r="N114" s="130">
        <v>5.0516927197074892</v>
      </c>
      <c r="O114" s="130">
        <v>5.058484463143774</v>
      </c>
      <c r="P114" s="130">
        <v>4.8703444862292509</v>
      </c>
      <c r="Q114" s="130">
        <v>4.0778624989704797</v>
      </c>
      <c r="R114" s="130">
        <v>3.1083115921840609</v>
      </c>
      <c r="S114" s="129">
        <v>4.79688784805602</v>
      </c>
      <c r="T114" s="130">
        <v>4.7825335293062974</v>
      </c>
      <c r="U114" s="130">
        <v>5.7454402227180692</v>
      </c>
      <c r="V114" s="130">
        <v>5.5703489156487986</v>
      </c>
      <c r="W114" s="130">
        <v>6.3238967680455085</v>
      </c>
      <c r="X114" s="130">
        <v>6.2746729815433762</v>
      </c>
      <c r="Y114" s="130">
        <v>6.001318559415477</v>
      </c>
      <c r="Z114" s="130">
        <v>5.1340049819877578</v>
      </c>
      <c r="AA114" s="130">
        <v>5.1616267735530164</v>
      </c>
      <c r="AB114" s="130">
        <v>4.5858094879309705</v>
      </c>
      <c r="AC114" s="130">
        <v>3.679720361199224</v>
      </c>
      <c r="AD114" s="131">
        <v>3.151184000205828</v>
      </c>
      <c r="AE114" s="15"/>
      <c r="AF114" s="132">
        <v>5.300774908387373</v>
      </c>
      <c r="AG114" s="133">
        <v>5.1036397828912392</v>
      </c>
    </row>
    <row r="115" spans="2:33" x14ac:dyDescent="0.2">
      <c r="B115" s="9">
        <f>G105</f>
        <v>3</v>
      </c>
      <c r="C115" s="9" t="str">
        <f t="shared" si="345"/>
        <v>3 - Total Production</v>
      </c>
      <c r="D115" s="9" t="s">
        <v>56</v>
      </c>
      <c r="F115" s="8" t="s">
        <v>1</v>
      </c>
      <c r="G115" s="134">
        <f>G114*G113</f>
        <v>461.1402905932062</v>
      </c>
      <c r="H115" s="135">
        <f t="shared" ref="H115" si="369">H114*H113</f>
        <v>443.73606340866843</v>
      </c>
      <c r="I115" s="135">
        <f t="shared" ref="I115" si="370">I114*I113</f>
        <v>433.62883063989085</v>
      </c>
      <c r="J115" s="135">
        <f t="shared" ref="J115" si="371">J114*J113</f>
        <v>364.91922893450254</v>
      </c>
      <c r="K115" s="135">
        <f t="shared" ref="K115" si="372">K114*K113</f>
        <v>305.15796648843235</v>
      </c>
      <c r="L115" s="135">
        <f t="shared" ref="L115" si="373">L114*L113</f>
        <v>293.532338808254</v>
      </c>
      <c r="M115" s="135">
        <f t="shared" ref="M115" si="374">M114*M113</f>
        <v>264.62593603807386</v>
      </c>
      <c r="N115" s="135">
        <f t="shared" ref="N115" si="375">N114*N113</f>
        <v>363.72187581893922</v>
      </c>
      <c r="O115" s="135">
        <f t="shared" ref="O115" si="376">O114*O113</f>
        <v>333.85997456748908</v>
      </c>
      <c r="P115" s="135">
        <f t="shared" ref="P115" si="377">P114*P113</f>
        <v>321.44273609113054</v>
      </c>
      <c r="Q115" s="135">
        <f t="shared" ref="Q115" si="378">Q114*Q113</f>
        <v>375.16334990528412</v>
      </c>
      <c r="R115" s="135">
        <f t="shared" ref="R115" si="379">R114*R113</f>
        <v>341.91427514024673</v>
      </c>
      <c r="S115" s="134">
        <f t="shared" ref="S115" si="380">S114*S113</f>
        <v>441.31368202115385</v>
      </c>
      <c r="T115" s="135">
        <f t="shared" ref="T115" si="381">T114*T113</f>
        <v>420.86295057895416</v>
      </c>
      <c r="U115" s="135">
        <f t="shared" ref="U115" si="382">U114*U113</f>
        <v>379.19905469939255</v>
      </c>
      <c r="V115" s="135">
        <f t="shared" ref="V115" si="383">V114*V113</f>
        <v>367.6430284328207</v>
      </c>
      <c r="W115" s="135">
        <f t="shared" ref="W115" si="384">W114*W113</f>
        <v>303.54704486618442</v>
      </c>
      <c r="X115" s="135">
        <f t="shared" ref="X115" si="385">X114*X113</f>
        <v>263.53626522482182</v>
      </c>
      <c r="Y115" s="135">
        <f t="shared" ref="Y115" si="386">Y114*Y113</f>
        <v>276.06065373311196</v>
      </c>
      <c r="Z115" s="135">
        <f t="shared" ref="Z115" si="387">Z114*Z113</f>
        <v>354.24634375715527</v>
      </c>
      <c r="AA115" s="135">
        <f t="shared" ref="AA115" si="388">AA114*AA113</f>
        <v>325.18248673384005</v>
      </c>
      <c r="AB115" s="135">
        <f t="shared" ref="AB115" si="389">AB114*AB113</f>
        <v>440.2377108413732</v>
      </c>
      <c r="AC115" s="135">
        <f t="shared" ref="AC115" si="390">AC114*AC113</f>
        <v>323.81539178553169</v>
      </c>
      <c r="AD115" s="136">
        <f t="shared" ref="AD115" si="391">AD114*AD113</f>
        <v>277.30419201811287</v>
      </c>
      <c r="AE115" s="15"/>
      <c r="AF115" s="94">
        <f>SUM(G115:R115)</f>
        <v>4302.8428664341182</v>
      </c>
      <c r="AG115" s="95">
        <f>SUM(S115:AD115)</f>
        <v>4172.9488046924525</v>
      </c>
    </row>
    <row r="116" spans="2:33" x14ac:dyDescent="0.2">
      <c r="B116" s="9">
        <f>G105</f>
        <v>3</v>
      </c>
      <c r="C116" s="9" t="str">
        <f t="shared" si="345"/>
        <v>3 - Revenue as a % of Production</v>
      </c>
      <c r="D116" s="9" t="s">
        <v>56</v>
      </c>
      <c r="F116" s="7" t="s">
        <v>2</v>
      </c>
      <c r="G116" s="137">
        <v>0.97032664276176028</v>
      </c>
      <c r="H116" s="138">
        <v>0.97032664276176028</v>
      </c>
      <c r="I116" s="138">
        <v>0.97032664276176028</v>
      </c>
      <c r="J116" s="138">
        <v>0.97032664276176028</v>
      </c>
      <c r="K116" s="138">
        <v>0.97032664276176028</v>
      </c>
      <c r="L116" s="138">
        <v>0.97032664276176028</v>
      </c>
      <c r="M116" s="138">
        <v>0.97032664276176028</v>
      </c>
      <c r="N116" s="138">
        <v>0.97032664276176028</v>
      </c>
      <c r="O116" s="138">
        <v>0.97032664276176028</v>
      </c>
      <c r="P116" s="138">
        <v>0.97032664276176028</v>
      </c>
      <c r="Q116" s="138">
        <v>0.97032664276176028</v>
      </c>
      <c r="R116" s="138">
        <v>0.97032664276176028</v>
      </c>
      <c r="S116" s="137">
        <v>0.98665399907922502</v>
      </c>
      <c r="T116" s="138">
        <v>0.98665399907922502</v>
      </c>
      <c r="U116" s="138">
        <v>0.98665399907922502</v>
      </c>
      <c r="V116" s="138">
        <v>0.98665399907922502</v>
      </c>
      <c r="W116" s="138">
        <v>0.98665399907922502</v>
      </c>
      <c r="X116" s="138">
        <v>0.98665399907922502</v>
      </c>
      <c r="Y116" s="138">
        <v>0.98665399907922502</v>
      </c>
      <c r="Z116" s="138">
        <v>0.98665399907922502</v>
      </c>
      <c r="AA116" s="138">
        <v>0.98665399907922502</v>
      </c>
      <c r="AB116" s="138">
        <v>0.98665399907922502</v>
      </c>
      <c r="AC116" s="138">
        <v>0.98665399907922502</v>
      </c>
      <c r="AD116" s="139">
        <v>0.98665399907922502</v>
      </c>
      <c r="AE116" s="15"/>
      <c r="AF116" s="161">
        <v>0.97032664276176017</v>
      </c>
      <c r="AG116" s="162">
        <v>0.98665399907922524</v>
      </c>
    </row>
    <row r="117" spans="2:33" x14ac:dyDescent="0.2">
      <c r="B117" s="9">
        <f>G105</f>
        <v>3</v>
      </c>
      <c r="C117" s="9" t="str">
        <f t="shared" si="345"/>
        <v>3 - Total Revenue</v>
      </c>
      <c r="D117" s="9" t="s">
        <v>56</v>
      </c>
      <c r="F117" s="8" t="s">
        <v>3</v>
      </c>
      <c r="G117" s="134">
        <f>G116*G115</f>
        <v>447.4567100134883</v>
      </c>
      <c r="H117" s="135">
        <f t="shared" ref="H117" si="392">H116*H115</f>
        <v>430.56892467965281</v>
      </c>
      <c r="I117" s="135">
        <f t="shared" ref="I117" si="393">I116*I115</f>
        <v>420.76160743951323</v>
      </c>
      <c r="J117" s="135">
        <f t="shared" ref="J117" si="394">J116*J115</f>
        <v>354.09085029122605</v>
      </c>
      <c r="K117" s="135">
        <f t="shared" ref="K117" si="395">K116*K115</f>
        <v>296.10290513472631</v>
      </c>
      <c r="L117" s="135">
        <f t="shared" ref="L117" si="396">L116*L115</f>
        <v>284.82224885782068</v>
      </c>
      <c r="M117" s="135">
        <f t="shared" ref="M117" si="397">M116*M115</f>
        <v>256.77359610351255</v>
      </c>
      <c r="N117" s="135">
        <f t="shared" ref="N117" si="398">N116*N115</f>
        <v>352.92902666240116</v>
      </c>
      <c r="O117" s="135">
        <f t="shared" ref="O117" si="399">O116*O115</f>
        <v>323.95322827459836</v>
      </c>
      <c r="P117" s="135">
        <f t="shared" ref="P117" si="400">P116*P115</f>
        <v>311.90445095146123</v>
      </c>
      <c r="Q117" s="135">
        <f t="shared" ref="Q117" si="401">Q116*Q115</f>
        <v>364.0309938008499</v>
      </c>
      <c r="R117" s="135">
        <f t="shared" ref="R117" si="402">R116*R115</f>
        <v>331.76853070915638</v>
      </c>
      <c r="S117" s="134">
        <f t="shared" ref="S117" si="403">S116*S115</f>
        <v>435.42390921454893</v>
      </c>
      <c r="T117" s="135">
        <f t="shared" ref="T117" si="404">T116*T115</f>
        <v>415.24611325300737</v>
      </c>
      <c r="U117" s="135">
        <f t="shared" ref="U117" si="405">U116*U115</f>
        <v>374.13826376621745</v>
      </c>
      <c r="V117" s="135">
        <f t="shared" ref="V117" si="406">V116*V115</f>
        <v>362.73646423683977</v>
      </c>
      <c r="W117" s="135">
        <f t="shared" ref="W117" si="407">W116*W115</f>
        <v>299.49590572590182</v>
      </c>
      <c r="X117" s="135">
        <f t="shared" ref="X117" si="408">X116*X115</f>
        <v>260.01910998647372</v>
      </c>
      <c r="Y117" s="135">
        <f t="shared" ref="Y117" si="409">Y116*Y115</f>
        <v>272.3763479942001</v>
      </c>
      <c r="Z117" s="135">
        <f t="shared" ref="Z117" si="410">Z116*Z115</f>
        <v>349.5185717271911</v>
      </c>
      <c r="AA117" s="135">
        <f t="shared" ref="AA117" si="411">AA116*AA115</f>
        <v>320.84260096647034</v>
      </c>
      <c r="AB117" s="135">
        <f t="shared" ref="AB117" si="412">AB116*AB115</f>
        <v>434.36229794712438</v>
      </c>
      <c r="AC117" s="135">
        <f t="shared" ref="AC117" si="413">AC116*AC115</f>
        <v>319.49375126860087</v>
      </c>
      <c r="AD117" s="136">
        <f t="shared" ref="AD117" si="414">AD116*AD115</f>
        <v>273.60329001610438</v>
      </c>
      <c r="AE117" s="15"/>
      <c r="AF117" s="94">
        <f>SUM(G117:R117)</f>
        <v>4175.1630729184071</v>
      </c>
      <c r="AG117" s="95">
        <f>SUM(S117:AD117)</f>
        <v>4117.2566261026795</v>
      </c>
    </row>
    <row r="118" spans="2:33" x14ac:dyDescent="0.2">
      <c r="B118" s="9">
        <f>G105</f>
        <v>3</v>
      </c>
      <c r="C118" s="9" t="str">
        <f t="shared" si="345"/>
        <v>3 - % YoY Revenue Growth</v>
      </c>
      <c r="D118" s="9" t="s">
        <v>56</v>
      </c>
      <c r="F118" s="16" t="s">
        <v>174</v>
      </c>
      <c r="G118" s="45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146">
        <v>-2.6891541750657111E-2</v>
      </c>
      <c r="T118" s="147">
        <v>-3.5587360230526999E-2</v>
      </c>
      <c r="U118" s="147">
        <v>-0.1108070290847486</v>
      </c>
      <c r="V118" s="147">
        <v>2.4416372065256819E-2</v>
      </c>
      <c r="W118" s="147">
        <v>1.1458856135273976E-2</v>
      </c>
      <c r="X118" s="147">
        <v>-8.7082870003348467E-2</v>
      </c>
      <c r="Y118" s="147">
        <v>6.0764627389483072E-2</v>
      </c>
      <c r="Z118" s="147">
        <v>-9.6632883032099492E-3</v>
      </c>
      <c r="AA118" s="147">
        <v>-9.6020876985716264E-3</v>
      </c>
      <c r="AB118" s="147">
        <v>4.4460001986441844E-2</v>
      </c>
      <c r="AC118" s="147">
        <v>-0.12234464452390548</v>
      </c>
      <c r="AD118" s="143">
        <v>3.0851575310942181E-2</v>
      </c>
      <c r="AE118" s="15"/>
      <c r="AF118" s="11"/>
      <c r="AG118" s="143">
        <v>-2.0988990671193086E-2</v>
      </c>
    </row>
    <row r="119" spans="2:33" ht="6" customHeight="1" x14ac:dyDescent="0.2">
      <c r="B119" s="9">
        <f>G105</f>
        <v>3</v>
      </c>
      <c r="C119" s="9" t="str">
        <f t="shared" si="345"/>
        <v xml:space="preserve">3 - </v>
      </c>
      <c r="D119" s="9" t="s">
        <v>56</v>
      </c>
      <c r="G119" s="11"/>
      <c r="S119" s="11"/>
      <c r="AD119" s="15"/>
      <c r="AE119" s="15"/>
      <c r="AF119" s="11"/>
      <c r="AG119" s="15"/>
    </row>
    <row r="120" spans="2:33" x14ac:dyDescent="0.2">
      <c r="B120" s="9">
        <f>G105</f>
        <v>3</v>
      </c>
      <c r="C120" s="9" t="str">
        <f t="shared" si="345"/>
        <v>3 - Doctor Compensation</v>
      </c>
      <c r="D120" s="9" t="s">
        <v>56</v>
      </c>
      <c r="F120" t="s">
        <v>4</v>
      </c>
      <c r="G120" s="144">
        <v>-170.76131310710412</v>
      </c>
      <c r="H120" s="70">
        <v>-163.31673035591129</v>
      </c>
      <c r="I120" s="70">
        <v>-144.99286273486345</v>
      </c>
      <c r="J120" s="70">
        <v>-122.56898079127247</v>
      </c>
      <c r="K120" s="70">
        <v>-103.98013533928525</v>
      </c>
      <c r="L120" s="70">
        <v>-100.61633649655228</v>
      </c>
      <c r="M120" s="70">
        <v>-90.771549002846641</v>
      </c>
      <c r="N120" s="70">
        <v>-124.79617287567983</v>
      </c>
      <c r="O120" s="70">
        <v>-111.94700668374342</v>
      </c>
      <c r="P120" s="70">
        <v>-109.53297690299534</v>
      </c>
      <c r="Q120" s="70">
        <v>-145.30565735801258</v>
      </c>
      <c r="R120" s="70">
        <v>-104.67596734183977</v>
      </c>
      <c r="S120" s="144">
        <v>-170.17943896290785</v>
      </c>
      <c r="T120" s="70">
        <v>-165.73122281962378</v>
      </c>
      <c r="U120" s="70">
        <v>-133.19321260268339</v>
      </c>
      <c r="V120" s="70">
        <v>-189.16491576099295</v>
      </c>
      <c r="W120" s="70">
        <v>-106.28952365951501</v>
      </c>
      <c r="X120" s="70">
        <v>-91.92009038831209</v>
      </c>
      <c r="Y120" s="70">
        <v>-98.115346100277421</v>
      </c>
      <c r="Z120" s="70">
        <v>-123.27671846724711</v>
      </c>
      <c r="AA120" s="70">
        <v>-111.89320640423198</v>
      </c>
      <c r="AB120" s="70">
        <v>-168.43091886174804</v>
      </c>
      <c r="AC120" s="70">
        <v>-125.42902020397376</v>
      </c>
      <c r="AD120" s="145">
        <v>-105.31803859498676</v>
      </c>
      <c r="AE120" s="15"/>
      <c r="AF120" s="92">
        <f>SUM(G120:R120)</f>
        <v>-1493.2656889901066</v>
      </c>
      <c r="AG120" s="93">
        <f>SUM(S120:AD120)</f>
        <v>-1588.9416528265001</v>
      </c>
    </row>
    <row r="121" spans="2:33" x14ac:dyDescent="0.2">
      <c r="B121" s="9">
        <f>G105</f>
        <v>3</v>
      </c>
      <c r="C121" s="9" t="str">
        <f t="shared" si="345"/>
        <v>3 - % of Revenue - Doctor Compensation</v>
      </c>
      <c r="D121" s="9" t="s">
        <v>56</v>
      </c>
      <c r="F121" s="16" t="str">
        <f>"% of Revenue - "&amp;F120</f>
        <v>% of Revenue - Doctor Compensation</v>
      </c>
      <c r="G121" s="148">
        <f>G120/G117</f>
        <v>-0.38162644404630031</v>
      </c>
      <c r="H121" s="149">
        <f t="shared" ref="H121" si="415">H120/H117</f>
        <v>-0.37930449922139742</v>
      </c>
      <c r="I121" s="149">
        <f t="shared" ref="I121" si="416">I120/I117</f>
        <v>-0.34459622781935245</v>
      </c>
      <c r="J121" s="149">
        <f t="shared" ref="J121" si="417">J120/J117</f>
        <v>-0.34615122274541749</v>
      </c>
      <c r="K121" s="149">
        <f t="shared" ref="K121" si="418">K120/K117</f>
        <v>-0.35116215861500744</v>
      </c>
      <c r="L121" s="149">
        <f t="shared" ref="L121" si="419">L120/L117</f>
        <v>-0.35326010134404406</v>
      </c>
      <c r="M121" s="149">
        <f t="shared" ref="M121" si="420">M120/M117</f>
        <v>-0.35350811134901161</v>
      </c>
      <c r="N121" s="149">
        <f t="shared" ref="N121" si="421">N120/N117</f>
        <v>-0.35360132901467251</v>
      </c>
      <c r="O121" s="149">
        <f t="shared" ref="O121" si="422">O120/O117</f>
        <v>-0.34556533756426022</v>
      </c>
      <c r="P121" s="149">
        <f t="shared" ref="P121" si="423">P120/P117</f>
        <v>-0.35117477986885459</v>
      </c>
      <c r="Q121" s="149">
        <f t="shared" ref="Q121" si="424">Q120/Q117</f>
        <v>-0.39915737899368209</v>
      </c>
      <c r="R121" s="149">
        <f t="shared" ref="R121" si="425">R120/R117</f>
        <v>-0.31550903010027659</v>
      </c>
      <c r="S121" s="148">
        <f t="shared" ref="S121" si="426">S120/S117</f>
        <v>-0.39083622961791553</v>
      </c>
      <c r="T121" s="149">
        <f t="shared" ref="T121" si="427">T120/T117</f>
        <v>-0.39911565100826019</v>
      </c>
      <c r="U121" s="149">
        <f t="shared" ref="U121" si="428">U120/U117</f>
        <v>-0.35599997514798426</v>
      </c>
      <c r="V121" s="149">
        <f t="shared" ref="V121" si="429">V120/V117</f>
        <v>-0.52149407189866204</v>
      </c>
      <c r="W121" s="149">
        <f t="shared" ref="W121" si="430">W120/W117</f>
        <v>-0.354894746897779</v>
      </c>
      <c r="X121" s="149">
        <f t="shared" ref="X121" si="431">X120/X117</f>
        <v>-0.35351282601149508</v>
      </c>
      <c r="Y121" s="149">
        <f t="shared" ref="Y121" si="432">Y120/Y117</f>
        <v>-0.36021977246852088</v>
      </c>
      <c r="Z121" s="149">
        <f t="shared" ref="Z121" si="433">Z120/Z117</f>
        <v>-0.35270434374362225</v>
      </c>
      <c r="AA121" s="149">
        <f t="shared" ref="AA121" si="434">AA120/AA117</f>
        <v>-0.34874797195627205</v>
      </c>
      <c r="AB121" s="149">
        <f t="shared" ref="AB121" si="435">AB120/AB117</f>
        <v>-0.38776597245613476</v>
      </c>
      <c r="AC121" s="149">
        <f t="shared" ref="AC121" si="436">AC120/AC117</f>
        <v>-0.39258677112130624</v>
      </c>
      <c r="AD121" s="150">
        <f t="shared" ref="AD121" si="437">AD120/AD117</f>
        <v>-0.38492972284356558</v>
      </c>
      <c r="AE121" s="15"/>
      <c r="AF121" s="96">
        <f t="shared" ref="AF121" si="438">AF120/AF117</f>
        <v>-0.35765445873862006</v>
      </c>
      <c r="AG121" s="97">
        <f t="shared" ref="AG121" si="439">AG120/AG117</f>
        <v>-0.38592242289511197</v>
      </c>
    </row>
    <row r="122" spans="2:33" ht="3" customHeight="1" x14ac:dyDescent="0.2">
      <c r="B122" s="9">
        <f>G105</f>
        <v>3</v>
      </c>
      <c r="C122" s="9" t="str">
        <f t="shared" si="345"/>
        <v xml:space="preserve">3 - </v>
      </c>
      <c r="D122" s="9" t="s">
        <v>56</v>
      </c>
      <c r="F122" s="16"/>
      <c r="G122" s="36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6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8"/>
      <c r="AE122" s="15"/>
      <c r="AF122" s="36"/>
      <c r="AG122" s="38"/>
    </row>
    <row r="123" spans="2:33" x14ac:dyDescent="0.2">
      <c r="B123" s="9">
        <f>G105</f>
        <v>3</v>
      </c>
      <c r="C123" s="9" t="str">
        <f t="shared" si="345"/>
        <v>3 - Administrative Staff Compensation</v>
      </c>
      <c r="D123" s="9" t="s">
        <v>56</v>
      </c>
      <c r="F123" t="s">
        <v>5</v>
      </c>
      <c r="G123" s="144">
        <v>-96.704203839487505</v>
      </c>
      <c r="H123" s="70">
        <v>-94.617909015440816</v>
      </c>
      <c r="I123" s="70">
        <v>-123.75158780429473</v>
      </c>
      <c r="J123" s="70">
        <v>-88.945404132992309</v>
      </c>
      <c r="K123" s="70">
        <v>-92.208542087374681</v>
      </c>
      <c r="L123" s="70">
        <v>-92.407476737658456</v>
      </c>
      <c r="M123" s="70">
        <v>-80.130563225096225</v>
      </c>
      <c r="N123" s="70">
        <v>-84.732631188099703</v>
      </c>
      <c r="O123" s="70">
        <v>-77.477752371355976</v>
      </c>
      <c r="P123" s="70">
        <v>-75.987489185093708</v>
      </c>
      <c r="Q123" s="70">
        <v>-66.095331734391308</v>
      </c>
      <c r="R123" s="70">
        <v>-46.149223677478446</v>
      </c>
      <c r="S123" s="144">
        <v>-90.963541603180687</v>
      </c>
      <c r="T123" s="70">
        <v>-88.828193070444101</v>
      </c>
      <c r="U123" s="70">
        <v>-107.30900670024086</v>
      </c>
      <c r="V123" s="70">
        <v>-107.71280086218154</v>
      </c>
      <c r="W123" s="70">
        <v>-112.60431834707197</v>
      </c>
      <c r="X123" s="70">
        <v>-99.687420081231238</v>
      </c>
      <c r="Y123" s="70">
        <v>-89.12736252394842</v>
      </c>
      <c r="Z123" s="70">
        <v>-112.83716439632082</v>
      </c>
      <c r="AA123" s="70">
        <v>-89.737093035692922</v>
      </c>
      <c r="AB123" s="70">
        <v>-110.01294806839628</v>
      </c>
      <c r="AC123" s="70">
        <v>-79.585562770946041</v>
      </c>
      <c r="AD123" s="145">
        <v>-69.304903203829141</v>
      </c>
      <c r="AE123" s="15"/>
      <c r="AF123" s="92">
        <f>SUM(G123:R123)</f>
        <v>-1019.2081149987639</v>
      </c>
      <c r="AG123" s="93">
        <f>SUM(S123:AD123)</f>
        <v>-1157.710314663484</v>
      </c>
    </row>
    <row r="124" spans="2:33" x14ac:dyDescent="0.2">
      <c r="B124" s="9">
        <f>G105</f>
        <v>3</v>
      </c>
      <c r="C124" s="9" t="str">
        <f t="shared" si="345"/>
        <v>3 - % of Revenue - Administrative Staff Compensation</v>
      </c>
      <c r="D124" s="9" t="s">
        <v>56</v>
      </c>
      <c r="F124" s="16" t="str">
        <f>"% of Revenue - "&amp;F123</f>
        <v>% of Revenue - Administrative Staff Compensation</v>
      </c>
      <c r="G124" s="148">
        <f>G123/G117</f>
        <v>-0.21611968638613646</v>
      </c>
      <c r="H124" s="149">
        <f t="shared" ref="H124:AD124" si="440">H123/H117</f>
        <v>-0.2197509007084926</v>
      </c>
      <c r="I124" s="149">
        <f t="shared" si="440"/>
        <v>-0.29411330695632609</v>
      </c>
      <c r="J124" s="149">
        <f t="shared" si="440"/>
        <v>-0.25119373759541697</v>
      </c>
      <c r="K124" s="149">
        <f t="shared" si="440"/>
        <v>-0.31140708344425039</v>
      </c>
      <c r="L124" s="149">
        <f t="shared" si="440"/>
        <v>-0.32443910933301767</v>
      </c>
      <c r="M124" s="149">
        <f t="shared" si="440"/>
        <v>-0.31206698991275322</v>
      </c>
      <c r="N124" s="149">
        <f t="shared" si="440"/>
        <v>-0.24008405312933301</v>
      </c>
      <c r="O124" s="149">
        <f t="shared" si="440"/>
        <v>-0.23916339029559569</v>
      </c>
      <c r="P124" s="149">
        <f t="shared" si="440"/>
        <v>-0.24362425400886289</v>
      </c>
      <c r="Q124" s="149">
        <f t="shared" si="440"/>
        <v>-0.18156512181638584</v>
      </c>
      <c r="R124" s="149">
        <f t="shared" si="440"/>
        <v>-0.1391006662953666</v>
      </c>
      <c r="S124" s="148">
        <f t="shared" si="440"/>
        <v>-0.20890800821495473</v>
      </c>
      <c r="T124" s="149">
        <f t="shared" si="440"/>
        <v>-0.21391697654812614</v>
      </c>
      <c r="U124" s="149">
        <f t="shared" si="440"/>
        <v>-0.2868164448619282</v>
      </c>
      <c r="V124" s="149">
        <f t="shared" si="440"/>
        <v>-0.29694505924238468</v>
      </c>
      <c r="W124" s="149">
        <f t="shared" si="440"/>
        <v>-0.37597949151975141</v>
      </c>
      <c r="X124" s="149">
        <f t="shared" si="440"/>
        <v>-0.38338497538283633</v>
      </c>
      <c r="Y124" s="149">
        <f t="shared" si="440"/>
        <v>-0.32722137285520209</v>
      </c>
      <c r="Z124" s="149">
        <f t="shared" si="440"/>
        <v>-0.32283596215995453</v>
      </c>
      <c r="AA124" s="149">
        <f t="shared" si="440"/>
        <v>-0.27969195102327105</v>
      </c>
      <c r="AB124" s="149">
        <f t="shared" si="440"/>
        <v>-0.25327462486578045</v>
      </c>
      <c r="AC124" s="149">
        <f t="shared" si="440"/>
        <v>-0.2490989650186862</v>
      </c>
      <c r="AD124" s="150">
        <f t="shared" si="440"/>
        <v>-0.25330434878816638</v>
      </c>
      <c r="AE124" s="15"/>
      <c r="AF124" s="96">
        <f t="shared" ref="AF124:AG124" si="441">AF123/AF117</f>
        <v>-0.24411216932093271</v>
      </c>
      <c r="AG124" s="97">
        <f t="shared" si="441"/>
        <v>-0.28118488105011602</v>
      </c>
    </row>
    <row r="125" spans="2:33" ht="3" customHeight="1" x14ac:dyDescent="0.2">
      <c r="B125" s="9">
        <f>G105</f>
        <v>3</v>
      </c>
      <c r="C125" s="9" t="str">
        <f t="shared" si="345"/>
        <v xml:space="preserve">3 - </v>
      </c>
      <c r="D125" s="9" t="s">
        <v>56</v>
      </c>
      <c r="F125" s="16"/>
      <c r="G125" s="36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6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8"/>
      <c r="AE125" s="15"/>
      <c r="AF125" s="36"/>
      <c r="AG125" s="38"/>
    </row>
    <row r="126" spans="2:33" x14ac:dyDescent="0.2">
      <c r="B126" s="9">
        <f>G105</f>
        <v>3</v>
      </c>
      <c r="C126" s="9" t="str">
        <f t="shared" si="345"/>
        <v>3 - Office Supplies</v>
      </c>
      <c r="D126" s="9" t="s">
        <v>56</v>
      </c>
      <c r="F126" t="s">
        <v>6</v>
      </c>
      <c r="G126" s="144">
        <v>-41.673230334682401</v>
      </c>
      <c r="H126" s="70">
        <v>-40.118290231360092</v>
      </c>
      <c r="I126" s="70">
        <v>-54.537654288080198</v>
      </c>
      <c r="J126" s="70">
        <v>-43.681522172517106</v>
      </c>
      <c r="K126" s="70">
        <v>-56.486359278008173</v>
      </c>
      <c r="L126" s="70">
        <v>-51.693239775506036</v>
      </c>
      <c r="M126" s="70">
        <v>-46.442230845226668</v>
      </c>
      <c r="N126" s="70">
        <v>-43.046619404655935</v>
      </c>
      <c r="O126" s="70">
        <v>-41.599209011214448</v>
      </c>
      <c r="P126" s="70">
        <v>-38.527227320361483</v>
      </c>
      <c r="Q126" s="70">
        <v>-33.427721767455672</v>
      </c>
      <c r="R126" s="70">
        <v>-25.549267557252421</v>
      </c>
      <c r="S126" s="144">
        <v>-48.416558132702868</v>
      </c>
      <c r="T126" s="70">
        <v>-45.563609463464154</v>
      </c>
      <c r="U126" s="70">
        <v>-56.941706908923351</v>
      </c>
      <c r="V126" s="70">
        <v>-57.191215740174819</v>
      </c>
      <c r="W126" s="70">
        <v>-70.732978988526739</v>
      </c>
      <c r="X126" s="70">
        <v>-59.339542562279327</v>
      </c>
      <c r="Y126" s="70">
        <v>-59.375548019636625</v>
      </c>
      <c r="Z126" s="70">
        <v>-53.155278439886743</v>
      </c>
      <c r="AA126" s="70">
        <v>-49.309106330846909</v>
      </c>
      <c r="AB126" s="70">
        <v>-49.614925364342255</v>
      </c>
      <c r="AC126" s="70">
        <v>-37.521380896451419</v>
      </c>
      <c r="AD126" s="145">
        <v>-33.423232788687208</v>
      </c>
      <c r="AE126" s="15"/>
      <c r="AF126" s="92">
        <f>SUM(G126:R126)</f>
        <v>-516.78257198632059</v>
      </c>
      <c r="AG126" s="93">
        <f>SUM(S126:AD126)</f>
        <v>-620.5850836359225</v>
      </c>
    </row>
    <row r="127" spans="2:33" x14ac:dyDescent="0.2">
      <c r="B127" s="9">
        <f>G105</f>
        <v>3</v>
      </c>
      <c r="C127" s="9" t="str">
        <f t="shared" si="345"/>
        <v>3 - % of Revenue - Office Supplies</v>
      </c>
      <c r="D127" s="9" t="s">
        <v>56</v>
      </c>
      <c r="F127" s="16" t="str">
        <f>"% of Revenue - "&amp;F126</f>
        <v>% of Revenue - Office Supplies</v>
      </c>
      <c r="G127" s="148">
        <f>G126/G117</f>
        <v>-9.3133546557892022E-2</v>
      </c>
      <c r="H127" s="149">
        <f t="shared" ref="H127" si="442">H126/H117</f>
        <v>-9.317507124140105E-2</v>
      </c>
      <c r="I127" s="149">
        <f t="shared" ref="I127" si="443">I126/I117</f>
        <v>-0.12961651758096843</v>
      </c>
      <c r="J127" s="149">
        <f t="shared" ref="J127" si="444">J126/J117</f>
        <v>-0.12336247078000107</v>
      </c>
      <c r="K127" s="149">
        <f t="shared" ref="K127" si="445">K126/K117</f>
        <v>-0.19076597459355213</v>
      </c>
      <c r="L127" s="149">
        <f t="shared" ref="L127" si="446">L126/L117</f>
        <v>-0.18149298372161435</v>
      </c>
      <c r="M127" s="149">
        <f t="shared" ref="M127" si="447">M126/M117</f>
        <v>-0.18086840527989692</v>
      </c>
      <c r="N127" s="149">
        <f t="shared" ref="N127" si="448">N126/N117</f>
        <v>-0.12196962038442007</v>
      </c>
      <c r="O127" s="149">
        <f t="shared" ref="O127" si="449">O126/O117</f>
        <v>-0.12841115747719284</v>
      </c>
      <c r="P127" s="149">
        <f t="shared" ref="P127" si="450">P126/P117</f>
        <v>-0.12352253134841322</v>
      </c>
      <c r="Q127" s="149">
        <f t="shared" ref="Q127" si="451">Q126/Q117</f>
        <v>-9.1826581628219675E-2</v>
      </c>
      <c r="R127" s="149">
        <f t="shared" ref="R127" si="452">R126/R117</f>
        <v>-7.700931581015466E-2</v>
      </c>
      <c r="S127" s="148">
        <f t="shared" ref="S127" si="453">S126/S117</f>
        <v>-0.1111940734261478</v>
      </c>
      <c r="T127" s="149">
        <f t="shared" ref="T127" si="454">T126/T117</f>
        <v>-0.1097267572392724</v>
      </c>
      <c r="U127" s="149">
        <f t="shared" ref="U127" si="455">U126/U117</f>
        <v>-0.15219428864539694</v>
      </c>
      <c r="V127" s="149">
        <f t="shared" ref="V127" si="456">V126/V117</f>
        <v>-0.15766602307407737</v>
      </c>
      <c r="W127" s="149">
        <f t="shared" ref="W127" si="457">W126/W117</f>
        <v>-0.23617344222816003</v>
      </c>
      <c r="X127" s="149">
        <f t="shared" ref="X127" si="458">X126/X117</f>
        <v>-0.22821223626742737</v>
      </c>
      <c r="Y127" s="149">
        <f t="shared" ref="Y127" si="459">Y126/Y117</f>
        <v>-0.21799083678477454</v>
      </c>
      <c r="Z127" s="149">
        <f t="shared" ref="Z127" si="460">Z126/Z117</f>
        <v>-0.15208141352035481</v>
      </c>
      <c r="AA127" s="149">
        <f t="shared" ref="AA127" si="461">AA126/AA117</f>
        <v>-0.15368628162941478</v>
      </c>
      <c r="AB127" s="149">
        <f t="shared" ref="AB127" si="462">AB126/AB117</f>
        <v>-0.11422475108643514</v>
      </c>
      <c r="AC127" s="149">
        <f t="shared" ref="AC127" si="463">AC126/AC117</f>
        <v>-0.11744010875789211</v>
      </c>
      <c r="AD127" s="150">
        <f t="shared" ref="AD127" si="464">AD126/AD117</f>
        <v>-0.12215946959819053</v>
      </c>
      <c r="AE127" s="15"/>
      <c r="AF127" s="96">
        <f t="shared" ref="AF127" si="465">AF126/AF117</f>
        <v>-0.12377542217173652</v>
      </c>
      <c r="AG127" s="97">
        <f t="shared" ref="AG127" si="466">AG126/AG117</f>
        <v>-0.1507278122285414</v>
      </c>
    </row>
    <row r="128" spans="2:33" ht="6" customHeight="1" x14ac:dyDescent="0.2">
      <c r="B128" s="9">
        <f>G105</f>
        <v>3</v>
      </c>
      <c r="C128" s="9" t="str">
        <f t="shared" si="345"/>
        <v xml:space="preserve">3 - </v>
      </c>
      <c r="D128" s="9" t="s">
        <v>56</v>
      </c>
      <c r="F128" s="16"/>
      <c r="G128" s="11"/>
      <c r="S128" s="11"/>
      <c r="AD128" s="15"/>
      <c r="AE128" s="15"/>
      <c r="AF128" s="11"/>
      <c r="AG128" s="15"/>
    </row>
    <row r="129" spans="2:33" x14ac:dyDescent="0.2">
      <c r="B129" s="9">
        <f>G105</f>
        <v>3</v>
      </c>
      <c r="C129" s="9" t="str">
        <f t="shared" si="345"/>
        <v>3 - Office Gross Profit</v>
      </c>
      <c r="D129" s="9" t="s">
        <v>56</v>
      </c>
      <c r="F129" s="8" t="s">
        <v>11</v>
      </c>
      <c r="G129" s="134">
        <f>G117+G120+G123+G126</f>
        <v>138.31796273221431</v>
      </c>
      <c r="H129" s="135">
        <f t="shared" ref="H129:AD129" si="467">H117+H120+H123+H126</f>
        <v>132.51599507694056</v>
      </c>
      <c r="I129" s="135">
        <f t="shared" si="467"/>
        <v>97.479502612274814</v>
      </c>
      <c r="J129" s="135">
        <f t="shared" si="467"/>
        <v>98.894943194444181</v>
      </c>
      <c r="K129" s="135">
        <f t="shared" si="467"/>
        <v>43.427868430058204</v>
      </c>
      <c r="L129" s="135">
        <f t="shared" si="467"/>
        <v>40.105195848103925</v>
      </c>
      <c r="M129" s="135">
        <f t="shared" si="467"/>
        <v>39.429253030342998</v>
      </c>
      <c r="N129" s="135">
        <f t="shared" si="467"/>
        <v>100.35360319396571</v>
      </c>
      <c r="O129" s="135">
        <f t="shared" si="467"/>
        <v>92.929260208284518</v>
      </c>
      <c r="P129" s="135">
        <f t="shared" si="467"/>
        <v>87.856757543010673</v>
      </c>
      <c r="Q129" s="135">
        <f t="shared" si="467"/>
        <v>119.20228294099033</v>
      </c>
      <c r="R129" s="135">
        <f t="shared" si="467"/>
        <v>155.39407213258576</v>
      </c>
      <c r="S129" s="134">
        <f t="shared" si="467"/>
        <v>125.86437051575751</v>
      </c>
      <c r="T129" s="135">
        <f t="shared" si="467"/>
        <v>115.12308789947531</v>
      </c>
      <c r="U129" s="135">
        <f t="shared" si="467"/>
        <v>76.694337554369866</v>
      </c>
      <c r="V129" s="135">
        <f t="shared" si="467"/>
        <v>8.6675318734904536</v>
      </c>
      <c r="W129" s="135">
        <f t="shared" si="467"/>
        <v>9.8690847307881171</v>
      </c>
      <c r="X129" s="135">
        <f t="shared" si="467"/>
        <v>9.0720569546510816</v>
      </c>
      <c r="Y129" s="135">
        <f t="shared" si="467"/>
        <v>25.758091350337651</v>
      </c>
      <c r="Z129" s="135">
        <f t="shared" si="467"/>
        <v>60.249410423736421</v>
      </c>
      <c r="AA129" s="135">
        <f t="shared" si="467"/>
        <v>69.903195195698515</v>
      </c>
      <c r="AB129" s="135">
        <f t="shared" si="467"/>
        <v>106.30350565263778</v>
      </c>
      <c r="AC129" s="135">
        <f t="shared" si="467"/>
        <v>76.957787397229637</v>
      </c>
      <c r="AD129" s="136">
        <f t="shared" si="467"/>
        <v>65.557115428601264</v>
      </c>
      <c r="AE129" s="15"/>
      <c r="AF129" s="98">
        <f>SUM(G129:R129)</f>
        <v>1145.906696943216</v>
      </c>
      <c r="AG129" s="95">
        <f>SUM(S129:AD129)</f>
        <v>750.01957497677358</v>
      </c>
    </row>
    <row r="130" spans="2:33" x14ac:dyDescent="0.2">
      <c r="B130" s="9">
        <f>G105</f>
        <v>3</v>
      </c>
      <c r="C130" s="9" t="str">
        <f t="shared" si="345"/>
        <v>3 - % of Revenue - Office Gross Profit</v>
      </c>
      <c r="D130" s="9" t="s">
        <v>56</v>
      </c>
      <c r="F130" s="16" t="str">
        <f>"% of Revenue - "&amp;F129</f>
        <v>% of Revenue - Office Gross Profit</v>
      </c>
      <c r="G130" s="146">
        <v>0.30912032300967124</v>
      </c>
      <c r="H130" s="147">
        <v>0.30776952882870878</v>
      </c>
      <c r="I130" s="147">
        <v>0.29453187530025754</v>
      </c>
      <c r="J130" s="147">
        <v>0.29198365749052929</v>
      </c>
      <c r="K130" s="147">
        <v>0.28534648418148029</v>
      </c>
      <c r="L130" s="147">
        <v>0.27823973540737051</v>
      </c>
      <c r="M130" s="147">
        <v>0.28718093935523131</v>
      </c>
      <c r="N130" s="147">
        <v>0.29464564175377878</v>
      </c>
      <c r="O130" s="147">
        <v>0.29968357586627659</v>
      </c>
      <c r="P130" s="147">
        <v>0.29302464552825208</v>
      </c>
      <c r="Q130" s="147">
        <v>0.2911378931984353</v>
      </c>
      <c r="R130" s="147">
        <v>0.3007010681689109</v>
      </c>
      <c r="S130" s="146">
        <v>0.30759403431200655</v>
      </c>
      <c r="T130" s="147">
        <v>0.29552840807755326</v>
      </c>
      <c r="U130" s="147">
        <v>0.28926626390869858</v>
      </c>
      <c r="V130" s="147">
        <v>0.28762938722291653</v>
      </c>
      <c r="W130" s="147">
        <v>0.27675011389974774</v>
      </c>
      <c r="X130" s="147">
        <v>0.27717865372927142</v>
      </c>
      <c r="Y130" s="147">
        <v>0.26832385219017918</v>
      </c>
      <c r="Z130" s="147">
        <v>0.26602975821823732</v>
      </c>
      <c r="AA130" s="147">
        <v>0.25988184960986571</v>
      </c>
      <c r="AB130" s="147">
        <v>0.26377211010605545</v>
      </c>
      <c r="AC130" s="147">
        <v>0.26044750656176402</v>
      </c>
      <c r="AD130" s="143">
        <v>0.25996637036977588</v>
      </c>
      <c r="AE130" s="15"/>
      <c r="AF130" s="147">
        <v>0.29355303983632225</v>
      </c>
      <c r="AG130" s="143">
        <v>0.27688226223760232</v>
      </c>
    </row>
    <row r="131" spans="2:33" ht="6" customHeight="1" x14ac:dyDescent="0.2">
      <c r="B131" s="9">
        <f>G105</f>
        <v>3</v>
      </c>
      <c r="C131" s="9" t="str">
        <f t="shared" si="345"/>
        <v xml:space="preserve">3 - </v>
      </c>
      <c r="D131" s="9" t="s">
        <v>56</v>
      </c>
      <c r="F131" s="16"/>
      <c r="G131" s="11"/>
      <c r="S131" s="11"/>
      <c r="AD131" s="15"/>
      <c r="AE131" s="15"/>
      <c r="AF131" s="11"/>
      <c r="AG131" s="15"/>
    </row>
    <row r="132" spans="2:33" x14ac:dyDescent="0.2">
      <c r="B132" s="9">
        <f>G105</f>
        <v>3</v>
      </c>
      <c r="C132" s="9" t="str">
        <f t="shared" si="345"/>
        <v>3 - General and Administrative Expense</v>
      </c>
      <c r="D132" s="9" t="s">
        <v>56</v>
      </c>
      <c r="F132" t="s">
        <v>10</v>
      </c>
      <c r="G132" s="144">
        <v>-25.87327307616092</v>
      </c>
      <c r="H132" s="70">
        <v>-26.391506127498179</v>
      </c>
      <c r="I132" s="70">
        <v>-33.492885887247049</v>
      </c>
      <c r="J132" s="70">
        <v>-28.709346074023848</v>
      </c>
      <c r="K132" s="70">
        <v>-37.557419352032028</v>
      </c>
      <c r="L132" s="70">
        <v>-37.400785751497516</v>
      </c>
      <c r="M132" s="70">
        <v>-32.916685252722615</v>
      </c>
      <c r="N132" s="70">
        <v>-28.215810941551151</v>
      </c>
      <c r="O132" s="70">
        <v>-28.025088671057933</v>
      </c>
      <c r="P132" s="70">
        <v>-25.783580409807477</v>
      </c>
      <c r="Q132" s="70">
        <v>-23.654894031785968</v>
      </c>
      <c r="R132" s="70">
        <v>-17.001286171368065</v>
      </c>
      <c r="S132" s="144">
        <v>-29.736958840031217</v>
      </c>
      <c r="T132" s="70">
        <v>-28.217634904491064</v>
      </c>
      <c r="U132" s="70">
        <v>-32.442864369376288</v>
      </c>
      <c r="V132" s="70">
        <v>-32.133463771642027</v>
      </c>
      <c r="W132" s="70">
        <v>-42.170155941930943</v>
      </c>
      <c r="X132" s="70">
        <v>-38.325017911094598</v>
      </c>
      <c r="Y132" s="70">
        <v>-41.699628349133803</v>
      </c>
      <c r="Z132" s="70">
        <v>-34.671182182925406</v>
      </c>
      <c r="AA132" s="70">
        <v>-31.73221103208629</v>
      </c>
      <c r="AB132" s="70">
        <v>-32.059508156674944</v>
      </c>
      <c r="AC132" s="70">
        <v>-23.401957935231653</v>
      </c>
      <c r="AD132" s="145">
        <v>-21.32787109814004</v>
      </c>
      <c r="AE132" s="15"/>
      <c r="AF132" s="144">
        <v>-345.02256174675273</v>
      </c>
      <c r="AG132" s="145">
        <v>-387.91845449275831</v>
      </c>
    </row>
    <row r="133" spans="2:33" x14ac:dyDescent="0.2">
      <c r="B133" s="9">
        <f>G105</f>
        <v>3</v>
      </c>
      <c r="C133" s="9" t="str">
        <f t="shared" si="345"/>
        <v>3 - % of Revenue - General and Administrative Expense</v>
      </c>
      <c r="D133" s="9" t="s">
        <v>56</v>
      </c>
      <c r="F133" s="16" t="str">
        <f>"% of Revenue - "&amp;F132</f>
        <v>% of Revenue - General and Administrative Expense</v>
      </c>
      <c r="G133" s="146">
        <v>5.7822963645759132E-2</v>
      </c>
      <c r="H133" s="147">
        <v>6.1294498080960443E-2</v>
      </c>
      <c r="I133" s="147">
        <v>5.9700466894538083E-2</v>
      </c>
      <c r="J133" s="147">
        <v>6.0809279702676987E-2</v>
      </c>
      <c r="K133" s="147">
        <v>6.341953878322043E-2</v>
      </c>
      <c r="L133" s="147">
        <v>6.5656362698981896E-2</v>
      </c>
      <c r="M133" s="147">
        <v>6.4096709615448527E-2</v>
      </c>
      <c r="N133" s="147">
        <v>5.9960662364011257E-2</v>
      </c>
      <c r="O133" s="147">
        <v>6.4882256661683541E-2</v>
      </c>
      <c r="P133" s="147">
        <v>6.1998747527860547E-2</v>
      </c>
      <c r="Q133" s="147">
        <v>6.498043967302089E-2</v>
      </c>
      <c r="R133" s="147">
        <v>6.4055525907730601E-2</v>
      </c>
      <c r="S133" s="146">
        <v>6.8294271882481203E-2</v>
      </c>
      <c r="T133" s="147">
        <v>6.7954001263097197E-2</v>
      </c>
      <c r="U133" s="147">
        <v>6.5035177188496024E-2</v>
      </c>
      <c r="V133" s="147">
        <v>6.6439688878358702E-2</v>
      </c>
      <c r="W133" s="147">
        <v>7.0401890536234912E-2</v>
      </c>
      <c r="X133" s="147">
        <v>7.3696540829418802E-2</v>
      </c>
      <c r="Y133" s="147">
        <v>7.6547814551837928E-2</v>
      </c>
      <c r="Z133" s="147">
        <v>7.4397725158623085E-2</v>
      </c>
      <c r="AA133" s="147">
        <v>7.4177051932551349E-2</v>
      </c>
      <c r="AB133" s="147">
        <v>7.3808220253447507E-2</v>
      </c>
      <c r="AC133" s="147">
        <v>7.3246997295910943E-2</v>
      </c>
      <c r="AD133" s="143">
        <v>7.7951807878058318E-2</v>
      </c>
      <c r="AE133" s="15"/>
      <c r="AF133" s="146">
        <v>-6.234159438065489E-2</v>
      </c>
      <c r="AG133" s="143">
        <v>-7.1595095860190708E-2</v>
      </c>
    </row>
    <row r="134" spans="2:33" ht="3" customHeight="1" x14ac:dyDescent="0.2">
      <c r="B134" s="9">
        <f>G105</f>
        <v>3</v>
      </c>
      <c r="C134" s="9" t="str">
        <f t="shared" si="345"/>
        <v xml:space="preserve">3 - </v>
      </c>
      <c r="D134" s="9" t="s">
        <v>56</v>
      </c>
      <c r="F134" s="16"/>
      <c r="G134" s="36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6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8"/>
      <c r="AE134" s="15"/>
      <c r="AF134" s="36"/>
      <c r="AG134" s="38"/>
    </row>
    <row r="135" spans="2:33" x14ac:dyDescent="0.2">
      <c r="B135" s="9">
        <f>G105</f>
        <v>3</v>
      </c>
      <c r="C135" s="9" t="str">
        <f t="shared" si="345"/>
        <v>3 - Marketing</v>
      </c>
      <c r="D135" s="9" t="s">
        <v>56</v>
      </c>
      <c r="F135" t="s">
        <v>7</v>
      </c>
      <c r="G135" s="144">
        <v>-8.9797365933546125</v>
      </c>
      <c r="H135" s="70">
        <v>-7.4369420300052633</v>
      </c>
      <c r="I135" s="70">
        <v>-10.15731623728797</v>
      </c>
      <c r="J135" s="70">
        <v>-8.3075040867758005</v>
      </c>
      <c r="K135" s="70">
        <v>-9.742076065951947</v>
      </c>
      <c r="L135" s="70">
        <v>-11.281709382665902</v>
      </c>
      <c r="M135" s="70">
        <v>-12.425480130915993</v>
      </c>
      <c r="N135" s="70">
        <v>-10.270772615306898</v>
      </c>
      <c r="O135" s="70">
        <v>-10.664582355147452</v>
      </c>
      <c r="P135" s="70">
        <v>-11.340772272046593</v>
      </c>
      <c r="Q135" s="70">
        <v>-8.9826663229567369</v>
      </c>
      <c r="R135" s="70">
        <v>-5.4052683976334217</v>
      </c>
      <c r="S135" s="144">
        <v>-9.33815345883718</v>
      </c>
      <c r="T135" s="70">
        <v>-7.9174082419414615</v>
      </c>
      <c r="U135" s="70">
        <v>-7.2650844800473928</v>
      </c>
      <c r="V135" s="70">
        <v>-7.0714295089829076</v>
      </c>
      <c r="W135" s="70">
        <v>-11.417816226873299</v>
      </c>
      <c r="X135" s="70">
        <v>-8.1924071574428492</v>
      </c>
      <c r="Y135" s="70">
        <v>-9.2530793883518569</v>
      </c>
      <c r="Z135" s="70">
        <v>-9.9318640606168564</v>
      </c>
      <c r="AA135" s="70">
        <v>-7.0776014554573177</v>
      </c>
      <c r="AB135" s="70">
        <v>-7.6925674956362844</v>
      </c>
      <c r="AC135" s="70">
        <v>-4.7745898327318317</v>
      </c>
      <c r="AD135" s="145">
        <v>-3.0512913562302733</v>
      </c>
      <c r="AE135" s="15"/>
      <c r="AF135" s="144">
        <v>-114.99482649004858</v>
      </c>
      <c r="AG135" s="145">
        <v>-92.983292663149513</v>
      </c>
    </row>
    <row r="136" spans="2:33" x14ac:dyDescent="0.2">
      <c r="B136" s="9">
        <f>G105</f>
        <v>3</v>
      </c>
      <c r="C136" s="9" t="str">
        <f t="shared" si="345"/>
        <v>3 - % of Revenue - Marketing</v>
      </c>
      <c r="D136" s="9" t="s">
        <v>56</v>
      </c>
      <c r="F136" s="16" t="str">
        <f>"% of Revenue - "&amp;F135</f>
        <v>% of Revenue - Marketing</v>
      </c>
      <c r="G136" s="148">
        <f>G135/G117</f>
        <v>-2.0068391851993737E-2</v>
      </c>
      <c r="H136" s="149">
        <f t="shared" ref="H136:AD136" si="468">H135/H117</f>
        <v>-1.7272361296251038E-2</v>
      </c>
      <c r="I136" s="149">
        <f t="shared" si="468"/>
        <v>-2.4140311420281235E-2</v>
      </c>
      <c r="J136" s="149">
        <f t="shared" si="468"/>
        <v>-2.3461504526149715E-2</v>
      </c>
      <c r="K136" s="149">
        <f t="shared" si="468"/>
        <v>-3.2900981034006807E-2</v>
      </c>
      <c r="L136" s="149">
        <f t="shared" si="468"/>
        <v>-3.9609649273914603E-2</v>
      </c>
      <c r="M136" s="149">
        <f t="shared" si="468"/>
        <v>-4.8390801544512925E-2</v>
      </c>
      <c r="N136" s="149">
        <f t="shared" si="468"/>
        <v>-2.9101524214191481E-2</v>
      </c>
      <c r="O136" s="149">
        <f t="shared" si="468"/>
        <v>-3.292012989636775E-2</v>
      </c>
      <c r="P136" s="149">
        <f t="shared" si="468"/>
        <v>-3.6359764143960395E-2</v>
      </c>
      <c r="Q136" s="149">
        <f t="shared" si="468"/>
        <v>-2.4675553664177497E-2</v>
      </c>
      <c r="R136" s="149">
        <f t="shared" si="468"/>
        <v>-1.6292287837184685E-2</v>
      </c>
      <c r="S136" s="148">
        <f t="shared" si="468"/>
        <v>-2.144612011701897E-2</v>
      </c>
      <c r="T136" s="149">
        <f t="shared" si="468"/>
        <v>-1.9066784707307844E-2</v>
      </c>
      <c r="U136" s="149">
        <f t="shared" si="468"/>
        <v>-1.9418180880282871E-2</v>
      </c>
      <c r="V136" s="149">
        <f t="shared" si="468"/>
        <v>-1.9494675077291908E-2</v>
      </c>
      <c r="W136" s="149">
        <f t="shared" si="468"/>
        <v>-3.812344679370297E-2</v>
      </c>
      <c r="X136" s="149">
        <f t="shared" si="468"/>
        <v>-3.1506942539219603E-2</v>
      </c>
      <c r="Y136" s="149">
        <f t="shared" si="468"/>
        <v>-3.3971669921020048E-2</v>
      </c>
      <c r="Z136" s="149">
        <f t="shared" si="468"/>
        <v>-2.8415840713519939E-2</v>
      </c>
      <c r="AA136" s="149">
        <f t="shared" si="468"/>
        <v>-2.2059419273305798E-2</v>
      </c>
      <c r="AB136" s="149">
        <f t="shared" si="468"/>
        <v>-1.7710025782607663E-2</v>
      </c>
      <c r="AC136" s="149">
        <f t="shared" si="468"/>
        <v>-1.4944235415477021E-2</v>
      </c>
      <c r="AD136" s="150">
        <f t="shared" si="468"/>
        <v>-1.1152246583184994E-2</v>
      </c>
      <c r="AE136" s="15"/>
      <c r="AF136" s="96">
        <f t="shared" ref="AF136:AG136" si="469">AF135/AF117</f>
        <v>-2.7542595218842093E-2</v>
      </c>
      <c r="AG136" s="97">
        <f t="shared" si="469"/>
        <v>-2.2583798171251182E-2</v>
      </c>
    </row>
    <row r="137" spans="2:33" ht="3" customHeight="1" x14ac:dyDescent="0.2">
      <c r="B137" s="9">
        <f>G105</f>
        <v>3</v>
      </c>
      <c r="C137" s="9" t="str">
        <f t="shared" si="345"/>
        <v xml:space="preserve">3 - </v>
      </c>
      <c r="D137" s="9" t="s">
        <v>56</v>
      </c>
      <c r="F137" s="16"/>
      <c r="G137" s="36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6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8"/>
      <c r="AE137" s="15"/>
      <c r="AF137" s="36"/>
      <c r="AG137" s="38"/>
    </row>
    <row r="138" spans="2:33" x14ac:dyDescent="0.2">
      <c r="B138" s="9">
        <f>G105</f>
        <v>3</v>
      </c>
      <c r="C138" s="9" t="str">
        <f t="shared" si="345"/>
        <v>3 - Office Rent</v>
      </c>
      <c r="D138" s="9" t="s">
        <v>56</v>
      </c>
      <c r="F138" t="s">
        <v>162</v>
      </c>
      <c r="G138" s="144">
        <v>-31.014846624899086</v>
      </c>
      <c r="H138" s="70">
        <v>-31.014846624899086</v>
      </c>
      <c r="I138" s="70">
        <v>-31.014846624899086</v>
      </c>
      <c r="J138" s="70">
        <v>-31.014846624899086</v>
      </c>
      <c r="K138" s="70">
        <v>-31.014846624899086</v>
      </c>
      <c r="L138" s="70">
        <v>-31.014846624899086</v>
      </c>
      <c r="M138" s="70">
        <v>-31.014846624899086</v>
      </c>
      <c r="N138" s="70">
        <v>-31.945292023646061</v>
      </c>
      <c r="O138" s="70">
        <v>-31.945292023646061</v>
      </c>
      <c r="P138" s="70">
        <v>-31.945292023646061</v>
      </c>
      <c r="Q138" s="70">
        <v>-31.945292023646061</v>
      </c>
      <c r="R138" s="70">
        <v>-31.945292023646061</v>
      </c>
      <c r="S138" s="144">
        <v>-31.945143627034007</v>
      </c>
      <c r="T138" s="70">
        <v>-31.945143627034007</v>
      </c>
      <c r="U138" s="70">
        <v>-31.945143627034007</v>
      </c>
      <c r="V138" s="70">
        <v>-31.945143627034007</v>
      </c>
      <c r="W138" s="70">
        <v>-31.945143627034007</v>
      </c>
      <c r="X138" s="70">
        <v>-31.945143627034007</v>
      </c>
      <c r="Y138" s="70">
        <v>-31.945143627034007</v>
      </c>
      <c r="Z138" s="70">
        <v>-32.903497935845031</v>
      </c>
      <c r="AA138" s="70">
        <v>-32.903497935845031</v>
      </c>
      <c r="AB138" s="70">
        <v>-32.903497935845031</v>
      </c>
      <c r="AC138" s="70">
        <v>-32.903497935845031</v>
      </c>
      <c r="AD138" s="145">
        <v>-32.903497935845031</v>
      </c>
      <c r="AE138" s="15"/>
      <c r="AF138" s="144">
        <v>-376.83038649252393</v>
      </c>
      <c r="AG138" s="145">
        <v>-388.13349506846333</v>
      </c>
    </row>
    <row r="139" spans="2:33" x14ac:dyDescent="0.2">
      <c r="B139" s="9">
        <f>G105</f>
        <v>3</v>
      </c>
      <c r="C139" s="9" t="str">
        <f t="shared" si="345"/>
        <v>3 - % YoY Growth</v>
      </c>
      <c r="D139" s="9" t="s">
        <v>56</v>
      </c>
      <c r="F139" s="16" t="s">
        <v>8</v>
      </c>
      <c r="G139" s="82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148">
        <f>S138/G138-1</f>
        <v>2.9995215304017275E-2</v>
      </c>
      <c r="T139" s="149">
        <f t="shared" ref="T139" si="470">T138/H138-1</f>
        <v>2.9995215304017275E-2</v>
      </c>
      <c r="U139" s="149">
        <f t="shared" ref="U139" si="471">U138/I138-1</f>
        <v>2.9995215304017275E-2</v>
      </c>
      <c r="V139" s="149">
        <f t="shared" ref="V139" si="472">V138/J138-1</f>
        <v>2.9995215304017275E-2</v>
      </c>
      <c r="W139" s="149">
        <f t="shared" ref="W139" si="473">W138/K138-1</f>
        <v>2.9995215304017275E-2</v>
      </c>
      <c r="X139" s="149">
        <f t="shared" ref="X139" si="474">X138/L138-1</f>
        <v>2.9995215304017275E-2</v>
      </c>
      <c r="Y139" s="149">
        <f t="shared" ref="Y139" si="475">Y138/M138-1</f>
        <v>2.9995215304017275E-2</v>
      </c>
      <c r="Z139" s="149">
        <f t="shared" ref="Z139" si="476">Z138/N138-1</f>
        <v>2.9995215304017275E-2</v>
      </c>
      <c r="AA139" s="149">
        <f t="shared" ref="AA139" si="477">AA138/O138-1</f>
        <v>2.9995215304017275E-2</v>
      </c>
      <c r="AB139" s="149">
        <f t="shared" ref="AB139" si="478">AB138/P138-1</f>
        <v>2.9995215304017275E-2</v>
      </c>
      <c r="AC139" s="149">
        <f t="shared" ref="AC139" si="479">AC138/Q138-1</f>
        <v>2.9995215304017275E-2</v>
      </c>
      <c r="AD139" s="150">
        <f t="shared" ref="AD139" si="480">AD138/R138-1</f>
        <v>2.9995215304017275E-2</v>
      </c>
      <c r="AE139" s="15"/>
      <c r="AF139" s="11"/>
      <c r="AG139" s="97">
        <f>AG138/AF138-1</f>
        <v>2.9995215304017497E-2</v>
      </c>
    </row>
    <row r="140" spans="2:33" ht="6" customHeight="1" x14ac:dyDescent="0.2">
      <c r="B140" s="9">
        <f>G105</f>
        <v>3</v>
      </c>
      <c r="C140" s="9" t="str">
        <f t="shared" si="345"/>
        <v xml:space="preserve">3 - </v>
      </c>
      <c r="D140" s="9" t="s">
        <v>56</v>
      </c>
      <c r="F140" s="16"/>
      <c r="G140" s="11"/>
      <c r="S140" s="11"/>
      <c r="AD140" s="15"/>
      <c r="AE140" s="15"/>
      <c r="AF140" s="11"/>
      <c r="AG140" s="15"/>
    </row>
    <row r="141" spans="2:33" x14ac:dyDescent="0.2">
      <c r="B141" s="9">
        <f>G105</f>
        <v>3</v>
      </c>
      <c r="C141" s="9" t="str">
        <f t="shared" si="345"/>
        <v>3 - Office EBITDA</v>
      </c>
      <c r="D141" s="9" t="s">
        <v>56</v>
      </c>
      <c r="F141" s="8" t="s">
        <v>12</v>
      </c>
      <c r="G141" s="134">
        <f>G129+G132+G135+G138</f>
        <v>72.45010643779969</v>
      </c>
      <c r="H141" s="135">
        <f t="shared" ref="H141:AD141" si="481">H129+H132+H135+H138</f>
        <v>67.672700294538032</v>
      </c>
      <c r="I141" s="135">
        <f t="shared" si="481"/>
        <v>22.814453862840708</v>
      </c>
      <c r="J141" s="135">
        <f t="shared" si="481"/>
        <v>30.863246408745454</v>
      </c>
      <c r="K141" s="135">
        <f t="shared" si="481"/>
        <v>-34.886473612824858</v>
      </c>
      <c r="L141" s="135">
        <f t="shared" si="481"/>
        <v>-39.592145910958578</v>
      </c>
      <c r="M141" s="135">
        <f t="shared" si="481"/>
        <v>-36.927758978194696</v>
      </c>
      <c r="N141" s="135">
        <f t="shared" si="481"/>
        <v>29.921727613461599</v>
      </c>
      <c r="O141" s="135">
        <f t="shared" si="481"/>
        <v>22.294297158433075</v>
      </c>
      <c r="P141" s="135">
        <f t="shared" si="481"/>
        <v>18.787112837510541</v>
      </c>
      <c r="Q141" s="135">
        <f t="shared" si="481"/>
        <v>54.619430562601565</v>
      </c>
      <c r="R141" s="135">
        <f t="shared" si="481"/>
        <v>101.04222553993822</v>
      </c>
      <c r="S141" s="134">
        <f t="shared" si="481"/>
        <v>54.844114589855103</v>
      </c>
      <c r="T141" s="135">
        <f t="shared" si="481"/>
        <v>47.042901126008779</v>
      </c>
      <c r="U141" s="135">
        <f t="shared" si="481"/>
        <v>5.0412450779121798</v>
      </c>
      <c r="V141" s="135">
        <f t="shared" si="481"/>
        <v>-62.48250503416849</v>
      </c>
      <c r="W141" s="135">
        <f t="shared" si="481"/>
        <v>-75.664031065050125</v>
      </c>
      <c r="X141" s="135">
        <f t="shared" si="481"/>
        <v>-69.390511740920374</v>
      </c>
      <c r="Y141" s="135">
        <f t="shared" si="481"/>
        <v>-57.139760014182016</v>
      </c>
      <c r="Z141" s="135">
        <f t="shared" si="481"/>
        <v>-17.257133755650873</v>
      </c>
      <c r="AA141" s="135">
        <f t="shared" si="481"/>
        <v>-1.810115227690126</v>
      </c>
      <c r="AB141" s="135">
        <f t="shared" si="481"/>
        <v>33.64793206448153</v>
      </c>
      <c r="AC141" s="135">
        <f t="shared" si="481"/>
        <v>15.877741693421122</v>
      </c>
      <c r="AD141" s="136">
        <f t="shared" si="481"/>
        <v>8.2744550383859234</v>
      </c>
      <c r="AE141" s="15"/>
      <c r="AF141" s="94">
        <f>SUM(G141:R141)</f>
        <v>309.0589222138907</v>
      </c>
      <c r="AG141" s="95">
        <f>SUM(S141:AD141)</f>
        <v>-119.01566724759735</v>
      </c>
    </row>
    <row r="142" spans="2:33" x14ac:dyDescent="0.2">
      <c r="B142" s="9">
        <f>G105</f>
        <v>3</v>
      </c>
      <c r="C142" s="9" t="str">
        <f t="shared" si="345"/>
        <v>3 - % of Revenue - Office EBITDA</v>
      </c>
      <c r="D142" s="9" t="s">
        <v>56</v>
      </c>
      <c r="F142" s="16" t="str">
        <f>"% of Revenue - "&amp;F141</f>
        <v>% of Revenue - Office EBITDA</v>
      </c>
      <c r="G142" s="148">
        <f>G141/G117</f>
        <v>0.16191534245986774</v>
      </c>
      <c r="H142" s="149">
        <f t="shared" ref="H142" si="482">H141/H117</f>
        <v>0.15717042363168018</v>
      </c>
      <c r="I142" s="149">
        <f t="shared" ref="I142" si="483">I141/I117</f>
        <v>5.4221805077879902E-2</v>
      </c>
      <c r="J142" s="149">
        <f t="shared" ref="J142" si="484">J141/J117</f>
        <v>8.7161942714310825E-2</v>
      </c>
      <c r="K142" s="149">
        <f t="shared" ref="K142" si="485">K141/K117</f>
        <v>-0.11781874817118587</v>
      </c>
      <c r="L142" s="149">
        <f t="shared" ref="L142" si="486">L141/L117</f>
        <v>-0.13900650693451419</v>
      </c>
      <c r="M142" s="149">
        <f t="shared" ref="M142" si="487">M141/M117</f>
        <v>-0.14381447134193695</v>
      </c>
      <c r="N142" s="149">
        <f t="shared" ref="N142" si="488">N141/N117</f>
        <v>8.4781146783043201E-2</v>
      </c>
      <c r="O142" s="149">
        <f t="shared" ref="O142" si="489">O141/O117</f>
        <v>6.881949371881349E-2</v>
      </c>
      <c r="P142" s="149">
        <f t="shared" ref="P142" si="490">P141/P117</f>
        <v>6.0233551589920095E-2</v>
      </c>
      <c r="Q142" s="149">
        <f t="shared" ref="Q142" si="491">Q141/Q117</f>
        <v>0.15004060503837804</v>
      </c>
      <c r="R142" s="149">
        <f t="shared" ref="R142" si="492">R141/R117</f>
        <v>0.30455638852774886</v>
      </c>
      <c r="S142" s="148">
        <f t="shared" ref="S142" si="493">S141/S117</f>
        <v>0.12595568003784433</v>
      </c>
      <c r="T142" s="149">
        <f t="shared" ref="T142" si="494">T141/T117</f>
        <v>0.11328920277538101</v>
      </c>
      <c r="U142" s="149">
        <f t="shared" ref="U142" si="495">U141/U117</f>
        <v>1.3474283616877615E-2</v>
      </c>
      <c r="V142" s="149">
        <f t="shared" ref="V142" si="496">V141/V117</f>
        <v>-0.17225316778015481</v>
      </c>
      <c r="W142" s="149">
        <f t="shared" ref="W142" si="497">W141/W117</f>
        <v>-0.25263794802690132</v>
      </c>
      <c r="X142" s="149">
        <f t="shared" ref="X142" si="498">X141/X117</f>
        <v>-0.26686696891059314</v>
      </c>
      <c r="Y142" s="149">
        <f t="shared" ref="Y142" si="499">Y141/Y117</f>
        <v>-0.20978238541989239</v>
      </c>
      <c r="Z142" s="149">
        <f t="shared" ref="Z142" si="500">Z141/Z117</f>
        <v>-4.9374010858343011E-2</v>
      </c>
      <c r="AA142" s="149">
        <f t="shared" ref="AA142" si="501">AA141/AA117</f>
        <v>-5.6417546243470711E-3</v>
      </c>
      <c r="AB142" s="149">
        <f t="shared" ref="AB142" si="502">AB141/AB117</f>
        <v>7.7465130430306242E-2</v>
      </c>
      <c r="AC142" s="149">
        <f t="shared" ref="AC142" si="503">AC141/AC117</f>
        <v>4.9696564112368447E-2</v>
      </c>
      <c r="AD142" s="150">
        <f t="shared" ref="AD142" si="504">AD141/AD117</f>
        <v>3.0242527558418199E-2</v>
      </c>
      <c r="AE142" s="15"/>
      <c r="AF142" s="96">
        <f t="shared" ref="AF142" si="505">AF141/AF117</f>
        <v>7.40231978526915E-2</v>
      </c>
      <c r="AG142" s="97">
        <f t="shared" ref="AG142" si="506">AG141/AG117</f>
        <v>-2.8906545803596272E-2</v>
      </c>
    </row>
    <row r="143" spans="2:33" ht="6" customHeight="1" x14ac:dyDescent="0.2">
      <c r="B143" s="9">
        <f>G105</f>
        <v>3</v>
      </c>
      <c r="C143" s="9" t="str">
        <f t="shared" si="345"/>
        <v xml:space="preserve">3 - </v>
      </c>
      <c r="D143" s="9" t="s">
        <v>56</v>
      </c>
      <c r="G143" s="11"/>
      <c r="S143" s="11"/>
      <c r="AD143" s="15"/>
      <c r="AE143" s="15"/>
      <c r="AF143" s="11"/>
      <c r="AG143" s="15"/>
    </row>
    <row r="144" spans="2:33" x14ac:dyDescent="0.2">
      <c r="B144" s="9">
        <f>G105</f>
        <v>3</v>
      </c>
      <c r="C144" s="9" t="str">
        <f t="shared" si="345"/>
        <v>3 - Memo:</v>
      </c>
      <c r="D144" s="9" t="s">
        <v>56</v>
      </c>
      <c r="F144" s="6" t="s">
        <v>13</v>
      </c>
      <c r="G144" s="11"/>
      <c r="S144" s="11"/>
      <c r="AD144" s="15"/>
      <c r="AE144" s="15"/>
      <c r="AF144" s="11"/>
      <c r="AG144" s="15"/>
    </row>
    <row r="145" spans="2:34" s="24" customFormat="1" x14ac:dyDescent="0.2">
      <c r="B145" s="9">
        <f>G105</f>
        <v>3</v>
      </c>
      <c r="C145" s="9" t="str">
        <f t="shared" si="345"/>
        <v>3 - Collections</v>
      </c>
      <c r="D145" s="9" t="s">
        <v>56</v>
      </c>
      <c r="E145" s="49"/>
      <c r="F145" s="24" t="s">
        <v>15</v>
      </c>
      <c r="G145" s="169">
        <f>G146*G115</f>
        <v>446.93570589476087</v>
      </c>
      <c r="H145" s="170">
        <f t="shared" ref="H145" si="507">H146*H115</f>
        <v>430.79678940085228</v>
      </c>
      <c r="I145" s="170">
        <f t="shared" ref="I145" si="508">I146*I115</f>
        <v>433.21940257772417</v>
      </c>
      <c r="J145" s="170">
        <f t="shared" ref="J145" si="509">J146*J115</f>
        <v>362.77240255545917</v>
      </c>
      <c r="K145" s="170">
        <f t="shared" ref="K145" si="510">K146*K115</f>
        <v>300.40389891373104</v>
      </c>
      <c r="L145" s="170">
        <f t="shared" ref="L145" si="511">L146*L115</f>
        <v>286.56877869948437</v>
      </c>
      <c r="M145" s="170">
        <f t="shared" ref="M145" si="512">M146*M115</f>
        <v>255.27090111351163</v>
      </c>
      <c r="N145" s="170">
        <f t="shared" ref="N145" si="513">N146*N115</f>
        <v>362.85552933574218</v>
      </c>
      <c r="O145" s="170">
        <f t="shared" ref="O145" si="514">O146*O115</f>
        <v>324.58774364534884</v>
      </c>
      <c r="P145" s="170">
        <f t="shared" ref="P145" si="515">P146*P115</f>
        <v>318.47747379675769</v>
      </c>
      <c r="Q145" s="170">
        <f t="shared" ref="Q145" si="516">Q146*Q115</f>
        <v>361.8192303750381</v>
      </c>
      <c r="R145" s="170">
        <f t="shared" ref="R145" si="517">R146*R115</f>
        <v>335.3739236858633</v>
      </c>
      <c r="S145" s="169">
        <f t="shared" ref="S145" si="518">S146*S115</f>
        <v>437.73247013539446</v>
      </c>
      <c r="T145" s="170">
        <f t="shared" ref="T145" si="519">T146*T115</f>
        <v>404.67569380400784</v>
      </c>
      <c r="U145" s="170">
        <f t="shared" ref="U145" si="520">U146*U115</f>
        <v>371.70079986131026</v>
      </c>
      <c r="V145" s="170">
        <f t="shared" ref="V145" si="521">V146*V115</f>
        <v>353.77122921238225</v>
      </c>
      <c r="W145" s="170">
        <f t="shared" ref="W145" si="522">W146*W115</f>
        <v>297.9098181496264</v>
      </c>
      <c r="X145" s="170">
        <f t="shared" ref="X145" si="523">X146*X115</f>
        <v>255.42566288401693</v>
      </c>
      <c r="Y145" s="170">
        <f t="shared" ref="Y145" si="524">Y146*Y115</f>
        <v>272.52553861831768</v>
      </c>
      <c r="Z145" s="170">
        <f t="shared" ref="Z145" si="525">Z146*Z115</f>
        <v>340.3226127436314</v>
      </c>
      <c r="AA145" s="170">
        <f t="shared" ref="AA145" si="526">AA146*AA115</f>
        <v>323.37209914016159</v>
      </c>
      <c r="AB145" s="170">
        <f t="shared" ref="AB145" si="527">AB146*AB115</f>
        <v>432.18109787171949</v>
      </c>
      <c r="AC145" s="170">
        <f t="shared" ref="AC145" si="528">AC146*AC115</f>
        <v>314.24605786753625</v>
      </c>
      <c r="AD145" s="171">
        <f t="shared" ref="AD145" si="529">AD146*AD115</f>
        <v>272.88100053317095</v>
      </c>
      <c r="AE145" s="26"/>
      <c r="AF145" s="68">
        <f>SUM(G145:R145)</f>
        <v>4219.0817799942733</v>
      </c>
      <c r="AG145" s="99">
        <f>SUM(S145:AD145)</f>
        <v>4076.7440808212759</v>
      </c>
    </row>
    <row r="146" spans="2:34" x14ac:dyDescent="0.2">
      <c r="B146" s="9">
        <f>G105</f>
        <v>3</v>
      </c>
      <c r="C146" s="9" t="str">
        <f t="shared" si="345"/>
        <v>3 - Collections as a % of Production</v>
      </c>
      <c r="D146" s="9" t="s">
        <v>56</v>
      </c>
      <c r="F146" s="172" t="s">
        <v>17</v>
      </c>
      <c r="G146" s="140">
        <v>0.96919682580723387</v>
      </c>
      <c r="H146" s="141">
        <v>0.97084015685265712</v>
      </c>
      <c r="I146" s="141">
        <v>0.99905580986955478</v>
      </c>
      <c r="J146" s="141">
        <v>0.99411698203651333</v>
      </c>
      <c r="K146" s="141">
        <v>0.9844209619384735</v>
      </c>
      <c r="L146" s="141">
        <v>0.97627668509356824</v>
      </c>
      <c r="M146" s="141">
        <v>0.96464807998556779</v>
      </c>
      <c r="N146" s="141">
        <v>0.99761810729352907</v>
      </c>
      <c r="O146" s="141">
        <v>0.97222718616044868</v>
      </c>
      <c r="P146" s="141">
        <v>0.99077514604799721</v>
      </c>
      <c r="Q146" s="141">
        <v>0.964431175023853</v>
      </c>
      <c r="R146" s="141">
        <v>0.9808713706039307</v>
      </c>
      <c r="S146" s="140">
        <v>0.9918851102250944</v>
      </c>
      <c r="T146" s="141">
        <v>0.96153793829397771</v>
      </c>
      <c r="U146" s="141">
        <v>0.98022607191353239</v>
      </c>
      <c r="V146" s="141">
        <v>0.96226829248042367</v>
      </c>
      <c r="W146" s="141">
        <v>0.98142882030347844</v>
      </c>
      <c r="X146" s="141">
        <v>0.96922396113534592</v>
      </c>
      <c r="Y146" s="141">
        <v>0.98719442605460206</v>
      </c>
      <c r="Z146" s="141">
        <v>0.96069477848141471</v>
      </c>
      <c r="AA146" s="141">
        <v>0.99443270265916794</v>
      </c>
      <c r="AB146" s="141">
        <v>0.98169940291063185</v>
      </c>
      <c r="AC146" s="141">
        <v>0.97044818078217421</v>
      </c>
      <c r="AD146" s="142">
        <v>0.98404931619406244</v>
      </c>
      <c r="AE146" s="15"/>
      <c r="AF146" s="96">
        <f t="shared" ref="AF146" si="530">AF145/AF115</f>
        <v>0.98053354746155075</v>
      </c>
      <c r="AG146" s="97">
        <f t="shared" ref="AG146" si="531">AG145/AG115</f>
        <v>0.97694562565373555</v>
      </c>
    </row>
    <row r="147" spans="2:34" ht="6" customHeight="1" x14ac:dyDescent="0.2">
      <c r="B147" s="9">
        <f>G105</f>
        <v>3</v>
      </c>
      <c r="C147" s="9" t="str">
        <f t="shared" si="345"/>
        <v xml:space="preserve">3 - </v>
      </c>
      <c r="D147" s="9" t="s">
        <v>56</v>
      </c>
      <c r="F147" s="27"/>
      <c r="R147" s="15"/>
      <c r="AD147" s="15"/>
      <c r="AE147" s="15"/>
      <c r="AF147" s="11"/>
      <c r="AG147" s="15"/>
    </row>
    <row r="148" spans="2:34" s="24" customFormat="1" x14ac:dyDescent="0.2">
      <c r="B148" s="9">
        <f>G105</f>
        <v>3</v>
      </c>
      <c r="C148" s="9" t="str">
        <f t="shared" si="345"/>
        <v>3 - Production per Vet Workday - YoY Change</v>
      </c>
      <c r="D148" s="9" t="s">
        <v>56</v>
      </c>
      <c r="E148" s="49"/>
      <c r="F148" s="24" t="s">
        <v>55</v>
      </c>
      <c r="G148" s="88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151">
        <f>S114/G114-1</f>
        <v>-8.4603667821107176E-2</v>
      </c>
      <c r="T148" s="152">
        <f t="shared" ref="T148" si="532">T114/H114-1</f>
        <v>-9.4658177260331544E-2</v>
      </c>
      <c r="U148" s="152">
        <f t="shared" ref="U148" si="533">U114/I114-1</f>
        <v>-4.6023541780512711E-2</v>
      </c>
      <c r="V148" s="152">
        <f t="shared" ref="V148" si="534">V114/J114-1</f>
        <v>-3.8329707342275143E-2</v>
      </c>
      <c r="W148" s="152">
        <f t="shared" ref="W148" si="535">W114/K114-1</f>
        <v>-4.6725685461924349E-2</v>
      </c>
      <c r="X148" s="152">
        <f t="shared" ref="X148" si="536">X114/L114-1</f>
        <v>-1.668430019377809E-2</v>
      </c>
      <c r="Y148" s="152">
        <f t="shared" ref="Y148" si="537">Y114/M114-1</f>
        <v>-2.1461215491407337E-3</v>
      </c>
      <c r="Z148" s="152">
        <f t="shared" ref="Z148" si="538">Z114/N114-1</f>
        <v>1.6293996259739707E-2</v>
      </c>
      <c r="AA148" s="152">
        <f t="shared" ref="AA148" si="539">AA114/O114-1</f>
        <v>2.0389962875390744E-2</v>
      </c>
      <c r="AB148" s="152">
        <f t="shared" ref="AB148" si="540">AB114/P114-1</f>
        <v>-5.8421945121704288E-2</v>
      </c>
      <c r="AC148" s="152">
        <f t="shared" ref="AC148" si="541">AC114/Q114-1</f>
        <v>-9.7635008015050317E-2</v>
      </c>
      <c r="AD148" s="153">
        <f t="shared" ref="AD148" si="542">AD114/R114-1</f>
        <v>1.3792828276795399E-2</v>
      </c>
      <c r="AF148" s="43"/>
      <c r="AG148" s="104">
        <f>AG114/AF114-1</f>
        <v>-3.7189869198974712E-2</v>
      </c>
    </row>
    <row r="149" spans="2:34" s="24" customFormat="1" ht="6" customHeight="1" x14ac:dyDescent="0.2">
      <c r="D149" s="9" t="s">
        <v>56</v>
      </c>
      <c r="E149" s="49"/>
      <c r="G149" s="28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29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29"/>
      <c r="AE149" s="25"/>
      <c r="AF149" s="28"/>
      <c r="AG149" s="29"/>
    </row>
    <row r="150" spans="2:34" s="24" customFormat="1" ht="6" customHeight="1" x14ac:dyDescent="0.2">
      <c r="D150" s="9" t="s">
        <v>56</v>
      </c>
      <c r="E150" s="49"/>
    </row>
    <row r="151" spans="2:34" x14ac:dyDescent="0.2">
      <c r="D151" s="9" t="s">
        <v>56</v>
      </c>
      <c r="F151" s="16"/>
    </row>
    <row r="152" spans="2:34" ht="15.75" thickBot="1" x14ac:dyDescent="0.4">
      <c r="B152" s="35" t="s">
        <v>52</v>
      </c>
      <c r="C152" s="35"/>
      <c r="D152" s="9" t="s">
        <v>56</v>
      </c>
      <c r="E152" s="48" t="s">
        <v>0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74">
        <f ca="1">AG$2</f>
        <v>45999</v>
      </c>
      <c r="AH152" s="1"/>
    </row>
    <row r="153" spans="2:34" x14ac:dyDescent="0.2">
      <c r="B153" s="9">
        <f>G155</f>
        <v>4</v>
      </c>
      <c r="C153" s="9"/>
      <c r="D153" s="9" t="s">
        <v>56</v>
      </c>
      <c r="F153" t="s">
        <v>159</v>
      </c>
      <c r="AG153" s="6" t="s">
        <v>16</v>
      </c>
    </row>
    <row r="154" spans="2:34" x14ac:dyDescent="0.2">
      <c r="B154" s="9"/>
      <c r="C154" s="9"/>
      <c r="D154" s="9" t="s">
        <v>56</v>
      </c>
      <c r="AG154" s="6"/>
    </row>
    <row r="155" spans="2:34" x14ac:dyDescent="0.2">
      <c r="B155" s="9">
        <f>G155</f>
        <v>4</v>
      </c>
      <c r="C155" s="9"/>
      <c r="D155" s="9" t="s">
        <v>56</v>
      </c>
      <c r="F155" s="40" t="s">
        <v>53</v>
      </c>
      <c r="G155" s="42">
        <v>4</v>
      </c>
    </row>
    <row r="156" spans="2:34" x14ac:dyDescent="0.2">
      <c r="B156" s="9">
        <f>G155</f>
        <v>4</v>
      </c>
      <c r="C156" s="9"/>
      <c r="D156" s="9" t="s">
        <v>56</v>
      </c>
      <c r="F156" s="39" t="s">
        <v>21</v>
      </c>
      <c r="G156" s="41"/>
      <c r="H156" s="11"/>
    </row>
    <row r="157" spans="2:34" x14ac:dyDescent="0.2">
      <c r="B157" s="9">
        <f>G155</f>
        <v>4</v>
      </c>
      <c r="C157" s="9"/>
      <c r="D157" s="9" t="s">
        <v>56</v>
      </c>
      <c r="G157" s="23"/>
    </row>
    <row r="158" spans="2:34" x14ac:dyDescent="0.2">
      <c r="B158" s="9">
        <f>G155</f>
        <v>4</v>
      </c>
      <c r="C158" s="9"/>
      <c r="D158" s="9" t="s">
        <v>56</v>
      </c>
      <c r="G158" s="20">
        <v>2023</v>
      </c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2"/>
      <c r="S158" s="20">
        <v>2024</v>
      </c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2"/>
      <c r="AF158" s="17" t="s">
        <v>14</v>
      </c>
      <c r="AG158" s="18"/>
    </row>
    <row r="159" spans="2:34" ht="15" customHeight="1" x14ac:dyDescent="0.35">
      <c r="B159" s="9">
        <f>G155</f>
        <v>4</v>
      </c>
      <c r="C159" s="9"/>
      <c r="D159" s="9" t="s">
        <v>56</v>
      </c>
      <c r="G159" s="165">
        <v>44957</v>
      </c>
      <c r="H159" s="166">
        <v>44985</v>
      </c>
      <c r="I159" s="166">
        <v>45016</v>
      </c>
      <c r="J159" s="166">
        <v>45046</v>
      </c>
      <c r="K159" s="166">
        <v>45077</v>
      </c>
      <c r="L159" s="166">
        <v>45107</v>
      </c>
      <c r="M159" s="166">
        <v>45138</v>
      </c>
      <c r="N159" s="166">
        <v>45169</v>
      </c>
      <c r="O159" s="166">
        <v>45199</v>
      </c>
      <c r="P159" s="166">
        <v>45230</v>
      </c>
      <c r="Q159" s="166">
        <v>45260</v>
      </c>
      <c r="R159" s="167">
        <v>45291</v>
      </c>
      <c r="S159" s="165">
        <v>45322</v>
      </c>
      <c r="T159" s="166">
        <v>45351</v>
      </c>
      <c r="U159" s="166">
        <v>45382</v>
      </c>
      <c r="V159" s="166">
        <v>45412</v>
      </c>
      <c r="W159" s="166">
        <v>45443</v>
      </c>
      <c r="X159" s="166">
        <v>45473</v>
      </c>
      <c r="Y159" s="166">
        <v>45504</v>
      </c>
      <c r="Z159" s="166">
        <v>45535</v>
      </c>
      <c r="AA159" s="166">
        <v>45565</v>
      </c>
      <c r="AB159" s="166">
        <v>45596</v>
      </c>
      <c r="AC159" s="166">
        <v>45626</v>
      </c>
      <c r="AD159" s="167">
        <v>45657</v>
      </c>
      <c r="AE159" s="168"/>
      <c r="AF159" s="13">
        <v>45291</v>
      </c>
      <c r="AG159" s="14">
        <v>45657</v>
      </c>
    </row>
    <row r="160" spans="2:34" ht="0.95" customHeight="1" x14ac:dyDescent="0.2">
      <c r="B160" s="9">
        <f>G155</f>
        <v>4</v>
      </c>
      <c r="C160" s="9"/>
      <c r="D160" s="9" t="s">
        <v>56</v>
      </c>
      <c r="G160" s="11"/>
      <c r="S160" s="11"/>
      <c r="AD160" s="15"/>
      <c r="AE160" s="15"/>
      <c r="AF160" s="11"/>
      <c r="AG160" s="15"/>
    </row>
    <row r="161" spans="2:33" x14ac:dyDescent="0.2">
      <c r="B161" s="9">
        <f>G155</f>
        <v>4</v>
      </c>
      <c r="C161" s="9" t="str">
        <f>B161&amp;" - "&amp;F161</f>
        <v>4 - Employed Vets</v>
      </c>
      <c r="D161" s="9" t="s">
        <v>56</v>
      </c>
      <c r="F161" s="7" t="s">
        <v>160</v>
      </c>
      <c r="G161" s="121">
        <v>1</v>
      </c>
      <c r="H161" s="154">
        <f>MAX(MIN(IF(H164/G164&gt;1.1,G161-1,IF(H164/G164&lt;0.9,G161+1,G161)),5),1)</f>
        <v>1</v>
      </c>
      <c r="I161" s="154">
        <f t="shared" ref="I161:AD161" si="543">MAX(MIN(IF(I164/H164&gt;1.1,H161-1,IF(I164/H164&lt;0.9,H161+1,H161)),5),1)</f>
        <v>1</v>
      </c>
      <c r="J161" s="154">
        <f t="shared" si="543"/>
        <v>1</v>
      </c>
      <c r="K161" s="154">
        <f t="shared" si="543"/>
        <v>1</v>
      </c>
      <c r="L161" s="154">
        <f t="shared" si="543"/>
        <v>1</v>
      </c>
      <c r="M161" s="154">
        <f t="shared" si="543"/>
        <v>2</v>
      </c>
      <c r="N161" s="154">
        <f t="shared" si="543"/>
        <v>3</v>
      </c>
      <c r="O161" s="154">
        <f t="shared" si="543"/>
        <v>3</v>
      </c>
      <c r="P161" s="154">
        <f t="shared" si="543"/>
        <v>3</v>
      </c>
      <c r="Q161" s="154">
        <f t="shared" si="543"/>
        <v>4</v>
      </c>
      <c r="R161" s="154">
        <f t="shared" si="543"/>
        <v>5</v>
      </c>
      <c r="S161" s="155">
        <f t="shared" si="543"/>
        <v>4</v>
      </c>
      <c r="T161" s="154">
        <f t="shared" si="543"/>
        <v>4</v>
      </c>
      <c r="U161" s="154">
        <f t="shared" si="543"/>
        <v>4</v>
      </c>
      <c r="V161" s="154">
        <f t="shared" si="543"/>
        <v>3</v>
      </c>
      <c r="W161" s="154">
        <f t="shared" si="543"/>
        <v>3</v>
      </c>
      <c r="X161" s="154">
        <f t="shared" si="543"/>
        <v>3</v>
      </c>
      <c r="Y161" s="154">
        <f t="shared" si="543"/>
        <v>4</v>
      </c>
      <c r="Z161" s="154">
        <f t="shared" si="543"/>
        <v>5</v>
      </c>
      <c r="AA161" s="154">
        <f t="shared" si="543"/>
        <v>5</v>
      </c>
      <c r="AB161" s="154">
        <f t="shared" si="543"/>
        <v>5</v>
      </c>
      <c r="AC161" s="154">
        <f t="shared" si="543"/>
        <v>5</v>
      </c>
      <c r="AD161" s="156">
        <f t="shared" si="543"/>
        <v>5</v>
      </c>
      <c r="AE161" s="15"/>
      <c r="AF161" s="90">
        <f>AVERAGE(G161:R161)</f>
        <v>2.1666666666666665</v>
      </c>
      <c r="AG161" s="91">
        <f>AVERAGE(S161:AD161)</f>
        <v>4.166666666666667</v>
      </c>
    </row>
    <row r="162" spans="2:33" x14ac:dyDescent="0.2">
      <c r="B162" s="9">
        <f>G155</f>
        <v>4</v>
      </c>
      <c r="C162" s="9" t="str">
        <f t="shared" ref="C162:C198" si="544">B162&amp;" - "&amp;F162</f>
        <v>4 - Workdays in Month / Year</v>
      </c>
      <c r="D162" s="9" t="s">
        <v>56</v>
      </c>
      <c r="F162" s="7" t="s">
        <v>54</v>
      </c>
      <c r="G162" s="121">
        <v>22</v>
      </c>
      <c r="H162" s="124">
        <v>21</v>
      </c>
      <c r="I162" s="124">
        <v>24</v>
      </c>
      <c r="J162" s="122">
        <v>21</v>
      </c>
      <c r="K162" s="122">
        <v>23</v>
      </c>
      <c r="L162" s="122">
        <v>23</v>
      </c>
      <c r="M162" s="122">
        <v>22</v>
      </c>
      <c r="N162" s="122">
        <v>24</v>
      </c>
      <c r="O162" s="122">
        <v>22</v>
      </c>
      <c r="P162" s="122">
        <v>22</v>
      </c>
      <c r="Q162" s="122">
        <v>23</v>
      </c>
      <c r="R162" s="122">
        <v>22</v>
      </c>
      <c r="S162" s="121">
        <v>23</v>
      </c>
      <c r="T162" s="122">
        <v>22</v>
      </c>
      <c r="U162" s="122">
        <v>22</v>
      </c>
      <c r="V162" s="122">
        <v>22</v>
      </c>
      <c r="W162" s="122">
        <v>24</v>
      </c>
      <c r="X162" s="122">
        <v>21</v>
      </c>
      <c r="Y162" s="122">
        <v>23</v>
      </c>
      <c r="Z162" s="122">
        <v>23</v>
      </c>
      <c r="AA162" s="122">
        <v>21</v>
      </c>
      <c r="AB162" s="122">
        <v>24</v>
      </c>
      <c r="AC162" s="122">
        <v>22</v>
      </c>
      <c r="AD162" s="123">
        <v>22</v>
      </c>
      <c r="AE162" s="15"/>
      <c r="AF162" s="144">
        <v>269</v>
      </c>
      <c r="AG162" s="145">
        <v>269</v>
      </c>
    </row>
    <row r="163" spans="2:33" ht="12.75" customHeight="1" x14ac:dyDescent="0.2">
      <c r="B163" s="9">
        <f>G155</f>
        <v>4</v>
      </c>
      <c r="C163" s="9" t="str">
        <f t="shared" si="544"/>
        <v>4 - Total Vet Days</v>
      </c>
      <c r="D163" s="9" t="s">
        <v>56</v>
      </c>
      <c r="F163" s="8" t="s">
        <v>51</v>
      </c>
      <c r="G163" s="125">
        <f>G161*G162</f>
        <v>22</v>
      </c>
      <c r="H163" s="126">
        <f t="shared" ref="H163" si="545">H161*H162</f>
        <v>21</v>
      </c>
      <c r="I163" s="126">
        <f t="shared" ref="I163" si="546">I161*I162</f>
        <v>24</v>
      </c>
      <c r="J163" s="127">
        <f t="shared" ref="J163" si="547">J161*J162</f>
        <v>21</v>
      </c>
      <c r="K163" s="127">
        <f t="shared" ref="K163" si="548">K161*K162</f>
        <v>23</v>
      </c>
      <c r="L163" s="127">
        <f t="shared" ref="L163" si="549">L161*L162</f>
        <v>23</v>
      </c>
      <c r="M163" s="127">
        <f t="shared" ref="M163" si="550">M161*M162</f>
        <v>44</v>
      </c>
      <c r="N163" s="127">
        <f t="shared" ref="N163" si="551">N161*N162</f>
        <v>72</v>
      </c>
      <c r="O163" s="127">
        <f t="shared" ref="O163" si="552">O161*O162</f>
        <v>66</v>
      </c>
      <c r="P163" s="127">
        <f t="shared" ref="P163" si="553">P161*P162</f>
        <v>66</v>
      </c>
      <c r="Q163" s="127">
        <f t="shared" ref="Q163" si="554">Q161*Q162</f>
        <v>92</v>
      </c>
      <c r="R163" s="127">
        <f t="shared" ref="R163" si="555">R161*R162</f>
        <v>110</v>
      </c>
      <c r="S163" s="125">
        <f t="shared" ref="S163" si="556">S161*S162</f>
        <v>92</v>
      </c>
      <c r="T163" s="127">
        <f t="shared" ref="T163" si="557">T161*T162</f>
        <v>88</v>
      </c>
      <c r="U163" s="127">
        <f t="shared" ref="U163" si="558">U161*U162</f>
        <v>88</v>
      </c>
      <c r="V163" s="127">
        <f t="shared" ref="V163" si="559">V161*V162</f>
        <v>66</v>
      </c>
      <c r="W163" s="127">
        <f t="shared" ref="W163" si="560">W161*W162</f>
        <v>72</v>
      </c>
      <c r="X163" s="127">
        <f t="shared" ref="X163" si="561">X161*X162</f>
        <v>63</v>
      </c>
      <c r="Y163" s="127">
        <f t="shared" ref="Y163" si="562">Y161*Y162</f>
        <v>92</v>
      </c>
      <c r="Z163" s="127">
        <f t="shared" ref="Z163" si="563">Z161*Z162</f>
        <v>115</v>
      </c>
      <c r="AA163" s="127">
        <f t="shared" ref="AA163" si="564">AA161*AA162</f>
        <v>105</v>
      </c>
      <c r="AB163" s="127">
        <f t="shared" ref="AB163" si="565">AB161*AB162</f>
        <v>120</v>
      </c>
      <c r="AC163" s="127">
        <f t="shared" ref="AC163" si="566">AC161*AC162</f>
        <v>110</v>
      </c>
      <c r="AD163" s="128">
        <f t="shared" ref="AD163" si="567">AD161*AD162</f>
        <v>110</v>
      </c>
      <c r="AF163" s="119">
        <f>SUM(G163:R163)</f>
        <v>584</v>
      </c>
      <c r="AG163" s="120">
        <f>SUM(S163:AD163)</f>
        <v>1121</v>
      </c>
    </row>
    <row r="164" spans="2:33" x14ac:dyDescent="0.2">
      <c r="B164" s="9">
        <f>G155</f>
        <v>4</v>
      </c>
      <c r="C164" s="9" t="str">
        <f t="shared" si="544"/>
        <v>4 - Production per Vet Workday</v>
      </c>
      <c r="D164" s="9" t="s">
        <v>56</v>
      </c>
      <c r="F164" s="7" t="s">
        <v>50</v>
      </c>
      <c r="G164" s="129">
        <v>7.1229835763904159</v>
      </c>
      <c r="H164" s="130">
        <v>7.7815846196474965</v>
      </c>
      <c r="I164" s="130">
        <v>8.4898438118398669</v>
      </c>
      <c r="J164" s="130">
        <v>9.2522310908362293</v>
      </c>
      <c r="K164" s="130">
        <v>10.179002128857501</v>
      </c>
      <c r="L164" s="130">
        <v>9.6136991411269577</v>
      </c>
      <c r="M164" s="130">
        <v>8.4656644000260233</v>
      </c>
      <c r="N164" s="130">
        <v>7.3435010863014742</v>
      </c>
      <c r="O164" s="130">
        <v>7.2803848289871151</v>
      </c>
      <c r="P164" s="130">
        <v>7.1761427934041375</v>
      </c>
      <c r="Q164" s="130">
        <v>6.0504062139762649</v>
      </c>
      <c r="R164" s="130">
        <v>5.0756300664567728</v>
      </c>
      <c r="S164" s="129">
        <v>7.3280326602899377</v>
      </c>
      <c r="T164" s="130">
        <v>7.9968124240384499</v>
      </c>
      <c r="U164" s="130">
        <v>8.1463960231361501</v>
      </c>
      <c r="V164" s="130">
        <v>9.4155566166108731</v>
      </c>
      <c r="W164" s="130">
        <v>9.5619598344169319</v>
      </c>
      <c r="X164" s="130">
        <v>9.8551701263701652</v>
      </c>
      <c r="Y164" s="130">
        <v>8.1300863170774882</v>
      </c>
      <c r="Z164" s="130">
        <v>6.7630687830815859</v>
      </c>
      <c r="AA164" s="130">
        <v>6.8024769352725452</v>
      </c>
      <c r="AB164" s="130">
        <v>6.9086162536461071</v>
      </c>
      <c r="AC164" s="130">
        <v>4.6492953750845336</v>
      </c>
      <c r="AD164" s="131">
        <v>4.3622337927933144</v>
      </c>
      <c r="AE164" s="15"/>
      <c r="AF164" s="132">
        <v>7.8243851458827685</v>
      </c>
      <c r="AG164" s="133">
        <v>7.5824792178346865</v>
      </c>
    </row>
    <row r="165" spans="2:33" x14ac:dyDescent="0.2">
      <c r="B165" s="9">
        <f>G155</f>
        <v>4</v>
      </c>
      <c r="C165" s="9" t="str">
        <f t="shared" si="544"/>
        <v>4 - Total Production</v>
      </c>
      <c r="D165" s="9" t="s">
        <v>56</v>
      </c>
      <c r="F165" s="8" t="s">
        <v>1</v>
      </c>
      <c r="G165" s="134">
        <f>G164*G163</f>
        <v>156.70563868058915</v>
      </c>
      <c r="H165" s="135">
        <f t="shared" ref="H165" si="568">H164*H163</f>
        <v>163.41327701259743</v>
      </c>
      <c r="I165" s="135">
        <f t="shared" ref="I165" si="569">I164*I163</f>
        <v>203.75625148415679</v>
      </c>
      <c r="J165" s="135">
        <f t="shared" ref="J165" si="570">J164*J163</f>
        <v>194.2968529075608</v>
      </c>
      <c r="K165" s="135">
        <f t="shared" ref="K165" si="571">K164*K163</f>
        <v>234.11704896372254</v>
      </c>
      <c r="L165" s="135">
        <f t="shared" ref="L165" si="572">L164*L163</f>
        <v>221.11508024592001</v>
      </c>
      <c r="M165" s="135">
        <f t="shared" ref="M165" si="573">M164*M163</f>
        <v>372.48923360114503</v>
      </c>
      <c r="N165" s="135">
        <f t="shared" ref="N165" si="574">N164*N163</f>
        <v>528.73207821370613</v>
      </c>
      <c r="O165" s="135">
        <f t="shared" ref="O165" si="575">O164*O163</f>
        <v>480.50539871314959</v>
      </c>
      <c r="P165" s="135">
        <f t="shared" ref="P165" si="576">P164*P163</f>
        <v>473.62542436467305</v>
      </c>
      <c r="Q165" s="135">
        <f t="shared" ref="Q165" si="577">Q164*Q163</f>
        <v>556.63737168581633</v>
      </c>
      <c r="R165" s="135">
        <f t="shared" ref="R165" si="578">R164*R163</f>
        <v>558.31930731024499</v>
      </c>
      <c r="S165" s="134">
        <f t="shared" ref="S165" si="579">S164*S163</f>
        <v>674.17900474667431</v>
      </c>
      <c r="T165" s="135">
        <f t="shared" ref="T165" si="580">T164*T163</f>
        <v>703.7194933153836</v>
      </c>
      <c r="U165" s="135">
        <f t="shared" ref="U165" si="581">U164*U163</f>
        <v>716.88285003598116</v>
      </c>
      <c r="V165" s="135">
        <f t="shared" ref="V165" si="582">V164*V163</f>
        <v>621.42673669631768</v>
      </c>
      <c r="W165" s="135">
        <f t="shared" ref="W165" si="583">W164*W163</f>
        <v>688.46110807801915</v>
      </c>
      <c r="X165" s="135">
        <f t="shared" ref="X165" si="584">X164*X163</f>
        <v>620.87571796132045</v>
      </c>
      <c r="Y165" s="135">
        <f t="shared" ref="Y165" si="585">Y164*Y163</f>
        <v>747.96794117112893</v>
      </c>
      <c r="Z165" s="135">
        <f t="shared" ref="Z165" si="586">Z164*Z163</f>
        <v>777.75291005438237</v>
      </c>
      <c r="AA165" s="135">
        <f t="shared" ref="AA165" si="587">AA164*AA163</f>
        <v>714.26007820361724</v>
      </c>
      <c r="AB165" s="135">
        <f t="shared" ref="AB165" si="588">AB164*AB163</f>
        <v>829.03395043753289</v>
      </c>
      <c r="AC165" s="135">
        <f t="shared" ref="AC165" si="589">AC164*AC163</f>
        <v>511.42249125929868</v>
      </c>
      <c r="AD165" s="136">
        <f t="shared" ref="AD165" si="590">AD164*AD163</f>
        <v>479.84571720726456</v>
      </c>
      <c r="AE165" s="15"/>
      <c r="AF165" s="94">
        <f>SUM(G165:R165)</f>
        <v>4143.7129631832813</v>
      </c>
      <c r="AG165" s="95">
        <f>SUM(S165:AD165)</f>
        <v>8085.8279991669215</v>
      </c>
    </row>
    <row r="166" spans="2:33" x14ac:dyDescent="0.2">
      <c r="B166" s="9">
        <f>G155</f>
        <v>4</v>
      </c>
      <c r="C166" s="9" t="str">
        <f t="shared" si="544"/>
        <v>4 - Revenue as a % of Production</v>
      </c>
      <c r="D166" s="9" t="s">
        <v>56</v>
      </c>
      <c r="F166" s="7" t="s">
        <v>2</v>
      </c>
      <c r="G166" s="137">
        <v>0.98019463312892152</v>
      </c>
      <c r="H166" s="138">
        <v>0.98019463312892152</v>
      </c>
      <c r="I166" s="138">
        <v>0.98019463312892152</v>
      </c>
      <c r="J166" s="138">
        <v>0.98019463312892152</v>
      </c>
      <c r="K166" s="138">
        <v>0.98019463312892152</v>
      </c>
      <c r="L166" s="138">
        <v>0.98019463312892152</v>
      </c>
      <c r="M166" s="138">
        <v>0.98019463312892152</v>
      </c>
      <c r="N166" s="138">
        <v>0.98019463312892152</v>
      </c>
      <c r="O166" s="138">
        <v>0.98019463312892152</v>
      </c>
      <c r="P166" s="138">
        <v>0.98019463312892152</v>
      </c>
      <c r="Q166" s="138">
        <v>0.98019463312892152</v>
      </c>
      <c r="R166" s="138">
        <v>0.98019463312892152</v>
      </c>
      <c r="S166" s="137">
        <v>0.98066922480493857</v>
      </c>
      <c r="T166" s="138">
        <v>0.98066922480493857</v>
      </c>
      <c r="U166" s="138">
        <v>0.98066922480493857</v>
      </c>
      <c r="V166" s="138">
        <v>0.98066922480493857</v>
      </c>
      <c r="W166" s="138">
        <v>0.98066922480493857</v>
      </c>
      <c r="X166" s="138">
        <v>0.98066922480493857</v>
      </c>
      <c r="Y166" s="138">
        <v>0.98066922480493857</v>
      </c>
      <c r="Z166" s="138">
        <v>0.98066922480493857</v>
      </c>
      <c r="AA166" s="138">
        <v>0.98066922480493857</v>
      </c>
      <c r="AB166" s="138">
        <v>0.98066922480493857</v>
      </c>
      <c r="AC166" s="138">
        <v>0.98066922480493857</v>
      </c>
      <c r="AD166" s="139">
        <v>0.98066922480493857</v>
      </c>
      <c r="AE166" s="15"/>
      <c r="AF166" s="161">
        <v>0.98019463312892186</v>
      </c>
      <c r="AG166" s="162">
        <v>0.98066922480493868</v>
      </c>
    </row>
    <row r="167" spans="2:33" x14ac:dyDescent="0.2">
      <c r="B167" s="9">
        <f>G155</f>
        <v>4</v>
      </c>
      <c r="C167" s="9" t="str">
        <f t="shared" si="544"/>
        <v>4 - Total Revenue</v>
      </c>
      <c r="D167" s="9" t="s">
        <v>56</v>
      </c>
      <c r="F167" s="8" t="s">
        <v>3</v>
      </c>
      <c r="G167" s="134">
        <f>G166*G165</f>
        <v>153.60202601575341</v>
      </c>
      <c r="H167" s="135">
        <f t="shared" ref="H167" si="591">H166*H165</f>
        <v>160.17681710975776</v>
      </c>
      <c r="I167" s="135">
        <f t="shared" ref="I167" si="592">I166*I165</f>
        <v>199.72078417123734</v>
      </c>
      <c r="J167" s="135">
        <f t="shared" ref="J167" si="593">J166*J165</f>
        <v>190.44873245383059</v>
      </c>
      <c r="K167" s="135">
        <f t="shared" ref="K167" si="594">K166*K165</f>
        <v>229.48027491822177</v>
      </c>
      <c r="L167" s="135">
        <f t="shared" ref="L167" si="595">L166*L165</f>
        <v>216.7358149609216</v>
      </c>
      <c r="M167" s="135">
        <f t="shared" ref="M167" si="596">M166*M165</f>
        <v>365.11194767414747</v>
      </c>
      <c r="N167" s="135">
        <f t="shared" ref="N167" si="597">N166*N165</f>
        <v>518.26034542817592</v>
      </c>
      <c r="O167" s="135">
        <f t="shared" ref="O167" si="598">O166*O165</f>
        <v>470.98881300810183</v>
      </c>
      <c r="P167" s="135">
        <f t="shared" ref="P167" si="599">P166*P165</f>
        <v>464.24509907566045</v>
      </c>
      <c r="Q167" s="135">
        <f t="shared" ref="Q167" si="600">Q166*Q165</f>
        <v>545.61296432542588</v>
      </c>
      <c r="R167" s="135">
        <f t="shared" ref="R167" si="601">R166*R165</f>
        <v>547.26158859775921</v>
      </c>
      <c r="S167" s="134">
        <f t="shared" ref="S167" si="602">S166*S165</f>
        <v>661.14660196468606</v>
      </c>
      <c r="T167" s="135">
        <f t="shared" ref="T167" si="603">T166*T165</f>
        <v>690.11604998972143</v>
      </c>
      <c r="U167" s="135">
        <f t="shared" ref="U167" si="604">U166*U165</f>
        <v>703.02494882074063</v>
      </c>
      <c r="V167" s="135">
        <f t="shared" ref="V167" si="605">V166*V165</f>
        <v>609.41407614904051</v>
      </c>
      <c r="W167" s="135">
        <f t="shared" ref="W167" si="606">W166*W165</f>
        <v>675.1526211672201</v>
      </c>
      <c r="X167" s="135">
        <f t="shared" ref="X167" si="607">X166*X165</f>
        <v>608.87370903333783</v>
      </c>
      <c r="Y167" s="135">
        <f t="shared" ref="Y167" si="608">Y166*Y165</f>
        <v>733.50914104723688</v>
      </c>
      <c r="Z167" s="135">
        <f t="shared" ref="Z167" si="609">Z166*Z165</f>
        <v>762.71834339281622</v>
      </c>
      <c r="AA167" s="135">
        <f t="shared" ref="AA167" si="610">AA166*AA165</f>
        <v>700.45287720105614</v>
      </c>
      <c r="AB167" s="135">
        <f t="shared" ref="AB167" si="611">AB166*AB165</f>
        <v>813.00808151255126</v>
      </c>
      <c r="AC167" s="135">
        <f t="shared" ref="AC167" si="612">AC166*AC165</f>
        <v>501.53629805106692</v>
      </c>
      <c r="AD167" s="136">
        <f t="shared" ref="AD167" si="613">AD166*AD165</f>
        <v>470.56992751961792</v>
      </c>
      <c r="AE167" s="15"/>
      <c r="AF167" s="94">
        <f>SUM(G167:R167)</f>
        <v>4061.6452077389936</v>
      </c>
      <c r="AG167" s="95">
        <f>SUM(S167:AD167)</f>
        <v>7929.5226758490908</v>
      </c>
    </row>
    <row r="168" spans="2:33" x14ac:dyDescent="0.2">
      <c r="B168" s="9">
        <f>G155</f>
        <v>4</v>
      </c>
      <c r="C168" s="9" t="str">
        <f t="shared" si="544"/>
        <v>4 - % YoY Revenue Growth</v>
      </c>
      <c r="D168" s="9" t="s">
        <v>56</v>
      </c>
      <c r="F168" s="16" t="s">
        <v>174</v>
      </c>
      <c r="G168" s="82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148">
        <f>S167/G167-1</f>
        <v>3.304283082157256</v>
      </c>
      <c r="T168" s="149">
        <f t="shared" ref="T168" si="614">T167/H167-1</f>
        <v>3.3084639989870324</v>
      </c>
      <c r="U168" s="149">
        <f t="shared" ref="U168" si="615">U167/I167-1</f>
        <v>2.5200389971330099</v>
      </c>
      <c r="V168" s="149">
        <f t="shared" ref="V168" si="616">V167/J167-1</f>
        <v>2.1998851780059883</v>
      </c>
      <c r="W168" s="149">
        <f t="shared" ref="W168" si="617">W167/K167-1</f>
        <v>1.9420943538952069</v>
      </c>
      <c r="X168" s="149">
        <f t="shared" ref="X168" si="618">X167/L167-1</f>
        <v>1.8092897758643183</v>
      </c>
      <c r="Y168" s="149">
        <f t="shared" ref="Y168" si="619">Y167/M167-1</f>
        <v>1.0089979134341394</v>
      </c>
      <c r="Z168" s="149">
        <f t="shared" ref="Z168" si="620">Z167/N167-1</f>
        <v>0.47168956707014531</v>
      </c>
      <c r="AA168" s="149">
        <f t="shared" ref="AA168" si="621">AA167/O167-1</f>
        <v>0.48719642134898677</v>
      </c>
      <c r="AB168" s="149">
        <f t="shared" ref="AB168" si="622">AB167/P167-1</f>
        <v>0.75124752664335848</v>
      </c>
      <c r="AC168" s="149">
        <f t="shared" ref="AC168" si="623">AC167/Q167-1</f>
        <v>-8.0783759104502972E-2</v>
      </c>
      <c r="AD168" s="150">
        <f t="shared" ref="AD168" si="624">AD167/R167-1</f>
        <v>-0.14013711664772099</v>
      </c>
      <c r="AE168" s="15"/>
      <c r="AF168" s="11"/>
      <c r="AG168" s="97">
        <f>AG167/AF167-1</f>
        <v>0.95229328764125087</v>
      </c>
    </row>
    <row r="169" spans="2:33" ht="6" customHeight="1" x14ac:dyDescent="0.2">
      <c r="B169" s="9">
        <f>G155</f>
        <v>4</v>
      </c>
      <c r="C169" s="9" t="str">
        <f t="shared" si="544"/>
        <v xml:space="preserve">4 - </v>
      </c>
      <c r="D169" s="9" t="s">
        <v>56</v>
      </c>
      <c r="G169" s="11"/>
      <c r="S169" s="11"/>
      <c r="AD169" s="15"/>
      <c r="AE169" s="15"/>
      <c r="AF169" s="11"/>
      <c r="AG169" s="15"/>
    </row>
    <row r="170" spans="2:33" x14ac:dyDescent="0.2">
      <c r="B170" s="9">
        <f>G155</f>
        <v>4</v>
      </c>
      <c r="C170" s="9" t="str">
        <f t="shared" si="544"/>
        <v>4 - Doctor Compensation</v>
      </c>
      <c r="D170" s="9" t="s">
        <v>56</v>
      </c>
      <c r="F170" t="s">
        <v>4</v>
      </c>
      <c r="G170" s="144">
        <v>-57.288372217111501</v>
      </c>
      <c r="H170" s="70">
        <v>-61.084893660367221</v>
      </c>
      <c r="I170" s="70">
        <v>-75.049366002886501</v>
      </c>
      <c r="J170" s="70">
        <v>-72.30255320866037</v>
      </c>
      <c r="K170" s="70">
        <v>-87.075324730160759</v>
      </c>
      <c r="L170" s="70">
        <v>-84.039402797140397</v>
      </c>
      <c r="M170" s="70">
        <v>-70.729246965661332</v>
      </c>
      <c r="N170" s="70">
        <v>-66.354763961876941</v>
      </c>
      <c r="O170" s="70">
        <v>-60.707412635141253</v>
      </c>
      <c r="P170" s="70">
        <v>-60.091845992848803</v>
      </c>
      <c r="Q170" s="70">
        <v>-52.474918751870369</v>
      </c>
      <c r="R170" s="70">
        <v>-42.556886896340067</v>
      </c>
      <c r="S170" s="144">
        <v>-146.0056565112678</v>
      </c>
      <c r="T170" s="70">
        <v>-149.35076706602433</v>
      </c>
      <c r="U170" s="70">
        <v>-154.51758690945991</v>
      </c>
      <c r="V170" s="70">
        <v>-174.9881843601521</v>
      </c>
      <c r="W170" s="70">
        <v>-216.14271748625998</v>
      </c>
      <c r="X170" s="70">
        <v>-176.16304616535788</v>
      </c>
      <c r="Y170" s="70">
        <v>-157.12860473509329</v>
      </c>
      <c r="Z170" s="70">
        <v>-133.31892227657744</v>
      </c>
      <c r="AA170" s="70">
        <v>-123.18423964469902</v>
      </c>
      <c r="AB170" s="70">
        <v>-140.45243040064082</v>
      </c>
      <c r="AC170" s="70">
        <v>-87.3983285966724</v>
      </c>
      <c r="AD170" s="145">
        <v>-83.172579368919401</v>
      </c>
      <c r="AE170" s="15"/>
      <c r="AF170" s="92">
        <f>SUM(G170:R170)</f>
        <v>-789.75498782006559</v>
      </c>
      <c r="AG170" s="93">
        <f>SUM(S170:AD170)</f>
        <v>-1741.8230635211248</v>
      </c>
    </row>
    <row r="171" spans="2:33" x14ac:dyDescent="0.2">
      <c r="B171" s="9">
        <f>G155</f>
        <v>4</v>
      </c>
      <c r="C171" s="9" t="str">
        <f t="shared" si="544"/>
        <v>4 - % of Revenue - Doctor Compensation</v>
      </c>
      <c r="D171" s="9" t="s">
        <v>56</v>
      </c>
      <c r="F171" s="16" t="str">
        <f>"% of Revenue - "&amp;F170</f>
        <v>% of Revenue - Doctor Compensation</v>
      </c>
      <c r="G171" s="148">
        <f>G170/G167</f>
        <v>-0.37296625378649634</v>
      </c>
      <c r="H171" s="149">
        <f t="shared" ref="H171" si="625">H170/H167</f>
        <v>-0.38135914274354754</v>
      </c>
      <c r="I171" s="149">
        <f t="shared" ref="I171" si="626">I170/I167</f>
        <v>-0.37577143668002222</v>
      </c>
      <c r="J171" s="149">
        <f t="shared" ref="J171" si="627">J170/J167</f>
        <v>-0.37964313165585534</v>
      </c>
      <c r="K171" s="149">
        <f t="shared" ref="K171" si="628">K170/K167</f>
        <v>-0.37944579228515901</v>
      </c>
      <c r="L171" s="149">
        <f t="shared" ref="L171" si="629">L170/L167</f>
        <v>-0.38775041777148395</v>
      </c>
      <c r="M171" s="149">
        <f t="shared" ref="M171" si="630">M170/M167</f>
        <v>-0.19371934393334417</v>
      </c>
      <c r="N171" s="149">
        <f t="shared" ref="N171" si="631">N170/N167</f>
        <v>-0.12803365055270824</v>
      </c>
      <c r="O171" s="149">
        <f t="shared" ref="O171" si="632">O170/O167</f>
        <v>-0.12889353411053731</v>
      </c>
      <c r="P171" s="149">
        <f t="shared" ref="P171" si="633">P170/P167</f>
        <v>-0.1294399146323682</v>
      </c>
      <c r="Q171" s="149">
        <f t="shared" ref="Q171" si="634">Q170/Q167</f>
        <v>-9.6176084849355192E-2</v>
      </c>
      <c r="R171" s="149">
        <f t="shared" ref="R171" si="635">R170/R167</f>
        <v>-7.7763336186964974E-2</v>
      </c>
      <c r="S171" s="148">
        <f t="shared" ref="S171" si="636">S170/S167</f>
        <v>-0.2208370368650347</v>
      </c>
      <c r="T171" s="149">
        <f t="shared" ref="T171" si="637">T170/T167</f>
        <v>-0.216413988731676</v>
      </c>
      <c r="U171" s="149">
        <f t="shared" ref="U171" si="638">U170/U167</f>
        <v>-0.21978962079318648</v>
      </c>
      <c r="V171" s="149">
        <f t="shared" ref="V171" si="639">V170/V167</f>
        <v>-0.28714168446177529</v>
      </c>
      <c r="W171" s="149">
        <f t="shared" ref="W171" si="640">W170/W167</f>
        <v>-0.32013904813490501</v>
      </c>
      <c r="X171" s="149">
        <f t="shared" ref="X171" si="641">X170/X167</f>
        <v>-0.28932608446017233</v>
      </c>
      <c r="Y171" s="149">
        <f t="shared" ref="Y171" si="642">Y170/Y167</f>
        <v>-0.21421492377144682</v>
      </c>
      <c r="Z171" s="149">
        <f t="shared" ref="Z171" si="643">Z170/Z167</f>
        <v>-0.17479443549703033</v>
      </c>
      <c r="AA171" s="149">
        <f t="shared" ref="AA171" si="644">AA170/AA167</f>
        <v>-0.17586370711607563</v>
      </c>
      <c r="AB171" s="149">
        <f t="shared" ref="AB171" si="645">AB170/AB167</f>
        <v>-0.17275649971318582</v>
      </c>
      <c r="AC171" s="149">
        <f t="shared" ref="AC171" si="646">AC170/AC167</f>
        <v>-0.17426122283929571</v>
      </c>
      <c r="AD171" s="150">
        <f t="shared" ref="AD171" si="647">AD170/AD167</f>
        <v>-0.17674860739045412</v>
      </c>
      <c r="AE171" s="15"/>
      <c r="AF171" s="96">
        <f t="shared" ref="AF171" si="648">AF170/AF167</f>
        <v>-0.19444214042016253</v>
      </c>
      <c r="AG171" s="97">
        <f t="shared" ref="AG171" si="649">AG170/AG167</f>
        <v>-0.2196630408569468</v>
      </c>
    </row>
    <row r="172" spans="2:33" ht="3" customHeight="1" x14ac:dyDescent="0.2">
      <c r="B172" s="9">
        <f>G155</f>
        <v>4</v>
      </c>
      <c r="C172" s="9" t="str">
        <f t="shared" si="544"/>
        <v xml:space="preserve">4 - </v>
      </c>
      <c r="D172" s="9" t="s">
        <v>56</v>
      </c>
      <c r="F172" s="16"/>
      <c r="G172" s="36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6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8"/>
      <c r="AE172" s="15"/>
      <c r="AF172" s="36"/>
      <c r="AG172" s="38"/>
    </row>
    <row r="173" spans="2:33" x14ac:dyDescent="0.2">
      <c r="B173" s="9">
        <f>G155</f>
        <v>4</v>
      </c>
      <c r="C173" s="9" t="str">
        <f t="shared" si="544"/>
        <v>4 - Administrative Staff Compensation</v>
      </c>
      <c r="D173" s="9" t="s">
        <v>56</v>
      </c>
      <c r="F173" t="s">
        <v>5</v>
      </c>
      <c r="G173" s="144">
        <v>-27.09235728528839</v>
      </c>
      <c r="H173" s="70">
        <v>-28.878466587693765</v>
      </c>
      <c r="I173" s="70">
        <v>-37.545696560498428</v>
      </c>
      <c r="J173" s="70">
        <v>-34.164502531364391</v>
      </c>
      <c r="K173" s="70">
        <v>-39.039566733198455</v>
      </c>
      <c r="L173" s="70">
        <v>-37.133958702785485</v>
      </c>
      <c r="M173" s="70">
        <v>-29.969905563611796</v>
      </c>
      <c r="N173" s="70">
        <v>-29.514751570187265</v>
      </c>
      <c r="O173" s="70">
        <v>-26.168764327102608</v>
      </c>
      <c r="P173" s="70">
        <v>-25.965411789490037</v>
      </c>
      <c r="Q173" s="70">
        <v>-23.366463538963938</v>
      </c>
      <c r="R173" s="70">
        <v>-17.734049709676054</v>
      </c>
      <c r="S173" s="144">
        <v>-68.282229516591187</v>
      </c>
      <c r="T173" s="70">
        <v>-71.110459812868214</v>
      </c>
      <c r="U173" s="70">
        <v>-74.298451937727449</v>
      </c>
      <c r="V173" s="70">
        <v>-83.816836673360129</v>
      </c>
      <c r="W173" s="70">
        <v>-99.42951398519395</v>
      </c>
      <c r="X173" s="70">
        <v>-77.673512721624434</v>
      </c>
      <c r="Y173" s="70">
        <v>-84.619211539638997</v>
      </c>
      <c r="Z173" s="70">
        <v>-72.954944575211599</v>
      </c>
      <c r="AA173" s="70">
        <v>-63.345345777939315</v>
      </c>
      <c r="AB173" s="70">
        <v>-74.238326577310929</v>
      </c>
      <c r="AC173" s="70">
        <v>-45.415056334203292</v>
      </c>
      <c r="AD173" s="145">
        <v>-40.414043371550896</v>
      </c>
      <c r="AE173" s="15"/>
      <c r="AF173" s="92">
        <f>SUM(G173:R173)</f>
        <v>-356.57389489986065</v>
      </c>
      <c r="AG173" s="93">
        <f>SUM(S173:AD173)</f>
        <v>-855.59793282322028</v>
      </c>
    </row>
    <row r="174" spans="2:33" x14ac:dyDescent="0.2">
      <c r="B174" s="9">
        <f>G155</f>
        <v>4</v>
      </c>
      <c r="C174" s="9" t="str">
        <f t="shared" si="544"/>
        <v>4 - % of Revenue - Administrative Staff Compensation</v>
      </c>
      <c r="D174" s="9" t="s">
        <v>56</v>
      </c>
      <c r="F174" s="16" t="str">
        <f>"% of Revenue - "&amp;F173</f>
        <v>% of Revenue - Administrative Staff Compensation</v>
      </c>
      <c r="G174" s="148">
        <f>G173/G167</f>
        <v>-0.17638020791802447</v>
      </c>
      <c r="H174" s="149">
        <f t="shared" ref="H174" si="650">H173/H167</f>
        <v>-0.18029117514493628</v>
      </c>
      <c r="I174" s="149">
        <f t="shared" ref="I174" si="651">I173/I167</f>
        <v>-0.18799093302331199</v>
      </c>
      <c r="J174" s="149">
        <f t="shared" ref="J174" si="652">J173/J167</f>
        <v>-0.17938949811412738</v>
      </c>
      <c r="K174" s="149">
        <f t="shared" ref="K174" si="653">K173/K167</f>
        <v>-0.17012166621776406</v>
      </c>
      <c r="L174" s="149">
        <f t="shared" ref="L174" si="654">L173/L167</f>
        <v>-0.17133282152504836</v>
      </c>
      <c r="M174" s="149">
        <f t="shared" ref="M174" si="655">M173/M167</f>
        <v>-8.2084154612105775E-2</v>
      </c>
      <c r="N174" s="149">
        <f t="shared" ref="N174" si="656">N173/N167</f>
        <v>-5.6949662135162574E-2</v>
      </c>
      <c r="O174" s="149">
        <f t="shared" ref="O174" si="657">O173/O167</f>
        <v>-5.5561328856132429E-2</v>
      </c>
      <c r="P174" s="149">
        <f t="shared" ref="P174" si="658">P173/P167</f>
        <v>-5.5930395046040797E-2</v>
      </c>
      <c r="Q174" s="149">
        <f t="shared" ref="Q174" si="659">Q173/Q167</f>
        <v>-4.282607831332106E-2</v>
      </c>
      <c r="R174" s="149">
        <f t="shared" ref="R174" si="660">R173/R167</f>
        <v>-3.2405069310849612E-2</v>
      </c>
      <c r="S174" s="148">
        <f t="shared" ref="S174" si="661">S173/S167</f>
        <v>-0.10327850028069623</v>
      </c>
      <c r="T174" s="149">
        <f t="shared" ref="T174" si="662">T173/T167</f>
        <v>-0.1030413070583235</v>
      </c>
      <c r="U174" s="149">
        <f t="shared" ref="U174" si="663">U173/U167</f>
        <v>-0.10568394772099658</v>
      </c>
      <c r="V174" s="149">
        <f t="shared" ref="V174" si="664">V173/V167</f>
        <v>-0.13753675859115139</v>
      </c>
      <c r="W174" s="149">
        <f t="shared" ref="W174" si="665">W173/W167</f>
        <v>-0.14726968520583955</v>
      </c>
      <c r="X174" s="149">
        <f t="shared" ref="X174" si="666">X173/X167</f>
        <v>-0.12756916839937255</v>
      </c>
      <c r="Y174" s="149">
        <f t="shared" ref="Y174" si="667">Y173/Y167</f>
        <v>-0.11536217724407288</v>
      </c>
      <c r="Z174" s="149">
        <f t="shared" ref="Z174" si="668">Z173/Z167</f>
        <v>-9.5651225917400343E-2</v>
      </c>
      <c r="AA174" s="149">
        <f t="shared" ref="AA174" si="669">AA173/AA167</f>
        <v>-9.0434842713561781E-2</v>
      </c>
      <c r="AB174" s="149">
        <f t="shared" ref="AB174" si="670">AB173/AB167</f>
        <v>-9.131314714509986E-2</v>
      </c>
      <c r="AC174" s="149">
        <f t="shared" ref="AC174" si="671">AC173/AC167</f>
        <v>-9.0551883304723607E-2</v>
      </c>
      <c r="AD174" s="150">
        <f t="shared" ref="AD174" si="672">AD173/AD167</f>
        <v>-8.5883183365698709E-2</v>
      </c>
      <c r="AE174" s="15"/>
      <c r="AF174" s="96">
        <f t="shared" ref="AF174" si="673">AF173/AF167</f>
        <v>-8.7790507703738002E-2</v>
      </c>
      <c r="AG174" s="97">
        <f t="shared" ref="AG174" si="674">AG173/AG167</f>
        <v>-0.10790030721888352</v>
      </c>
    </row>
    <row r="175" spans="2:33" ht="3" customHeight="1" x14ac:dyDescent="0.2">
      <c r="B175" s="9">
        <f>G155</f>
        <v>4</v>
      </c>
      <c r="C175" s="9" t="str">
        <f t="shared" si="544"/>
        <v xml:space="preserve">4 - </v>
      </c>
      <c r="D175" s="9" t="s">
        <v>56</v>
      </c>
      <c r="F175" s="16"/>
      <c r="G175" s="36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6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8"/>
      <c r="AE175" s="15"/>
      <c r="AF175" s="36"/>
      <c r="AG175" s="38"/>
    </row>
    <row r="176" spans="2:33" x14ac:dyDescent="0.2">
      <c r="B176" s="9">
        <f>G155</f>
        <v>4</v>
      </c>
      <c r="C176" s="9" t="str">
        <f t="shared" si="544"/>
        <v>4 - Office Supplies</v>
      </c>
      <c r="D176" s="9" t="s">
        <v>56</v>
      </c>
      <c r="F176" t="s">
        <v>6</v>
      </c>
      <c r="G176" s="144">
        <v>-14.600407095513134</v>
      </c>
      <c r="H176" s="70">
        <v>-15.587159019313438</v>
      </c>
      <c r="I176" s="70">
        <v>-18.592316512643571</v>
      </c>
      <c r="J176" s="70">
        <v>-16.989149279884749</v>
      </c>
      <c r="K176" s="70">
        <v>-20.460176009083586</v>
      </c>
      <c r="L176" s="70">
        <v>-19.736702890350188</v>
      </c>
      <c r="M176" s="70">
        <v>-15.870732107562109</v>
      </c>
      <c r="N176" s="70">
        <v>-15.785143557413566</v>
      </c>
      <c r="O176" s="70">
        <v>-14.432901443587683</v>
      </c>
      <c r="P176" s="70">
        <v>-14.240348219837271</v>
      </c>
      <c r="Q176" s="70">
        <v>-12.825273444729991</v>
      </c>
      <c r="R176" s="70">
        <v>-9.8756741773214873</v>
      </c>
      <c r="S176" s="144">
        <v>-14.828087669323066</v>
      </c>
      <c r="T176" s="70">
        <v>-16.219241262048342</v>
      </c>
      <c r="U176" s="70">
        <v>-15.928896670078355</v>
      </c>
      <c r="V176" s="70">
        <v>-18.286622717015746</v>
      </c>
      <c r="W176" s="70">
        <v>-22.251774632440391</v>
      </c>
      <c r="X176" s="70">
        <v>-18.845409320457325</v>
      </c>
      <c r="Y176" s="70">
        <v>-16.946479537114602</v>
      </c>
      <c r="Z176" s="70">
        <v>-14.548152811416747</v>
      </c>
      <c r="AA176" s="70">
        <v>-12.855352070392971</v>
      </c>
      <c r="AB176" s="70">
        <v>-15.704905074537672</v>
      </c>
      <c r="AC176" s="70">
        <v>-9.4750666945645268</v>
      </c>
      <c r="AD176" s="145">
        <v>-9.3376751912412193</v>
      </c>
      <c r="AE176" s="15"/>
      <c r="AF176" s="92">
        <f>SUM(G176:R176)</f>
        <v>-188.99598375724079</v>
      </c>
      <c r="AG176" s="93">
        <f>SUM(S176:AD176)</f>
        <v>-185.22766365063097</v>
      </c>
    </row>
    <row r="177" spans="2:33" x14ac:dyDescent="0.2">
      <c r="B177" s="9">
        <f>G155</f>
        <v>4</v>
      </c>
      <c r="C177" s="9" t="str">
        <f t="shared" si="544"/>
        <v>4 - % of Revenue - Office Supplies</v>
      </c>
      <c r="D177" s="9" t="s">
        <v>56</v>
      </c>
      <c r="F177" s="16" t="str">
        <f>"% of Revenue - "&amp;F176</f>
        <v>% of Revenue - Office Supplies</v>
      </c>
      <c r="G177" s="148">
        <f>G176/G167</f>
        <v>-9.5053479919696621E-2</v>
      </c>
      <c r="H177" s="149">
        <f t="shared" ref="H177" si="675">H176/H167</f>
        <v>-9.7312203479687498E-2</v>
      </c>
      <c r="I177" s="149">
        <f t="shared" ref="I177" si="676">I176/I167</f>
        <v>-9.3091545728674993E-2</v>
      </c>
      <c r="J177" s="149">
        <f t="shared" ref="J177" si="677">J176/J167</f>
        <v>-8.9205893160792415E-2</v>
      </c>
      <c r="K177" s="149">
        <f t="shared" ref="K177" si="678">K176/K167</f>
        <v>-8.9158756744451492E-2</v>
      </c>
      <c r="L177" s="149">
        <f t="shared" ref="L177" si="679">L176/L167</f>
        <v>-9.1063412357153803E-2</v>
      </c>
      <c r="M177" s="149">
        <f t="shared" ref="M177" si="680">M176/M167</f>
        <v>-4.3468125895804177E-2</v>
      </c>
      <c r="N177" s="149">
        <f t="shared" ref="N177" si="681">N176/N167</f>
        <v>-3.0457942029834848E-2</v>
      </c>
      <c r="O177" s="149">
        <f t="shared" ref="O177" si="682">O176/O167</f>
        <v>-3.0643830691875505E-2</v>
      </c>
      <c r="P177" s="149">
        <f t="shared" ref="P177" si="683">P176/P167</f>
        <v>-3.0674202588655539E-2</v>
      </c>
      <c r="Q177" s="149">
        <f t="shared" ref="Q177" si="684">Q176/Q167</f>
        <v>-2.3506174309084915E-2</v>
      </c>
      <c r="R177" s="149">
        <f t="shared" ref="R177" si="685">R176/R167</f>
        <v>-1.8045619102604642E-2</v>
      </c>
      <c r="S177" s="148">
        <f t="shared" ref="S177" si="686">S176/S167</f>
        <v>-2.2427836164111575E-2</v>
      </c>
      <c r="T177" s="149">
        <f t="shared" ref="T177" si="687">T176/T167</f>
        <v>-2.3502193960406967E-2</v>
      </c>
      <c r="U177" s="149">
        <f t="shared" ref="U177" si="688">U176/U167</f>
        <v>-2.2657654890907653E-2</v>
      </c>
      <c r="V177" s="149">
        <f t="shared" ref="V177" si="689">V176/V167</f>
        <v>-3.0006892575522828E-2</v>
      </c>
      <c r="W177" s="149">
        <f t="shared" ref="W177" si="690">W176/W167</f>
        <v>-3.2958140033539363E-2</v>
      </c>
      <c r="X177" s="149">
        <f t="shared" ref="X177" si="691">X176/X167</f>
        <v>-3.0951261387811832E-2</v>
      </c>
      <c r="Y177" s="149">
        <f t="shared" ref="Y177" si="692">Y176/Y167</f>
        <v>-2.3103296999025774E-2</v>
      </c>
      <c r="Z177" s="149">
        <f t="shared" ref="Z177" si="693">Z176/Z167</f>
        <v>-1.9074082769141083E-2</v>
      </c>
      <c r="AA177" s="149">
        <f t="shared" ref="AA177" si="694">AA176/AA167</f>
        <v>-1.8352914933780769E-2</v>
      </c>
      <c r="AB177" s="149">
        <f t="shared" ref="AB177" si="695">AB176/AB167</f>
        <v>-1.9317034395672509E-2</v>
      </c>
      <c r="AC177" s="149">
        <f t="shared" ref="AC177" si="696">AC176/AC167</f>
        <v>-1.8892085640429091E-2</v>
      </c>
      <c r="AD177" s="150">
        <f t="shared" ref="AD177" si="697">AD176/AD167</f>
        <v>-1.9843331766779625E-2</v>
      </c>
      <c r="AE177" s="15"/>
      <c r="AF177" s="96">
        <f t="shared" ref="AF177" si="698">AF176/AF167</f>
        <v>-4.6531879100895096E-2</v>
      </c>
      <c r="AG177" s="97">
        <f t="shared" ref="AG177" si="699">AG176/AG167</f>
        <v>-2.3359245092365772E-2</v>
      </c>
    </row>
    <row r="178" spans="2:33" ht="6" customHeight="1" x14ac:dyDescent="0.2">
      <c r="B178" s="9">
        <f>G155</f>
        <v>4</v>
      </c>
      <c r="C178" s="9" t="str">
        <f t="shared" si="544"/>
        <v xml:space="preserve">4 - </v>
      </c>
      <c r="D178" s="9" t="s">
        <v>56</v>
      </c>
      <c r="F178" s="16"/>
      <c r="G178" s="11"/>
      <c r="S178" s="11"/>
      <c r="AD178" s="15"/>
      <c r="AE178" s="15"/>
      <c r="AF178" s="11"/>
      <c r="AG178" s="15"/>
    </row>
    <row r="179" spans="2:33" x14ac:dyDescent="0.2">
      <c r="B179" s="9">
        <f>G155</f>
        <v>4</v>
      </c>
      <c r="C179" s="9" t="str">
        <f t="shared" si="544"/>
        <v>4 - Office Gross Profit</v>
      </c>
      <c r="D179" s="9" t="s">
        <v>56</v>
      </c>
      <c r="F179" s="8" t="s">
        <v>11</v>
      </c>
      <c r="G179" s="134">
        <f>G167+G170+G173+G176</f>
        <v>54.620889417840388</v>
      </c>
      <c r="H179" s="135">
        <f t="shared" ref="H179:AD179" si="700">H167+H170+H173+H176</f>
        <v>54.626297842383345</v>
      </c>
      <c r="I179" s="135">
        <f t="shared" si="700"/>
        <v>68.533405095208849</v>
      </c>
      <c r="J179" s="135">
        <f t="shared" si="700"/>
        <v>66.992527433921083</v>
      </c>
      <c r="K179" s="135">
        <f t="shared" si="700"/>
        <v>82.90520744577897</v>
      </c>
      <c r="L179" s="135">
        <f t="shared" si="700"/>
        <v>75.825750570645511</v>
      </c>
      <c r="M179" s="135">
        <f t="shared" si="700"/>
        <v>248.54206303731223</v>
      </c>
      <c r="N179" s="135">
        <f t="shared" si="700"/>
        <v>406.60568633869815</v>
      </c>
      <c r="O179" s="135">
        <f t="shared" si="700"/>
        <v>369.67973460227023</v>
      </c>
      <c r="P179" s="135">
        <f t="shared" si="700"/>
        <v>363.9474930734844</v>
      </c>
      <c r="Q179" s="135">
        <f t="shared" si="700"/>
        <v>456.94630858986159</v>
      </c>
      <c r="R179" s="135">
        <f t="shared" si="700"/>
        <v>477.09497781442155</v>
      </c>
      <c r="S179" s="134">
        <f t="shared" si="700"/>
        <v>432.03062826750397</v>
      </c>
      <c r="T179" s="135">
        <f t="shared" si="700"/>
        <v>453.43558184878054</v>
      </c>
      <c r="U179" s="135">
        <f t="shared" si="700"/>
        <v>458.28001330347485</v>
      </c>
      <c r="V179" s="135">
        <f t="shared" si="700"/>
        <v>332.32243239851255</v>
      </c>
      <c r="W179" s="135">
        <f t="shared" si="700"/>
        <v>337.32861506332574</v>
      </c>
      <c r="X179" s="135">
        <f t="shared" si="700"/>
        <v>336.19174082589819</v>
      </c>
      <c r="Y179" s="135">
        <f t="shared" si="700"/>
        <v>474.81484523539001</v>
      </c>
      <c r="Z179" s="135">
        <f t="shared" si="700"/>
        <v>541.89632372961034</v>
      </c>
      <c r="AA179" s="135">
        <f t="shared" si="700"/>
        <v>501.06793970802482</v>
      </c>
      <c r="AB179" s="135">
        <f t="shared" si="700"/>
        <v>582.61241946006191</v>
      </c>
      <c r="AC179" s="135">
        <f t="shared" si="700"/>
        <v>359.24784642562668</v>
      </c>
      <c r="AD179" s="136">
        <f t="shared" si="700"/>
        <v>337.6456295879064</v>
      </c>
      <c r="AE179" s="15"/>
      <c r="AF179" s="98">
        <f>SUM(G179:R179)</f>
        <v>2726.3203412618259</v>
      </c>
      <c r="AG179" s="95">
        <f>SUM(S179:AD179)</f>
        <v>5146.874015854115</v>
      </c>
    </row>
    <row r="180" spans="2:33" x14ac:dyDescent="0.2">
      <c r="B180" s="9">
        <f>G155</f>
        <v>4</v>
      </c>
      <c r="C180" s="9" t="str">
        <f t="shared" si="544"/>
        <v>4 - % of Revenue - Office Gross Profit</v>
      </c>
      <c r="D180" s="9" t="s">
        <v>56</v>
      </c>
      <c r="F180" s="16" t="str">
        <f>"% of Revenue - "&amp;F179</f>
        <v>% of Revenue - Office Gross Profit</v>
      </c>
      <c r="G180" s="148">
        <f>G179/G167</f>
        <v>0.35560005837578257</v>
      </c>
      <c r="H180" s="149">
        <f t="shared" ref="H180" si="701">H179/H167</f>
        <v>0.34103747863182871</v>
      </c>
      <c r="I180" s="149">
        <f t="shared" ref="I180" si="702">I179/I167</f>
        <v>0.34314608456799078</v>
      </c>
      <c r="J180" s="149">
        <f t="shared" ref="J180" si="703">J179/J167</f>
        <v>0.35176147706922495</v>
      </c>
      <c r="K180" s="149">
        <f t="shared" ref="K180" si="704">K179/K167</f>
        <v>0.3612737847526255</v>
      </c>
      <c r="L180" s="149">
        <f t="shared" ref="L180" si="705">L179/L167</f>
        <v>0.34985334834631376</v>
      </c>
      <c r="M180" s="149">
        <f t="shared" ref="M180" si="706">M179/M167</f>
        <v>0.68072837555874588</v>
      </c>
      <c r="N180" s="149">
        <f t="shared" ref="N180" si="707">N179/N167</f>
        <v>0.7845587452822943</v>
      </c>
      <c r="O180" s="149">
        <f t="shared" ref="O180" si="708">O179/O167</f>
        <v>0.78490130634145461</v>
      </c>
      <c r="P180" s="149">
        <f t="shared" ref="P180" si="709">P179/P167</f>
        <v>0.78395548773293555</v>
      </c>
      <c r="Q180" s="149">
        <f t="shared" ref="Q180" si="710">Q179/Q167</f>
        <v>0.83749166252823881</v>
      </c>
      <c r="R180" s="149">
        <f t="shared" ref="R180" si="711">R179/R167</f>
        <v>0.87178597539958069</v>
      </c>
      <c r="S180" s="148">
        <f t="shared" ref="S180" si="712">S179/S167</f>
        <v>0.65345662669015747</v>
      </c>
      <c r="T180" s="149">
        <f t="shared" ref="T180" si="713">T179/T167</f>
        <v>0.65704251024959348</v>
      </c>
      <c r="U180" s="149">
        <f t="shared" ref="U180" si="714">U179/U167</f>
        <v>0.65186877659490916</v>
      </c>
      <c r="V180" s="149">
        <f t="shared" ref="V180" si="715">V179/V167</f>
        <v>0.54531466437155052</v>
      </c>
      <c r="W180" s="149">
        <f t="shared" ref="W180" si="716">W179/W167</f>
        <v>0.49963312662571602</v>
      </c>
      <c r="X180" s="149">
        <f t="shared" ref="X180" si="717">X179/X167</f>
        <v>0.55215348575264334</v>
      </c>
      <c r="Y180" s="149">
        <f t="shared" ref="Y180" si="718">Y179/Y167</f>
        <v>0.64731960198545457</v>
      </c>
      <c r="Z180" s="149">
        <f t="shared" ref="Z180" si="719">Z179/Z167</f>
        <v>0.71048025581642815</v>
      </c>
      <c r="AA180" s="149">
        <f t="shared" ref="AA180" si="720">AA179/AA167</f>
        <v>0.71534853523658182</v>
      </c>
      <c r="AB180" s="149">
        <f t="shared" ref="AB180" si="721">AB179/AB167</f>
        <v>0.71661331874604195</v>
      </c>
      <c r="AC180" s="149">
        <f t="shared" ref="AC180" si="722">AC179/AC167</f>
        <v>0.71629480821555158</v>
      </c>
      <c r="AD180" s="150">
        <f t="shared" ref="AD180" si="723">AD179/AD167</f>
        <v>0.7175248774770675</v>
      </c>
      <c r="AE180" s="15"/>
      <c r="AF180" s="111">
        <f t="shared" ref="AF180" si="724">AF179/AF167</f>
        <v>0.67123547277520423</v>
      </c>
      <c r="AG180" s="97">
        <f t="shared" ref="AG180" si="725">AG179/AG167</f>
        <v>0.64907740683180393</v>
      </c>
    </row>
    <row r="181" spans="2:33" ht="6" customHeight="1" x14ac:dyDescent="0.2">
      <c r="B181" s="9">
        <f>G155</f>
        <v>4</v>
      </c>
      <c r="C181" s="9" t="str">
        <f t="shared" si="544"/>
        <v xml:space="preserve">4 - </v>
      </c>
      <c r="D181" s="9" t="s">
        <v>56</v>
      </c>
      <c r="F181" s="16"/>
      <c r="G181" s="11"/>
      <c r="S181" s="11"/>
      <c r="AD181" s="15"/>
      <c r="AE181" s="15"/>
      <c r="AF181" s="11"/>
      <c r="AG181" s="15"/>
    </row>
    <row r="182" spans="2:33" x14ac:dyDescent="0.2">
      <c r="B182" s="9">
        <f>G155</f>
        <v>4</v>
      </c>
      <c r="C182" s="9" t="str">
        <f t="shared" si="544"/>
        <v>4 - General and Administrative Expense</v>
      </c>
      <c r="D182" s="9" t="s">
        <v>56</v>
      </c>
      <c r="F182" t="s">
        <v>10</v>
      </c>
      <c r="G182" s="144">
        <v>-4.4160254701590205</v>
      </c>
      <c r="H182" s="70">
        <v>-5.1366656660356993</v>
      </c>
      <c r="I182" s="70">
        <v>-6.4990167038466353</v>
      </c>
      <c r="J182" s="70">
        <v>-5.7782241291089873</v>
      </c>
      <c r="K182" s="70">
        <v>-7.9833621870373355</v>
      </c>
      <c r="L182" s="70">
        <v>-6.7077188615994388</v>
      </c>
      <c r="M182" s="70">
        <v>-4.7759276175433838</v>
      </c>
      <c r="N182" s="70">
        <v>-4.8004691449690782</v>
      </c>
      <c r="O182" s="70">
        <v>-4.3996630992220211</v>
      </c>
      <c r="P182" s="70">
        <v>-4.3465257569084521</v>
      </c>
      <c r="Q182" s="70">
        <v>-3.1827310098008867</v>
      </c>
      <c r="R182" s="70">
        <v>-2.2516935805491896</v>
      </c>
      <c r="S182" s="144">
        <v>-2.6896043165858612</v>
      </c>
      <c r="T182" s="70">
        <v>-3.3590905686499748</v>
      </c>
      <c r="U182" s="70">
        <v>-2.7348748663429574</v>
      </c>
      <c r="V182" s="70">
        <v>-3.1681273550632767</v>
      </c>
      <c r="W182" s="70">
        <v>-4.7906364634469236</v>
      </c>
      <c r="X182" s="70">
        <v>-4.9375454001743959</v>
      </c>
      <c r="Y182" s="70">
        <v>-3.6067825772787661</v>
      </c>
      <c r="Z182" s="70">
        <v>-2.9817977817819159</v>
      </c>
      <c r="AA182" s="70">
        <v>-2.8567164863091645</v>
      </c>
      <c r="AB182" s="70">
        <v>-2.6224192647257709</v>
      </c>
      <c r="AC182" s="70">
        <v>-1.3472502459249192</v>
      </c>
      <c r="AD182" s="145">
        <v>-1.5479358331409703</v>
      </c>
      <c r="AE182" s="15"/>
      <c r="AF182" s="144">
        <v>-60.278023226780121</v>
      </c>
      <c r="AG182" s="145">
        <v>-36.642781159424892</v>
      </c>
    </row>
    <row r="183" spans="2:33" x14ac:dyDescent="0.2">
      <c r="B183" s="9">
        <f>G155</f>
        <v>4</v>
      </c>
      <c r="C183" s="9" t="str">
        <f t="shared" si="544"/>
        <v>4 - % of Revenue - General and Administrative Expense</v>
      </c>
      <c r="D183" s="9" t="s">
        <v>56</v>
      </c>
      <c r="F183" s="16" t="str">
        <f>"% of Revenue - "&amp;F182</f>
        <v>% of Revenue - General and Administrative Expense</v>
      </c>
      <c r="G183" s="148">
        <f>G182/G167</f>
        <v>-2.8749786605719075E-2</v>
      </c>
      <c r="H183" s="149">
        <f t="shared" ref="H183" si="726">H182/H167</f>
        <v>-3.2068721046666249E-2</v>
      </c>
      <c r="I183" s="149">
        <f t="shared" ref="I183" si="727">I182/I167</f>
        <v>-3.2540512650273218E-2</v>
      </c>
      <c r="J183" s="149">
        <f t="shared" ref="J183" si="728">J182/J167</f>
        <v>-3.0340050336169971E-2</v>
      </c>
      <c r="K183" s="149">
        <f t="shared" ref="K183" si="729">K182/K167</f>
        <v>-3.4788881919730612E-2</v>
      </c>
      <c r="L183" s="149">
        <f t="shared" ref="L183" si="730">L182/L167</f>
        <v>-3.0948825245190183E-2</v>
      </c>
      <c r="M183" s="149">
        <f t="shared" ref="M183" si="731">M182/M167</f>
        <v>-1.3080721263621232E-2</v>
      </c>
      <c r="N183" s="149">
        <f t="shared" ref="N183" si="732">N182/N167</f>
        <v>-9.2626595635115216E-3</v>
      </c>
      <c r="O183" s="149">
        <f t="shared" ref="O183" si="733">O182/O167</f>
        <v>-9.3413324854200713E-3</v>
      </c>
      <c r="P183" s="149">
        <f t="shared" ref="P183" si="734">P182/P167</f>
        <v>-9.3625668112870611E-3</v>
      </c>
      <c r="Q183" s="149">
        <f t="shared" ref="Q183" si="735">Q182/Q167</f>
        <v>-5.8333126554936032E-3</v>
      </c>
      <c r="R183" s="149">
        <f t="shared" ref="R183" si="736">R182/R167</f>
        <v>-4.1144740056006353E-3</v>
      </c>
      <c r="S183" s="148">
        <f t="shared" ref="S183" si="737">S182/S167</f>
        <v>-4.0680906603669147E-3</v>
      </c>
      <c r="T183" s="149">
        <f t="shared" ref="T183" si="738">T182/T167</f>
        <v>-4.8674285559653406E-3</v>
      </c>
      <c r="U183" s="149">
        <f t="shared" ref="U183" si="739">U182/U167</f>
        <v>-3.8901533593231038E-3</v>
      </c>
      <c r="V183" s="149">
        <f t="shared" ref="V183" si="740">V182/V167</f>
        <v>-5.1986448607866881E-3</v>
      </c>
      <c r="W183" s="149">
        <f t="shared" ref="W183" si="741">W182/W167</f>
        <v>-7.095634843518427E-3</v>
      </c>
      <c r="X183" s="149">
        <f t="shared" ref="X183" si="742">X182/X167</f>
        <v>-8.1093095775367913E-3</v>
      </c>
      <c r="Y183" s="149">
        <f t="shared" ref="Y183" si="743">Y182/Y167</f>
        <v>-4.9171610487762068E-3</v>
      </c>
      <c r="Z183" s="149">
        <f t="shared" ref="Z183" si="744">Z182/Z167</f>
        <v>-3.9094349934183058E-3</v>
      </c>
      <c r="AA183" s="149">
        <f t="shared" ref="AA183" si="745">AA182/AA167</f>
        <v>-4.0783849696275571E-3</v>
      </c>
      <c r="AB183" s="149">
        <f t="shared" ref="AB183" si="746">AB182/AB167</f>
        <v>-3.2255758883071887E-3</v>
      </c>
      <c r="AC183" s="149">
        <f t="shared" ref="AC183" si="747">AC182/AC167</f>
        <v>-2.6862467405853459E-3</v>
      </c>
      <c r="AD183" s="150">
        <f t="shared" ref="AD183" si="748">AD182/AD167</f>
        <v>-3.2894916198750019E-3</v>
      </c>
      <c r="AE183" s="15"/>
      <c r="AF183" s="96">
        <f t="shared" ref="AF183" si="749">AF182/AF167</f>
        <v>-1.4840789912404792E-2</v>
      </c>
      <c r="AG183" s="97">
        <f t="shared" ref="AG183" si="750">AG182/AG167</f>
        <v>-4.6210576168761877E-3</v>
      </c>
    </row>
    <row r="184" spans="2:33" ht="3" customHeight="1" x14ac:dyDescent="0.2">
      <c r="B184" s="9">
        <f>G155</f>
        <v>4</v>
      </c>
      <c r="C184" s="9" t="str">
        <f t="shared" si="544"/>
        <v xml:space="preserve">4 - </v>
      </c>
      <c r="D184" s="9" t="s">
        <v>56</v>
      </c>
      <c r="F184" s="16"/>
      <c r="G184" s="36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6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8"/>
      <c r="AE184" s="15"/>
      <c r="AF184" s="36"/>
      <c r="AG184" s="38"/>
    </row>
    <row r="185" spans="2:33" x14ac:dyDescent="0.2">
      <c r="B185" s="9">
        <f>G155</f>
        <v>4</v>
      </c>
      <c r="C185" s="9" t="str">
        <f t="shared" si="544"/>
        <v>4 - Marketing</v>
      </c>
      <c r="D185" s="9" t="s">
        <v>56</v>
      </c>
      <c r="F185" t="s">
        <v>7</v>
      </c>
      <c r="G185" s="144">
        <v>-2.5743852494537456</v>
      </c>
      <c r="H185" s="70">
        <v>-3.3067209544082252</v>
      </c>
      <c r="I185" s="70">
        <v>-3.2414773333163711</v>
      </c>
      <c r="J185" s="70">
        <v>-2.1570245502815517</v>
      </c>
      <c r="K185" s="70">
        <v>-2.2948027491822178</v>
      </c>
      <c r="L185" s="70">
        <v>-2.1673581496092162</v>
      </c>
      <c r="M185" s="70">
        <v>-1.8255597383707374</v>
      </c>
      <c r="N185" s="70">
        <v>-2.0781974480963696</v>
      </c>
      <c r="O185" s="70">
        <v>-2.6014489600696646</v>
      </c>
      <c r="P185" s="70">
        <v>-3.1063099452060237</v>
      </c>
      <c r="Q185" s="70">
        <v>-2.5702325564688935</v>
      </c>
      <c r="R185" s="70">
        <v>-2.5473123743072486</v>
      </c>
      <c r="S185" s="144">
        <v>-4.514492945458823</v>
      </c>
      <c r="T185" s="70">
        <v>-4.0084378830786909</v>
      </c>
      <c r="U185" s="70">
        <v>-4.6790272532448114</v>
      </c>
      <c r="V185" s="70">
        <v>-6.1354631367650772</v>
      </c>
      <c r="W185" s="70">
        <v>-6.3609185312760994</v>
      </c>
      <c r="X185" s="70">
        <v>-5.6905763082856939</v>
      </c>
      <c r="Y185" s="70">
        <v>-5.451696491494932</v>
      </c>
      <c r="Z185" s="70">
        <v>-4.7261693819455468</v>
      </c>
      <c r="AA185" s="70">
        <v>-4.8608370771122722</v>
      </c>
      <c r="AB185" s="70">
        <v>-6.0868195624366059</v>
      </c>
      <c r="AC185" s="70">
        <v>-3.6736161902407636</v>
      </c>
      <c r="AD185" s="145">
        <v>-3.0656570525013227</v>
      </c>
      <c r="AE185" s="15"/>
      <c r="AF185" s="144">
        <v>-30.470830008770267</v>
      </c>
      <c r="AG185" s="145">
        <v>-59.253711813840638</v>
      </c>
    </row>
    <row r="186" spans="2:33" x14ac:dyDescent="0.2">
      <c r="B186" s="9">
        <f>G155</f>
        <v>4</v>
      </c>
      <c r="C186" s="9" t="str">
        <f t="shared" si="544"/>
        <v>4 - % of Revenue - Marketing</v>
      </c>
      <c r="D186" s="9" t="s">
        <v>56</v>
      </c>
      <c r="F186" s="16" t="str">
        <f>"% of Revenue - "&amp;F185</f>
        <v>% of Revenue - Marketing</v>
      </c>
      <c r="G186" s="148">
        <f>G185/G167</f>
        <v>-1.6760099565286443E-2</v>
      </c>
      <c r="H186" s="149">
        <f t="shared" ref="H186" si="751">H185/H167</f>
        <v>-2.0644191925366859E-2</v>
      </c>
      <c r="I186" s="149">
        <f t="shared" ref="I186" si="752">I185/I167</f>
        <v>-1.6230045094040794E-2</v>
      </c>
      <c r="J186" s="149">
        <f t="shared" ref="J186" si="753">J185/J167</f>
        <v>-1.1326011585844852E-2</v>
      </c>
      <c r="K186" s="149">
        <f t="shared" ref="K186" si="754">K185/K167</f>
        <v>-0.01</v>
      </c>
      <c r="L186" s="149">
        <f t="shared" ref="L186" si="755">L185/L167</f>
        <v>-0.01</v>
      </c>
      <c r="M186" s="149">
        <f t="shared" ref="M186" si="756">M185/M167</f>
        <v>-5.0000000000000001E-3</v>
      </c>
      <c r="N186" s="149">
        <f t="shared" ref="N186" si="757">N185/N167</f>
        <v>-4.0099487958690071E-3</v>
      </c>
      <c r="O186" s="149">
        <f t="shared" ref="O186" si="758">O185/O167</f>
        <v>-5.5233773886364367E-3</v>
      </c>
      <c r="P186" s="149">
        <f t="shared" ref="P186" si="759">P185/P167</f>
        <v>-6.6910990582148763E-3</v>
      </c>
      <c r="Q186" s="149">
        <f t="shared" ref="Q186" si="760">Q185/Q167</f>
        <v>-4.7107248627177075E-3</v>
      </c>
      <c r="R186" s="149">
        <f t="shared" ref="R186" si="761">R185/R167</f>
        <v>-4.6546522310001543E-3</v>
      </c>
      <c r="S186" s="148">
        <f t="shared" ref="S186" si="762">S185/S167</f>
        <v>-6.8282782245925487E-3</v>
      </c>
      <c r="T186" s="149">
        <f t="shared" ref="T186" si="763">T185/T167</f>
        <v>-5.8083533677247366E-3</v>
      </c>
      <c r="U186" s="149">
        <f t="shared" ref="U186" si="764">U185/U167</f>
        <v>-6.6555635914393183E-3</v>
      </c>
      <c r="V186" s="149">
        <f t="shared" ref="V186" si="765">V185/V167</f>
        <v>-1.0067806729269848E-2</v>
      </c>
      <c r="W186" s="149">
        <f t="shared" ref="W186" si="766">W185/W167</f>
        <v>-9.4214527676411749E-3</v>
      </c>
      <c r="X186" s="149">
        <f t="shared" ref="X186" si="767">X185/X167</f>
        <v>-9.3460700041067407E-3</v>
      </c>
      <c r="Y186" s="149">
        <f t="shared" ref="Y186" si="768">Y185/Y167</f>
        <v>-7.4323497641917606E-3</v>
      </c>
      <c r="Z186" s="149">
        <f t="shared" ref="Z186" si="769">Z185/Z167</f>
        <v>-6.1964805526008816E-3</v>
      </c>
      <c r="AA186" s="149">
        <f t="shared" ref="AA186" si="770">AA185/AA167</f>
        <v>-6.9395632958718367E-3</v>
      </c>
      <c r="AB186" s="149">
        <f t="shared" ref="AB186" si="771">AB185/AB167</f>
        <v>-7.4867885090544916E-3</v>
      </c>
      <c r="AC186" s="149">
        <f t="shared" ref="AC186" si="772">AC185/AC167</f>
        <v>-7.324726454528147E-3</v>
      </c>
      <c r="AD186" s="150">
        <f t="shared" ref="AD186" si="773">AD185/AD167</f>
        <v>-6.5147746874953377E-3</v>
      </c>
      <c r="AE186" s="15"/>
      <c r="AF186" s="96">
        <f t="shared" ref="AF186" si="774">AF185/AF167</f>
        <v>-7.5020905200463197E-3</v>
      </c>
      <c r="AG186" s="97">
        <f t="shared" ref="AG186" si="775">AG185/AG167</f>
        <v>-7.4725445951884829E-3</v>
      </c>
    </row>
    <row r="187" spans="2:33" ht="3" customHeight="1" x14ac:dyDescent="0.2">
      <c r="B187" s="9">
        <f>G155</f>
        <v>4</v>
      </c>
      <c r="C187" s="9" t="str">
        <f t="shared" si="544"/>
        <v xml:space="preserve">4 - </v>
      </c>
      <c r="D187" s="9" t="s">
        <v>56</v>
      </c>
      <c r="F187" s="16"/>
      <c r="G187" s="36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6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8"/>
      <c r="AE187" s="15"/>
      <c r="AF187" s="36"/>
      <c r="AG187" s="38"/>
    </row>
    <row r="188" spans="2:33" x14ac:dyDescent="0.2">
      <c r="B188" s="9">
        <f>G155</f>
        <v>4</v>
      </c>
      <c r="C188" s="9" t="str">
        <f t="shared" si="544"/>
        <v>4 - Office Rent</v>
      </c>
      <c r="D188" s="9" t="s">
        <v>56</v>
      </c>
      <c r="F188" t="s">
        <v>162</v>
      </c>
      <c r="G188" s="144">
        <v>-15.330588032142007</v>
      </c>
      <c r="H188" s="70">
        <v>-15.330588032142007</v>
      </c>
      <c r="I188" s="70">
        <v>-15.330588032142007</v>
      </c>
      <c r="J188" s="70">
        <v>-15.330588032142007</v>
      </c>
      <c r="K188" s="70">
        <v>-15.330588032142007</v>
      </c>
      <c r="L188" s="70">
        <v>-15.330588032142007</v>
      </c>
      <c r="M188" s="70">
        <v>-15.330588032142007</v>
      </c>
      <c r="N188" s="70">
        <v>-15.330588032142007</v>
      </c>
      <c r="O188" s="70">
        <v>-15.790505673106267</v>
      </c>
      <c r="P188" s="70">
        <v>-15.790505673106267</v>
      </c>
      <c r="Q188" s="70">
        <v>-15.790505673106267</v>
      </c>
      <c r="R188" s="70">
        <v>-15.790505673106267</v>
      </c>
      <c r="S188" s="144">
        <v>-15.790193024017245</v>
      </c>
      <c r="T188" s="70">
        <v>-15.790193024017245</v>
      </c>
      <c r="U188" s="70">
        <v>-15.790193024017245</v>
      </c>
      <c r="V188" s="70">
        <v>-15.790193024017245</v>
      </c>
      <c r="W188" s="70">
        <v>-15.790193024017245</v>
      </c>
      <c r="X188" s="70">
        <v>-15.790193024017245</v>
      </c>
      <c r="Y188" s="70">
        <v>-15.790193024017245</v>
      </c>
      <c r="Z188" s="70">
        <v>-15.790193024017245</v>
      </c>
      <c r="AA188" s="70">
        <v>-16.263898814737765</v>
      </c>
      <c r="AB188" s="70">
        <v>-16.263898814737765</v>
      </c>
      <c r="AC188" s="70">
        <v>-16.263898814737765</v>
      </c>
      <c r="AD188" s="145">
        <v>-16.263898814737765</v>
      </c>
      <c r="AE188" s="15"/>
      <c r="AF188" s="144">
        <v>-185.80672694956115</v>
      </c>
      <c r="AG188" s="145">
        <v>-191.37713945108899</v>
      </c>
    </row>
    <row r="189" spans="2:33" x14ac:dyDescent="0.2">
      <c r="B189" s="9">
        <f>G155</f>
        <v>4</v>
      </c>
      <c r="C189" s="9" t="str">
        <f t="shared" si="544"/>
        <v>4 - % YoY Growth</v>
      </c>
      <c r="D189" s="9" t="s">
        <v>56</v>
      </c>
      <c r="F189" s="16" t="s">
        <v>8</v>
      </c>
      <c r="G189" s="82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148">
        <f>S188/G188-1</f>
        <v>2.9979606190684516E-2</v>
      </c>
      <c r="T189" s="149">
        <f t="shared" ref="T189" si="776">T188/H188-1</f>
        <v>2.9979606190684516E-2</v>
      </c>
      <c r="U189" s="149">
        <f t="shared" ref="U189" si="777">U188/I188-1</f>
        <v>2.9979606190684516E-2</v>
      </c>
      <c r="V189" s="149">
        <f t="shared" ref="V189" si="778">V188/J188-1</f>
        <v>2.9979606190684516E-2</v>
      </c>
      <c r="W189" s="149">
        <f t="shared" ref="W189" si="779">W188/K188-1</f>
        <v>2.9979606190684516E-2</v>
      </c>
      <c r="X189" s="149">
        <f t="shared" ref="X189" si="780">X188/L188-1</f>
        <v>2.9979606190684516E-2</v>
      </c>
      <c r="Y189" s="149">
        <f t="shared" ref="Y189" si="781">Y188/M188-1</f>
        <v>2.9979606190684516E-2</v>
      </c>
      <c r="Z189" s="149">
        <f t="shared" ref="Z189" si="782">Z188/N188-1</f>
        <v>2.9979606190684516E-2</v>
      </c>
      <c r="AA189" s="149">
        <f t="shared" ref="AA189" si="783">AA188/O188-1</f>
        <v>2.9979606190684738E-2</v>
      </c>
      <c r="AB189" s="149">
        <f t="shared" ref="AB189" si="784">AB188/P188-1</f>
        <v>2.9979606190684738E-2</v>
      </c>
      <c r="AC189" s="149">
        <f t="shared" ref="AC189" si="785">AC188/Q188-1</f>
        <v>2.9979606190684738E-2</v>
      </c>
      <c r="AD189" s="150">
        <f t="shared" ref="AD189" si="786">AD188/R188-1</f>
        <v>2.9979606190684738E-2</v>
      </c>
      <c r="AE189" s="15"/>
      <c r="AF189" s="11"/>
      <c r="AG189" s="97">
        <f>AG188/AF188-1</f>
        <v>2.9979606190684294E-2</v>
      </c>
    </row>
    <row r="190" spans="2:33" ht="6" customHeight="1" x14ac:dyDescent="0.2">
      <c r="B190" s="9">
        <f>G155</f>
        <v>4</v>
      </c>
      <c r="C190" s="9" t="str">
        <f t="shared" si="544"/>
        <v xml:space="preserve">4 - </v>
      </c>
      <c r="D190" s="9" t="s">
        <v>56</v>
      </c>
      <c r="F190" s="16"/>
      <c r="G190" s="11"/>
      <c r="S190" s="11"/>
      <c r="AD190" s="15"/>
      <c r="AE190" s="15"/>
      <c r="AF190" s="11"/>
      <c r="AG190" s="15"/>
    </row>
    <row r="191" spans="2:33" x14ac:dyDescent="0.2">
      <c r="B191" s="9">
        <f>G155</f>
        <v>4</v>
      </c>
      <c r="C191" s="9" t="str">
        <f t="shared" si="544"/>
        <v>4 - Office EBITDA</v>
      </c>
      <c r="D191" s="9" t="s">
        <v>56</v>
      </c>
      <c r="F191" s="8" t="s">
        <v>12</v>
      </c>
      <c r="G191" s="134">
        <f>G179+G182+G185+G188</f>
        <v>32.299890666085616</v>
      </c>
      <c r="H191" s="135">
        <f t="shared" ref="H191:AD191" si="787">H179+H182+H185+H188</f>
        <v>30.852323189797414</v>
      </c>
      <c r="I191" s="135">
        <f t="shared" si="787"/>
        <v>43.462323025903842</v>
      </c>
      <c r="J191" s="135">
        <f t="shared" si="787"/>
        <v>43.72669072238854</v>
      </c>
      <c r="K191" s="135">
        <f t="shared" si="787"/>
        <v>57.296454477417413</v>
      </c>
      <c r="L191" s="135">
        <f t="shared" si="787"/>
        <v>51.620085527294862</v>
      </c>
      <c r="M191" s="135">
        <f t="shared" si="787"/>
        <v>226.60998764925611</v>
      </c>
      <c r="N191" s="135">
        <f t="shared" si="787"/>
        <v>384.39643171349064</v>
      </c>
      <c r="O191" s="135">
        <f t="shared" si="787"/>
        <v>346.88811686987225</v>
      </c>
      <c r="P191" s="135">
        <f t="shared" si="787"/>
        <v>340.70415169826362</v>
      </c>
      <c r="Q191" s="135">
        <f t="shared" si="787"/>
        <v>435.40283935048552</v>
      </c>
      <c r="R191" s="135">
        <f t="shared" si="787"/>
        <v>456.50546618645882</v>
      </c>
      <c r="S191" s="134">
        <f t="shared" si="787"/>
        <v>409.03633798144205</v>
      </c>
      <c r="T191" s="135">
        <f t="shared" si="787"/>
        <v>430.27786037303468</v>
      </c>
      <c r="U191" s="135">
        <f t="shared" si="787"/>
        <v>435.07591815986979</v>
      </c>
      <c r="V191" s="135">
        <f t="shared" si="787"/>
        <v>307.22864888266696</v>
      </c>
      <c r="W191" s="135">
        <f t="shared" si="787"/>
        <v>310.38686704458547</v>
      </c>
      <c r="X191" s="135">
        <f t="shared" si="787"/>
        <v>309.77342609342088</v>
      </c>
      <c r="Y191" s="135">
        <f t="shared" si="787"/>
        <v>449.96617314259908</v>
      </c>
      <c r="Z191" s="135">
        <f t="shared" si="787"/>
        <v>518.39816354186564</v>
      </c>
      <c r="AA191" s="135">
        <f t="shared" si="787"/>
        <v>477.08648732986563</v>
      </c>
      <c r="AB191" s="135">
        <f t="shared" si="787"/>
        <v>557.63928181816175</v>
      </c>
      <c r="AC191" s="135">
        <f t="shared" si="787"/>
        <v>337.96308117472324</v>
      </c>
      <c r="AD191" s="136">
        <f t="shared" si="787"/>
        <v>316.76813788752634</v>
      </c>
      <c r="AE191" s="15"/>
      <c r="AF191" s="94">
        <f>SUM(G191:R191)</f>
        <v>2449.7647610767144</v>
      </c>
      <c r="AG191" s="95">
        <f>SUM(S191:AD191)</f>
        <v>4859.6003834297608</v>
      </c>
    </row>
    <row r="192" spans="2:33" x14ac:dyDescent="0.2">
      <c r="B192" s="9">
        <f>G155</f>
        <v>4</v>
      </c>
      <c r="C192" s="9" t="str">
        <f t="shared" si="544"/>
        <v>4 - % of Revenue - Office EBITDA</v>
      </c>
      <c r="D192" s="9" t="s">
        <v>56</v>
      </c>
      <c r="F192" s="16" t="str">
        <f>"% of Revenue - "&amp;F191</f>
        <v>% of Revenue - Office EBITDA</v>
      </c>
      <c r="G192" s="148">
        <f>G191/G167</f>
        <v>0.21028297284811168</v>
      </c>
      <c r="H192" s="149">
        <f t="shared" ref="H192" si="788">H191/H167</f>
        <v>0.19261416069128476</v>
      </c>
      <c r="I192" s="149">
        <f t="shared" ref="I192" si="789">I191/I167</f>
        <v>0.21761542348361679</v>
      </c>
      <c r="J192" s="149">
        <f t="shared" ref="J192" si="790">J191/J167</f>
        <v>0.22959822393666471</v>
      </c>
      <c r="K192" s="149">
        <f t="shared" ref="K192" si="791">K191/K167</f>
        <v>0.24967921316041536</v>
      </c>
      <c r="L192" s="149">
        <f t="shared" ref="L192" si="792">L191/L167</f>
        <v>0.23817053741949473</v>
      </c>
      <c r="M192" s="149">
        <f t="shared" ref="M192" si="793">M191/M167</f>
        <v>0.6206589214426349</v>
      </c>
      <c r="N192" s="149">
        <f t="shared" ref="N192" si="794">N191/N167</f>
        <v>0.74170527439430134</v>
      </c>
      <c r="O192" s="149">
        <f t="shared" ref="O192" si="795">O191/O167</f>
        <v>0.73651031041347725</v>
      </c>
      <c r="P192" s="149">
        <f t="shared" ref="P192" si="796">P191/P167</f>
        <v>0.73388852650598968</v>
      </c>
      <c r="Q192" s="149">
        <f t="shared" ref="Q192" si="797">Q191/Q167</f>
        <v>0.79800677003487308</v>
      </c>
      <c r="R192" s="149">
        <f t="shared" ref="R192" si="798">R191/R167</f>
        <v>0.83416317844663002</v>
      </c>
      <c r="S192" s="148">
        <f t="shared" ref="S192" si="799">S191/S167</f>
        <v>0.61867721435145484</v>
      </c>
      <c r="T192" s="149">
        <f t="shared" ref="T192" si="800">T191/T167</f>
        <v>0.62348623884264576</v>
      </c>
      <c r="U192" s="149">
        <f t="shared" ref="U192" si="801">U191/U167</f>
        <v>0.61886270023513312</v>
      </c>
      <c r="V192" s="149">
        <f t="shared" ref="V192" si="802">V191/V167</f>
        <v>0.50413776265898069</v>
      </c>
      <c r="W192" s="149">
        <f t="shared" ref="W192" si="803">W191/W167</f>
        <v>0.45972844852173006</v>
      </c>
      <c r="X192" s="149">
        <f t="shared" ref="X192" si="804">X191/X167</f>
        <v>0.50876466087725225</v>
      </c>
      <c r="Y192" s="149">
        <f t="shared" ref="Y192" si="805">Y191/Y167</f>
        <v>0.61344317059250109</v>
      </c>
      <c r="Z192" s="149">
        <f t="shared" ref="Z192" si="806">Z191/Z167</f>
        <v>0.67967181861113246</v>
      </c>
      <c r="AA192" s="149">
        <f t="shared" ref="AA192" si="807">AA191/AA167</f>
        <v>0.68111146782101661</v>
      </c>
      <c r="AB192" s="149">
        <f t="shared" ref="AB192" si="808">AB191/AB167</f>
        <v>0.68589635761148693</v>
      </c>
      <c r="AC192" s="149">
        <f t="shared" ref="AC192" si="809">AC191/AC167</f>
        <v>0.67385567602588858</v>
      </c>
      <c r="AD192" s="150">
        <f t="shared" ref="AD192" si="810">AD191/AD167</f>
        <v>0.67315848158257063</v>
      </c>
      <c r="AE192" s="15"/>
      <c r="AF192" s="96">
        <f t="shared" ref="AF192" si="811">AF191/AF167</f>
        <v>0.603145926288434</v>
      </c>
      <c r="AG192" s="97">
        <f t="shared" ref="AG192" si="812">AG191/AG167</f>
        <v>0.61284904301120446</v>
      </c>
    </row>
    <row r="193" spans="2:34" ht="6" customHeight="1" x14ac:dyDescent="0.2">
      <c r="B193" s="9">
        <f>G155</f>
        <v>4</v>
      </c>
      <c r="C193" s="9" t="str">
        <f t="shared" si="544"/>
        <v xml:space="preserve">4 - </v>
      </c>
      <c r="D193" s="9" t="s">
        <v>56</v>
      </c>
      <c r="G193" s="11"/>
      <c r="S193" s="11"/>
      <c r="AD193" s="15"/>
      <c r="AE193" s="15"/>
      <c r="AF193" s="11"/>
      <c r="AG193" s="15"/>
    </row>
    <row r="194" spans="2:34" x14ac:dyDescent="0.2">
      <c r="B194" s="9">
        <f>G155</f>
        <v>4</v>
      </c>
      <c r="C194" s="9" t="str">
        <f t="shared" si="544"/>
        <v>4 - Memo:</v>
      </c>
      <c r="D194" s="9" t="s">
        <v>56</v>
      </c>
      <c r="F194" s="6" t="s">
        <v>13</v>
      </c>
      <c r="G194" s="11"/>
      <c r="S194" s="11"/>
      <c r="AD194" s="15"/>
      <c r="AE194" s="15"/>
      <c r="AF194" s="11"/>
      <c r="AG194" s="15"/>
    </row>
    <row r="195" spans="2:34" s="24" customFormat="1" x14ac:dyDescent="0.2">
      <c r="B195" s="9">
        <f>G155</f>
        <v>4</v>
      </c>
      <c r="C195" s="9" t="str">
        <f t="shared" si="544"/>
        <v>4 - Collections</v>
      </c>
      <c r="D195" s="9" t="s">
        <v>56</v>
      </c>
      <c r="E195" s="49"/>
      <c r="F195" s="24" t="s">
        <v>15</v>
      </c>
      <c r="G195" s="169">
        <f>G196*G165</f>
        <v>152.05561157012238</v>
      </c>
      <c r="H195" s="170">
        <f t="shared" ref="H195" si="813">H196*H165</f>
        <v>160.34098644132615</v>
      </c>
      <c r="I195" s="170">
        <f t="shared" ref="I195" si="814">I196*I165</f>
        <v>200.09452832846466</v>
      </c>
      <c r="J195" s="170">
        <f t="shared" ref="J195" si="815">J196*J165</f>
        <v>188.28157551325523</v>
      </c>
      <c r="K195" s="170">
        <f t="shared" ref="K195" si="816">K196*K165</f>
        <v>231.48926349473317</v>
      </c>
      <c r="L195" s="170">
        <f t="shared" ref="L195" si="817">L196*L165</f>
        <v>216.50915189466139</v>
      </c>
      <c r="M195" s="170">
        <f t="shared" ref="M195" si="818">M196*M165</f>
        <v>371.15756752645575</v>
      </c>
      <c r="N195" s="170">
        <f t="shared" ref="N195" si="819">N196*N165</f>
        <v>524.77587730761229</v>
      </c>
      <c r="O195" s="170">
        <f t="shared" ref="O195" si="820">O196*O165</f>
        <v>470.45616964913836</v>
      </c>
      <c r="P195" s="170">
        <f t="shared" ref="P195" si="821">P196*P165</f>
        <v>460.48098186000891</v>
      </c>
      <c r="Q195" s="170">
        <f t="shared" ref="Q195" si="822">Q196*Q165</f>
        <v>536.17232746408797</v>
      </c>
      <c r="R195" s="170">
        <f t="shared" ref="R195" si="823">R196*R165</f>
        <v>540.38511227409072</v>
      </c>
      <c r="S195" s="169">
        <f t="shared" ref="S195" si="824">S196*S165</f>
        <v>670.36232534031808</v>
      </c>
      <c r="T195" s="170">
        <f t="shared" ref="T195" si="825">T196*T165</f>
        <v>700.40221696163644</v>
      </c>
      <c r="U195" s="170">
        <f t="shared" ref="U195" si="826">U196*U165</f>
        <v>696.60486422141241</v>
      </c>
      <c r="V195" s="170">
        <f t="shared" ref="V195" si="827">V196*V165</f>
        <v>598.75577850044829</v>
      </c>
      <c r="W195" s="170">
        <f t="shared" ref="W195" si="828">W196*W165</f>
        <v>682.57559870112345</v>
      </c>
      <c r="X195" s="170">
        <f t="shared" ref="X195" si="829">X196*X165</f>
        <v>601.63596779051954</v>
      </c>
      <c r="Y195" s="170">
        <f t="shared" ref="Y195" si="830">Y196*Y165</f>
        <v>740.37606272505388</v>
      </c>
      <c r="Z195" s="170">
        <f t="shared" ref="Z195" si="831">Z196*Z165</f>
        <v>767.25928103307899</v>
      </c>
      <c r="AA195" s="170">
        <f t="shared" ref="AA195" si="832">AA196*AA165</f>
        <v>694.01286043717732</v>
      </c>
      <c r="AB195" s="170">
        <f t="shared" ref="AB195" si="833">AB196*AB165</f>
        <v>818.3710215077366</v>
      </c>
      <c r="AC195" s="170">
        <f t="shared" ref="AC195" si="834">AC196*AC165</f>
        <v>495.39714135687746</v>
      </c>
      <c r="AD195" s="171">
        <f t="shared" ref="AD195" si="835">AD196*AD165</f>
        <v>473.22757860571431</v>
      </c>
      <c r="AE195" s="26"/>
      <c r="AF195" s="68">
        <f>SUM(G195:R195)</f>
        <v>4052.199153323957</v>
      </c>
      <c r="AG195" s="99">
        <f>SUM(S195:AD195)</f>
        <v>7938.9806971810958</v>
      </c>
    </row>
    <row r="196" spans="2:34" x14ac:dyDescent="0.2">
      <c r="B196" s="9">
        <f>G155</f>
        <v>4</v>
      </c>
      <c r="C196" s="9" t="str">
        <f t="shared" si="544"/>
        <v>4 - Collections as a % of Production</v>
      </c>
      <c r="D196" s="9" t="s">
        <v>56</v>
      </c>
      <c r="F196" s="16" t="s">
        <v>17</v>
      </c>
      <c r="G196" s="140">
        <v>0.97032635743283724</v>
      </c>
      <c r="H196" s="141">
        <v>0.98119925976985056</v>
      </c>
      <c r="I196" s="141">
        <v>0.98202890400161857</v>
      </c>
      <c r="J196" s="141">
        <v>0.96904078833861806</v>
      </c>
      <c r="K196" s="141">
        <v>0.98877576203603801</v>
      </c>
      <c r="L196" s="141">
        <v>0.97916954218529106</v>
      </c>
      <c r="M196" s="141">
        <v>0.99642495418776267</v>
      </c>
      <c r="N196" s="141">
        <v>0.99251756973123395</v>
      </c>
      <c r="O196" s="141">
        <v>0.97908612662641403</v>
      </c>
      <c r="P196" s="141">
        <v>0.97224717713941078</v>
      </c>
      <c r="Q196" s="141">
        <v>0.96323451269585347</v>
      </c>
      <c r="R196" s="141">
        <v>0.96787824672846445</v>
      </c>
      <c r="S196" s="140">
        <v>0.99433877445087393</v>
      </c>
      <c r="T196" s="141">
        <v>0.99528608147812025</v>
      </c>
      <c r="U196" s="141">
        <v>0.97171366867884901</v>
      </c>
      <c r="V196" s="141">
        <v>0.96351789059415971</v>
      </c>
      <c r="W196" s="141">
        <v>0.99145121008603332</v>
      </c>
      <c r="X196" s="141">
        <v>0.96901191395602382</v>
      </c>
      <c r="Y196" s="141">
        <v>0.98984999486182779</v>
      </c>
      <c r="Z196" s="141">
        <v>0.98650775987380157</v>
      </c>
      <c r="AA196" s="141">
        <v>0.97165287773416897</v>
      </c>
      <c r="AB196" s="141">
        <v>0.9871381275469252</v>
      </c>
      <c r="AC196" s="141">
        <v>0.96866514442303608</v>
      </c>
      <c r="AD196" s="142">
        <v>0.9862077781165407</v>
      </c>
      <c r="AE196" s="15"/>
      <c r="AF196" s="96">
        <f t="shared" ref="AF196" si="836">AF195/AF165</f>
        <v>0.97791502194470981</v>
      </c>
      <c r="AG196" s="97">
        <f t="shared" ref="AG196" si="837">AG195/AG165</f>
        <v>0.98183892830753328</v>
      </c>
    </row>
    <row r="197" spans="2:34" ht="6" customHeight="1" x14ac:dyDescent="0.2">
      <c r="B197" s="9">
        <f>G155</f>
        <v>4</v>
      </c>
      <c r="C197" s="9" t="str">
        <f t="shared" si="544"/>
        <v xml:space="preserve">4 - </v>
      </c>
      <c r="D197" s="9" t="s">
        <v>56</v>
      </c>
      <c r="F197" s="27"/>
      <c r="R197" s="15"/>
      <c r="AD197" s="15"/>
      <c r="AE197" s="15"/>
      <c r="AF197" s="11"/>
      <c r="AG197" s="15"/>
    </row>
    <row r="198" spans="2:34" s="24" customFormat="1" x14ac:dyDescent="0.2">
      <c r="B198" s="9">
        <f>G155</f>
        <v>4</v>
      </c>
      <c r="C198" s="9" t="str">
        <f t="shared" si="544"/>
        <v>4 - Production per Vet Workday - YoY Change</v>
      </c>
      <c r="D198" s="9" t="s">
        <v>56</v>
      </c>
      <c r="E198" s="49"/>
      <c r="F198" s="24" t="s">
        <v>55</v>
      </c>
      <c r="G198" s="88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151">
        <f>S164/G164-1</f>
        <v>2.8786965700604794E-2</v>
      </c>
      <c r="T198" s="152">
        <f t="shared" ref="T198" si="838">T164/H164-1</f>
        <v>2.7658608742431534E-2</v>
      </c>
      <c r="U198" s="152">
        <f t="shared" ref="U198" si="839">U164/I164-1</f>
        <v>-4.0453958437344562E-2</v>
      </c>
      <c r="V198" s="152">
        <f t="shared" ref="V198" si="840">V164/J164-1</f>
        <v>1.76525558182834E-2</v>
      </c>
      <c r="W198" s="152">
        <f t="shared" ref="W198" si="841">W164/K164-1</f>
        <v>-6.0619134039794798E-2</v>
      </c>
      <c r="X198" s="152">
        <f t="shared" ref="X198" si="842">X164/L164-1</f>
        <v>2.5117385274748827E-2</v>
      </c>
      <c r="Y198" s="152">
        <f t="shared" ref="Y198" si="843">Y164/M164-1</f>
        <v>-3.9639899137450252E-2</v>
      </c>
      <c r="Z198" s="152">
        <f t="shared" ref="Z198" si="844">Z164/N164-1</f>
        <v>-7.9040269266470675E-2</v>
      </c>
      <c r="AA198" s="152">
        <f t="shared" ref="AA198" si="845">AA164/O164-1</f>
        <v>-6.5643218722692076E-2</v>
      </c>
      <c r="AB198" s="152">
        <f t="shared" ref="AB198" si="846">AB164/P164-1</f>
        <v>-3.7279991140076518E-2</v>
      </c>
      <c r="AC198" s="152">
        <f t="shared" ref="AC198" si="847">AC164/Q164-1</f>
        <v>-0.23157301994950441</v>
      </c>
      <c r="AD198" s="153">
        <f t="shared" ref="AD198" si="848">AD164/R164-1</f>
        <v>-0.14055324448841688</v>
      </c>
      <c r="AF198" s="43"/>
      <c r="AG198" s="104">
        <f>AG164/AF164-1</f>
        <v>-3.0916924913310773E-2</v>
      </c>
    </row>
    <row r="199" spans="2:34" s="24" customFormat="1" ht="6" customHeight="1" x14ac:dyDescent="0.2">
      <c r="D199" s="9" t="s">
        <v>56</v>
      </c>
      <c r="E199" s="49"/>
      <c r="G199" s="28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29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29"/>
      <c r="AE199" s="25"/>
      <c r="AF199" s="28"/>
      <c r="AG199" s="29"/>
    </row>
    <row r="200" spans="2:34" s="24" customFormat="1" ht="6" customHeight="1" x14ac:dyDescent="0.2">
      <c r="D200" s="9" t="s">
        <v>56</v>
      </c>
      <c r="E200" s="49"/>
    </row>
    <row r="201" spans="2:34" x14ac:dyDescent="0.2">
      <c r="D201" s="9" t="s">
        <v>56</v>
      </c>
      <c r="F201" s="16"/>
    </row>
    <row r="202" spans="2:34" ht="15.75" thickBot="1" x14ac:dyDescent="0.4">
      <c r="B202" s="35" t="s">
        <v>52</v>
      </c>
      <c r="C202" s="35"/>
      <c r="D202" s="9" t="s">
        <v>56</v>
      </c>
      <c r="E202" s="48" t="s">
        <v>0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74">
        <f ca="1">AG$2</f>
        <v>45999</v>
      </c>
      <c r="AH202" s="1"/>
    </row>
    <row r="203" spans="2:34" x14ac:dyDescent="0.2">
      <c r="B203" s="9">
        <f>G205</f>
        <v>5</v>
      </c>
      <c r="C203" s="9"/>
      <c r="D203" s="9" t="s">
        <v>56</v>
      </c>
      <c r="F203" t="s">
        <v>159</v>
      </c>
      <c r="AG203" s="6" t="s">
        <v>16</v>
      </c>
    </row>
    <row r="204" spans="2:34" x14ac:dyDescent="0.2">
      <c r="B204" s="9"/>
      <c r="C204" s="9"/>
      <c r="D204" s="9" t="s">
        <v>56</v>
      </c>
      <c r="AG204" s="6"/>
    </row>
    <row r="205" spans="2:34" x14ac:dyDescent="0.2">
      <c r="B205" s="9">
        <f>G205</f>
        <v>5</v>
      </c>
      <c r="C205" s="9"/>
      <c r="D205" s="9" t="s">
        <v>56</v>
      </c>
      <c r="F205" s="40" t="s">
        <v>53</v>
      </c>
      <c r="G205" s="42">
        <v>5</v>
      </c>
    </row>
    <row r="206" spans="2:34" x14ac:dyDescent="0.2">
      <c r="B206" s="9">
        <f>G205</f>
        <v>5</v>
      </c>
      <c r="C206" s="9"/>
      <c r="D206" s="9" t="s">
        <v>56</v>
      </c>
      <c r="F206" s="39" t="s">
        <v>22</v>
      </c>
      <c r="G206" s="41"/>
      <c r="H206" s="11"/>
    </row>
    <row r="207" spans="2:34" x14ac:dyDescent="0.2">
      <c r="B207" s="9">
        <f>G205</f>
        <v>5</v>
      </c>
      <c r="C207" s="9"/>
      <c r="D207" s="9" t="s">
        <v>56</v>
      </c>
      <c r="G207" s="23"/>
    </row>
    <row r="208" spans="2:34" x14ac:dyDescent="0.2">
      <c r="B208" s="9">
        <f>G205</f>
        <v>5</v>
      </c>
      <c r="C208" s="9"/>
      <c r="D208" s="9" t="s">
        <v>56</v>
      </c>
      <c r="G208" s="20">
        <v>2023</v>
      </c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2"/>
      <c r="S208" s="20">
        <v>2024</v>
      </c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2"/>
      <c r="AF208" s="17" t="s">
        <v>14</v>
      </c>
      <c r="AG208" s="18"/>
    </row>
    <row r="209" spans="2:33" ht="15" customHeight="1" x14ac:dyDescent="0.35">
      <c r="B209" s="9">
        <f>G205</f>
        <v>5</v>
      </c>
      <c r="C209" s="9"/>
      <c r="D209" s="9" t="s">
        <v>56</v>
      </c>
      <c r="G209" s="165">
        <v>44957</v>
      </c>
      <c r="H209" s="166">
        <v>44985</v>
      </c>
      <c r="I209" s="166">
        <v>45016</v>
      </c>
      <c r="J209" s="166">
        <v>45046</v>
      </c>
      <c r="K209" s="166">
        <v>45077</v>
      </c>
      <c r="L209" s="166">
        <v>45107</v>
      </c>
      <c r="M209" s="166">
        <v>45138</v>
      </c>
      <c r="N209" s="166">
        <v>45169</v>
      </c>
      <c r="O209" s="166">
        <v>45199</v>
      </c>
      <c r="P209" s="166">
        <v>45230</v>
      </c>
      <c r="Q209" s="166">
        <v>45260</v>
      </c>
      <c r="R209" s="167">
        <v>45291</v>
      </c>
      <c r="S209" s="165">
        <v>45322</v>
      </c>
      <c r="T209" s="166">
        <v>45351</v>
      </c>
      <c r="U209" s="166">
        <v>45382</v>
      </c>
      <c r="V209" s="166">
        <v>45412</v>
      </c>
      <c r="W209" s="166">
        <v>45443</v>
      </c>
      <c r="X209" s="166">
        <v>45473</v>
      </c>
      <c r="Y209" s="166">
        <v>45504</v>
      </c>
      <c r="Z209" s="166">
        <v>45535</v>
      </c>
      <c r="AA209" s="166">
        <v>45565</v>
      </c>
      <c r="AB209" s="166">
        <v>45596</v>
      </c>
      <c r="AC209" s="166">
        <v>45626</v>
      </c>
      <c r="AD209" s="167">
        <v>45657</v>
      </c>
      <c r="AE209" s="168"/>
      <c r="AF209" s="13">
        <v>45291</v>
      </c>
      <c r="AG209" s="14">
        <v>45657</v>
      </c>
    </row>
    <row r="210" spans="2:33" ht="0.95" customHeight="1" x14ac:dyDescent="0.2">
      <c r="B210" s="9">
        <f>G205</f>
        <v>5</v>
      </c>
      <c r="C210" s="9"/>
      <c r="D210" s="9" t="s">
        <v>56</v>
      </c>
      <c r="G210" s="11"/>
      <c r="S210" s="11"/>
      <c r="AD210" s="15"/>
      <c r="AE210" s="15"/>
      <c r="AF210" s="11"/>
      <c r="AG210" s="15"/>
    </row>
    <row r="211" spans="2:33" x14ac:dyDescent="0.2">
      <c r="B211" s="9">
        <f>G205</f>
        <v>5</v>
      </c>
      <c r="C211" s="9" t="str">
        <f>B211&amp;" - "&amp;F211</f>
        <v>5 - Employed Vets</v>
      </c>
      <c r="D211" s="9" t="s">
        <v>56</v>
      </c>
      <c r="F211" s="7" t="s">
        <v>160</v>
      </c>
      <c r="G211" s="121">
        <v>2</v>
      </c>
      <c r="H211" s="154">
        <f>MAX(MIN(IF(H214/G214&gt;1.1,G211-1,IF(H214/G214&lt;0.9,G211+1,G211)),5),1)</f>
        <v>2</v>
      </c>
      <c r="I211" s="154">
        <f t="shared" ref="I211:AB211" si="849">MAX(MIN(IF(I214/H214&gt;1.1,H211-1,IF(I214/H214&lt;0.9,H211+1,H211)),5),1)</f>
        <v>1</v>
      </c>
      <c r="J211" s="154">
        <f t="shared" si="849"/>
        <v>1</v>
      </c>
      <c r="K211" s="154">
        <f t="shared" si="849"/>
        <v>1</v>
      </c>
      <c r="L211" s="154">
        <f t="shared" si="849"/>
        <v>1</v>
      </c>
      <c r="M211" s="154">
        <f t="shared" si="849"/>
        <v>1</v>
      </c>
      <c r="N211" s="154">
        <f t="shared" si="849"/>
        <v>2</v>
      </c>
      <c r="O211" s="154">
        <f t="shared" si="849"/>
        <v>2</v>
      </c>
      <c r="P211" s="154">
        <f t="shared" si="849"/>
        <v>2</v>
      </c>
      <c r="Q211" s="154">
        <f t="shared" si="849"/>
        <v>3</v>
      </c>
      <c r="R211" s="154">
        <f t="shared" si="849"/>
        <v>4</v>
      </c>
      <c r="S211" s="155">
        <f t="shared" si="849"/>
        <v>3</v>
      </c>
      <c r="T211" s="154">
        <f t="shared" si="849"/>
        <v>3</v>
      </c>
      <c r="U211" s="154">
        <f t="shared" si="849"/>
        <v>3</v>
      </c>
      <c r="V211" s="154">
        <f t="shared" si="849"/>
        <v>3</v>
      </c>
      <c r="W211" s="154">
        <f t="shared" si="849"/>
        <v>2</v>
      </c>
      <c r="X211" s="154">
        <f t="shared" si="849"/>
        <v>2</v>
      </c>
      <c r="Y211" s="154">
        <f t="shared" si="849"/>
        <v>2</v>
      </c>
      <c r="Z211" s="154">
        <f t="shared" si="849"/>
        <v>3</v>
      </c>
      <c r="AA211" s="154">
        <f t="shared" si="849"/>
        <v>3</v>
      </c>
      <c r="AB211" s="154">
        <f t="shared" si="849"/>
        <v>2</v>
      </c>
      <c r="AC211" s="154">
        <f>AB211</f>
        <v>2</v>
      </c>
      <c r="AD211" s="156">
        <f t="shared" ref="AD211" si="850">AC211</f>
        <v>2</v>
      </c>
      <c r="AE211" s="15"/>
      <c r="AF211" s="90">
        <f>AVERAGE(G211:R211)</f>
        <v>1.8333333333333333</v>
      </c>
      <c r="AG211" s="91">
        <f>AVERAGE(S211:AD211)</f>
        <v>2.5</v>
      </c>
    </row>
    <row r="212" spans="2:33" x14ac:dyDescent="0.2">
      <c r="B212" s="9">
        <f>G205</f>
        <v>5</v>
      </c>
      <c r="C212" s="9" t="str">
        <f t="shared" ref="C212:C248" si="851">B212&amp;" - "&amp;F212</f>
        <v>5 - Workdays in Month / Year</v>
      </c>
      <c r="D212" s="9" t="s">
        <v>56</v>
      </c>
      <c r="F212" s="7" t="s">
        <v>54</v>
      </c>
      <c r="G212" s="121">
        <v>22</v>
      </c>
      <c r="H212" s="124">
        <v>21</v>
      </c>
      <c r="I212" s="124">
        <v>24</v>
      </c>
      <c r="J212" s="122">
        <v>21</v>
      </c>
      <c r="K212" s="122">
        <v>23</v>
      </c>
      <c r="L212" s="122">
        <v>23</v>
      </c>
      <c r="M212" s="122">
        <v>22</v>
      </c>
      <c r="N212" s="122">
        <v>24</v>
      </c>
      <c r="O212" s="122">
        <v>22</v>
      </c>
      <c r="P212" s="122">
        <v>22</v>
      </c>
      <c r="Q212" s="122">
        <v>23</v>
      </c>
      <c r="R212" s="122">
        <v>22</v>
      </c>
      <c r="S212" s="121">
        <v>23</v>
      </c>
      <c r="T212" s="122">
        <v>22</v>
      </c>
      <c r="U212" s="122">
        <v>22</v>
      </c>
      <c r="V212" s="122">
        <v>22</v>
      </c>
      <c r="W212" s="122">
        <v>24</v>
      </c>
      <c r="X212" s="122">
        <v>21</v>
      </c>
      <c r="Y212" s="122">
        <v>23</v>
      </c>
      <c r="Z212" s="122">
        <v>23</v>
      </c>
      <c r="AA212" s="122">
        <v>21</v>
      </c>
      <c r="AB212" s="122">
        <v>24</v>
      </c>
      <c r="AC212" s="122">
        <v>22</v>
      </c>
      <c r="AD212" s="123">
        <v>22</v>
      </c>
      <c r="AE212" s="15"/>
      <c r="AF212" s="144">
        <v>269</v>
      </c>
      <c r="AG212" s="145">
        <v>269</v>
      </c>
    </row>
    <row r="213" spans="2:33" x14ac:dyDescent="0.2">
      <c r="B213" s="9">
        <f>G205</f>
        <v>5</v>
      </c>
      <c r="C213" s="9" t="str">
        <f t="shared" si="851"/>
        <v>5 - Total Vet Days</v>
      </c>
      <c r="D213" s="9" t="s">
        <v>56</v>
      </c>
      <c r="F213" s="8" t="s">
        <v>51</v>
      </c>
      <c r="G213" s="157">
        <v>44</v>
      </c>
      <c r="H213" s="158">
        <v>42</v>
      </c>
      <c r="I213" s="158">
        <v>48</v>
      </c>
      <c r="J213" s="159">
        <v>42</v>
      </c>
      <c r="K213" s="159">
        <v>46</v>
      </c>
      <c r="L213" s="159">
        <v>46</v>
      </c>
      <c r="M213" s="159">
        <v>44</v>
      </c>
      <c r="N213" s="159">
        <v>48</v>
      </c>
      <c r="O213" s="159">
        <v>44</v>
      </c>
      <c r="P213" s="159">
        <v>44</v>
      </c>
      <c r="Q213" s="159">
        <v>46</v>
      </c>
      <c r="R213" s="159">
        <v>44</v>
      </c>
      <c r="S213" s="157">
        <v>46</v>
      </c>
      <c r="T213" s="159">
        <v>44</v>
      </c>
      <c r="U213" s="159">
        <v>44</v>
      </c>
      <c r="V213" s="159">
        <v>44</v>
      </c>
      <c r="W213" s="159">
        <v>48</v>
      </c>
      <c r="X213" s="159">
        <v>42</v>
      </c>
      <c r="Y213" s="159">
        <v>46</v>
      </c>
      <c r="Z213" s="159">
        <v>46</v>
      </c>
      <c r="AA213" s="159">
        <v>42</v>
      </c>
      <c r="AB213" s="159">
        <v>48</v>
      </c>
      <c r="AC213" s="159">
        <v>44</v>
      </c>
      <c r="AD213" s="160">
        <v>44</v>
      </c>
      <c r="AE213" s="15"/>
      <c r="AF213" s="108">
        <v>538</v>
      </c>
      <c r="AG213" s="109">
        <v>538</v>
      </c>
    </row>
    <row r="214" spans="2:33" x14ac:dyDescent="0.2">
      <c r="B214" s="9">
        <f>G205</f>
        <v>5</v>
      </c>
      <c r="C214" s="9" t="str">
        <f t="shared" si="851"/>
        <v>5 - Production per Vet Workday</v>
      </c>
      <c r="D214" s="9" t="s">
        <v>56</v>
      </c>
      <c r="F214" s="7" t="s">
        <v>50</v>
      </c>
      <c r="G214" s="129">
        <v>5.2918699581840434</v>
      </c>
      <c r="H214" s="130">
        <v>5.5067916754448083</v>
      </c>
      <c r="I214" s="130">
        <v>6.2398599300047133</v>
      </c>
      <c r="J214" s="130">
        <v>6.4952391096532285</v>
      </c>
      <c r="K214" s="130">
        <v>7.2097536371700226</v>
      </c>
      <c r="L214" s="130">
        <v>7.0172792668134605</v>
      </c>
      <c r="M214" s="130">
        <v>6.5177546280321508</v>
      </c>
      <c r="N214" s="130">
        <v>5.5403717575173692</v>
      </c>
      <c r="O214" s="130">
        <v>5.6814998778795864</v>
      </c>
      <c r="P214" s="130">
        <v>5.9249211486803066</v>
      </c>
      <c r="Q214" s="130">
        <v>5.0839467519491661</v>
      </c>
      <c r="R214" s="130">
        <v>4.2751975308151522</v>
      </c>
      <c r="S214" s="129">
        <v>5.3420565662122756</v>
      </c>
      <c r="T214" s="130">
        <v>5.3875798893436757</v>
      </c>
      <c r="U214" s="130">
        <v>5.6993883075432157</v>
      </c>
      <c r="V214" s="130">
        <v>5.9868218944254732</v>
      </c>
      <c r="W214" s="130">
        <v>7.1871577572881291</v>
      </c>
      <c r="X214" s="130">
        <v>6.8909763110218831</v>
      </c>
      <c r="Y214" s="130">
        <v>6.7945334995907665</v>
      </c>
      <c r="Z214" s="130">
        <v>5.4156575763357182</v>
      </c>
      <c r="AA214" s="130">
        <v>5.2871352199723267</v>
      </c>
      <c r="AB214" s="130">
        <v>6.0760847806517573</v>
      </c>
      <c r="AC214" s="130">
        <v>5.2479056162583788</v>
      </c>
      <c r="AD214" s="131">
        <v>4.1875647455638489</v>
      </c>
      <c r="AE214" s="15"/>
      <c r="AF214" s="132">
        <v>5.9038218893421819</v>
      </c>
      <c r="AG214" s="133">
        <v>5.8028386200728184</v>
      </c>
    </row>
    <row r="215" spans="2:33" x14ac:dyDescent="0.2">
      <c r="B215" s="9">
        <f>G205</f>
        <v>5</v>
      </c>
      <c r="C215" s="9" t="str">
        <f t="shared" si="851"/>
        <v>5 - Total Production</v>
      </c>
      <c r="D215" s="9" t="s">
        <v>56</v>
      </c>
      <c r="F215" s="8" t="s">
        <v>1</v>
      </c>
      <c r="G215" s="134">
        <f>G214*G213</f>
        <v>232.84227816009792</v>
      </c>
      <c r="H215" s="135">
        <f t="shared" ref="H215" si="852">H214*H213</f>
        <v>231.28525036868194</v>
      </c>
      <c r="I215" s="135">
        <f t="shared" ref="I215" si="853">I214*I213</f>
        <v>299.51327664022625</v>
      </c>
      <c r="J215" s="135">
        <f t="shared" ref="J215" si="854">J214*J213</f>
        <v>272.80004260543558</v>
      </c>
      <c r="K215" s="135">
        <f t="shared" ref="K215" si="855">K214*K213</f>
        <v>331.64866730982106</v>
      </c>
      <c r="L215" s="135">
        <f t="shared" ref="L215" si="856">L214*L213</f>
        <v>322.79484627341918</v>
      </c>
      <c r="M215" s="135">
        <f t="shared" ref="M215" si="857">M214*M213</f>
        <v>286.78120363341463</v>
      </c>
      <c r="N215" s="135">
        <f t="shared" ref="N215" si="858">N214*N213</f>
        <v>265.93784436083371</v>
      </c>
      <c r="O215" s="135">
        <f t="shared" ref="O215" si="859">O214*O213</f>
        <v>249.9859946267018</v>
      </c>
      <c r="P215" s="135">
        <f t="shared" ref="P215" si="860">P214*P213</f>
        <v>260.6965305419335</v>
      </c>
      <c r="Q215" s="135">
        <f t="shared" ref="Q215" si="861">Q214*Q213</f>
        <v>233.86155058966165</v>
      </c>
      <c r="R215" s="135">
        <f t="shared" ref="R215" si="862">R214*R213</f>
        <v>188.10869135586671</v>
      </c>
      <c r="S215" s="134">
        <f t="shared" ref="S215" si="863">S214*S213</f>
        <v>245.73460204576469</v>
      </c>
      <c r="T215" s="135">
        <f t="shared" ref="T215" si="864">T214*T213</f>
        <v>237.05351513112174</v>
      </c>
      <c r="U215" s="135">
        <f t="shared" ref="U215" si="865">U214*U213</f>
        <v>250.7730855319015</v>
      </c>
      <c r="V215" s="135">
        <f t="shared" ref="V215" si="866">V214*V213</f>
        <v>263.42016335472084</v>
      </c>
      <c r="W215" s="135">
        <f t="shared" ref="W215" si="867">W214*W213</f>
        <v>344.98357234983018</v>
      </c>
      <c r="X215" s="135">
        <f t="shared" ref="X215" si="868">X214*X213</f>
        <v>289.42100506291911</v>
      </c>
      <c r="Y215" s="135">
        <f t="shared" ref="Y215" si="869">Y214*Y213</f>
        <v>312.54854098117528</v>
      </c>
      <c r="Z215" s="135">
        <f t="shared" ref="Z215" si="870">Z214*Z213</f>
        <v>249.12024851144304</v>
      </c>
      <c r="AA215" s="135">
        <f t="shared" ref="AA215" si="871">AA214*AA213</f>
        <v>222.05967923883773</v>
      </c>
      <c r="AB215" s="135">
        <f t="shared" ref="AB215" si="872">AB214*AB213</f>
        <v>291.65206947128434</v>
      </c>
      <c r="AC215" s="135">
        <f t="shared" ref="AC215" si="873">AC214*AC213</f>
        <v>230.90784711536867</v>
      </c>
      <c r="AD215" s="136">
        <f t="shared" ref="AD215" si="874">AD214*AD213</f>
        <v>184.25284880480936</v>
      </c>
      <c r="AE215" s="15"/>
      <c r="AF215" s="94">
        <f>SUM(G215:R215)</f>
        <v>3176.2561764660941</v>
      </c>
      <c r="AG215" s="95">
        <f>SUM(S215:AD215)</f>
        <v>3121.9271775991765</v>
      </c>
    </row>
    <row r="216" spans="2:33" x14ac:dyDescent="0.2">
      <c r="B216" s="9">
        <f>G205</f>
        <v>5</v>
      </c>
      <c r="C216" s="9" t="str">
        <f t="shared" si="851"/>
        <v>5 - Revenue as a % of Production</v>
      </c>
      <c r="D216" s="9" t="s">
        <v>56</v>
      </c>
      <c r="F216" s="7" t="s">
        <v>2</v>
      </c>
      <c r="G216" s="137">
        <v>0.98624246208177957</v>
      </c>
      <c r="H216" s="138">
        <v>0.98624246208177957</v>
      </c>
      <c r="I216" s="138">
        <v>0.98624246208177957</v>
      </c>
      <c r="J216" s="138">
        <v>0.98624246208177957</v>
      </c>
      <c r="K216" s="138">
        <v>0.98624246208177957</v>
      </c>
      <c r="L216" s="138">
        <v>0.98624246208177957</v>
      </c>
      <c r="M216" s="138">
        <v>0.98624246208177957</v>
      </c>
      <c r="N216" s="138">
        <v>0.98624246208177957</v>
      </c>
      <c r="O216" s="138">
        <v>0.98624246208177957</v>
      </c>
      <c r="P216" s="138">
        <v>0.98624246208177957</v>
      </c>
      <c r="Q216" s="138">
        <v>0.98624246208177957</v>
      </c>
      <c r="R216" s="138">
        <v>0.98624246208177957</v>
      </c>
      <c r="S216" s="137">
        <v>0.97533201811809167</v>
      </c>
      <c r="T216" s="138">
        <v>0.97533201811809167</v>
      </c>
      <c r="U216" s="138">
        <v>0.97533201811809167</v>
      </c>
      <c r="V216" s="138">
        <v>0.97533201811809167</v>
      </c>
      <c r="W216" s="138">
        <v>0.97533201811809167</v>
      </c>
      <c r="X216" s="138">
        <v>0.97533201811809167</v>
      </c>
      <c r="Y216" s="138">
        <v>0.97533201811809167</v>
      </c>
      <c r="Z216" s="138">
        <v>0.97533201811809167</v>
      </c>
      <c r="AA216" s="138">
        <v>0.97533201811809167</v>
      </c>
      <c r="AB216" s="138">
        <v>0.97533201811809167</v>
      </c>
      <c r="AC216" s="138">
        <v>0.97533201811809167</v>
      </c>
      <c r="AD216" s="139">
        <v>0.97533201811809167</v>
      </c>
      <c r="AE216" s="15"/>
      <c r="AF216" s="161">
        <v>0.98624246208177946</v>
      </c>
      <c r="AG216" s="162">
        <v>0.97533201811809167</v>
      </c>
    </row>
    <row r="217" spans="2:33" x14ac:dyDescent="0.2">
      <c r="B217" s="9">
        <f>G205</f>
        <v>5</v>
      </c>
      <c r="C217" s="9" t="str">
        <f t="shared" si="851"/>
        <v>5 - Total Revenue</v>
      </c>
      <c r="D217" s="9" t="s">
        <v>56</v>
      </c>
      <c r="F217" s="8" t="s">
        <v>3</v>
      </c>
      <c r="G217" s="134">
        <f>G216*G215</f>
        <v>229.63894168934553</v>
      </c>
      <c r="H217" s="135">
        <f t="shared" ref="H217" si="875">H216*H215</f>
        <v>228.1033347668097</v>
      </c>
      <c r="I217" s="135">
        <f t="shared" ref="I217" si="876">I216*I215</f>
        <v>295.39271137983792</v>
      </c>
      <c r="J217" s="135">
        <f t="shared" ref="J217" si="877">J216*J215</f>
        <v>269.04698567519915</v>
      </c>
      <c r="K217" s="135">
        <f t="shared" ref="K217" si="878">K216*K215</f>
        <v>327.08599819377895</v>
      </c>
      <c r="L217" s="135">
        <f t="shared" ref="L217" si="879">L216*L215</f>
        <v>318.3539839360065</v>
      </c>
      <c r="M217" s="135">
        <f t="shared" ref="M217" si="880">M216*M215</f>
        <v>282.83580035019503</v>
      </c>
      <c r="N217" s="135">
        <f t="shared" ref="N217" si="881">N216*N215</f>
        <v>262.27919438314973</v>
      </c>
      <c r="O217" s="135">
        <f t="shared" ref="O217" si="882">O216*O215</f>
        <v>246.5468028266009</v>
      </c>
      <c r="P217" s="135">
        <f t="shared" ref="P217" si="883">P216*P215</f>
        <v>257.10998813785432</v>
      </c>
      <c r="Q217" s="135">
        <f t="shared" ref="Q217" si="884">Q216*Q215</f>
        <v>230.64419143981056</v>
      </c>
      <c r="R217" s="135">
        <f t="shared" ref="R217" si="885">R216*R215</f>
        <v>185.52077890179154</v>
      </c>
      <c r="S217" s="134">
        <f t="shared" ref="S217" si="886">S216*S215</f>
        <v>239.67282533474182</v>
      </c>
      <c r="T217" s="135">
        <f t="shared" ref="T217" si="887">T216*T215</f>
        <v>231.20588331482455</v>
      </c>
      <c r="U217" s="135">
        <f t="shared" ref="U217" si="888">U216*U215</f>
        <v>244.5870196015303</v>
      </c>
      <c r="V217" s="135">
        <f t="shared" ref="V217" si="889">V216*V215</f>
        <v>256.92211953775728</v>
      </c>
      <c r="W217" s="135">
        <f t="shared" ref="W217" si="890">W216*W215</f>
        <v>336.47352383754856</v>
      </c>
      <c r="X217" s="135">
        <f t="shared" ref="X217" si="891">X216*X215</f>
        <v>282.28157295378332</v>
      </c>
      <c r="Y217" s="135">
        <f t="shared" ref="Y217" si="892">Y216*Y215</f>
        <v>304.83859923503479</v>
      </c>
      <c r="Z217" s="135">
        <f t="shared" ref="Z217" si="893">Z216*Z215</f>
        <v>242.97495473474626</v>
      </c>
      <c r="AA217" s="135">
        <f t="shared" ref="AA217" si="894">AA216*AA215</f>
        <v>216.5819150946717</v>
      </c>
      <c r="AB217" s="135">
        <f t="shared" ref="AB217" si="895">AB216*AB215</f>
        <v>284.45760150574563</v>
      </c>
      <c r="AC217" s="135">
        <f t="shared" ref="AC217" si="896">AC216*AC215</f>
        <v>225.21181652633629</v>
      </c>
      <c r="AD217" s="136">
        <f t="shared" ref="AD217" si="897">AD216*AD215</f>
        <v>179.70770286880233</v>
      </c>
      <c r="AE217" s="15"/>
      <c r="AF217" s="94">
        <f>SUM(G217:R217)</f>
        <v>3132.5587116803795</v>
      </c>
      <c r="AG217" s="95">
        <f>SUM(S217:AD217)</f>
        <v>3044.9155345455229</v>
      </c>
    </row>
    <row r="218" spans="2:33" x14ac:dyDescent="0.2">
      <c r="B218" s="9">
        <f>G205</f>
        <v>5</v>
      </c>
      <c r="C218" s="9" t="str">
        <f t="shared" si="851"/>
        <v>5 - % YoY Revenue Growth</v>
      </c>
      <c r="D218" s="9" t="s">
        <v>56</v>
      </c>
      <c r="F218" s="16" t="s">
        <v>174</v>
      </c>
      <c r="G218" s="82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148">
        <f>S217/G217-1</f>
        <v>4.3694172998628655E-2</v>
      </c>
      <c r="T218" s="149">
        <f t="shared" ref="T218" si="898">T217/H217-1</f>
        <v>1.3601504560144084E-2</v>
      </c>
      <c r="U218" s="149">
        <f t="shared" ref="U218" si="899">U217/I217-1</f>
        <v>-0.17199372164933979</v>
      </c>
      <c r="V218" s="149">
        <f t="shared" ref="V218" si="900">V217/J217-1</f>
        <v>-4.5065980230231339E-2</v>
      </c>
      <c r="W218" s="149">
        <f t="shared" ref="W218" si="901">W217/K217-1</f>
        <v>2.8700481511312104E-2</v>
      </c>
      <c r="X218" s="149">
        <f t="shared" ref="X218" si="902">X217/L217-1</f>
        <v>-0.11330912381317715</v>
      </c>
      <c r="Y218" s="149">
        <f t="shared" ref="Y218" si="903">Y217/M217-1</f>
        <v>7.7793542605274268E-2</v>
      </c>
      <c r="Z218" s="149">
        <f t="shared" ref="Z218" si="904">Z217/N217-1</f>
        <v>-7.3601871829005683E-2</v>
      </c>
      <c r="AA218" s="149">
        <f t="shared" ref="AA218" si="905">AA217/O217-1</f>
        <v>-0.12153833425698013</v>
      </c>
      <c r="AB218" s="149">
        <f t="shared" ref="AB218" si="906">AB217/P217-1</f>
        <v>0.10636542580846142</v>
      </c>
      <c r="AC218" s="149">
        <f t="shared" ref="AC218" si="907">AC217/Q217-1</f>
        <v>-2.3553053209631414E-2</v>
      </c>
      <c r="AD218" s="150">
        <f t="shared" ref="AD218" si="908">AD217/R217-1</f>
        <v>-3.1333827226256217E-2</v>
      </c>
      <c r="AE218" s="15"/>
      <c r="AF218" s="11"/>
      <c r="AG218" s="97">
        <f>AG217/AF217-1</f>
        <v>-2.797814349274963E-2</v>
      </c>
    </row>
    <row r="219" spans="2:33" ht="6" customHeight="1" x14ac:dyDescent="0.2">
      <c r="B219" s="9">
        <f>G205</f>
        <v>5</v>
      </c>
      <c r="C219" s="9" t="str">
        <f t="shared" si="851"/>
        <v xml:space="preserve">5 - </v>
      </c>
      <c r="D219" s="9" t="s">
        <v>56</v>
      </c>
      <c r="G219" s="11"/>
      <c r="S219" s="11"/>
      <c r="AD219" s="15"/>
      <c r="AE219" s="15"/>
      <c r="AF219" s="11"/>
      <c r="AG219" s="15"/>
    </row>
    <row r="220" spans="2:33" x14ac:dyDescent="0.2">
      <c r="B220" s="9">
        <f>G205</f>
        <v>5</v>
      </c>
      <c r="C220" s="9" t="str">
        <f t="shared" si="851"/>
        <v>5 - Doctor Compensation</v>
      </c>
      <c r="D220" s="9" t="s">
        <v>56</v>
      </c>
      <c r="F220" t="s">
        <v>4</v>
      </c>
      <c r="G220" s="144">
        <v>-71.692752126511081</v>
      </c>
      <c r="H220" s="70">
        <v>-72.899139478875554</v>
      </c>
      <c r="I220" s="70">
        <v>-95.967463764252585</v>
      </c>
      <c r="J220" s="70">
        <v>-85.247156382602654</v>
      </c>
      <c r="K220" s="70">
        <v>-102.428525880034</v>
      </c>
      <c r="L220" s="70">
        <v>-98.893010521395837</v>
      </c>
      <c r="M220" s="70">
        <v>-87.629990750567231</v>
      </c>
      <c r="N220" s="70">
        <v>-82.813624460908173</v>
      </c>
      <c r="O220" s="70">
        <v>-75.635056051081222</v>
      </c>
      <c r="P220" s="70">
        <v>-78.579689336819627</v>
      </c>
      <c r="Q220" s="70">
        <v>-68.982686475390651</v>
      </c>
      <c r="R220" s="70">
        <v>-53.99464520257775</v>
      </c>
      <c r="S220" s="144">
        <v>-68.606000730365153</v>
      </c>
      <c r="T220" s="70">
        <v>-67.571460928487042</v>
      </c>
      <c r="U220" s="70">
        <v>-69.832821229370637</v>
      </c>
      <c r="V220" s="70">
        <v>-72.602972289047415</v>
      </c>
      <c r="W220" s="70">
        <v>-93.188237650776202</v>
      </c>
      <c r="X220" s="70">
        <v>-80.411275317358374</v>
      </c>
      <c r="Y220" s="70">
        <v>-86.509152718879164</v>
      </c>
      <c r="Z220" s="70">
        <v>-66.774429171398722</v>
      </c>
      <c r="AA220" s="70">
        <v>-61.142848167539498</v>
      </c>
      <c r="AB220" s="70">
        <v>-82.163184326489215</v>
      </c>
      <c r="AC220" s="70">
        <v>-64.572877224022363</v>
      </c>
      <c r="AD220" s="145">
        <v>-53.086629432631817</v>
      </c>
      <c r="AE220" s="15"/>
      <c r="AF220" s="92">
        <f>SUM(G220:R220)</f>
        <v>-974.76374043101634</v>
      </c>
      <c r="AG220" s="93">
        <f>SUM(S220:AD220)</f>
        <v>-866.46188918636562</v>
      </c>
    </row>
    <row r="221" spans="2:33" x14ac:dyDescent="0.2">
      <c r="B221" s="9">
        <f>G205</f>
        <v>5</v>
      </c>
      <c r="C221" s="9" t="str">
        <f t="shared" si="851"/>
        <v>5 - % of Revenue - Doctor Compensation</v>
      </c>
      <c r="D221" s="9" t="s">
        <v>56</v>
      </c>
      <c r="F221" s="16" t="str">
        <f>"% of Revenue - "&amp;F220</f>
        <v>% of Revenue - Doctor Compensation</v>
      </c>
      <c r="G221" s="148">
        <f>G220/G217</f>
        <v>-0.31219771176047612</v>
      </c>
      <c r="H221" s="149">
        <f t="shared" ref="H221" si="909">H220/H217</f>
        <v>-0.31958822326469022</v>
      </c>
      <c r="I221" s="149">
        <f t="shared" ref="I221" si="910">I220/I217</f>
        <v>-0.32488094684519986</v>
      </c>
      <c r="J221" s="149">
        <f t="shared" ref="J221" si="911">J220/J217</f>
        <v>-0.3168485837842292</v>
      </c>
      <c r="K221" s="149">
        <f t="shared" ref="K221" si="912">K220/K217</f>
        <v>-0.31315472519661697</v>
      </c>
      <c r="L221" s="149">
        <f t="shared" ref="L221" si="913">L220/L217</f>
        <v>-0.31063852036252415</v>
      </c>
      <c r="M221" s="149">
        <f t="shared" ref="M221" si="914">M220/M217</f>
        <v>-0.30982637502772836</v>
      </c>
      <c r="N221" s="149">
        <f t="shared" ref="N221" si="915">N220/N217</f>
        <v>-0.31574606844311925</v>
      </c>
      <c r="O221" s="149">
        <f t="shared" ref="O221" si="916">O220/O217</f>
        <v>-0.30677767946671042</v>
      </c>
      <c r="P221" s="149">
        <f t="shared" ref="P221" si="917">P220/P217</f>
        <v>-0.30562674715961508</v>
      </c>
      <c r="Q221" s="149">
        <f t="shared" ref="Q221" si="918">Q220/Q217</f>
        <v>-0.29908703117456364</v>
      </c>
      <c r="R221" s="149">
        <f t="shared" ref="R221" si="919">R220/R217</f>
        <v>-0.29104365301937796</v>
      </c>
      <c r="S221" s="148">
        <f t="shared" ref="S221" si="920">S220/S217</f>
        <v>-0.28624855836094804</v>
      </c>
      <c r="T221" s="149">
        <f t="shared" ref="T221" si="921">T220/T217</f>
        <v>-0.29225666734646827</v>
      </c>
      <c r="U221" s="149">
        <f t="shared" ref="U221" si="922">U220/U217</f>
        <v>-0.28551319421259147</v>
      </c>
      <c r="V221" s="149">
        <f t="shared" ref="V221" si="923">V220/V217</f>
        <v>-0.28258747210894652</v>
      </c>
      <c r="W221" s="149">
        <f t="shared" ref="W221" si="924">W220/W217</f>
        <v>-0.27695563260950079</v>
      </c>
      <c r="X221" s="149">
        <f t="shared" ref="X221" si="925">X220/X217</f>
        <v>-0.28486193581797753</v>
      </c>
      <c r="Y221" s="149">
        <f t="shared" ref="Y221" si="926">Y220/Y217</f>
        <v>-0.28378674136400756</v>
      </c>
      <c r="Z221" s="149">
        <f t="shared" ref="Z221" si="927">Z220/Z217</f>
        <v>-0.27482021447147015</v>
      </c>
      <c r="AA221" s="149">
        <f t="shared" ref="AA221" si="928">AA220/AA217</f>
        <v>-0.28230818875533953</v>
      </c>
      <c r="AB221" s="149">
        <f t="shared" ref="AB221" si="929">AB220/AB217</f>
        <v>-0.28884158444551056</v>
      </c>
      <c r="AC221" s="149">
        <f t="shared" ref="AC221" si="930">AC220/AC217</f>
        <v>-0.28672064468016584</v>
      </c>
      <c r="AD221" s="150">
        <f t="shared" ref="AD221" si="931">AD220/AD217</f>
        <v>-0.2954054199412271</v>
      </c>
      <c r="AE221" s="15"/>
      <c r="AF221" s="96">
        <f t="shared" ref="AF221" si="932">AF220/AF217</f>
        <v>-0.31117173855238928</v>
      </c>
      <c r="AG221" s="97">
        <f t="shared" ref="AG221" si="933">AG220/AG217</f>
        <v>-0.28456023799546604</v>
      </c>
    </row>
    <row r="222" spans="2:33" ht="3" customHeight="1" x14ac:dyDescent="0.2">
      <c r="B222" s="9">
        <f>G205</f>
        <v>5</v>
      </c>
      <c r="C222" s="9" t="str">
        <f t="shared" si="851"/>
        <v xml:space="preserve">5 - </v>
      </c>
      <c r="D222" s="9" t="s">
        <v>56</v>
      </c>
      <c r="F222" s="16"/>
      <c r="G222" s="36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6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8"/>
      <c r="AE222" s="15"/>
      <c r="AF222" s="36"/>
      <c r="AG222" s="38"/>
    </row>
    <row r="223" spans="2:33" x14ac:dyDescent="0.2">
      <c r="B223" s="9">
        <f>G205</f>
        <v>5</v>
      </c>
      <c r="C223" s="9" t="str">
        <f t="shared" si="851"/>
        <v>5 - Administrative Staff Compensation</v>
      </c>
      <c r="D223" s="9" t="s">
        <v>56</v>
      </c>
      <c r="F223" t="s">
        <v>5</v>
      </c>
      <c r="G223" s="144">
        <v>-39.820043150044128</v>
      </c>
      <c r="H223" s="70">
        <v>-41.188037119105068</v>
      </c>
      <c r="I223" s="70">
        <v>-55.525763409435285</v>
      </c>
      <c r="J223" s="70">
        <v>-49.261871053424237</v>
      </c>
      <c r="K223" s="70">
        <v>-61.607872429107665</v>
      </c>
      <c r="L223" s="70">
        <v>-58.78079642393714</v>
      </c>
      <c r="M223" s="70">
        <v>-50.881663049783832</v>
      </c>
      <c r="N223" s="70">
        <v>-45.594502605273128</v>
      </c>
      <c r="O223" s="70">
        <v>-43.460452853444146</v>
      </c>
      <c r="P223" s="70">
        <v>-46.09213679770928</v>
      </c>
      <c r="Q223" s="70">
        <v>-41.832007057745436</v>
      </c>
      <c r="R223" s="70">
        <v>-34.083583280547046</v>
      </c>
      <c r="S223" s="144">
        <v>-52.417088754985521</v>
      </c>
      <c r="T223" s="70">
        <v>-51.945326994677572</v>
      </c>
      <c r="U223" s="70">
        <v>-53.916993369612435</v>
      </c>
      <c r="V223" s="70">
        <v>-54.644695928438686</v>
      </c>
      <c r="W223" s="70">
        <v>-75.003106005660442</v>
      </c>
      <c r="X223" s="70">
        <v>-65.003276859252594</v>
      </c>
      <c r="Y223" s="70">
        <v>-67.047284280189757</v>
      </c>
      <c r="Z223" s="70">
        <v>-51.136811496435364</v>
      </c>
      <c r="AA223" s="70">
        <v>-46.076733214692027</v>
      </c>
      <c r="AB223" s="70">
        <v>-60.492418949673301</v>
      </c>
      <c r="AC223" s="70">
        <v>-46.595655543933795</v>
      </c>
      <c r="AD223" s="145">
        <v>-35.145063413174782</v>
      </c>
      <c r="AE223" s="15"/>
      <c r="AF223" s="92">
        <f>SUM(G223:R223)</f>
        <v>-568.12872922955637</v>
      </c>
      <c r="AG223" s="93">
        <f>SUM(S223:AD223)</f>
        <v>-659.42445481072627</v>
      </c>
    </row>
    <row r="224" spans="2:33" x14ac:dyDescent="0.2">
      <c r="B224" s="9">
        <f>G205</f>
        <v>5</v>
      </c>
      <c r="C224" s="9" t="str">
        <f t="shared" si="851"/>
        <v>5 - % of Revenue - Administrative Staff Compensation</v>
      </c>
      <c r="D224" s="9" t="s">
        <v>56</v>
      </c>
      <c r="F224" s="16" t="str">
        <f>"% of Revenue - "&amp;F223</f>
        <v>% of Revenue - Administrative Staff Compensation</v>
      </c>
      <c r="G224" s="148">
        <f>G223/G217</f>
        <v>-0.17340283340929386</v>
      </c>
      <c r="H224" s="149">
        <f t="shared" ref="H224" si="934">H223/H217</f>
        <v>-0.18056744835059796</v>
      </c>
      <c r="I224" s="149">
        <f t="shared" ref="I224" si="935">I223/I217</f>
        <v>-0.18797269286050911</v>
      </c>
      <c r="J224" s="149">
        <f t="shared" ref="J224" si="936">J223/J217</f>
        <v>-0.18309765087981514</v>
      </c>
      <c r="K224" s="149">
        <f t="shared" ref="K224" si="937">K223/K217</f>
        <v>-0.18835374418139622</v>
      </c>
      <c r="L224" s="149">
        <f t="shared" ref="L224" si="938">L223/L217</f>
        <v>-0.18463973874990955</v>
      </c>
      <c r="M224" s="149">
        <f t="shared" ref="M224" si="939">M223/M217</f>
        <v>-0.17989824126501794</v>
      </c>
      <c r="N224" s="149">
        <f t="shared" ref="N224" si="940">N223/N217</f>
        <v>-0.17383957089126384</v>
      </c>
      <c r="O224" s="149">
        <f t="shared" ref="O224" si="941">O223/O217</f>
        <v>-0.17627668400149712</v>
      </c>
      <c r="P224" s="149">
        <f t="shared" ref="P224" si="942">P223/P217</f>
        <v>-0.17927011366433621</v>
      </c>
      <c r="Q224" s="149">
        <f t="shared" ref="Q224" si="943">Q223/Q217</f>
        <v>-0.18137030374190893</v>
      </c>
      <c r="R224" s="149">
        <f t="shared" ref="R224" si="944">R223/R217</f>
        <v>-0.18371841408982953</v>
      </c>
      <c r="S224" s="148">
        <f t="shared" ref="S224" si="945">S223/S217</f>
        <v>-0.21870267804360627</v>
      </c>
      <c r="T224" s="149">
        <f t="shared" ref="T224" si="946">T223/T217</f>
        <v>-0.22467130269321708</v>
      </c>
      <c r="U224" s="149">
        <f t="shared" ref="U224" si="947">U223/U217</f>
        <v>-0.22044094350326304</v>
      </c>
      <c r="V224" s="149">
        <f t="shared" ref="V224" si="948">V223/V217</f>
        <v>-0.21268972880479486</v>
      </c>
      <c r="W224" s="149">
        <f t="shared" ref="W224" si="949">W223/W217</f>
        <v>-0.22290938422207743</v>
      </c>
      <c r="X224" s="149">
        <f t="shared" ref="X224" si="950">X223/X217</f>
        <v>-0.2302781445457486</v>
      </c>
      <c r="Y224" s="149">
        <f t="shared" ref="Y224" si="951">Y223/Y217</f>
        <v>-0.21994355192695059</v>
      </c>
      <c r="Z224" s="149">
        <f t="shared" ref="Z224" si="952">Z223/Z217</f>
        <v>-0.21046124507878186</v>
      </c>
      <c r="AA224" s="149">
        <f t="shared" ref="AA224" si="953">AA223/AA217</f>
        <v>-0.21274506319953396</v>
      </c>
      <c r="AB224" s="149">
        <f t="shared" ref="AB224" si="954">AB223/AB217</f>
        <v>-0.21265882377360706</v>
      </c>
      <c r="AC224" s="149">
        <f t="shared" ref="AC224" si="955">AC223/AC217</f>
        <v>-0.2068970281516507</v>
      </c>
      <c r="AD224" s="150">
        <f t="shared" ref="AD224" si="956">AD223/AD217</f>
        <v>-0.19556792976666582</v>
      </c>
      <c r="AE224" s="15"/>
      <c r="AF224" s="96">
        <f t="shared" ref="AF224" si="957">AF223/AF217</f>
        <v>-0.1813625159238591</v>
      </c>
      <c r="AG224" s="97">
        <f t="shared" ref="AG224" si="958">AG223/AG217</f>
        <v>-0.21656576260633464</v>
      </c>
    </row>
    <row r="225" spans="2:33" ht="3" customHeight="1" x14ac:dyDescent="0.2">
      <c r="B225" s="9">
        <f>G205</f>
        <v>5</v>
      </c>
      <c r="C225" s="9" t="str">
        <f t="shared" si="851"/>
        <v xml:space="preserve">5 - </v>
      </c>
      <c r="D225" s="9" t="s">
        <v>56</v>
      </c>
      <c r="F225" s="16"/>
      <c r="G225" s="36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6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8"/>
      <c r="AE225" s="15"/>
      <c r="AF225" s="36"/>
      <c r="AG225" s="38"/>
    </row>
    <row r="226" spans="2:33" x14ac:dyDescent="0.2">
      <c r="B226" s="9">
        <f>G205</f>
        <v>5</v>
      </c>
      <c r="C226" s="9" t="str">
        <f t="shared" si="851"/>
        <v>5 - Office Supplies</v>
      </c>
      <c r="D226" s="9" t="s">
        <v>56</v>
      </c>
      <c r="F226" t="s">
        <v>6</v>
      </c>
      <c r="G226" s="144">
        <v>-12.97878499623036</v>
      </c>
      <c r="H226" s="70">
        <v>-12.765864569733267</v>
      </c>
      <c r="I226" s="70">
        <v>-16.482690041166794</v>
      </c>
      <c r="J226" s="70">
        <v>-15.847445763516451</v>
      </c>
      <c r="K226" s="70">
        <v>-18.885076698754009</v>
      </c>
      <c r="L226" s="70">
        <v>-17.726344585777216</v>
      </c>
      <c r="M226" s="70">
        <v>-16.291374498567688</v>
      </c>
      <c r="N226" s="70">
        <v>-15.608582884259583</v>
      </c>
      <c r="O226" s="70">
        <v>-13.758953460476974</v>
      </c>
      <c r="P226" s="70">
        <v>-15.568703356342574</v>
      </c>
      <c r="Q226" s="70">
        <v>-14.368533625218415</v>
      </c>
      <c r="R226" s="70">
        <v>-11.566858570324488</v>
      </c>
      <c r="S226" s="144">
        <v>-14.009673723210838</v>
      </c>
      <c r="T226" s="70">
        <v>-13.362920196338502</v>
      </c>
      <c r="U226" s="70">
        <v>-15.002696252943627</v>
      </c>
      <c r="V226" s="70">
        <v>-15.33765106624795</v>
      </c>
      <c r="W226" s="70">
        <v>-20.088244538779595</v>
      </c>
      <c r="X226" s="70">
        <v>-17.080981849749051</v>
      </c>
      <c r="Y226" s="70">
        <v>-17.717139320771896</v>
      </c>
      <c r="Z226" s="70">
        <v>-14.095290174166804</v>
      </c>
      <c r="AA226" s="70">
        <v>-13.255970501801876</v>
      </c>
      <c r="AB226" s="70">
        <v>-18.728481085676389</v>
      </c>
      <c r="AC226" s="70">
        <v>-15.103671785362925</v>
      </c>
      <c r="AD226" s="145">
        <v>-12.244866524860489</v>
      </c>
      <c r="AE226" s="15"/>
      <c r="AF226" s="92">
        <f>SUM(G226:R226)</f>
        <v>-181.84921305036784</v>
      </c>
      <c r="AG226" s="93">
        <f>SUM(S226:AD226)</f>
        <v>-186.02758701990996</v>
      </c>
    </row>
    <row r="227" spans="2:33" x14ac:dyDescent="0.2">
      <c r="B227" s="9">
        <f>G205</f>
        <v>5</v>
      </c>
      <c r="C227" s="9" t="str">
        <f t="shared" si="851"/>
        <v>5 - % of Revenue - Office Supplies</v>
      </c>
      <c r="D227" s="9" t="s">
        <v>56</v>
      </c>
      <c r="F227" s="16" t="str">
        <f>"% of Revenue - "&amp;F226</f>
        <v>% of Revenue - Office Supplies</v>
      </c>
      <c r="G227" s="148">
        <f>G226/G217</f>
        <v>-5.6518223349888097E-2</v>
      </c>
      <c r="H227" s="149">
        <f t="shared" ref="H227" si="959">H226/H217</f>
        <v>-5.5965269349454387E-2</v>
      </c>
      <c r="I227" s="149">
        <f t="shared" ref="I227" si="960">I226/I217</f>
        <v>-5.5799244213484082E-2</v>
      </c>
      <c r="J227" s="149">
        <f t="shared" ref="J227" si="961">J226/J217</f>
        <v>-5.8902149465625005E-2</v>
      </c>
      <c r="K227" s="149">
        <f t="shared" ref="K227" si="962">K226/K217</f>
        <v>-5.7737343704837303E-2</v>
      </c>
      <c r="L227" s="149">
        <f t="shared" ref="L227" si="963">L226/L217</f>
        <v>-5.5681240004021602E-2</v>
      </c>
      <c r="M227" s="149">
        <f t="shared" ref="M227" si="964">M226/M217</f>
        <v>-5.7600114548428505E-2</v>
      </c>
      <c r="N227" s="149">
        <f t="shared" ref="N227" si="965">N226/N217</f>
        <v>-5.9511326931475296E-2</v>
      </c>
      <c r="O227" s="149">
        <f t="shared" ref="O227" si="966">O226/O217</f>
        <v>-5.5806659436398363E-2</v>
      </c>
      <c r="P227" s="149">
        <f t="shared" ref="P227" si="967">P226/P217</f>
        <v>-6.0552697579353172E-2</v>
      </c>
      <c r="Q227" s="149">
        <f t="shared" ref="Q227" si="968">Q226/Q217</f>
        <v>-6.2297400751876557E-2</v>
      </c>
      <c r="R227" s="149">
        <f t="shared" ref="R227" si="969">R226/R217</f>
        <v>-6.2348048767343706E-2</v>
      </c>
      <c r="S227" s="148">
        <f t="shared" ref="S227" si="970">S226/S217</f>
        <v>-5.8453325710347288E-2</v>
      </c>
      <c r="T227" s="149">
        <f t="shared" ref="T227" si="971">T226/T217</f>
        <v>-5.7796626992154453E-2</v>
      </c>
      <c r="U227" s="149">
        <f t="shared" ref="U227" si="972">U226/U217</f>
        <v>-6.1338889845361851E-2</v>
      </c>
      <c r="V227" s="149">
        <f t="shared" ref="V227" si="973">V226/V217</f>
        <v>-5.9697666724230526E-2</v>
      </c>
      <c r="W227" s="149">
        <f t="shared" ref="W227" si="974">W226/W217</f>
        <v>-5.9702303793977916E-2</v>
      </c>
      <c r="X227" s="149">
        <f t="shared" ref="X227" si="975">X226/X217</f>
        <v>-6.0510438818284613E-2</v>
      </c>
      <c r="Y227" s="149">
        <f t="shared" ref="Y227" si="976">Y226/Y217</f>
        <v>-5.8119737347014033E-2</v>
      </c>
      <c r="Z227" s="149">
        <f t="shared" ref="Z227" si="977">Z226/Z217</f>
        <v>-5.8011288404414003E-2</v>
      </c>
      <c r="AA227" s="149">
        <f t="shared" ref="AA227" si="978">AA226/AA217</f>
        <v>-6.1205343465577274E-2</v>
      </c>
      <c r="AB227" s="149">
        <f t="shared" ref="AB227" si="979">AB226/AB217</f>
        <v>-6.5839270902022642E-2</v>
      </c>
      <c r="AC227" s="149">
        <f t="shared" ref="AC227" si="980">AC226/AC217</f>
        <v>-6.7064295374557756E-2</v>
      </c>
      <c r="AD227" s="150">
        <f t="shared" ref="AD227" si="981">AD226/AD217</f>
        <v>-6.8137683189907525E-2</v>
      </c>
      <c r="AE227" s="15"/>
      <c r="AF227" s="96">
        <f t="shared" ref="AF227" si="982">AF226/AF217</f>
        <v>-5.8051334320504903E-2</v>
      </c>
      <c r="AG227" s="97">
        <f t="shared" ref="AG227" si="983">AG226/AG217</f>
        <v>-6.1094498323309321E-2</v>
      </c>
    </row>
    <row r="228" spans="2:33" ht="6" customHeight="1" x14ac:dyDescent="0.2">
      <c r="B228" s="9">
        <f>G205</f>
        <v>5</v>
      </c>
      <c r="C228" s="9" t="str">
        <f t="shared" si="851"/>
        <v xml:space="preserve">5 - </v>
      </c>
      <c r="D228" s="9" t="s">
        <v>56</v>
      </c>
      <c r="F228" s="16"/>
      <c r="G228" s="11"/>
      <c r="S228" s="11"/>
      <c r="AD228" s="15"/>
      <c r="AE228" s="15"/>
      <c r="AF228" s="11"/>
      <c r="AG228" s="15"/>
    </row>
    <row r="229" spans="2:33" x14ac:dyDescent="0.2">
      <c r="B229" s="9">
        <f>G205</f>
        <v>5</v>
      </c>
      <c r="C229" s="9" t="str">
        <f t="shared" si="851"/>
        <v>5 - Office Gross Profit</v>
      </c>
      <c r="D229" s="9" t="s">
        <v>56</v>
      </c>
      <c r="F229" s="8" t="s">
        <v>11</v>
      </c>
      <c r="G229" s="134">
        <f>G217+G220+G223+G226</f>
        <v>105.14736141655995</v>
      </c>
      <c r="H229" s="135">
        <f t="shared" ref="H229:AD229" si="984">H217+H220+H223+H226</f>
        <v>101.2502935990958</v>
      </c>
      <c r="I229" s="135">
        <f t="shared" si="984"/>
        <v>127.41679416498326</v>
      </c>
      <c r="J229" s="135">
        <f t="shared" si="984"/>
        <v>118.69051247565579</v>
      </c>
      <c r="K229" s="135">
        <f t="shared" si="984"/>
        <v>144.1645231858833</v>
      </c>
      <c r="L229" s="135">
        <f t="shared" si="984"/>
        <v>142.9538324048963</v>
      </c>
      <c r="M229" s="135">
        <f t="shared" si="984"/>
        <v>128.03277205127628</v>
      </c>
      <c r="N229" s="135">
        <f t="shared" si="984"/>
        <v>118.26248443270885</v>
      </c>
      <c r="O229" s="135">
        <f t="shared" si="984"/>
        <v>113.69234046159856</v>
      </c>
      <c r="P229" s="135">
        <f t="shared" si="984"/>
        <v>116.86945864698282</v>
      </c>
      <c r="Q229" s="135">
        <f t="shared" si="984"/>
        <v>105.46096428145606</v>
      </c>
      <c r="R229" s="135">
        <f t="shared" si="984"/>
        <v>85.875691848342271</v>
      </c>
      <c r="S229" s="134">
        <f t="shared" si="984"/>
        <v>104.64006212618033</v>
      </c>
      <c r="T229" s="135">
        <f t="shared" si="984"/>
        <v>98.32617519532144</v>
      </c>
      <c r="U229" s="135">
        <f t="shared" si="984"/>
        <v>105.8345087496036</v>
      </c>
      <c r="V229" s="135">
        <f t="shared" si="984"/>
        <v>114.33680025402322</v>
      </c>
      <c r="W229" s="135">
        <f t="shared" si="984"/>
        <v>148.19393564233229</v>
      </c>
      <c r="X229" s="135">
        <f t="shared" si="984"/>
        <v>119.78603892742329</v>
      </c>
      <c r="Y229" s="135">
        <f t="shared" si="984"/>
        <v>133.56502291519396</v>
      </c>
      <c r="Z229" s="135">
        <f t="shared" si="984"/>
        <v>110.96842389274535</v>
      </c>
      <c r="AA229" s="135">
        <f t="shared" si="984"/>
        <v>96.106363210638307</v>
      </c>
      <c r="AB229" s="135">
        <f t="shared" si="984"/>
        <v>123.07351714390673</v>
      </c>
      <c r="AC229" s="135">
        <f t="shared" si="984"/>
        <v>98.939611973017222</v>
      </c>
      <c r="AD229" s="136">
        <f t="shared" si="984"/>
        <v>79.231143498135253</v>
      </c>
      <c r="AE229" s="15"/>
      <c r="AF229" s="98">
        <f>SUM(G229:R229)</f>
        <v>1407.8170289694392</v>
      </c>
      <c r="AG229" s="95">
        <f>SUM(S229:AD229)</f>
        <v>1333.0016035285209</v>
      </c>
    </row>
    <row r="230" spans="2:33" x14ac:dyDescent="0.2">
      <c r="B230" s="9">
        <f>G205</f>
        <v>5</v>
      </c>
      <c r="C230" s="9" t="str">
        <f t="shared" si="851"/>
        <v>5 - % of Revenue - Office Gross Profit</v>
      </c>
      <c r="D230" s="9" t="s">
        <v>56</v>
      </c>
      <c r="F230" s="16" t="str">
        <f>"% of Revenue - "&amp;F229</f>
        <v>% of Revenue - Office Gross Profit</v>
      </c>
      <c r="G230" s="148">
        <f>G229/G217</f>
        <v>0.45788123148034188</v>
      </c>
      <c r="H230" s="149">
        <f t="shared" ref="H230" si="985">H229/H217</f>
        <v>0.44387905903525737</v>
      </c>
      <c r="I230" s="149">
        <f t="shared" ref="I230" si="986">I229/I217</f>
        <v>0.43134711608080695</v>
      </c>
      <c r="J230" s="149">
        <f t="shared" ref="J230" si="987">J229/J217</f>
        <v>0.44115161587033058</v>
      </c>
      <c r="K230" s="149">
        <f t="shared" ref="K230" si="988">K229/K217</f>
        <v>0.44075418691714957</v>
      </c>
      <c r="L230" s="149">
        <f t="shared" ref="L230" si="989">L229/L217</f>
        <v>0.44904050088354469</v>
      </c>
      <c r="M230" s="149">
        <f t="shared" ref="M230" si="990">M229/M217</f>
        <v>0.45267526915882522</v>
      </c>
      <c r="N230" s="149">
        <f t="shared" ref="N230" si="991">N229/N217</f>
        <v>0.45090303373414159</v>
      </c>
      <c r="O230" s="149">
        <f t="shared" ref="O230" si="992">O229/O217</f>
        <v>0.46113897709539414</v>
      </c>
      <c r="P230" s="149">
        <f t="shared" ref="P230" si="993">P229/P217</f>
        <v>0.4545504415966955</v>
      </c>
      <c r="Q230" s="149">
        <f t="shared" ref="Q230" si="994">Q229/Q217</f>
        <v>0.45724526433165086</v>
      </c>
      <c r="R230" s="149">
        <f t="shared" ref="R230" si="995">R229/R217</f>
        <v>0.46288988412344889</v>
      </c>
      <c r="S230" s="148">
        <f t="shared" ref="S230" si="996">S229/S217</f>
        <v>0.43659543788509847</v>
      </c>
      <c r="T230" s="149">
        <f t="shared" ref="T230" si="997">T229/T217</f>
        <v>0.42527540296816024</v>
      </c>
      <c r="U230" s="149">
        <f t="shared" ref="U230" si="998">U229/U217</f>
        <v>0.43270697243878364</v>
      </c>
      <c r="V230" s="149">
        <f t="shared" ref="V230" si="999">V229/V217</f>
        <v>0.44502513236202801</v>
      </c>
      <c r="W230" s="149">
        <f t="shared" ref="W230" si="1000">W229/W217</f>
        <v>0.4404326793744438</v>
      </c>
      <c r="X230" s="149">
        <f t="shared" ref="X230" si="1001">X229/X217</f>
        <v>0.42434948081798918</v>
      </c>
      <c r="Y230" s="149">
        <f t="shared" ref="Y230" si="1002">Y229/Y217</f>
        <v>0.43814996936202777</v>
      </c>
      <c r="Z230" s="149">
        <f t="shared" ref="Z230" si="1003">Z229/Z217</f>
        <v>0.45670725204533386</v>
      </c>
      <c r="AA230" s="149">
        <f t="shared" ref="AA230" si="1004">AA229/AA217</f>
        <v>0.4437414045795493</v>
      </c>
      <c r="AB230" s="149">
        <f t="shared" ref="AB230" si="1005">AB229/AB217</f>
        <v>0.43266032087885975</v>
      </c>
      <c r="AC230" s="149">
        <f t="shared" ref="AC230" si="1006">AC229/AC217</f>
        <v>0.43931803179362577</v>
      </c>
      <c r="AD230" s="150">
        <f t="shared" ref="AD230" si="1007">AD229/AD217</f>
        <v>0.4408889671021996</v>
      </c>
      <c r="AE230" s="15"/>
      <c r="AF230" s="111">
        <f t="shared" ref="AF230" si="1008">AF229/AF217</f>
        <v>0.44941441120324682</v>
      </c>
      <c r="AG230" s="97">
        <f t="shared" ref="AG230" si="1009">AG229/AG217</f>
        <v>0.43777950107489</v>
      </c>
    </row>
    <row r="231" spans="2:33" ht="6" customHeight="1" x14ac:dyDescent="0.2">
      <c r="B231" s="9">
        <f>G205</f>
        <v>5</v>
      </c>
      <c r="C231" s="9" t="str">
        <f t="shared" si="851"/>
        <v xml:space="preserve">5 - </v>
      </c>
      <c r="D231" s="9" t="s">
        <v>56</v>
      </c>
      <c r="F231" s="16"/>
      <c r="G231" s="11"/>
      <c r="S231" s="11"/>
      <c r="AD231" s="15"/>
      <c r="AE231" s="15"/>
      <c r="AF231" s="11"/>
      <c r="AG231" s="15"/>
    </row>
    <row r="232" spans="2:33" x14ac:dyDescent="0.2">
      <c r="B232" s="9">
        <f>G205</f>
        <v>5</v>
      </c>
      <c r="C232" s="9" t="str">
        <f t="shared" si="851"/>
        <v>5 - General and Administrative Expense</v>
      </c>
      <c r="D232" s="9" t="s">
        <v>56</v>
      </c>
      <c r="F232" t="s">
        <v>10</v>
      </c>
      <c r="G232" s="144">
        <v>-8.1300443900142536</v>
      </c>
      <c r="H232" s="70">
        <v>-7.3372685283065664</v>
      </c>
      <c r="I232" s="70">
        <v>-9.0319660706777611</v>
      </c>
      <c r="J232" s="70">
        <v>-8.5986755868816793</v>
      </c>
      <c r="K232" s="70">
        <v>-10.180950453904854</v>
      </c>
      <c r="L232" s="70">
        <v>-9.4779198044921884</v>
      </c>
      <c r="M232" s="70">
        <v>-9.1408118961668521</v>
      </c>
      <c r="N232" s="70">
        <v>-7.9232747670579347</v>
      </c>
      <c r="O232" s="70">
        <v>-6.3903646840092199</v>
      </c>
      <c r="P232" s="70">
        <v>-6.8008141469064771</v>
      </c>
      <c r="Q232" s="70">
        <v>-6.9615859159206748</v>
      </c>
      <c r="R232" s="70">
        <v>-6.3814482243904678</v>
      </c>
      <c r="S232" s="144">
        <v>-9.2749638371231331</v>
      </c>
      <c r="T232" s="70">
        <v>-7.8750077872314623</v>
      </c>
      <c r="U232" s="70">
        <v>-8.6764701501927579</v>
      </c>
      <c r="V232" s="70">
        <v>-9.0978160971776987</v>
      </c>
      <c r="W232" s="70">
        <v>-11.305648850153156</v>
      </c>
      <c r="X232" s="70">
        <v>-8.483709498900339</v>
      </c>
      <c r="Y232" s="70">
        <v>-9.2260854775245651</v>
      </c>
      <c r="Z232" s="70">
        <v>-7.1737737128759891</v>
      </c>
      <c r="AA232" s="70">
        <v>-7.2623249897753217</v>
      </c>
      <c r="AB232" s="70">
        <v>-10.323548715666551</v>
      </c>
      <c r="AC232" s="70">
        <v>-8.004081522306846</v>
      </c>
      <c r="AD232" s="145">
        <v>-7.1611240999483652</v>
      </c>
      <c r="AE232" s="15"/>
      <c r="AF232" s="144">
        <v>-96.355124468728931</v>
      </c>
      <c r="AG232" s="145">
        <v>-103.86455473887618</v>
      </c>
    </row>
    <row r="233" spans="2:33" x14ac:dyDescent="0.2">
      <c r="B233" s="9">
        <f>G205</f>
        <v>5</v>
      </c>
      <c r="C233" s="9" t="str">
        <f t="shared" si="851"/>
        <v>5 - % of Revenue - General and Administrative Expense</v>
      </c>
      <c r="D233" s="9" t="s">
        <v>56</v>
      </c>
      <c r="F233" s="16" t="str">
        <f>"% of Revenue - "&amp;F232</f>
        <v>% of Revenue - General and Administrative Expense</v>
      </c>
      <c r="G233" s="148">
        <f>G232/G217</f>
        <v>-3.540359631604878E-2</v>
      </c>
      <c r="H233" s="149">
        <f t="shared" ref="H233" si="1010">H232/H217</f>
        <v>-3.2166423764946113E-2</v>
      </c>
      <c r="I233" s="149">
        <f t="shared" ref="I233" si="1011">I232/I217</f>
        <v>-3.0576130428160049E-2</v>
      </c>
      <c r="J233" s="149">
        <f t="shared" ref="J233" si="1012">J232/J217</f>
        <v>-3.1959754409819831E-2</v>
      </c>
      <c r="K233" s="149">
        <f t="shared" ref="K233" si="1013">K232/K217</f>
        <v>-3.1126219129298371E-2</v>
      </c>
      <c r="L233" s="149">
        <f t="shared" ref="L233" si="1014">L232/L217</f>
        <v>-2.9771638750396099E-2</v>
      </c>
      <c r="M233" s="149">
        <f t="shared" ref="M233" si="1015">M232/M217</f>
        <v>-3.2318440186316917E-2</v>
      </c>
      <c r="N233" s="149">
        <f t="shared" ref="N233" si="1016">N232/N217</f>
        <v>-3.0209314870333345E-2</v>
      </c>
      <c r="O233" s="149">
        <f t="shared" ref="O233" si="1017">O232/O217</f>
        <v>-2.5919479022827298E-2</v>
      </c>
      <c r="P233" s="149">
        <f t="shared" ref="P233" si="1018">P232/P217</f>
        <v>-2.6450991640434029E-2</v>
      </c>
      <c r="Q233" s="149">
        <f t="shared" ref="Q233" si="1019">Q232/Q217</f>
        <v>-3.0183226694167092E-2</v>
      </c>
      <c r="R233" s="149">
        <f t="shared" ref="R233" si="1020">R232/R217</f>
        <v>-3.4397485080464175E-2</v>
      </c>
      <c r="S233" s="148">
        <f t="shared" ref="S233" si="1021">S232/S217</f>
        <v>-3.8698437439326501E-2</v>
      </c>
      <c r="T233" s="149">
        <f t="shared" ref="T233" si="1022">T232/T217</f>
        <v>-3.4060585631847239E-2</v>
      </c>
      <c r="U233" s="149">
        <f t="shared" ref="U233" si="1023">U232/U217</f>
        <v>-3.5473960001344534E-2</v>
      </c>
      <c r="V233" s="149">
        <f t="shared" ref="V233" si="1024">V232/V217</f>
        <v>-3.5410793409092527E-2</v>
      </c>
      <c r="W233" s="149">
        <f t="shared" ref="W233" si="1025">W232/W217</f>
        <v>-3.3600411471339395E-2</v>
      </c>
      <c r="X233" s="149">
        <f t="shared" ref="X233" si="1026">X232/X217</f>
        <v>-3.0054067681879248E-2</v>
      </c>
      <c r="Y233" s="149">
        <f t="shared" ref="Y233" si="1027">Y232/Y217</f>
        <v>-3.0265476552761367E-2</v>
      </c>
      <c r="Z233" s="149">
        <f t="shared" ref="Z233" si="1028">Z232/Z217</f>
        <v>-2.9524745547159535E-2</v>
      </c>
      <c r="AA233" s="149">
        <f t="shared" ref="AA233" si="1029">AA232/AA217</f>
        <v>-3.3531539263566092E-2</v>
      </c>
      <c r="AB233" s="149">
        <f t="shared" ref="AB233" si="1030">AB232/AB217</f>
        <v>-3.6292047254212784E-2</v>
      </c>
      <c r="AC233" s="149">
        <f t="shared" ref="AC233" si="1031">AC232/AC217</f>
        <v>-3.5540237833705531E-2</v>
      </c>
      <c r="AD233" s="150">
        <f t="shared" ref="AD233" si="1032">AD232/AD217</f>
        <v>-3.9848732055611583E-2</v>
      </c>
      <c r="AE233" s="15"/>
      <c r="AF233" s="96">
        <f t="shared" ref="AF233" si="1033">AF232/AF217</f>
        <v>-3.0759239758044867E-2</v>
      </c>
      <c r="AG233" s="97">
        <f t="shared" ref="AG233" si="1034">AG232/AG217</f>
        <v>-3.411081639556178E-2</v>
      </c>
    </row>
    <row r="234" spans="2:33" ht="3" customHeight="1" x14ac:dyDescent="0.2">
      <c r="B234" s="9">
        <f>G205</f>
        <v>5</v>
      </c>
      <c r="C234" s="9" t="str">
        <f t="shared" si="851"/>
        <v xml:space="preserve">5 - </v>
      </c>
      <c r="D234" s="9" t="s">
        <v>56</v>
      </c>
      <c r="F234" s="16"/>
      <c r="G234" s="36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6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8"/>
      <c r="AE234" s="15"/>
      <c r="AF234" s="36"/>
      <c r="AG234" s="38"/>
    </row>
    <row r="235" spans="2:33" x14ac:dyDescent="0.2">
      <c r="B235" s="9">
        <f>G205</f>
        <v>5</v>
      </c>
      <c r="C235" s="9" t="str">
        <f t="shared" si="851"/>
        <v>5 - Marketing</v>
      </c>
      <c r="D235" s="9" t="s">
        <v>56</v>
      </c>
      <c r="F235" t="s">
        <v>7</v>
      </c>
      <c r="G235" s="144">
        <v>-7.4504398385739066</v>
      </c>
      <c r="H235" s="70">
        <v>-8.1073506798033179</v>
      </c>
      <c r="I235" s="70">
        <v>-9.7239495201555979</v>
      </c>
      <c r="J235" s="70">
        <v>-8.8571666310875603</v>
      </c>
      <c r="K235" s="70">
        <v>-10.743535776280844</v>
      </c>
      <c r="L235" s="70">
        <v>-11.929022005383775</v>
      </c>
      <c r="M235" s="70">
        <v>-10.014141184234656</v>
      </c>
      <c r="N235" s="70">
        <v>-10.095402836568564</v>
      </c>
      <c r="O235" s="70">
        <v>-10.114153391198546</v>
      </c>
      <c r="P235" s="70">
        <v>-10.693689453007222</v>
      </c>
      <c r="Q235" s="70">
        <v>-9.5466812395661744</v>
      </c>
      <c r="R235" s="70">
        <v>-8.0164677771214929</v>
      </c>
      <c r="S235" s="144">
        <v>-9.7738513223605459</v>
      </c>
      <c r="T235" s="70">
        <v>-9.0362598603045825</v>
      </c>
      <c r="U235" s="70">
        <v>-8.9921014089060716</v>
      </c>
      <c r="V235" s="70">
        <v>-9.156464323364057</v>
      </c>
      <c r="W235" s="70">
        <v>-13.486327194756837</v>
      </c>
      <c r="X235" s="70">
        <v>-12.212761687470927</v>
      </c>
      <c r="Y235" s="70">
        <v>-13.226455460422375</v>
      </c>
      <c r="Z235" s="70">
        <v>-10.924412863964491</v>
      </c>
      <c r="AA235" s="70">
        <v>-9.7681136337999792</v>
      </c>
      <c r="AB235" s="70">
        <v>-11.428167839445075</v>
      </c>
      <c r="AC235" s="70">
        <v>-8.6357384232456802</v>
      </c>
      <c r="AD235" s="145">
        <v>-7.4061775662089966</v>
      </c>
      <c r="AE235" s="15"/>
      <c r="AF235" s="144">
        <v>-115.29200033298166</v>
      </c>
      <c r="AG235" s="145">
        <v>-124.04683158424963</v>
      </c>
    </row>
    <row r="236" spans="2:33" x14ac:dyDescent="0.2">
      <c r="B236" s="9">
        <f>G205</f>
        <v>5</v>
      </c>
      <c r="C236" s="9" t="str">
        <f t="shared" si="851"/>
        <v>5 - % of Revenue - Marketing</v>
      </c>
      <c r="D236" s="9" t="s">
        <v>56</v>
      </c>
      <c r="F236" s="16" t="str">
        <f>"% of Revenue - "&amp;F235</f>
        <v>% of Revenue - Marketing</v>
      </c>
      <c r="G236" s="148">
        <f>G235/G217</f>
        <v>-3.2444148121239934E-2</v>
      </c>
      <c r="H236" s="149">
        <f t="shared" ref="H236" si="1035">H235/H217</f>
        <v>-3.5542446970762052E-2</v>
      </c>
      <c r="I236" s="149">
        <f t="shared" ref="I236" si="1036">I235/I217</f>
        <v>-3.2918718524682283E-2</v>
      </c>
      <c r="J236" s="149">
        <f t="shared" ref="J236" si="1037">J235/J217</f>
        <v>-3.2920519844738844E-2</v>
      </c>
      <c r="K236" s="149">
        <f t="shared" ref="K236" si="1038">K235/K217</f>
        <v>-3.2846211197080775E-2</v>
      </c>
      <c r="L236" s="149">
        <f t="shared" ref="L236" si="1039">L235/L217</f>
        <v>-3.7470936778921139E-2</v>
      </c>
      <c r="M236" s="149">
        <f t="shared" ref="M236" si="1040">M235/M217</f>
        <v>-3.5406200954177583E-2</v>
      </c>
      <c r="N236" s="149">
        <f t="shared" ref="N236" si="1041">N235/N217</f>
        <v>-3.8491054772040845E-2</v>
      </c>
      <c r="O236" s="149">
        <f t="shared" ref="O236" si="1042">O235/O217</f>
        <v>-4.1023259175305311E-2</v>
      </c>
      <c r="P236" s="149">
        <f t="shared" ref="P236" si="1043">P235/P217</f>
        <v>-4.1591886532520085E-2</v>
      </c>
      <c r="Q236" s="149">
        <f t="shared" ref="Q236" si="1044">Q235/Q217</f>
        <v>-4.1391379422869613E-2</v>
      </c>
      <c r="R236" s="149">
        <f t="shared" ref="R236" si="1045">R235/R217</f>
        <v>-4.321061944961508E-2</v>
      </c>
      <c r="S236" s="148">
        <f t="shared" ref="S236" si="1046">S235/S217</f>
        <v>-4.0779972901432544E-2</v>
      </c>
      <c r="T236" s="149">
        <f t="shared" ref="T236" si="1047">T235/T217</f>
        <v>-3.908317440175274E-2</v>
      </c>
      <c r="U236" s="149">
        <f t="shared" ref="U236" si="1048">U235/U217</f>
        <v>-3.6764426107140036E-2</v>
      </c>
      <c r="V236" s="149">
        <f t="shared" ref="V236" si="1049">V235/V217</f>
        <v>-3.5639065798764059E-2</v>
      </c>
      <c r="W236" s="149">
        <f t="shared" ref="W236" si="1050">W235/W217</f>
        <v>-4.0081391964938429E-2</v>
      </c>
      <c r="X236" s="149">
        <f t="shared" ref="X236" si="1051">X235/X217</f>
        <v>-4.326446660926913E-2</v>
      </c>
      <c r="Y236" s="149">
        <f t="shared" ref="Y236" si="1052">Y235/Y217</f>
        <v>-4.338838812936742E-2</v>
      </c>
      <c r="Z236" s="149">
        <f t="shared" ref="Z236" si="1053">Z235/Z217</f>
        <v>-4.4961065538176893E-2</v>
      </c>
      <c r="AA236" s="149">
        <f t="shared" ref="AA236" si="1054">AA235/AA217</f>
        <v>-4.5101243238754113E-2</v>
      </c>
      <c r="AB236" s="149">
        <f t="shared" ref="AB236" si="1055">AB235/AB217</f>
        <v>-4.0175294240517044E-2</v>
      </c>
      <c r="AC236" s="149">
        <f t="shared" ref="AC236" si="1056">AC235/AC217</f>
        <v>-3.8344961452037384E-2</v>
      </c>
      <c r="AD236" s="150">
        <f t="shared" ref="AD236" si="1057">AD235/AD217</f>
        <v>-4.1212354551190059E-2</v>
      </c>
      <c r="AE236" s="15"/>
      <c r="AF236" s="96">
        <f t="shared" ref="AF236" si="1058">AF235/AF217</f>
        <v>-3.6804418031525503E-2</v>
      </c>
      <c r="AG236" s="97">
        <f t="shared" ref="AG236" si="1059">AG235/AG217</f>
        <v>-4.0739005787483878E-2</v>
      </c>
    </row>
    <row r="237" spans="2:33" ht="3" customHeight="1" x14ac:dyDescent="0.2">
      <c r="B237" s="9">
        <f>G205</f>
        <v>5</v>
      </c>
      <c r="C237" s="9" t="str">
        <f t="shared" si="851"/>
        <v xml:space="preserve">5 - </v>
      </c>
      <c r="D237" s="9" t="s">
        <v>56</v>
      </c>
      <c r="F237" s="16"/>
      <c r="G237" s="36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6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8"/>
      <c r="AE237" s="15"/>
      <c r="AF237" s="36"/>
      <c r="AG237" s="38"/>
    </row>
    <row r="238" spans="2:33" x14ac:dyDescent="0.2">
      <c r="B238" s="9">
        <f>G205</f>
        <v>5</v>
      </c>
      <c r="C238" s="9" t="str">
        <f t="shared" si="851"/>
        <v>5 - Office Rent</v>
      </c>
      <c r="D238" s="9" t="s">
        <v>56</v>
      </c>
      <c r="F238" t="s">
        <v>162</v>
      </c>
      <c r="G238" s="144">
        <v>-21.639263503623191</v>
      </c>
      <c r="H238" s="70">
        <v>-21.639263503623191</v>
      </c>
      <c r="I238" s="70">
        <v>-21.639263503623191</v>
      </c>
      <c r="J238" s="70">
        <v>-21.639263503623191</v>
      </c>
      <c r="K238" s="70">
        <v>-21.639263503623191</v>
      </c>
      <c r="L238" s="70">
        <v>-21.639263503623191</v>
      </c>
      <c r="M238" s="70">
        <v>-21.639263503623191</v>
      </c>
      <c r="N238" s="70">
        <v>-22.288441408731885</v>
      </c>
      <c r="O238" s="70">
        <v>-22.288441408731885</v>
      </c>
      <c r="P238" s="70">
        <v>-22.288441408731885</v>
      </c>
      <c r="Q238" s="70">
        <v>-22.288441408731885</v>
      </c>
      <c r="R238" s="70">
        <v>-22.288441408731885</v>
      </c>
      <c r="S238" s="144">
        <v>-22.288675687606535</v>
      </c>
      <c r="T238" s="70">
        <v>-22.288675687606535</v>
      </c>
      <c r="U238" s="70">
        <v>-22.288675687606535</v>
      </c>
      <c r="V238" s="70">
        <v>-22.288675687606535</v>
      </c>
      <c r="W238" s="70">
        <v>-22.288675687606535</v>
      </c>
      <c r="X238" s="70">
        <v>-22.288675687606535</v>
      </c>
      <c r="Y238" s="70">
        <v>-22.288675687606535</v>
      </c>
      <c r="Z238" s="70">
        <v>-22.957335958234729</v>
      </c>
      <c r="AA238" s="70">
        <v>-22.957335958234729</v>
      </c>
      <c r="AB238" s="70">
        <v>-22.957335958234729</v>
      </c>
      <c r="AC238" s="70">
        <v>-22.957335958234729</v>
      </c>
      <c r="AD238" s="145">
        <v>-22.957335958234729</v>
      </c>
      <c r="AE238" s="15"/>
      <c r="AF238" s="144">
        <v>-262.91705156902185</v>
      </c>
      <c r="AG238" s="145">
        <v>-270.80740960441938</v>
      </c>
    </row>
    <row r="239" spans="2:33" x14ac:dyDescent="0.2">
      <c r="B239" s="9">
        <f>G205</f>
        <v>5</v>
      </c>
      <c r="C239" s="9" t="str">
        <f t="shared" si="851"/>
        <v>5 - % YoY Growth</v>
      </c>
      <c r="D239" s="9" t="s">
        <v>56</v>
      </c>
      <c r="F239" s="16" t="s">
        <v>8</v>
      </c>
      <c r="G239" s="82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148">
        <f>S238/G238-1</f>
        <v>3.0010826564157655E-2</v>
      </c>
      <c r="T239" s="149">
        <f t="shared" ref="T239" si="1060">T238/H238-1</f>
        <v>3.0010826564157655E-2</v>
      </c>
      <c r="U239" s="149">
        <f t="shared" ref="U239" si="1061">U238/I238-1</f>
        <v>3.0010826564157655E-2</v>
      </c>
      <c r="V239" s="149">
        <f t="shared" ref="V239" si="1062">V238/J238-1</f>
        <v>3.0010826564157655E-2</v>
      </c>
      <c r="W239" s="149">
        <f t="shared" ref="W239" si="1063">W238/K238-1</f>
        <v>3.0010826564157655E-2</v>
      </c>
      <c r="X239" s="149">
        <f t="shared" ref="X239" si="1064">X238/L238-1</f>
        <v>3.0010826564157655E-2</v>
      </c>
      <c r="Y239" s="149">
        <f t="shared" ref="Y239" si="1065">Y238/M238-1</f>
        <v>3.0010826564157655E-2</v>
      </c>
      <c r="Z239" s="149">
        <f t="shared" ref="Z239" si="1066">Z238/N238-1</f>
        <v>3.0010826564157878E-2</v>
      </c>
      <c r="AA239" s="149">
        <f t="shared" ref="AA239" si="1067">AA238/O238-1</f>
        <v>3.0010826564157878E-2</v>
      </c>
      <c r="AB239" s="149">
        <f t="shared" ref="AB239" si="1068">AB238/P238-1</f>
        <v>3.0010826564157878E-2</v>
      </c>
      <c r="AC239" s="149">
        <f t="shared" ref="AC239" si="1069">AC238/Q238-1</f>
        <v>3.0010826564157878E-2</v>
      </c>
      <c r="AD239" s="150">
        <f t="shared" ref="AD239" si="1070">AD238/R238-1</f>
        <v>3.0010826564157878E-2</v>
      </c>
      <c r="AE239" s="15"/>
      <c r="AF239" s="11"/>
      <c r="AG239" s="97">
        <f>AG238/AF238-1</f>
        <v>3.0010826564157433E-2</v>
      </c>
    </row>
    <row r="240" spans="2:33" ht="6" customHeight="1" x14ac:dyDescent="0.2">
      <c r="B240" s="9">
        <f>G205</f>
        <v>5</v>
      </c>
      <c r="C240" s="9" t="str">
        <f t="shared" si="851"/>
        <v xml:space="preserve">5 - </v>
      </c>
      <c r="D240" s="9" t="s">
        <v>56</v>
      </c>
      <c r="F240" s="16"/>
      <c r="G240" s="11"/>
      <c r="S240" s="11"/>
      <c r="AD240" s="15"/>
      <c r="AE240" s="15"/>
      <c r="AF240" s="11"/>
      <c r="AG240" s="15"/>
    </row>
    <row r="241" spans="2:34" x14ac:dyDescent="0.2">
      <c r="B241" s="9">
        <f>G205</f>
        <v>5</v>
      </c>
      <c r="C241" s="9" t="str">
        <f t="shared" si="851"/>
        <v>5 - Office EBITDA</v>
      </c>
      <c r="D241" s="9" t="s">
        <v>56</v>
      </c>
      <c r="F241" s="8" t="s">
        <v>12</v>
      </c>
      <c r="G241" s="134">
        <f>G229+G232+G235+G238</f>
        <v>67.927613684348586</v>
      </c>
      <c r="H241" s="135">
        <f t="shared" ref="H241:AD241" si="1071">H229+H232+H235+H238</f>
        <v>64.16641088736273</v>
      </c>
      <c r="I241" s="135">
        <f t="shared" si="1071"/>
        <v>87.021615070526707</v>
      </c>
      <c r="J241" s="135">
        <f t="shared" si="1071"/>
        <v>79.595406754063362</v>
      </c>
      <c r="K241" s="135">
        <f t="shared" si="1071"/>
        <v>101.60077345207441</v>
      </c>
      <c r="L241" s="135">
        <f t="shared" si="1071"/>
        <v>99.90762709139716</v>
      </c>
      <c r="M241" s="135">
        <f t="shared" si="1071"/>
        <v>87.238555467251587</v>
      </c>
      <c r="N241" s="135">
        <f t="shared" si="1071"/>
        <v>77.955365420350461</v>
      </c>
      <c r="O241" s="135">
        <f t="shared" si="1071"/>
        <v>74.899380977658922</v>
      </c>
      <c r="P241" s="135">
        <f t="shared" si="1071"/>
        <v>77.086513638337237</v>
      </c>
      <c r="Q241" s="135">
        <f t="shared" si="1071"/>
        <v>66.664255717237324</v>
      </c>
      <c r="R241" s="135">
        <f t="shared" si="1071"/>
        <v>49.189334438098427</v>
      </c>
      <c r="S241" s="134">
        <f t="shared" si="1071"/>
        <v>63.30257127909011</v>
      </c>
      <c r="T241" s="135">
        <f t="shared" si="1071"/>
        <v>59.126231860178855</v>
      </c>
      <c r="U241" s="135">
        <f t="shared" si="1071"/>
        <v>65.87726150289825</v>
      </c>
      <c r="V241" s="135">
        <f t="shared" si="1071"/>
        <v>73.793844145874914</v>
      </c>
      <c r="W241" s="135">
        <f t="shared" si="1071"/>
        <v>101.11328390981578</v>
      </c>
      <c r="X241" s="135">
        <f t="shared" si="1071"/>
        <v>76.800892053445494</v>
      </c>
      <c r="Y241" s="135">
        <f t="shared" si="1071"/>
        <v>88.823806289640487</v>
      </c>
      <c r="Z241" s="135">
        <f t="shared" si="1071"/>
        <v>69.912901357670137</v>
      </c>
      <c r="AA241" s="135">
        <f t="shared" si="1071"/>
        <v>56.11858862882827</v>
      </c>
      <c r="AB241" s="135">
        <f t="shared" si="1071"/>
        <v>78.364464630560377</v>
      </c>
      <c r="AC241" s="135">
        <f t="shared" si="1071"/>
        <v>59.342456069229961</v>
      </c>
      <c r="AD241" s="136">
        <f t="shared" si="1071"/>
        <v>41.706505873743161</v>
      </c>
      <c r="AE241" s="15"/>
      <c r="AF241" s="94">
        <f>SUM(G241:R241)</f>
        <v>933.2528525987068</v>
      </c>
      <c r="AG241" s="95">
        <f>SUM(S241:AD241)</f>
        <v>834.28280760097584</v>
      </c>
    </row>
    <row r="242" spans="2:34" x14ac:dyDescent="0.2">
      <c r="B242" s="9">
        <f>G205</f>
        <v>5</v>
      </c>
      <c r="C242" s="9" t="str">
        <f t="shared" si="851"/>
        <v>5 - % of Revenue - Office EBITDA</v>
      </c>
      <c r="D242" s="9" t="s">
        <v>56</v>
      </c>
      <c r="F242" s="16" t="str">
        <f>"% of Revenue - "&amp;F241</f>
        <v>% of Revenue - Office EBITDA</v>
      </c>
      <c r="G242" s="148">
        <f>G241/G217</f>
        <v>0.29580180602051692</v>
      </c>
      <c r="H242" s="149">
        <f t="shared" ref="H242" si="1072">H241/H217</f>
        <v>0.28130413329099341</v>
      </c>
      <c r="I242" s="149">
        <f t="shared" ref="I242" si="1073">I241/I217</f>
        <v>0.29459635162977277</v>
      </c>
      <c r="J242" s="149">
        <f t="shared" ref="J242" si="1074">J241/J217</f>
        <v>0.2958420312879963</v>
      </c>
      <c r="K242" s="149">
        <f t="shared" ref="K242" si="1075">K241/K217</f>
        <v>0.31062403775499436</v>
      </c>
      <c r="L242" s="149">
        <f t="shared" ref="L242" si="1076">L241/L217</f>
        <v>0.31382559079731809</v>
      </c>
      <c r="M242" s="149">
        <f t="shared" ref="M242" si="1077">M241/M217</f>
        <v>0.3084424084901437</v>
      </c>
      <c r="N242" s="149">
        <f t="shared" ref="N242" si="1078">N241/N217</f>
        <v>0.29722283387247872</v>
      </c>
      <c r="O242" s="149">
        <f t="shared" ref="O242" si="1079">O241/O217</f>
        <v>0.3037937629649024</v>
      </c>
      <c r="P242" s="149">
        <f t="shared" ref="P242" si="1080">P241/P217</f>
        <v>0.29981921043458593</v>
      </c>
      <c r="Q242" s="149">
        <f t="shared" ref="Q242" si="1081">Q241/Q217</f>
        <v>0.28903505135369595</v>
      </c>
      <c r="R242" s="149">
        <f t="shared" ref="R242" si="1082">R241/R217</f>
        <v>0.26514191417953031</v>
      </c>
      <c r="S242" s="148">
        <f t="shared" ref="S242" si="1083">S241/S217</f>
        <v>0.26412077043226673</v>
      </c>
      <c r="T242" s="149">
        <f t="shared" ref="T242" si="1084">T241/T217</f>
        <v>0.25572978945206526</v>
      </c>
      <c r="U242" s="149">
        <f t="shared" ref="U242" si="1085">U241/U217</f>
        <v>0.26934079171585801</v>
      </c>
      <c r="V242" s="149">
        <f t="shared" ref="V242" si="1086">V241/V217</f>
        <v>0.28722261936279164</v>
      </c>
      <c r="W242" s="149">
        <f t="shared" ref="W242" si="1087">W241/W217</f>
        <v>0.30050888627609784</v>
      </c>
      <c r="X242" s="149">
        <f t="shared" ref="X242" si="1088">X241/X217</f>
        <v>0.2720719289247398</v>
      </c>
      <c r="Y242" s="149">
        <f t="shared" ref="Y242" si="1089">Y241/Y217</f>
        <v>0.29137978757459154</v>
      </c>
      <c r="Z242" s="149">
        <f t="shared" ref="Z242" si="1090">Z241/Z217</f>
        <v>0.2877370691723905</v>
      </c>
      <c r="AA242" s="149">
        <f t="shared" ref="AA242" si="1091">AA241/AA217</f>
        <v>0.259110224435396</v>
      </c>
      <c r="AB242" s="149">
        <f t="shared" ref="AB242" si="1092">AB241/AB217</f>
        <v>0.27548732821955374</v>
      </c>
      <c r="AC242" s="149">
        <f t="shared" ref="AC242" si="1093">AC241/AC217</f>
        <v>0.26349619209385688</v>
      </c>
      <c r="AD242" s="150">
        <f t="shared" ref="AD242" si="1094">AD241/AD217</f>
        <v>0.23207967832181059</v>
      </c>
      <c r="AE242" s="15"/>
      <c r="AF242" s="96">
        <f t="shared" ref="AF242" si="1095">AF241/AF217</f>
        <v>0.29792030684656751</v>
      </c>
      <c r="AG242" s="97">
        <f t="shared" ref="AG242" si="1096">AG241/AG217</f>
        <v>0.27399210196006274</v>
      </c>
    </row>
    <row r="243" spans="2:34" ht="6" customHeight="1" x14ac:dyDescent="0.2">
      <c r="B243" s="9">
        <f>G205</f>
        <v>5</v>
      </c>
      <c r="C243" s="9" t="str">
        <f t="shared" si="851"/>
        <v xml:space="preserve">5 - </v>
      </c>
      <c r="D243" s="9" t="s">
        <v>56</v>
      </c>
      <c r="G243" s="11"/>
      <c r="S243" s="11"/>
      <c r="AD243" s="15"/>
      <c r="AE243" s="15"/>
      <c r="AF243" s="11"/>
      <c r="AG243" s="15"/>
    </row>
    <row r="244" spans="2:34" x14ac:dyDescent="0.2">
      <c r="B244" s="9">
        <f>G205</f>
        <v>5</v>
      </c>
      <c r="C244" s="9" t="str">
        <f t="shared" si="851"/>
        <v>5 - Memo:</v>
      </c>
      <c r="D244" s="9" t="s">
        <v>56</v>
      </c>
      <c r="F244" s="6" t="s">
        <v>13</v>
      </c>
      <c r="G244" s="11"/>
      <c r="S244" s="11"/>
      <c r="AD244" s="15"/>
      <c r="AE244" s="15"/>
      <c r="AF244" s="11"/>
      <c r="AG244" s="15"/>
    </row>
    <row r="245" spans="2:34" s="24" customFormat="1" x14ac:dyDescent="0.2">
      <c r="B245" s="9">
        <f>G205</f>
        <v>5</v>
      </c>
      <c r="C245" s="9" t="str">
        <f t="shared" si="851"/>
        <v>5 - Collections</v>
      </c>
      <c r="D245" s="9" t="s">
        <v>56</v>
      </c>
      <c r="E245" s="49"/>
      <c r="F245" s="24" t="s">
        <v>15</v>
      </c>
      <c r="G245" s="169">
        <f>G246*G215</f>
        <v>228.98969231055199</v>
      </c>
      <c r="H245" s="170">
        <f t="shared" ref="H245" si="1097">H246*H215</f>
        <v>229.25213640287458</v>
      </c>
      <c r="I245" s="170">
        <f t="shared" ref="I245" si="1098">I246*I215</f>
        <v>296.53853816775904</v>
      </c>
      <c r="J245" s="170">
        <f t="shared" ref="J245" si="1099">J246*J215</f>
        <v>269.45368325999908</v>
      </c>
      <c r="K245" s="170">
        <f t="shared" ref="K245" si="1100">K246*K215</f>
        <v>330.44352960871242</v>
      </c>
      <c r="L245" s="170">
        <f t="shared" ref="L245" si="1101">L246*L215</f>
        <v>316.04426132466506</v>
      </c>
      <c r="M245" s="170">
        <f t="shared" ref="M245" si="1102">M246*M215</f>
        <v>276.40821043090557</v>
      </c>
      <c r="N245" s="170">
        <f t="shared" ref="N245" si="1103">N246*N215</f>
        <v>257.30380508353812</v>
      </c>
      <c r="O245" s="170">
        <f t="shared" ref="O245" si="1104">O246*O215</f>
        <v>245.35682093779525</v>
      </c>
      <c r="P245" s="170">
        <f t="shared" ref="P245" si="1105">P246*P215</f>
        <v>251.0110979558861</v>
      </c>
      <c r="Q245" s="170">
        <f t="shared" ref="Q245" si="1106">Q246*Q215</f>
        <v>228.75370482768039</v>
      </c>
      <c r="R245" s="170">
        <f t="shared" ref="R245" si="1107">R246*R215</f>
        <v>186.69766910855503</v>
      </c>
      <c r="S245" s="169">
        <f t="shared" ref="S245" si="1108">S246*S215</f>
        <v>236.69426214198489</v>
      </c>
      <c r="T245" s="170">
        <f t="shared" ref="T245" si="1109">T246*T215</f>
        <v>233.12457457250656</v>
      </c>
      <c r="U245" s="170">
        <f t="shared" ref="U245" si="1110">U246*U215</f>
        <v>248.15622386029594</v>
      </c>
      <c r="V245" s="170">
        <f t="shared" ref="V245" si="1111">V246*V215</f>
        <v>262.85379586935443</v>
      </c>
      <c r="W245" s="170">
        <f t="shared" ref="W245" si="1112">W246*W215</f>
        <v>340.74158893491898</v>
      </c>
      <c r="X245" s="170">
        <f t="shared" ref="X245" si="1113">X246*X215</f>
        <v>285.91580481188464</v>
      </c>
      <c r="Y245" s="170">
        <f t="shared" ref="Y245" si="1114">Y246*Y215</f>
        <v>306.4997814920082</v>
      </c>
      <c r="Z245" s="170">
        <f t="shared" ref="Z245" si="1115">Z246*Z215</f>
        <v>243.35927747964342</v>
      </c>
      <c r="AA245" s="170">
        <f t="shared" ref="AA245" si="1116">AA246*AA215</f>
        <v>214.90857990863984</v>
      </c>
      <c r="AB245" s="170">
        <f t="shared" ref="AB245" si="1117">AB246*AB215</f>
        <v>289.50937875751964</v>
      </c>
      <c r="AC245" s="170">
        <f t="shared" ref="AC245" si="1118">AC246*AC215</f>
        <v>230.32168871277764</v>
      </c>
      <c r="AD245" s="171">
        <f t="shared" ref="AD245" si="1119">AD246*AD215</f>
        <v>181.77690964729362</v>
      </c>
      <c r="AE245" s="26"/>
      <c r="AF245" s="68">
        <f>SUM(G245:R245)</f>
        <v>3116.2531494189229</v>
      </c>
      <c r="AG245" s="99">
        <f>SUM(S245:AD245)</f>
        <v>3073.8618661888277</v>
      </c>
    </row>
    <row r="246" spans="2:34" x14ac:dyDescent="0.2">
      <c r="B246" s="9">
        <f>G205</f>
        <v>5</v>
      </c>
      <c r="C246" s="9" t="str">
        <f t="shared" si="851"/>
        <v>5 - Collections as a % of Production</v>
      </c>
      <c r="D246" s="9" t="s">
        <v>56</v>
      </c>
      <c r="F246" s="16" t="s">
        <v>17</v>
      </c>
      <c r="G246" s="140">
        <v>0.9834540965670463</v>
      </c>
      <c r="H246" s="141">
        <v>0.99120949579548867</v>
      </c>
      <c r="I246" s="141">
        <v>0.99006809145211805</v>
      </c>
      <c r="J246" s="141">
        <v>0.98773328877269817</v>
      </c>
      <c r="K246" s="141">
        <v>0.9963662217886049</v>
      </c>
      <c r="L246" s="141">
        <v>0.97908707333252731</v>
      </c>
      <c r="M246" s="141">
        <v>0.96382959178953509</v>
      </c>
      <c r="N246" s="141">
        <v>0.96753361937618543</v>
      </c>
      <c r="O246" s="141">
        <v>0.98148226785336845</v>
      </c>
      <c r="P246" s="141">
        <v>0.96284786542454781</v>
      </c>
      <c r="Q246" s="141">
        <v>0.97815867657978717</v>
      </c>
      <c r="R246" s="141">
        <v>0.99249889924202228</v>
      </c>
      <c r="S246" s="140">
        <v>0.96321096081496838</v>
      </c>
      <c r="T246" s="141">
        <v>0.98342593419700208</v>
      </c>
      <c r="U246" s="141">
        <v>0.98956482245271626</v>
      </c>
      <c r="V246" s="141">
        <v>0.99784994634369073</v>
      </c>
      <c r="W246" s="141">
        <v>0.98770381039880462</v>
      </c>
      <c r="X246" s="141">
        <v>0.98788892240121817</v>
      </c>
      <c r="Y246" s="141">
        <v>0.98064697576197812</v>
      </c>
      <c r="Z246" s="141">
        <v>0.97687473793791202</v>
      </c>
      <c r="AA246" s="141">
        <v>0.96779649797428335</v>
      </c>
      <c r="AB246" s="141">
        <v>0.99265326415256017</v>
      </c>
      <c r="AC246" s="141">
        <v>0.9974615050553125</v>
      </c>
      <c r="AD246" s="142">
        <v>0.98656227475680092</v>
      </c>
      <c r="AE246" s="15"/>
      <c r="AF246" s="96">
        <f t="shared" ref="AF246" si="1120">AF245/AF215</f>
        <v>0.98110888300139232</v>
      </c>
      <c r="AG246" s="97">
        <f t="shared" ref="AG246" si="1121">AG245/AG215</f>
        <v>0.98460396137512984</v>
      </c>
    </row>
    <row r="247" spans="2:34" ht="6" customHeight="1" x14ac:dyDescent="0.2">
      <c r="B247" s="9">
        <f>G205</f>
        <v>5</v>
      </c>
      <c r="C247" s="9" t="str">
        <f t="shared" si="851"/>
        <v xml:space="preserve">5 - </v>
      </c>
      <c r="D247" s="9" t="s">
        <v>56</v>
      </c>
      <c r="F247" s="27"/>
      <c r="R247" s="15"/>
      <c r="AD247" s="15"/>
      <c r="AE247" s="15"/>
      <c r="AF247" s="11"/>
      <c r="AG247" s="15"/>
    </row>
    <row r="248" spans="2:34" s="24" customFormat="1" x14ac:dyDescent="0.2">
      <c r="B248" s="9">
        <f>G205</f>
        <v>5</v>
      </c>
      <c r="C248" s="9" t="str">
        <f t="shared" si="851"/>
        <v>5 - Production per Vet Workday - YoY Change</v>
      </c>
      <c r="D248" s="9" t="s">
        <v>56</v>
      </c>
      <c r="E248" s="49"/>
      <c r="F248" s="24" t="s">
        <v>55</v>
      </c>
      <c r="G248" s="88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151">
        <f>S214/G214-1</f>
        <v>9.4837190680805428E-3</v>
      </c>
      <c r="T248" s="152">
        <f t="shared" ref="T248" si="1122">T214/H214-1</f>
        <v>-2.1648137995251671E-2</v>
      </c>
      <c r="U248" s="152">
        <f t="shared" ref="U248" si="1123">U214/I214-1</f>
        <v>-8.6615986340111584E-2</v>
      </c>
      <c r="V248" s="152">
        <f t="shared" ref="V248" si="1124">V214/J214-1</f>
        <v>-7.8275365486105808E-2</v>
      </c>
      <c r="W248" s="152">
        <f t="shared" ref="W248" si="1125">W214/K214-1</f>
        <v>-3.134071012551698E-3</v>
      </c>
      <c r="X248" s="152">
        <f t="shared" ref="X248" si="1126">X214/L214-1</f>
        <v>-1.7998849837556952E-2</v>
      </c>
      <c r="Y248" s="152">
        <f t="shared" ref="Y248" si="1127">Y214/M214-1</f>
        <v>4.246537148977958E-2</v>
      </c>
      <c r="Z248" s="152">
        <f t="shared" ref="Z248" si="1128">Z214/N214-1</f>
        <v>-2.2510074529283108E-2</v>
      </c>
      <c r="AA248" s="152">
        <f t="shared" ref="AA248" si="1129">AA214/O214-1</f>
        <v>-6.9412068359392842E-2</v>
      </c>
      <c r="AB248" s="152">
        <f t="shared" ref="AB248" si="1130">AB214/P214-1</f>
        <v>2.5513188813511833E-2</v>
      </c>
      <c r="AC248" s="152">
        <f t="shared" ref="AC248" si="1131">AC214/Q214-1</f>
        <v>3.2250311088791728E-2</v>
      </c>
      <c r="AD248" s="153">
        <f t="shared" ref="AD248" si="1132">AD214/R214-1</f>
        <v>-2.0497950005737953E-2</v>
      </c>
      <c r="AF248" s="43"/>
      <c r="AG248" s="104">
        <f>AG214/AF214-1</f>
        <v>-1.7104728286546522E-2</v>
      </c>
    </row>
    <row r="249" spans="2:34" s="24" customFormat="1" ht="6" customHeight="1" x14ac:dyDescent="0.2">
      <c r="D249" s="9" t="s">
        <v>56</v>
      </c>
      <c r="E249" s="49"/>
      <c r="G249" s="28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29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29"/>
      <c r="AE249" s="25"/>
      <c r="AF249" s="28"/>
      <c r="AG249" s="29"/>
    </row>
    <row r="250" spans="2:34" s="24" customFormat="1" ht="6" customHeight="1" x14ac:dyDescent="0.2">
      <c r="D250" s="9" t="s">
        <v>56</v>
      </c>
      <c r="E250" s="49"/>
    </row>
    <row r="251" spans="2:34" x14ac:dyDescent="0.2">
      <c r="D251" s="9" t="s">
        <v>56</v>
      </c>
      <c r="F251" s="16"/>
    </row>
    <row r="252" spans="2:34" ht="15.75" thickBot="1" x14ac:dyDescent="0.4">
      <c r="B252" s="35" t="s">
        <v>52</v>
      </c>
      <c r="C252" s="35"/>
      <c r="D252" s="9" t="s">
        <v>56</v>
      </c>
      <c r="E252" s="48" t="s">
        <v>0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74">
        <f ca="1">AG$2</f>
        <v>45999</v>
      </c>
      <c r="AH252" s="1"/>
    </row>
    <row r="253" spans="2:34" x14ac:dyDescent="0.2">
      <c r="B253" s="9">
        <f>G255</f>
        <v>6</v>
      </c>
      <c r="C253" s="9"/>
      <c r="D253" s="9" t="s">
        <v>56</v>
      </c>
      <c r="F253" t="s">
        <v>159</v>
      </c>
      <c r="AG253" s="6" t="s">
        <v>16</v>
      </c>
    </row>
    <row r="254" spans="2:34" x14ac:dyDescent="0.2">
      <c r="B254" s="9"/>
      <c r="C254" s="9"/>
      <c r="D254" s="9" t="s">
        <v>56</v>
      </c>
      <c r="AG254" s="6"/>
    </row>
    <row r="255" spans="2:34" x14ac:dyDescent="0.2">
      <c r="B255" s="9">
        <f>G255</f>
        <v>6</v>
      </c>
      <c r="C255" s="9"/>
      <c r="D255" s="9" t="s">
        <v>56</v>
      </c>
      <c r="F255" s="40" t="s">
        <v>53</v>
      </c>
      <c r="G255" s="42">
        <v>6</v>
      </c>
    </row>
    <row r="256" spans="2:34" x14ac:dyDescent="0.2">
      <c r="B256" s="9">
        <f>G255</f>
        <v>6</v>
      </c>
      <c r="C256" s="9"/>
      <c r="D256" s="9" t="s">
        <v>56</v>
      </c>
      <c r="F256" s="39" t="s">
        <v>23</v>
      </c>
      <c r="G256" s="41"/>
      <c r="H256" s="11"/>
    </row>
    <row r="257" spans="2:33" x14ac:dyDescent="0.2">
      <c r="B257" s="9">
        <f>G255</f>
        <v>6</v>
      </c>
      <c r="C257" s="9"/>
      <c r="D257" s="9" t="s">
        <v>56</v>
      </c>
      <c r="G257" s="23"/>
    </row>
    <row r="258" spans="2:33" x14ac:dyDescent="0.2">
      <c r="B258" s="9">
        <f>G255</f>
        <v>6</v>
      </c>
      <c r="C258" s="9"/>
      <c r="D258" s="9" t="s">
        <v>56</v>
      </c>
      <c r="G258" s="20">
        <v>2023</v>
      </c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2"/>
      <c r="S258" s="20">
        <v>2024</v>
      </c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2"/>
      <c r="AF258" s="17" t="s">
        <v>14</v>
      </c>
      <c r="AG258" s="18"/>
    </row>
    <row r="259" spans="2:33" ht="15" customHeight="1" x14ac:dyDescent="0.35">
      <c r="B259" s="9">
        <f>G255</f>
        <v>6</v>
      </c>
      <c r="C259" s="9"/>
      <c r="D259" s="9" t="s">
        <v>56</v>
      </c>
      <c r="G259" s="165">
        <v>44957</v>
      </c>
      <c r="H259" s="166">
        <v>44985</v>
      </c>
      <c r="I259" s="166">
        <v>45016</v>
      </c>
      <c r="J259" s="166">
        <v>45046</v>
      </c>
      <c r="K259" s="166">
        <v>45077</v>
      </c>
      <c r="L259" s="166">
        <v>45107</v>
      </c>
      <c r="M259" s="166">
        <v>45138</v>
      </c>
      <c r="N259" s="166">
        <v>45169</v>
      </c>
      <c r="O259" s="166">
        <v>45199</v>
      </c>
      <c r="P259" s="166">
        <v>45230</v>
      </c>
      <c r="Q259" s="166">
        <v>45260</v>
      </c>
      <c r="R259" s="167">
        <v>45291</v>
      </c>
      <c r="S259" s="165">
        <v>45322</v>
      </c>
      <c r="T259" s="166">
        <v>45351</v>
      </c>
      <c r="U259" s="166">
        <v>45382</v>
      </c>
      <c r="V259" s="166">
        <v>45412</v>
      </c>
      <c r="W259" s="166">
        <v>45443</v>
      </c>
      <c r="X259" s="166">
        <v>45473</v>
      </c>
      <c r="Y259" s="166">
        <v>45504</v>
      </c>
      <c r="Z259" s="166">
        <v>45535</v>
      </c>
      <c r="AA259" s="166">
        <v>45565</v>
      </c>
      <c r="AB259" s="166">
        <v>45596</v>
      </c>
      <c r="AC259" s="166">
        <v>45626</v>
      </c>
      <c r="AD259" s="167">
        <v>45657</v>
      </c>
      <c r="AE259" s="168"/>
      <c r="AF259" s="13">
        <v>45291</v>
      </c>
      <c r="AG259" s="14">
        <v>45657</v>
      </c>
    </row>
    <row r="260" spans="2:33" ht="0.95" customHeight="1" x14ac:dyDescent="0.2">
      <c r="B260" s="9">
        <f>G255</f>
        <v>6</v>
      </c>
      <c r="C260" s="9"/>
      <c r="D260" s="9" t="s">
        <v>56</v>
      </c>
      <c r="G260" s="11"/>
      <c r="S260" s="11"/>
      <c r="AD260" s="15"/>
      <c r="AE260" s="15"/>
      <c r="AF260" s="11"/>
      <c r="AG260" s="15"/>
    </row>
    <row r="261" spans="2:33" x14ac:dyDescent="0.2">
      <c r="B261" s="9">
        <f>G255</f>
        <v>6</v>
      </c>
      <c r="C261" s="9" t="str">
        <f>B261&amp;" - "&amp;F261</f>
        <v>6 - Employed Vets</v>
      </c>
      <c r="D261" s="9" t="s">
        <v>56</v>
      </c>
      <c r="F261" s="7" t="s">
        <v>160</v>
      </c>
      <c r="G261" s="121">
        <v>4</v>
      </c>
      <c r="H261" s="154">
        <f>MAX(MIN(IF(H264/G264&gt;1.1,G261-1,IF(H264/G264&lt;0.9,G261+1,G261)),5),1)</f>
        <v>4</v>
      </c>
      <c r="I261" s="154">
        <f t="shared" ref="I261:AC261" si="1133">MAX(MIN(IF(I264/H264&gt;1.1,H261-1,IF(I264/H264&lt;0.9,H261+1,H261)),5),1)</f>
        <v>3</v>
      </c>
      <c r="J261" s="154">
        <f t="shared" si="1133"/>
        <v>3</v>
      </c>
      <c r="K261" s="154">
        <f t="shared" si="1133"/>
        <v>3</v>
      </c>
      <c r="L261" s="154">
        <f t="shared" si="1133"/>
        <v>3</v>
      </c>
      <c r="M261" s="154">
        <f t="shared" si="1133"/>
        <v>4</v>
      </c>
      <c r="N261" s="154">
        <f t="shared" si="1133"/>
        <v>5</v>
      </c>
      <c r="O261" s="154">
        <f t="shared" si="1133"/>
        <v>5</v>
      </c>
      <c r="P261" s="154">
        <f t="shared" si="1133"/>
        <v>5</v>
      </c>
      <c r="Q261" s="154">
        <f t="shared" si="1133"/>
        <v>5</v>
      </c>
      <c r="R261" s="154">
        <f t="shared" si="1133"/>
        <v>5</v>
      </c>
      <c r="S261" s="155">
        <f t="shared" si="1133"/>
        <v>4</v>
      </c>
      <c r="T261" s="154">
        <f t="shared" si="1133"/>
        <v>4</v>
      </c>
      <c r="U261" s="154">
        <f t="shared" si="1133"/>
        <v>4</v>
      </c>
      <c r="V261" s="154">
        <f t="shared" si="1133"/>
        <v>4</v>
      </c>
      <c r="W261" s="154">
        <f t="shared" si="1133"/>
        <v>4</v>
      </c>
      <c r="X261" s="154">
        <f t="shared" si="1133"/>
        <v>4</v>
      </c>
      <c r="Y261" s="154">
        <f t="shared" si="1133"/>
        <v>5</v>
      </c>
      <c r="Z261" s="154">
        <f t="shared" si="1133"/>
        <v>5</v>
      </c>
      <c r="AA261" s="154">
        <f t="shared" si="1133"/>
        <v>5</v>
      </c>
      <c r="AB261" s="154">
        <f t="shared" si="1133"/>
        <v>5</v>
      </c>
      <c r="AC261" s="154">
        <f t="shared" si="1133"/>
        <v>5</v>
      </c>
      <c r="AD261" s="156">
        <f>MROUND(AVERAGE(S261:AC261),1)</f>
        <v>4</v>
      </c>
      <c r="AE261" s="15"/>
      <c r="AF261" s="90">
        <f>AVERAGE(G261:R261)</f>
        <v>4.083333333333333</v>
      </c>
      <c r="AG261" s="91">
        <f>AVERAGE(S261:AD261)</f>
        <v>4.416666666666667</v>
      </c>
    </row>
    <row r="262" spans="2:33" x14ac:dyDescent="0.2">
      <c r="B262" s="9">
        <f>G255</f>
        <v>6</v>
      </c>
      <c r="C262" s="9" t="str">
        <f t="shared" ref="C262:C298" si="1134">B262&amp;" - "&amp;F262</f>
        <v>6 - Workdays in Month / Year</v>
      </c>
      <c r="D262" s="9" t="s">
        <v>56</v>
      </c>
      <c r="F262" s="7" t="s">
        <v>54</v>
      </c>
      <c r="G262" s="121">
        <v>22</v>
      </c>
      <c r="H262" s="124">
        <v>21</v>
      </c>
      <c r="I262" s="124">
        <v>24</v>
      </c>
      <c r="J262" s="122">
        <v>21</v>
      </c>
      <c r="K262" s="122">
        <v>23</v>
      </c>
      <c r="L262" s="122">
        <v>23</v>
      </c>
      <c r="M262" s="122">
        <v>22</v>
      </c>
      <c r="N262" s="122">
        <v>24</v>
      </c>
      <c r="O262" s="122">
        <v>22</v>
      </c>
      <c r="P262" s="122">
        <v>22</v>
      </c>
      <c r="Q262" s="122">
        <v>23</v>
      </c>
      <c r="R262" s="122">
        <v>22</v>
      </c>
      <c r="S262" s="121">
        <v>23</v>
      </c>
      <c r="T262" s="122">
        <v>22</v>
      </c>
      <c r="U262" s="122">
        <v>22</v>
      </c>
      <c r="V262" s="122">
        <v>22</v>
      </c>
      <c r="W262" s="122">
        <v>24</v>
      </c>
      <c r="X262" s="122">
        <v>21</v>
      </c>
      <c r="Y262" s="122">
        <v>23</v>
      </c>
      <c r="Z262" s="122">
        <v>23</v>
      </c>
      <c r="AA262" s="122">
        <v>21</v>
      </c>
      <c r="AB262" s="122">
        <v>24</v>
      </c>
      <c r="AC262" s="122">
        <v>22</v>
      </c>
      <c r="AD262" s="123">
        <v>22</v>
      </c>
      <c r="AE262" s="15"/>
      <c r="AF262" s="144">
        <v>269</v>
      </c>
      <c r="AG262" s="145">
        <v>269</v>
      </c>
    </row>
    <row r="263" spans="2:33" ht="12.75" customHeight="1" x14ac:dyDescent="0.2">
      <c r="B263" s="9">
        <f>G255</f>
        <v>6</v>
      </c>
      <c r="C263" s="9" t="str">
        <f t="shared" si="1134"/>
        <v>6 - Total Vet Days</v>
      </c>
      <c r="D263" s="9" t="s">
        <v>56</v>
      </c>
      <c r="F263" s="8" t="s">
        <v>51</v>
      </c>
      <c r="G263" s="125">
        <f>G261*G262</f>
        <v>88</v>
      </c>
      <c r="H263" s="126">
        <f t="shared" ref="H263" si="1135">H261*H262</f>
        <v>84</v>
      </c>
      <c r="I263" s="126">
        <f t="shared" ref="I263" si="1136">I261*I262</f>
        <v>72</v>
      </c>
      <c r="J263" s="127">
        <f t="shared" ref="J263" si="1137">J261*J262</f>
        <v>63</v>
      </c>
      <c r="K263" s="127">
        <f t="shared" ref="K263" si="1138">K261*K262</f>
        <v>69</v>
      </c>
      <c r="L263" s="127">
        <f t="shared" ref="L263" si="1139">L261*L262</f>
        <v>69</v>
      </c>
      <c r="M263" s="127">
        <f t="shared" ref="M263" si="1140">M261*M262</f>
        <v>88</v>
      </c>
      <c r="N263" s="127">
        <f t="shared" ref="N263" si="1141">N261*N262</f>
        <v>120</v>
      </c>
      <c r="O263" s="127">
        <f t="shared" ref="O263" si="1142">O261*O262</f>
        <v>110</v>
      </c>
      <c r="P263" s="127">
        <f t="shared" ref="P263" si="1143">P261*P262</f>
        <v>110</v>
      </c>
      <c r="Q263" s="127">
        <f t="shared" ref="Q263" si="1144">Q261*Q262</f>
        <v>115</v>
      </c>
      <c r="R263" s="127">
        <f t="shared" ref="R263" si="1145">R261*R262</f>
        <v>110</v>
      </c>
      <c r="S263" s="125">
        <f t="shared" ref="S263" si="1146">S261*S262</f>
        <v>92</v>
      </c>
      <c r="T263" s="127">
        <f t="shared" ref="T263" si="1147">T261*T262</f>
        <v>88</v>
      </c>
      <c r="U263" s="127">
        <f t="shared" ref="U263" si="1148">U261*U262</f>
        <v>88</v>
      </c>
      <c r="V263" s="127">
        <f t="shared" ref="V263" si="1149">V261*V262</f>
        <v>88</v>
      </c>
      <c r="W263" s="127">
        <f t="shared" ref="W263" si="1150">W261*W262</f>
        <v>96</v>
      </c>
      <c r="X263" s="127">
        <f t="shared" ref="X263" si="1151">X261*X262</f>
        <v>84</v>
      </c>
      <c r="Y263" s="127">
        <f t="shared" ref="Y263" si="1152">Y261*Y262</f>
        <v>115</v>
      </c>
      <c r="Z263" s="127">
        <f t="shared" ref="Z263" si="1153">Z261*Z262</f>
        <v>115</v>
      </c>
      <c r="AA263" s="127">
        <f t="shared" ref="AA263" si="1154">AA261*AA262</f>
        <v>105</v>
      </c>
      <c r="AB263" s="127">
        <f t="shared" ref="AB263" si="1155">AB261*AB262</f>
        <v>120</v>
      </c>
      <c r="AC263" s="127">
        <f t="shared" ref="AC263" si="1156">AC261*AC262</f>
        <v>110</v>
      </c>
      <c r="AD263" s="128">
        <f t="shared" ref="AD263" si="1157">AD261*AD262</f>
        <v>88</v>
      </c>
      <c r="AF263" s="119">
        <f>SUM(G263:R263)</f>
        <v>1098</v>
      </c>
      <c r="AG263" s="120">
        <f>SUM(S263:AD263)</f>
        <v>1189</v>
      </c>
    </row>
    <row r="264" spans="2:33" x14ac:dyDescent="0.2">
      <c r="B264" s="9">
        <f>G255</f>
        <v>6</v>
      </c>
      <c r="C264" s="9" t="str">
        <f t="shared" si="1134"/>
        <v>6 - Production per Vet Workday</v>
      </c>
      <c r="D264" s="9" t="s">
        <v>56</v>
      </c>
      <c r="F264" s="7" t="s">
        <v>50</v>
      </c>
      <c r="G264" s="129">
        <v>4.9576881507054802</v>
      </c>
      <c r="H264" s="130">
        <v>5.2332924915067967</v>
      </c>
      <c r="I264" s="130">
        <v>5.8228569562088008</v>
      </c>
      <c r="J264" s="130">
        <v>6.2142106357394313</v>
      </c>
      <c r="K264" s="130">
        <v>6.4503760912464951</v>
      </c>
      <c r="L264" s="130">
        <v>6.0672365725885395</v>
      </c>
      <c r="M264" s="130">
        <v>5.298011354400364</v>
      </c>
      <c r="N264" s="130">
        <v>4.4772333911455489</v>
      </c>
      <c r="O264" s="130">
        <v>4.4820587996406154</v>
      </c>
      <c r="P264" s="130">
        <v>4.6842486985892702</v>
      </c>
      <c r="Q264" s="130">
        <v>3.8631533883781706</v>
      </c>
      <c r="R264" s="130">
        <v>3.0884799959656672</v>
      </c>
      <c r="S264" s="129">
        <v>4.8958423005905924</v>
      </c>
      <c r="T264" s="130">
        <v>5.3439486186007885</v>
      </c>
      <c r="U264" s="130">
        <v>5.8484590570316248</v>
      </c>
      <c r="V264" s="130">
        <v>6.3360424700881133</v>
      </c>
      <c r="W264" s="130">
        <v>6.3594586600823773</v>
      </c>
      <c r="X264" s="130">
        <v>6.3640699308776689</v>
      </c>
      <c r="Y264" s="130">
        <v>5.6113381292133546</v>
      </c>
      <c r="Z264" s="130">
        <v>4.7834403906371294</v>
      </c>
      <c r="AA264" s="130">
        <v>4.8514407646967399</v>
      </c>
      <c r="AB264" s="130">
        <v>5.0595605749053894</v>
      </c>
      <c r="AC264" s="130">
        <v>4.0736177186656413</v>
      </c>
      <c r="AD264" s="131">
        <v>3.6721457721567958</v>
      </c>
      <c r="AE264" s="15"/>
      <c r="AF264" s="132">
        <v>5.0542307330639771</v>
      </c>
      <c r="AG264" s="133">
        <v>5.3255087951860842</v>
      </c>
    </row>
    <row r="265" spans="2:33" x14ac:dyDescent="0.2">
      <c r="B265" s="9">
        <f>G255</f>
        <v>6</v>
      </c>
      <c r="C265" s="9" t="str">
        <f t="shared" si="1134"/>
        <v>6 - Total Production</v>
      </c>
      <c r="D265" s="9" t="s">
        <v>56</v>
      </c>
      <c r="F265" s="8" t="s">
        <v>1</v>
      </c>
      <c r="G265" s="134">
        <f>G264*G263</f>
        <v>436.27655726208224</v>
      </c>
      <c r="H265" s="135">
        <f t="shared" ref="H265" si="1158">H264*H263</f>
        <v>439.59656928657091</v>
      </c>
      <c r="I265" s="135">
        <f t="shared" ref="I265" si="1159">I264*I263</f>
        <v>419.24570084703367</v>
      </c>
      <c r="J265" s="135">
        <f t="shared" ref="J265" si="1160">J264*J263</f>
        <v>391.49527005158416</v>
      </c>
      <c r="K265" s="135">
        <f t="shared" ref="K265" si="1161">K264*K263</f>
        <v>445.07595029600816</v>
      </c>
      <c r="L265" s="135">
        <f t="shared" ref="L265" si="1162">L264*L263</f>
        <v>418.63932350860921</v>
      </c>
      <c r="M265" s="135">
        <f t="shared" ref="M265" si="1163">M264*M263</f>
        <v>466.22499918723202</v>
      </c>
      <c r="N265" s="135">
        <f t="shared" ref="N265" si="1164">N264*N263</f>
        <v>537.26800693746588</v>
      </c>
      <c r="O265" s="135">
        <f t="shared" ref="O265" si="1165">O264*O263</f>
        <v>493.0264679604677</v>
      </c>
      <c r="P265" s="135">
        <f t="shared" ref="P265" si="1166">P264*P263</f>
        <v>515.26735684481969</v>
      </c>
      <c r="Q265" s="135">
        <f t="shared" ref="Q265" si="1167">Q264*Q263</f>
        <v>444.26263966348961</v>
      </c>
      <c r="R265" s="135">
        <f t="shared" ref="R265" si="1168">R264*R263</f>
        <v>339.73279955622337</v>
      </c>
      <c r="S265" s="134">
        <f t="shared" ref="S265" si="1169">S264*S263</f>
        <v>450.41749165433453</v>
      </c>
      <c r="T265" s="135">
        <f t="shared" ref="T265" si="1170">T264*T263</f>
        <v>470.2674784368694</v>
      </c>
      <c r="U265" s="135">
        <f t="shared" ref="U265" si="1171">U264*U263</f>
        <v>514.66439701878301</v>
      </c>
      <c r="V265" s="135">
        <f t="shared" ref="V265" si="1172">V264*V263</f>
        <v>557.57173736775394</v>
      </c>
      <c r="W265" s="135">
        <f t="shared" ref="W265" si="1173">W264*W263</f>
        <v>610.50803136790819</v>
      </c>
      <c r="X265" s="135">
        <f t="shared" ref="X265" si="1174">X264*X263</f>
        <v>534.58187419372416</v>
      </c>
      <c r="Y265" s="135">
        <f t="shared" ref="Y265" si="1175">Y264*Y263</f>
        <v>645.30388485953574</v>
      </c>
      <c r="Z265" s="135">
        <f t="shared" ref="Z265" si="1176">Z264*Z263</f>
        <v>550.0956449232699</v>
      </c>
      <c r="AA265" s="135">
        <f t="shared" ref="AA265" si="1177">AA264*AA263</f>
        <v>509.4012802931577</v>
      </c>
      <c r="AB265" s="135">
        <f t="shared" ref="AB265" si="1178">AB264*AB263</f>
        <v>607.14726898864672</v>
      </c>
      <c r="AC265" s="135">
        <f t="shared" ref="AC265" si="1179">AC264*AC263</f>
        <v>448.09794905322053</v>
      </c>
      <c r="AD265" s="136">
        <f t="shared" ref="AD265" si="1180">AD264*AD263</f>
        <v>323.14882794979803</v>
      </c>
      <c r="AE265" s="15"/>
      <c r="AF265" s="94">
        <f>SUM(G265:R265)</f>
        <v>5346.1116414015869</v>
      </c>
      <c r="AG265" s="95">
        <f>SUM(S265:AD265)</f>
        <v>6221.2058661070014</v>
      </c>
    </row>
    <row r="266" spans="2:33" x14ac:dyDescent="0.2">
      <c r="B266" s="9">
        <f>G255</f>
        <v>6</v>
      </c>
      <c r="C266" s="9" t="str">
        <f t="shared" si="1134"/>
        <v>6 - Revenue as a % of Production</v>
      </c>
      <c r="D266" s="9" t="s">
        <v>56</v>
      </c>
      <c r="F266" s="7" t="s">
        <v>2</v>
      </c>
      <c r="G266" s="137">
        <v>0.98716866645960033</v>
      </c>
      <c r="H266" s="138">
        <v>0.98716866645960033</v>
      </c>
      <c r="I266" s="138">
        <v>0.98716866645960033</v>
      </c>
      <c r="J266" s="138">
        <v>0.98716866645960033</v>
      </c>
      <c r="K266" s="138">
        <v>0.98716866645960033</v>
      </c>
      <c r="L266" s="138">
        <v>0.98716866645960033</v>
      </c>
      <c r="M266" s="138">
        <v>0.98716866645960033</v>
      </c>
      <c r="N266" s="138">
        <v>0.98716866645960033</v>
      </c>
      <c r="O266" s="138">
        <v>0.98716866645960033</v>
      </c>
      <c r="P266" s="138">
        <v>0.98716866645960033</v>
      </c>
      <c r="Q266" s="138">
        <v>0.98716866645960033</v>
      </c>
      <c r="R266" s="138">
        <v>0.98716866645960033</v>
      </c>
      <c r="S266" s="137">
        <v>0.97794937729879283</v>
      </c>
      <c r="T266" s="138">
        <v>0.97794937729879283</v>
      </c>
      <c r="U266" s="138">
        <v>0.97794937729879283</v>
      </c>
      <c r="V266" s="138">
        <v>0.97794937729879283</v>
      </c>
      <c r="W266" s="138">
        <v>0.97794937729879283</v>
      </c>
      <c r="X266" s="138">
        <v>0.97794937729879283</v>
      </c>
      <c r="Y266" s="138">
        <v>0.97794937729879283</v>
      </c>
      <c r="Z266" s="138">
        <v>0.97794937729879283</v>
      </c>
      <c r="AA266" s="138">
        <v>0.97794937729879283</v>
      </c>
      <c r="AB266" s="138">
        <v>0.97794937729879283</v>
      </c>
      <c r="AC266" s="138">
        <v>0.97794937729879283</v>
      </c>
      <c r="AD266" s="139">
        <v>0.97794937729879283</v>
      </c>
      <c r="AE266" s="15"/>
      <c r="AF266" s="161">
        <v>0.98716866645960022</v>
      </c>
      <c r="AG266" s="162">
        <v>0.97794937729879283</v>
      </c>
    </row>
    <row r="267" spans="2:33" x14ac:dyDescent="0.2">
      <c r="B267" s="9">
        <f>G255</f>
        <v>6</v>
      </c>
      <c r="C267" s="9" t="str">
        <f t="shared" si="1134"/>
        <v>6 - Total Revenue</v>
      </c>
      <c r="D267" s="9" t="s">
        <v>56</v>
      </c>
      <c r="F267" s="8" t="s">
        <v>3</v>
      </c>
      <c r="G267" s="134">
        <f>G266*G265</f>
        <v>430.67854723999517</v>
      </c>
      <c r="H267" s="135">
        <f t="shared" ref="H267" si="1181">H266*H265</f>
        <v>433.95595908283951</v>
      </c>
      <c r="I267" s="135">
        <f t="shared" ref="I267" si="1182">I266*I265</f>
        <v>413.86621942408675</v>
      </c>
      <c r="J267" s="135">
        <f t="shared" ref="J267" si="1183">J266*J265</f>
        <v>386.47186366206341</v>
      </c>
      <c r="K267" s="135">
        <f t="shared" ref="K267" si="1184">K266*K265</f>
        <v>439.36503232694974</v>
      </c>
      <c r="L267" s="135">
        <f t="shared" ref="L267" si="1185">L266*L265</f>
        <v>413.26762271554298</v>
      </c>
      <c r="M267" s="135">
        <f t="shared" ref="M267" si="1186">M266*M265</f>
        <v>460.2427107177881</v>
      </c>
      <c r="N267" s="135">
        <f t="shared" ref="N267" si="1187">N266*N265</f>
        <v>530.37414193986547</v>
      </c>
      <c r="O267" s="135">
        <f t="shared" ref="O267" si="1188">O266*O265</f>
        <v>486.70028090582178</v>
      </c>
      <c r="P267" s="135">
        <f t="shared" ref="P267" si="1189">P266*P265</f>
        <v>508.65578952666368</v>
      </c>
      <c r="Q267" s="135">
        <f t="shared" ref="Q267" si="1190">Q266*Q265</f>
        <v>438.56215755442901</v>
      </c>
      <c r="R267" s="135">
        <f t="shared" ref="R267" si="1191">R266*R265</f>
        <v>335.37357469050374</v>
      </c>
      <c r="S267" s="134">
        <f t="shared" ref="S267" si="1192">S266*S265</f>
        <v>440.48550548784067</v>
      </c>
      <c r="T267" s="135">
        <f t="shared" ref="T267" si="1193">T266*T265</f>
        <v>459.89778770120989</v>
      </c>
      <c r="U267" s="135">
        <f t="shared" ref="U267" si="1194">U266*U265</f>
        <v>503.31572658237752</v>
      </c>
      <c r="V267" s="135">
        <f t="shared" ref="V267" si="1195">V266*V265</f>
        <v>545.27693335820106</v>
      </c>
      <c r="W267" s="135">
        <f t="shared" ref="W267" si="1196">W266*W265</f>
        <v>597.0459491121577</v>
      </c>
      <c r="X267" s="135">
        <f t="shared" ref="X267" si="1197">X266*X265</f>
        <v>522.7940109829741</v>
      </c>
      <c r="Y267" s="135">
        <f t="shared" ref="Y267" si="1198">Y266*Y265</f>
        <v>631.07453236687491</v>
      </c>
      <c r="Z267" s="135">
        <f t="shared" ref="Z267" si="1199">Z266*Z265</f>
        <v>537.96569340748965</v>
      </c>
      <c r="AA267" s="135">
        <f t="shared" ref="AA267" si="1200">AA266*AA265</f>
        <v>498.16866485790138</v>
      </c>
      <c r="AB267" s="135">
        <f t="shared" ref="AB267" si="1201">AB266*AB265</f>
        <v>593.75929363610976</v>
      </c>
      <c r="AC267" s="135">
        <f t="shared" ref="AC267" si="1202">AC266*AC265</f>
        <v>438.21711024546323</v>
      </c>
      <c r="AD267" s="136">
        <f t="shared" ref="AD267" si="1203">AD266*AD265</f>
        <v>316.0231950683397</v>
      </c>
      <c r="AE267" s="15"/>
      <c r="AF267" s="94">
        <f>SUM(G267:R267)</f>
        <v>5277.5138997865497</v>
      </c>
      <c r="AG267" s="95">
        <f>SUM(S267:AD267)</f>
        <v>6084.0244028069401</v>
      </c>
    </row>
    <row r="268" spans="2:33" x14ac:dyDescent="0.2">
      <c r="B268" s="9">
        <f>G255</f>
        <v>6</v>
      </c>
      <c r="C268" s="9" t="str">
        <f t="shared" si="1134"/>
        <v>6 - % YoY Revenue Growth</v>
      </c>
      <c r="D268" s="9" t="s">
        <v>56</v>
      </c>
      <c r="F268" s="16" t="s">
        <v>174</v>
      </c>
      <c r="G268" s="82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148">
        <f>S267/G267-1</f>
        <v>2.2770946708846829E-2</v>
      </c>
      <c r="T268" s="149">
        <f t="shared" ref="T268" si="1204">T267/H267-1</f>
        <v>5.9779864927302917E-2</v>
      </c>
      <c r="U268" s="149">
        <f t="shared" ref="U268" si="1205">U267/I267-1</f>
        <v>0.21613145253256905</v>
      </c>
      <c r="V268" s="149">
        <f t="shared" ref="V268" si="1206">V267/J267-1</f>
        <v>0.41090978316341054</v>
      </c>
      <c r="W268" s="149">
        <f t="shared" ref="W268" si="1207">W267/K267-1</f>
        <v>0.35888362792574502</v>
      </c>
      <c r="X268" s="149">
        <f t="shared" ref="X268" si="1208">X267/L267-1</f>
        <v>0.26502533043296128</v>
      </c>
      <c r="Y268" s="149">
        <f t="shared" ref="Y268" si="1209">Y267/M267-1</f>
        <v>0.37117768010417773</v>
      </c>
      <c r="Z268" s="149">
        <f t="shared" ref="Z268" si="1210">Z267/N267-1</f>
        <v>1.4313577656440257E-2</v>
      </c>
      <c r="AA268" s="149">
        <f t="shared" ref="AA268" si="1211">AA267/O267-1</f>
        <v>2.3563544961870964E-2</v>
      </c>
      <c r="AB268" s="149">
        <f t="shared" ref="AB268" si="1212">AB267/P267-1</f>
        <v>0.1673105975823852</v>
      </c>
      <c r="AC268" s="149">
        <f t="shared" ref="AC268" si="1213">AC267/Q267-1</f>
        <v>-7.8676945336519921E-4</v>
      </c>
      <c r="AD268" s="150">
        <f t="shared" ref="AD268" si="1214">AD267/R267-1</f>
        <v>-5.7697985418264874E-2</v>
      </c>
      <c r="AE268" s="15"/>
      <c r="AF268" s="11"/>
      <c r="AG268" s="97">
        <f>AG267/AF267-1</f>
        <v>0.15282015705406482</v>
      </c>
    </row>
    <row r="269" spans="2:33" ht="6" customHeight="1" x14ac:dyDescent="0.2">
      <c r="B269" s="9">
        <f>G255</f>
        <v>6</v>
      </c>
      <c r="C269" s="9" t="str">
        <f t="shared" si="1134"/>
        <v xml:space="preserve">6 - </v>
      </c>
      <c r="D269" s="9" t="s">
        <v>56</v>
      </c>
      <c r="G269" s="11"/>
      <c r="S269" s="11"/>
      <c r="AD269" s="15"/>
      <c r="AE269" s="15"/>
      <c r="AF269" s="11"/>
      <c r="AG269" s="15"/>
    </row>
    <row r="270" spans="2:33" x14ac:dyDescent="0.2">
      <c r="B270" s="9">
        <f>G255</f>
        <v>6</v>
      </c>
      <c r="C270" s="9" t="str">
        <f t="shared" si="1134"/>
        <v>6 - Doctor Compensation</v>
      </c>
      <c r="D270" s="9" t="s">
        <v>56</v>
      </c>
      <c r="F270" t="s">
        <v>4</v>
      </c>
      <c r="G270" s="144">
        <v>-131.79549884298905</v>
      </c>
      <c r="H270" s="70">
        <v>-130.38827972538522</v>
      </c>
      <c r="I270" s="70">
        <v>-168.25166025454266</v>
      </c>
      <c r="J270" s="70">
        <v>-155.24172525766502</v>
      </c>
      <c r="K270" s="70">
        <v>-179.33539854363542</v>
      </c>
      <c r="L270" s="70">
        <v>-167.18576456120385</v>
      </c>
      <c r="M270" s="70">
        <v>-139.87056183480215</v>
      </c>
      <c r="N270" s="70">
        <v>-129.89754272442164</v>
      </c>
      <c r="O270" s="70">
        <v>-121.90306977479342</v>
      </c>
      <c r="P270" s="70">
        <v>-130.35834204196092</v>
      </c>
      <c r="Q270" s="70">
        <v>-114.4884842900119</v>
      </c>
      <c r="R270" s="70">
        <v>-84.887232758385551</v>
      </c>
      <c r="S270" s="144">
        <v>-139.42328007341453</v>
      </c>
      <c r="T270" s="70">
        <v>-142.01178660543923</v>
      </c>
      <c r="U270" s="70">
        <v>-158.31906683100846</v>
      </c>
      <c r="V270" s="70">
        <v>-168.8469152328687</v>
      </c>
      <c r="W270" s="70">
        <v>-196.81172306166931</v>
      </c>
      <c r="X270" s="70">
        <v>-155.35773815813681</v>
      </c>
      <c r="Y270" s="70">
        <v>-146.41265070700621</v>
      </c>
      <c r="Z270" s="70">
        <v>-127.8696779119872</v>
      </c>
      <c r="AA270" s="70">
        <v>-114.65505987936588</v>
      </c>
      <c r="AB270" s="70">
        <v>-139.13979647110307</v>
      </c>
      <c r="AC270" s="70">
        <v>-102.38857219525266</v>
      </c>
      <c r="AD270" s="145">
        <v>-95.22459730488282</v>
      </c>
      <c r="AE270" s="15"/>
      <c r="AF270" s="92">
        <f>SUM(G270:R270)</f>
        <v>-1653.6035606097969</v>
      </c>
      <c r="AG270" s="93">
        <f>SUM(S270:AD270)</f>
        <v>-1686.4608644321347</v>
      </c>
    </row>
    <row r="271" spans="2:33" x14ac:dyDescent="0.2">
      <c r="B271" s="9">
        <f>G255</f>
        <v>6</v>
      </c>
      <c r="C271" s="9" t="str">
        <f t="shared" si="1134"/>
        <v>6 - % of Revenue - Doctor Compensation</v>
      </c>
      <c r="D271" s="9" t="s">
        <v>56</v>
      </c>
      <c r="F271" s="16" t="str">
        <f>"% of Revenue - "&amp;F270</f>
        <v>% of Revenue - Doctor Compensation</v>
      </c>
      <c r="G271" s="148">
        <f>G270/G267</f>
        <v>-0.30601825813614569</v>
      </c>
      <c r="H271" s="149">
        <f t="shared" ref="H271" si="1215">H270/H267</f>
        <v>-0.30046431439945936</v>
      </c>
      <c r="I271" s="149">
        <f t="shared" ref="I271" si="1216">I270/I267</f>
        <v>-0.40653634521965171</v>
      </c>
      <c r="J271" s="149">
        <f t="shared" ref="J271" si="1217">J270/J267</f>
        <v>-0.40168959206150812</v>
      </c>
      <c r="K271" s="149">
        <f t="shared" ref="K271" si="1218">K270/K267</f>
        <v>-0.40816948402526604</v>
      </c>
      <c r="L271" s="149">
        <f t="shared" ref="L271" si="1219">L270/L267</f>
        <v>-0.40454600208611019</v>
      </c>
      <c r="M271" s="149">
        <f t="shared" ref="M271" si="1220">M270/M267</f>
        <v>-0.30390608819564352</v>
      </c>
      <c r="N271" s="149">
        <f t="shared" ref="N271" si="1221">N270/N267</f>
        <v>-0.24491680957392828</v>
      </c>
      <c r="O271" s="149">
        <f t="shared" ref="O271" si="1222">O270/O267</f>
        <v>-0.25046845986592331</v>
      </c>
      <c r="P271" s="149">
        <f t="shared" ref="P271" si="1223">P270/P267</f>
        <v>-0.2562800713686314</v>
      </c>
      <c r="Q271" s="149">
        <f t="shared" ref="Q271" si="1224">Q270/Q267</f>
        <v>-0.26105417970496686</v>
      </c>
      <c r="R271" s="149">
        <f t="shared" ref="R271" si="1225">R270/R267</f>
        <v>-0.25311246670738119</v>
      </c>
      <c r="S271" s="148">
        <f t="shared" ref="S271" si="1226">S270/S267</f>
        <v>-0.31652183405899431</v>
      </c>
      <c r="T271" s="149">
        <f t="shared" ref="T271" si="1227">T270/T267</f>
        <v>-0.30878988854302247</v>
      </c>
      <c r="U271" s="149">
        <f t="shared" ref="U271" si="1228">U270/U267</f>
        <v>-0.31455219550962399</v>
      </c>
      <c r="V271" s="149">
        <f t="shared" ref="V271" si="1229">V270/V267</f>
        <v>-0.30965350797619468</v>
      </c>
      <c r="W271" s="149">
        <f t="shared" ref="W271" si="1230">W270/W267</f>
        <v>-0.32964250633362452</v>
      </c>
      <c r="X271" s="149">
        <f t="shared" ref="X271" si="1231">X270/X267</f>
        <v>-0.29716816737442764</v>
      </c>
      <c r="Y271" s="149">
        <f t="shared" ref="Y271" si="1232">Y270/Y267</f>
        <v>-0.23200532298123114</v>
      </c>
      <c r="Z271" s="149">
        <f t="shared" ref="Z271" si="1233">Z270/Z267</f>
        <v>-0.23769113807621653</v>
      </c>
      <c r="AA271" s="149">
        <f t="shared" ref="AA271" si="1234">AA270/AA267</f>
        <v>-0.23015309465935663</v>
      </c>
      <c r="AB271" s="149">
        <f t="shared" ref="AB271" si="1235">AB270/AB267</f>
        <v>-0.23433704189963556</v>
      </c>
      <c r="AC271" s="149">
        <f t="shared" ref="AC271" si="1236">AC270/AC267</f>
        <v>-0.23364804751211257</v>
      </c>
      <c r="AD271" s="150">
        <f t="shared" ref="AD271" si="1237">AD270/AD267</f>
        <v>-0.301321544718547</v>
      </c>
      <c r="AE271" s="15"/>
      <c r="AF271" s="96">
        <f t="shared" ref="AF271" si="1238">AF270/AF267</f>
        <v>-0.31333002470664784</v>
      </c>
      <c r="AG271" s="97">
        <f t="shared" ref="AG271" si="1239">AG270/AG267</f>
        <v>-0.2771949539936206</v>
      </c>
    </row>
    <row r="272" spans="2:33" ht="3" customHeight="1" x14ac:dyDescent="0.2">
      <c r="B272" s="9">
        <f>G255</f>
        <v>6</v>
      </c>
      <c r="C272" s="9" t="str">
        <f t="shared" si="1134"/>
        <v xml:space="preserve">6 - </v>
      </c>
      <c r="D272" s="9" t="s">
        <v>56</v>
      </c>
      <c r="F272" s="16"/>
      <c r="G272" s="36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6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8"/>
      <c r="AE272" s="15"/>
      <c r="AF272" s="36"/>
      <c r="AG272" s="38"/>
    </row>
    <row r="273" spans="2:33" x14ac:dyDescent="0.2">
      <c r="B273" s="9">
        <f>G255</f>
        <v>6</v>
      </c>
      <c r="C273" s="9" t="str">
        <f t="shared" si="1134"/>
        <v>6 - Administrative Staff Compensation</v>
      </c>
      <c r="D273" s="9" t="s">
        <v>56</v>
      </c>
      <c r="F273" t="s">
        <v>5</v>
      </c>
      <c r="G273" s="144">
        <v>-86.941540142062692</v>
      </c>
      <c r="H273" s="70">
        <v>-86.492838400291987</v>
      </c>
      <c r="I273" s="70">
        <v>-88.381838271312247</v>
      </c>
      <c r="J273" s="70">
        <v>-86.158215325670596</v>
      </c>
      <c r="K273" s="70">
        <v>-94.221179296605456</v>
      </c>
      <c r="L273" s="70">
        <v>-92.987564919634195</v>
      </c>
      <c r="M273" s="70">
        <v>-80.713699296299325</v>
      </c>
      <c r="N273" s="70">
        <v>-93.356489683991043</v>
      </c>
      <c r="O273" s="70">
        <v>-84.164058406865848</v>
      </c>
      <c r="P273" s="70">
        <v>-87.467981971778258</v>
      </c>
      <c r="Q273" s="70">
        <v>-75.868798558227709</v>
      </c>
      <c r="R273" s="70">
        <v>-58.640703170490532</v>
      </c>
      <c r="S273" s="144">
        <v>-96.774914882533437</v>
      </c>
      <c r="T273" s="70">
        <v>-103.86423863779868</v>
      </c>
      <c r="U273" s="70">
        <v>-111.94516238631432</v>
      </c>
      <c r="V273" s="70">
        <v>-123.55790807890507</v>
      </c>
      <c r="W273" s="70">
        <v>-121.01374982320119</v>
      </c>
      <c r="X273" s="70">
        <v>-115.46021597811344</v>
      </c>
      <c r="Y273" s="70">
        <v>-112.91774761167869</v>
      </c>
      <c r="Z273" s="70">
        <v>-97.681387591625423</v>
      </c>
      <c r="AA273" s="70">
        <v>-92.259555826315633</v>
      </c>
      <c r="AB273" s="70">
        <v>-106.31040389329138</v>
      </c>
      <c r="AC273" s="70">
        <v>-80.935114145793221</v>
      </c>
      <c r="AD273" s="145">
        <v>-74.646943282174391</v>
      </c>
      <c r="AE273" s="15"/>
      <c r="AF273" s="92">
        <f>SUM(G273:R273)</f>
        <v>-1015.3949074432298</v>
      </c>
      <c r="AG273" s="93">
        <f>SUM(S273:AD273)</f>
        <v>-1237.3673421377448</v>
      </c>
    </row>
    <row r="274" spans="2:33" x14ac:dyDescent="0.2">
      <c r="B274" s="9">
        <f>G255</f>
        <v>6</v>
      </c>
      <c r="C274" s="9" t="str">
        <f t="shared" si="1134"/>
        <v>6 - % of Revenue - Administrative Staff Compensation</v>
      </c>
      <c r="D274" s="9" t="s">
        <v>56</v>
      </c>
      <c r="F274" s="16" t="str">
        <f>"% of Revenue - "&amp;F273</f>
        <v>% of Revenue - Administrative Staff Compensation</v>
      </c>
      <c r="G274" s="148">
        <f>G273/G267</f>
        <v>-0.20187107228634402</v>
      </c>
      <c r="H274" s="149">
        <f t="shared" ref="H274" si="1240">H273/H267</f>
        <v>-0.19931247996477228</v>
      </c>
      <c r="I274" s="149">
        <f t="shared" ref="I274" si="1241">I273/I267</f>
        <v>-0.21355170855524161</v>
      </c>
      <c r="J274" s="149">
        <f t="shared" ref="J274" si="1242">J273/J267</f>
        <v>-0.22293528566159368</v>
      </c>
      <c r="K274" s="149">
        <f t="shared" ref="K274" si="1243">K273/K267</f>
        <v>-0.21444851629997622</v>
      </c>
      <c r="L274" s="149">
        <f t="shared" ref="L274" si="1244">L273/L267</f>
        <v>-0.225005685924829</v>
      </c>
      <c r="M274" s="149">
        <f t="shared" ref="M274" si="1245">M273/M267</f>
        <v>-0.17537203179257171</v>
      </c>
      <c r="N274" s="149">
        <f t="shared" ref="N274" si="1246">N273/N267</f>
        <v>-0.17602006263453154</v>
      </c>
      <c r="O274" s="149">
        <f t="shared" ref="O274" si="1247">O273/O267</f>
        <v>-0.17292790185003384</v>
      </c>
      <c r="P274" s="149">
        <f t="shared" ref="P274" si="1248">P273/P267</f>
        <v>-0.17195908072367119</v>
      </c>
      <c r="Q274" s="149">
        <f t="shared" ref="Q274" si="1249">Q273/Q267</f>
        <v>-0.17299440284884088</v>
      </c>
      <c r="R274" s="149">
        <f t="shared" ref="R274" si="1250">R273/R267</f>
        <v>-0.17485188934341811</v>
      </c>
      <c r="S274" s="148">
        <f t="shared" ref="S274" si="1251">S273/S267</f>
        <v>-0.219700566027376</v>
      </c>
      <c r="T274" s="149">
        <f t="shared" ref="T274" si="1252">T273/T267</f>
        <v>-0.22584200536593588</v>
      </c>
      <c r="U274" s="149">
        <f t="shared" ref="U274" si="1253">U273/U267</f>
        <v>-0.22241538754698995</v>
      </c>
      <c r="V274" s="149">
        <f t="shared" ref="V274" si="1254">V273/V267</f>
        <v>-0.22659661636142955</v>
      </c>
      <c r="W274" s="149">
        <f t="shared" ref="W274" si="1255">W273/W267</f>
        <v>-0.20268749834607491</v>
      </c>
      <c r="X274" s="149">
        <f t="shared" ref="X274" si="1256">X273/X267</f>
        <v>-0.22085221626969564</v>
      </c>
      <c r="Y274" s="149">
        <f t="shared" ref="Y274" si="1257">Y273/Y267</f>
        <v>-0.17892933690126162</v>
      </c>
      <c r="Z274" s="149">
        <f t="shared" ref="Z274" si="1258">Z273/Z267</f>
        <v>-0.18157549596315112</v>
      </c>
      <c r="AA274" s="149">
        <f t="shared" ref="AA274" si="1259">AA273/AA267</f>
        <v>-0.18519742877170312</v>
      </c>
      <c r="AB274" s="149">
        <f t="shared" ref="AB274" si="1260">AB273/AB267</f>
        <v>-0.17904629878255779</v>
      </c>
      <c r="AC274" s="149">
        <f t="shared" ref="AC274" si="1261">AC273/AC267</f>
        <v>-0.18469181657571102</v>
      </c>
      <c r="AD274" s="150">
        <f t="shared" ref="AD274" si="1262">AD273/AD267</f>
        <v>-0.23620716595195509</v>
      </c>
      <c r="AE274" s="15"/>
      <c r="AF274" s="96">
        <f t="shared" ref="AF274" si="1263">AF273/AF267</f>
        <v>-0.19240023365628611</v>
      </c>
      <c r="AG274" s="97">
        <f t="shared" ref="AG274" si="1264">AG273/AG267</f>
        <v>-0.20337974672929812</v>
      </c>
    </row>
    <row r="275" spans="2:33" ht="3" customHeight="1" x14ac:dyDescent="0.2">
      <c r="B275" s="9">
        <f>G255</f>
        <v>6</v>
      </c>
      <c r="C275" s="9" t="str">
        <f t="shared" si="1134"/>
        <v xml:space="preserve">6 - </v>
      </c>
      <c r="D275" s="9" t="s">
        <v>56</v>
      </c>
      <c r="F275" s="16"/>
      <c r="G275" s="36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6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8"/>
      <c r="AE275" s="15"/>
      <c r="AF275" s="36"/>
      <c r="AG275" s="38"/>
    </row>
    <row r="276" spans="2:33" x14ac:dyDescent="0.2">
      <c r="B276" s="9">
        <f>G255</f>
        <v>6</v>
      </c>
      <c r="C276" s="9" t="str">
        <f t="shared" si="1134"/>
        <v>6 - Office Supplies</v>
      </c>
      <c r="D276" s="9" t="s">
        <v>56</v>
      </c>
      <c r="F276" t="s">
        <v>6</v>
      </c>
      <c r="G276" s="144">
        <v>-41.565806617652044</v>
      </c>
      <c r="H276" s="70">
        <v>-42.562252037271378</v>
      </c>
      <c r="I276" s="70">
        <v>-54.378875870115024</v>
      </c>
      <c r="J276" s="70">
        <v>-52.603387976613902</v>
      </c>
      <c r="K276" s="70">
        <v>-58.357620193806625</v>
      </c>
      <c r="L276" s="70">
        <v>-54.452896729343657</v>
      </c>
      <c r="M276" s="70">
        <v>-44.164894535934536</v>
      </c>
      <c r="N276" s="70">
        <v>-40.747089527173323</v>
      </c>
      <c r="O276" s="70">
        <v>-36.563368260287319</v>
      </c>
      <c r="P276" s="70">
        <v>-38.79323808120575</v>
      </c>
      <c r="Q276" s="70">
        <v>-34.549395412506854</v>
      </c>
      <c r="R276" s="70">
        <v>-26.682949444038687</v>
      </c>
      <c r="S276" s="144">
        <v>-50.573573364666785</v>
      </c>
      <c r="T276" s="70">
        <v>-54.733635533838161</v>
      </c>
      <c r="U276" s="70">
        <v>-59.171584076104438</v>
      </c>
      <c r="V276" s="70">
        <v>-66.98900815158602</v>
      </c>
      <c r="W276" s="70">
        <v>-82.042733986140107</v>
      </c>
      <c r="X276" s="70">
        <v>-64.714817536656156</v>
      </c>
      <c r="Y276" s="70">
        <v>-61.967908321046998</v>
      </c>
      <c r="Z276" s="70">
        <v>-52.954134982126021</v>
      </c>
      <c r="AA276" s="70">
        <v>-46.72793162198888</v>
      </c>
      <c r="AB276" s="70">
        <v>-53.836668577733484</v>
      </c>
      <c r="AC276" s="70">
        <v>-38.515211354037653</v>
      </c>
      <c r="AD276" s="145">
        <v>-33.936902020452905</v>
      </c>
      <c r="AE276" s="15"/>
      <c r="AF276" s="92">
        <f>SUM(G276:R276)</f>
        <v>-525.42177468594912</v>
      </c>
      <c r="AG276" s="93">
        <f>SUM(S276:AD276)</f>
        <v>-666.1641095263775</v>
      </c>
    </row>
    <row r="277" spans="2:33" x14ac:dyDescent="0.2">
      <c r="B277" s="9">
        <f>G255</f>
        <v>6</v>
      </c>
      <c r="C277" s="9" t="str">
        <f t="shared" si="1134"/>
        <v>6 - % of Revenue - Office Supplies</v>
      </c>
      <c r="D277" s="9" t="s">
        <v>56</v>
      </c>
      <c r="F277" s="16" t="str">
        <f>"% of Revenue - "&amp;F276</f>
        <v>% of Revenue - Office Supplies</v>
      </c>
      <c r="G277" s="148">
        <f>G276/G267</f>
        <v>-9.6512368410329813E-2</v>
      </c>
      <c r="H277" s="149">
        <f t="shared" ref="H277" si="1265">H276/H267</f>
        <v>-9.8079657961665428E-2</v>
      </c>
      <c r="I277" s="149">
        <f t="shared" ref="I277" si="1266">I276/I267</f>
        <v>-0.13139240005088032</v>
      </c>
      <c r="J277" s="149">
        <f t="shared" ref="J277" si="1267">J276/J267</f>
        <v>-0.13611181801998157</v>
      </c>
      <c r="K277" s="149">
        <f t="shared" ref="K277" si="1268">K276/K267</f>
        <v>-0.13282263243557421</v>
      </c>
      <c r="L277" s="149">
        <f t="shared" ref="L277" si="1269">L276/L267</f>
        <v>-0.13176182632343361</v>
      </c>
      <c r="M277" s="149">
        <f t="shared" ref="M277" si="1270">M276/M267</f>
        <v>-9.5960008724647883E-2</v>
      </c>
      <c r="N277" s="149">
        <f t="shared" ref="N277" si="1271">N276/N267</f>
        <v>-7.682706660271775E-2</v>
      </c>
      <c r="O277" s="149">
        <f t="shared" ref="O277" si="1272">O276/O267</f>
        <v>-7.5125019842268104E-2</v>
      </c>
      <c r="P277" s="149">
        <f t="shared" ref="P277" si="1273">P276/P267</f>
        <v>-7.6266188019417425E-2</v>
      </c>
      <c r="Q277" s="149">
        <f t="shared" ref="Q277" si="1274">Q276/Q267</f>
        <v>-7.8778788405196601E-2</v>
      </c>
      <c r="R277" s="149">
        <f t="shared" ref="R277" si="1275">R276/R267</f>
        <v>-7.9561872066583633E-2</v>
      </c>
      <c r="S277" s="148">
        <f t="shared" ref="S277" si="1276">S276/S267</f>
        <v>-0.11481325204709338</v>
      </c>
      <c r="T277" s="149">
        <f t="shared" ref="T277" si="1277">T276/T267</f>
        <v>-0.1190126088829937</v>
      </c>
      <c r="U277" s="149">
        <f t="shared" ref="U277" si="1278">U276/U267</f>
        <v>-0.11756355097006857</v>
      </c>
      <c r="V277" s="149">
        <f t="shared" ref="V277" si="1279">V276/V267</f>
        <v>-0.12285318533285522</v>
      </c>
      <c r="W277" s="149">
        <f t="shared" ref="W277" si="1280">W276/W267</f>
        <v>-0.13741443871806258</v>
      </c>
      <c r="X277" s="149">
        <f t="shared" ref="X277" si="1281">X276/X267</f>
        <v>-0.12378645542434061</v>
      </c>
      <c r="Y277" s="149">
        <f t="shared" ref="Y277" si="1282">Y276/Y267</f>
        <v>-9.8194278397883403E-2</v>
      </c>
      <c r="Z277" s="149">
        <f t="shared" ref="Z277" si="1283">Z276/Z267</f>
        <v>-9.8434037023277562E-2</v>
      </c>
      <c r="AA277" s="149">
        <f t="shared" ref="AA277" si="1284">AA276/AA267</f>
        <v>-9.3799419590787886E-2</v>
      </c>
      <c r="AB277" s="149">
        <f t="shared" ref="AB277" si="1285">AB276/AB267</f>
        <v>-9.0670864700145182E-2</v>
      </c>
      <c r="AC277" s="149">
        <f t="shared" ref="AC277" si="1286">AC276/AC267</f>
        <v>-8.789070634979021E-2</v>
      </c>
      <c r="AD277" s="150">
        <f t="shared" ref="AD277" si="1287">AD276/AD267</f>
        <v>-0.10738737709779209</v>
      </c>
      <c r="AE277" s="15"/>
      <c r="AF277" s="96">
        <f t="shared" ref="AF277" si="1288">AF276/AF267</f>
        <v>-9.9558577137466173E-2</v>
      </c>
      <c r="AG277" s="97">
        <f t="shared" ref="AG277" si="1289">AG276/AG267</f>
        <v>-0.10949399039540907</v>
      </c>
    </row>
    <row r="278" spans="2:33" ht="6" customHeight="1" x14ac:dyDescent="0.2">
      <c r="B278" s="9">
        <f>G255</f>
        <v>6</v>
      </c>
      <c r="C278" s="9" t="str">
        <f t="shared" si="1134"/>
        <v xml:space="preserve">6 - </v>
      </c>
      <c r="D278" s="9" t="s">
        <v>56</v>
      </c>
      <c r="F278" s="16"/>
      <c r="G278" s="11"/>
      <c r="S278" s="11"/>
      <c r="AD278" s="15"/>
      <c r="AE278" s="15"/>
      <c r="AF278" s="11"/>
      <c r="AG278" s="15"/>
    </row>
    <row r="279" spans="2:33" x14ac:dyDescent="0.2">
      <c r="B279" s="9">
        <f>G255</f>
        <v>6</v>
      </c>
      <c r="C279" s="9" t="str">
        <f t="shared" si="1134"/>
        <v>6 - Office Gross Profit</v>
      </c>
      <c r="D279" s="9" t="s">
        <v>56</v>
      </c>
      <c r="F279" s="8" t="s">
        <v>11</v>
      </c>
      <c r="G279" s="134">
        <f>G267+G270+G273+G276</f>
        <v>170.37570163729137</v>
      </c>
      <c r="H279" s="135">
        <f t="shared" ref="H279:AD279" si="1290">H267+H270+H273+H276</f>
        <v>174.5125889198909</v>
      </c>
      <c r="I279" s="135">
        <f t="shared" si="1290"/>
        <v>102.85384502811681</v>
      </c>
      <c r="J279" s="135">
        <f t="shared" si="1290"/>
        <v>92.46853510211389</v>
      </c>
      <c r="K279" s="135">
        <f t="shared" si="1290"/>
        <v>107.45083429290229</v>
      </c>
      <c r="L279" s="135">
        <f t="shared" si="1290"/>
        <v>98.641396505361286</v>
      </c>
      <c r="M279" s="135">
        <f t="shared" si="1290"/>
        <v>195.49355505075206</v>
      </c>
      <c r="N279" s="135">
        <f t="shared" si="1290"/>
        <v>266.3730200042794</v>
      </c>
      <c r="O279" s="135">
        <f t="shared" si="1290"/>
        <v>244.06978446387521</v>
      </c>
      <c r="P279" s="135">
        <f t="shared" si="1290"/>
        <v>252.03622743171871</v>
      </c>
      <c r="Q279" s="135">
        <f t="shared" si="1290"/>
        <v>213.65547929368256</v>
      </c>
      <c r="R279" s="135">
        <f t="shared" si="1290"/>
        <v>165.16268931758898</v>
      </c>
      <c r="S279" s="134">
        <f t="shared" si="1290"/>
        <v>153.71373716722593</v>
      </c>
      <c r="T279" s="135">
        <f t="shared" si="1290"/>
        <v>159.28812692413382</v>
      </c>
      <c r="U279" s="135">
        <f t="shared" si="1290"/>
        <v>173.87991328895029</v>
      </c>
      <c r="V279" s="135">
        <f t="shared" si="1290"/>
        <v>185.88310189484127</v>
      </c>
      <c r="W279" s="135">
        <f t="shared" si="1290"/>
        <v>197.17774224114709</v>
      </c>
      <c r="X279" s="135">
        <f t="shared" si="1290"/>
        <v>187.26123931006765</v>
      </c>
      <c r="Y279" s="135">
        <f t="shared" si="1290"/>
        <v>309.77622572714301</v>
      </c>
      <c r="Z279" s="135">
        <f t="shared" si="1290"/>
        <v>259.46049292175098</v>
      </c>
      <c r="AA279" s="135">
        <f t="shared" si="1290"/>
        <v>244.52611753023098</v>
      </c>
      <c r="AB279" s="135">
        <f t="shared" si="1290"/>
        <v>294.47242469398185</v>
      </c>
      <c r="AC279" s="135">
        <f t="shared" si="1290"/>
        <v>216.37821255037969</v>
      </c>
      <c r="AD279" s="136">
        <f t="shared" si="1290"/>
        <v>112.21475246082959</v>
      </c>
      <c r="AE279" s="15"/>
      <c r="AF279" s="98">
        <f>SUM(G279:R279)</f>
        <v>2083.0936570475733</v>
      </c>
      <c r="AG279" s="95">
        <f>SUM(S279:AD279)</f>
        <v>2494.0320867106821</v>
      </c>
    </row>
    <row r="280" spans="2:33" x14ac:dyDescent="0.2">
      <c r="B280" s="9">
        <f>G255</f>
        <v>6</v>
      </c>
      <c r="C280" s="9" t="str">
        <f t="shared" si="1134"/>
        <v>6 - % of Revenue - Office Gross Profit</v>
      </c>
      <c r="D280" s="9" t="s">
        <v>56</v>
      </c>
      <c r="F280" s="16" t="str">
        <f>"% of Revenue - "&amp;F279</f>
        <v>% of Revenue - Office Gross Profit</v>
      </c>
      <c r="G280" s="148">
        <f>G279/G267</f>
        <v>0.39559830116718048</v>
      </c>
      <c r="H280" s="149">
        <f t="shared" ref="H280" si="1291">H279/H267</f>
        <v>0.40214354767410287</v>
      </c>
      <c r="I280" s="149">
        <f t="shared" ref="I280" si="1292">I279/I267</f>
        <v>0.24851954617422631</v>
      </c>
      <c r="J280" s="149">
        <f t="shared" ref="J280" si="1293">J279/J267</f>
        <v>0.23926330425691666</v>
      </c>
      <c r="K280" s="149">
        <f t="shared" ref="K280" si="1294">K279/K267</f>
        <v>0.24455936723918362</v>
      </c>
      <c r="L280" s="149">
        <f t="shared" ref="L280" si="1295">L279/L267</f>
        <v>0.23868648566562722</v>
      </c>
      <c r="M280" s="149">
        <f t="shared" ref="M280" si="1296">M279/M267</f>
        <v>0.42476187128713683</v>
      </c>
      <c r="N280" s="149">
        <f t="shared" ref="N280" si="1297">N279/N267</f>
        <v>0.50223606118882225</v>
      </c>
      <c r="O280" s="149">
        <f t="shared" ref="O280" si="1298">O279/O267</f>
        <v>0.50147861844177477</v>
      </c>
      <c r="P280" s="149">
        <f t="shared" ref="P280" si="1299">P279/P267</f>
        <v>0.4954946598882799</v>
      </c>
      <c r="Q280" s="149">
        <f t="shared" ref="Q280" si="1300">Q279/Q267</f>
        <v>0.48717262904099573</v>
      </c>
      <c r="R280" s="149">
        <f t="shared" ref="R280" si="1301">R279/R267</f>
        <v>0.4924737718826171</v>
      </c>
      <c r="S280" s="148">
        <f t="shared" ref="S280" si="1302">S279/S267</f>
        <v>0.34896434786653635</v>
      </c>
      <c r="T280" s="149">
        <f t="shared" ref="T280" si="1303">T279/T267</f>
        <v>0.34635549720804792</v>
      </c>
      <c r="U280" s="149">
        <f t="shared" ref="U280" si="1304">U279/U267</f>
        <v>0.3454688659733175</v>
      </c>
      <c r="V280" s="149">
        <f t="shared" ref="V280" si="1305">V279/V267</f>
        <v>0.34089669032952052</v>
      </c>
      <c r="W280" s="149">
        <f t="shared" ref="W280" si="1306">W279/W267</f>
        <v>0.33025555660223799</v>
      </c>
      <c r="X280" s="149">
        <f t="shared" ref="X280" si="1307">X279/X267</f>
        <v>0.35819316093153603</v>
      </c>
      <c r="Y280" s="149">
        <f t="shared" ref="Y280" si="1308">Y279/Y267</f>
        <v>0.49087106171962386</v>
      </c>
      <c r="Z280" s="149">
        <f t="shared" ref="Z280" si="1309">Z279/Z267</f>
        <v>0.48229932893735472</v>
      </c>
      <c r="AA280" s="149">
        <f t="shared" ref="AA280" si="1310">AA279/AA267</f>
        <v>0.49085005697815237</v>
      </c>
      <c r="AB280" s="149">
        <f t="shared" ref="AB280" si="1311">AB279/AB267</f>
        <v>0.49594579461766147</v>
      </c>
      <c r="AC280" s="149">
        <f t="shared" ref="AC280" si="1312">AC279/AC267</f>
        <v>0.49376942956238618</v>
      </c>
      <c r="AD280" s="150">
        <f t="shared" ref="AD280" si="1313">AD279/AD267</f>
        <v>0.35508391223170582</v>
      </c>
      <c r="AE280" s="15"/>
      <c r="AF280" s="111">
        <f t="shared" ref="AF280" si="1314">AF279/AF267</f>
        <v>0.39471116449959981</v>
      </c>
      <c r="AG280" s="97">
        <f t="shared" ref="AG280" si="1315">AG279/AG267</f>
        <v>0.40993130888167206</v>
      </c>
    </row>
    <row r="281" spans="2:33" ht="6" customHeight="1" x14ac:dyDescent="0.2">
      <c r="B281" s="9">
        <f>G255</f>
        <v>6</v>
      </c>
      <c r="C281" s="9" t="str">
        <f t="shared" si="1134"/>
        <v xml:space="preserve">6 - </v>
      </c>
      <c r="D281" s="9" t="s">
        <v>56</v>
      </c>
      <c r="F281" s="16"/>
      <c r="G281" s="11"/>
      <c r="S281" s="11"/>
      <c r="AD281" s="15"/>
      <c r="AE281" s="15"/>
      <c r="AF281" s="11"/>
      <c r="AG281" s="15"/>
    </row>
    <row r="282" spans="2:33" x14ac:dyDescent="0.2">
      <c r="B282" s="9">
        <f>G255</f>
        <v>6</v>
      </c>
      <c r="C282" s="9" t="str">
        <f t="shared" si="1134"/>
        <v>6 - General and Administrative Expense</v>
      </c>
      <c r="D282" s="9" t="s">
        <v>56</v>
      </c>
      <c r="F282" t="s">
        <v>10</v>
      </c>
      <c r="G282" s="144">
        <v>-17.332627704156081</v>
      </c>
      <c r="H282" s="70">
        <v>-17.694084106675867</v>
      </c>
      <c r="I282" s="70">
        <v>-25.222475282989077</v>
      </c>
      <c r="J282" s="70">
        <v>-21.224261130485715</v>
      </c>
      <c r="K282" s="70">
        <v>-25.83158487747539</v>
      </c>
      <c r="L282" s="70">
        <v>-26.512620773770127</v>
      </c>
      <c r="M282" s="70">
        <v>-21.264660189901608</v>
      </c>
      <c r="N282" s="70">
        <v>-20.140878779418653</v>
      </c>
      <c r="O282" s="70">
        <v>-19.961629296769896</v>
      </c>
      <c r="P282" s="70">
        <v>-22.3881973976372</v>
      </c>
      <c r="Q282" s="70">
        <v>-19.273901178019475</v>
      </c>
      <c r="R282" s="70">
        <v>-14.313399581494169</v>
      </c>
      <c r="S282" s="144">
        <v>-25.469553511525692</v>
      </c>
      <c r="T282" s="70">
        <v>-26.362380249181317</v>
      </c>
      <c r="U282" s="70">
        <v>-30.975934313772296</v>
      </c>
      <c r="V282" s="70">
        <v>-36.139748951297648</v>
      </c>
      <c r="W282" s="70">
        <v>-40.25228696660168</v>
      </c>
      <c r="X282" s="70">
        <v>-33.412673907136117</v>
      </c>
      <c r="Y282" s="70">
        <v>-32.124547159883257</v>
      </c>
      <c r="Z282" s="70">
        <v>-28.805225283898842</v>
      </c>
      <c r="AA282" s="70">
        <v>-27.540696495932586</v>
      </c>
      <c r="AB282" s="70">
        <v>-30.532632383719008</v>
      </c>
      <c r="AC282" s="70">
        <v>-20.974149889327904</v>
      </c>
      <c r="AD282" s="145">
        <v>-17.663401812618783</v>
      </c>
      <c r="AE282" s="15"/>
      <c r="AF282" s="144">
        <v>-251.16032029879324</v>
      </c>
      <c r="AG282" s="145">
        <v>-350.25323092489515</v>
      </c>
    </row>
    <row r="283" spans="2:33" x14ac:dyDescent="0.2">
      <c r="B283" s="9">
        <f>G255</f>
        <v>6</v>
      </c>
      <c r="C283" s="9" t="str">
        <f t="shared" si="1134"/>
        <v>6 - % of Revenue - General and Administrative Expense</v>
      </c>
      <c r="D283" s="9" t="s">
        <v>56</v>
      </c>
      <c r="F283" s="16" t="str">
        <f>"% of Revenue - "&amp;F282</f>
        <v>% of Revenue - General and Administrative Expense</v>
      </c>
      <c r="G283" s="148">
        <f>G282/G267</f>
        <v>-4.0244929345174679E-2</v>
      </c>
      <c r="H283" s="149">
        <f t="shared" ref="H283" si="1316">H282/H267</f>
        <v>-4.0773916652906653E-2</v>
      </c>
      <c r="I283" s="149">
        <f t="shared" ref="I283" si="1317">I282/I267</f>
        <v>-6.0943546728909823E-2</v>
      </c>
      <c r="J283" s="149">
        <f t="shared" ref="J283" si="1318">J282/J267</f>
        <v>-5.4917998245389774E-2</v>
      </c>
      <c r="K283" s="149">
        <f t="shared" ref="K283" si="1319">K282/K267</f>
        <v>-5.8792992106511191E-2</v>
      </c>
      <c r="L283" s="149">
        <f t="shared" ref="L283" si="1320">L282/L267</f>
        <v>-6.4153636327854993E-2</v>
      </c>
      <c r="M283" s="149">
        <f t="shared" ref="M283" si="1321">M282/M267</f>
        <v>-4.6203143894962599E-2</v>
      </c>
      <c r="N283" s="149">
        <f t="shared" ref="N283" si="1322">N282/N267</f>
        <v>-3.7974850556915449E-2</v>
      </c>
      <c r="O283" s="149">
        <f t="shared" ref="O283" si="1323">O282/O267</f>
        <v>-4.1014213633939818E-2</v>
      </c>
      <c r="P283" s="149">
        <f t="shared" ref="P283" si="1324">P282/P267</f>
        <v>-4.4014435417064318E-2</v>
      </c>
      <c r="Q283" s="149">
        <f t="shared" ref="Q283" si="1325">Q282/Q267</f>
        <v>-4.3947934964332698E-2</v>
      </c>
      <c r="R283" s="149">
        <f t="shared" ref="R283" si="1326">R282/R267</f>
        <v>-4.2678972529970945E-2</v>
      </c>
      <c r="S283" s="148">
        <f t="shared" ref="S283" si="1327">S282/S267</f>
        <v>-5.7821547347665821E-2</v>
      </c>
      <c r="T283" s="149">
        <f t="shared" ref="T283" si="1328">T282/T267</f>
        <v>-5.7322259324084072E-2</v>
      </c>
      <c r="U283" s="149">
        <f t="shared" ref="U283" si="1329">U282/U267</f>
        <v>-6.154374417049429E-2</v>
      </c>
      <c r="V283" s="149">
        <f t="shared" ref="V283" si="1330">V282/V267</f>
        <v>-6.6277787928279874E-2</v>
      </c>
      <c r="W283" s="149">
        <f t="shared" ref="W283" si="1331">W282/W267</f>
        <v>-6.7419077252695858E-2</v>
      </c>
      <c r="X283" s="149">
        <f t="shared" ref="X283" si="1332">X282/X267</f>
        <v>-6.3911738094154014E-2</v>
      </c>
      <c r="Y283" s="149">
        <f t="shared" ref="Y283" si="1333">Y282/Y267</f>
        <v>-5.0904521593350661E-2</v>
      </c>
      <c r="Z283" s="149">
        <f t="shared" ref="Z283" si="1334">Z282/Z267</f>
        <v>-5.3544725317790705E-2</v>
      </c>
      <c r="AA283" s="149">
        <f t="shared" ref="AA283" si="1335">AA282/AA267</f>
        <v>-5.5283879614925896E-2</v>
      </c>
      <c r="AB283" s="149">
        <f t="shared" ref="AB283" si="1336">AB282/AB267</f>
        <v>-5.1422575968017067E-2</v>
      </c>
      <c r="AC283" s="149">
        <f t="shared" ref="AC283" si="1337">AC282/AC267</f>
        <v>-4.7862462233798746E-2</v>
      </c>
      <c r="AD283" s="150">
        <f t="shared" ref="AD283" si="1338">AD282/AD267</f>
        <v>-5.589273853395188E-2</v>
      </c>
      <c r="AE283" s="15"/>
      <c r="AF283" s="96">
        <f t="shared" ref="AF283" si="1339">AF282/AF267</f>
        <v>-4.7590650648774505E-2</v>
      </c>
      <c r="AG283" s="97">
        <f t="shared" ref="AG283" si="1340">AG282/AG267</f>
        <v>-5.7569333673826405E-2</v>
      </c>
    </row>
    <row r="284" spans="2:33" ht="3" customHeight="1" x14ac:dyDescent="0.2">
      <c r="B284" s="9">
        <f>G255</f>
        <v>6</v>
      </c>
      <c r="C284" s="9" t="str">
        <f t="shared" si="1134"/>
        <v xml:space="preserve">6 - </v>
      </c>
      <c r="D284" s="9" t="s">
        <v>56</v>
      </c>
      <c r="F284" s="16"/>
      <c r="G284" s="36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6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8"/>
      <c r="AE284" s="15"/>
      <c r="AF284" s="36"/>
      <c r="AG284" s="38"/>
    </row>
    <row r="285" spans="2:33" x14ac:dyDescent="0.2">
      <c r="B285" s="9">
        <f>G255</f>
        <v>6</v>
      </c>
      <c r="C285" s="9" t="str">
        <f t="shared" si="1134"/>
        <v>6 - Marketing</v>
      </c>
      <c r="D285" s="9" t="s">
        <v>56</v>
      </c>
      <c r="F285" t="s">
        <v>7</v>
      </c>
      <c r="G285" s="144">
        <v>-7.8337652286137764</v>
      </c>
      <c r="H285" s="70">
        <v>-8.5699265560849529</v>
      </c>
      <c r="I285" s="70">
        <v>-8.9826049137117447</v>
      </c>
      <c r="J285" s="70">
        <v>-10.135655885790506</v>
      </c>
      <c r="K285" s="70">
        <v>-10.157260681325148</v>
      </c>
      <c r="L285" s="70">
        <v>-10.18290750973506</v>
      </c>
      <c r="M285" s="70">
        <v>-10.0172364497848</v>
      </c>
      <c r="N285" s="70">
        <v>-7.451787017482375</v>
      </c>
      <c r="O285" s="70">
        <v>-5.1794424205231913</v>
      </c>
      <c r="P285" s="70">
        <v>-5.8550744294659296</v>
      </c>
      <c r="Q285" s="70">
        <v>-4.8082076204502675</v>
      </c>
      <c r="R285" s="70">
        <v>-3.6929006532590494</v>
      </c>
      <c r="S285" s="144">
        <v>-7.7400897880790298</v>
      </c>
      <c r="T285" s="70">
        <v>-8.273390160063542</v>
      </c>
      <c r="U285" s="70">
        <v>-7.4607501577998612</v>
      </c>
      <c r="V285" s="70">
        <v>-9.8083640632524887</v>
      </c>
      <c r="W285" s="70">
        <v>-9.2054879499437625</v>
      </c>
      <c r="X285" s="70">
        <v>-9.2312384837445887</v>
      </c>
      <c r="Y285" s="70">
        <v>-9.85822562909064</v>
      </c>
      <c r="Z285" s="70">
        <v>-9.0131582987345809</v>
      </c>
      <c r="AA285" s="70">
        <v>-6.4264678704051956</v>
      </c>
      <c r="AB285" s="70">
        <v>-7.3849920203327306</v>
      </c>
      <c r="AC285" s="70">
        <v>-7.1575120468678239</v>
      </c>
      <c r="AD285" s="145">
        <v>-6.9480648731174917</v>
      </c>
      <c r="AE285" s="15"/>
      <c r="AF285" s="144">
        <v>-92.866769366226791</v>
      </c>
      <c r="AG285" s="145">
        <v>-98.507741341431725</v>
      </c>
    </row>
    <row r="286" spans="2:33" x14ac:dyDescent="0.2">
      <c r="B286" s="9">
        <f>G255</f>
        <v>6</v>
      </c>
      <c r="C286" s="9" t="str">
        <f t="shared" si="1134"/>
        <v>6 - % of Revenue - Marketing</v>
      </c>
      <c r="D286" s="9" t="s">
        <v>56</v>
      </c>
      <c r="F286" s="16" t="str">
        <f>"% of Revenue - "&amp;F285</f>
        <v>% of Revenue - Marketing</v>
      </c>
      <c r="G286" s="148">
        <f>G285/G267</f>
        <v>-1.8189355561860431E-2</v>
      </c>
      <c r="H286" s="149">
        <f t="shared" ref="H286" si="1341">H285/H267</f>
        <v>-1.9748378554813224E-2</v>
      </c>
      <c r="I286" s="149">
        <f t="shared" ref="I286" si="1342">I285/I267</f>
        <v>-2.1704126821975079E-2</v>
      </c>
      <c r="J286" s="149">
        <f t="shared" ref="J286" si="1343">J285/J267</f>
        <v>-2.6226115893014323E-2</v>
      </c>
      <c r="K286" s="149">
        <f t="shared" ref="K286" si="1344">K285/K267</f>
        <v>-2.3118045210677368E-2</v>
      </c>
      <c r="L286" s="149">
        <f t="shared" ref="L286" si="1345">L285/L267</f>
        <v>-2.4639983753927116E-2</v>
      </c>
      <c r="M286" s="149">
        <f t="shared" ref="M286" si="1346">M285/M267</f>
        <v>-2.1765117005681758E-2</v>
      </c>
      <c r="N286" s="149">
        <f t="shared" ref="N286" si="1347">N285/N267</f>
        <v>-1.4050057173276122E-2</v>
      </c>
      <c r="O286" s="149">
        <f t="shared" ref="O286" si="1348">O285/O267</f>
        <v>-1.0641954861590539E-2</v>
      </c>
      <c r="P286" s="149">
        <f t="shared" ref="P286" si="1349">P285/P267</f>
        <v>-1.1510877394936262E-2</v>
      </c>
      <c r="Q286" s="149">
        <f t="shared" ref="Q286" si="1350">Q285/Q267</f>
        <v>-1.0963571611519016E-2</v>
      </c>
      <c r="R286" s="149">
        <f t="shared" ref="R286" si="1351">R285/R267</f>
        <v>-1.1011304801420348E-2</v>
      </c>
      <c r="S286" s="148">
        <f t="shared" ref="S286" si="1352">S285/S267</f>
        <v>-1.7571724135410149E-2</v>
      </c>
      <c r="T286" s="149">
        <f t="shared" ref="T286" si="1353">T285/T267</f>
        <v>-1.7989628089793434E-2</v>
      </c>
      <c r="U286" s="149">
        <f t="shared" ref="U286" si="1354">U285/U267</f>
        <v>-1.4823200952729942E-2</v>
      </c>
      <c r="V286" s="149">
        <f t="shared" ref="V286" si="1355">V285/V267</f>
        <v>-1.7987858028113615E-2</v>
      </c>
      <c r="W286" s="149">
        <f t="shared" ref="W286" si="1356">W285/W267</f>
        <v>-1.5418391103118382E-2</v>
      </c>
      <c r="X286" s="149">
        <f t="shared" ref="X286" si="1357">X285/X267</f>
        <v>-1.7657506187547401E-2</v>
      </c>
      <c r="Y286" s="149">
        <f t="shared" ref="Y286" si="1358">Y285/Y267</f>
        <v>-1.5621333334617226E-2</v>
      </c>
      <c r="Z286" s="149">
        <f t="shared" ref="Z286" si="1359">Z285/Z267</f>
        <v>-1.6754150699917286E-2</v>
      </c>
      <c r="AA286" s="149">
        <f t="shared" ref="AA286" si="1360">AA285/AA267</f>
        <v>-1.290018486457452E-2</v>
      </c>
      <c r="AB286" s="149">
        <f t="shared" ref="AB286" si="1361">AB285/AB267</f>
        <v>-1.2437686617261915E-2</v>
      </c>
      <c r="AC286" s="149">
        <f t="shared" ref="AC286" si="1362">AC285/AC267</f>
        <v>-1.6333255547366945E-2</v>
      </c>
      <c r="AD286" s="150">
        <f t="shared" ref="AD286" si="1363">AD285/AD267</f>
        <v>-2.1985933252826519E-2</v>
      </c>
      <c r="AE286" s="15"/>
      <c r="AF286" s="96">
        <f t="shared" ref="AF286" si="1364">AF285/AF267</f>
        <v>-1.7596688730650772E-2</v>
      </c>
      <c r="AG286" s="97">
        <f t="shared" ref="AG286" si="1365">AG285/AG267</f>
        <v>-1.619121404180824E-2</v>
      </c>
    </row>
    <row r="287" spans="2:33" ht="3" customHeight="1" x14ac:dyDescent="0.2">
      <c r="B287" s="9">
        <f>G255</f>
        <v>6</v>
      </c>
      <c r="C287" s="9" t="str">
        <f t="shared" si="1134"/>
        <v xml:space="preserve">6 - </v>
      </c>
      <c r="D287" s="9" t="s">
        <v>56</v>
      </c>
      <c r="F287" s="16"/>
      <c r="G287" s="36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6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8"/>
      <c r="AE287" s="15"/>
      <c r="AF287" s="36"/>
      <c r="AG287" s="38"/>
    </row>
    <row r="288" spans="2:33" x14ac:dyDescent="0.2">
      <c r="B288" s="9">
        <f>G255</f>
        <v>6</v>
      </c>
      <c r="C288" s="9" t="str">
        <f t="shared" si="1134"/>
        <v>6 - Office Rent</v>
      </c>
      <c r="D288" s="9" t="s">
        <v>56</v>
      </c>
      <c r="F288" t="s">
        <v>162</v>
      </c>
      <c r="G288" s="144">
        <v>-31.849502854262955</v>
      </c>
      <c r="H288" s="70">
        <v>-31.849502854262955</v>
      </c>
      <c r="I288" s="70">
        <v>-31.849502854262955</v>
      </c>
      <c r="J288" s="70">
        <v>-31.849502854262955</v>
      </c>
      <c r="K288" s="70">
        <v>-31.849502854262955</v>
      </c>
      <c r="L288" s="70">
        <v>-31.849502854262955</v>
      </c>
      <c r="M288" s="70">
        <v>-31.849502854262955</v>
      </c>
      <c r="N288" s="70">
        <v>-31.849502854262955</v>
      </c>
      <c r="O288" s="70">
        <v>-31.849502854262955</v>
      </c>
      <c r="P288" s="70">
        <v>-32.804987939890843</v>
      </c>
      <c r="Q288" s="70">
        <v>-32.804987939890843</v>
      </c>
      <c r="R288" s="70">
        <v>-32.804987939890843</v>
      </c>
      <c r="S288" s="144">
        <v>-32.804590456927784</v>
      </c>
      <c r="T288" s="70">
        <v>-32.804590456927784</v>
      </c>
      <c r="U288" s="70">
        <v>-32.804590456927784</v>
      </c>
      <c r="V288" s="70">
        <v>-32.804590456927784</v>
      </c>
      <c r="W288" s="70">
        <v>-32.804590456927784</v>
      </c>
      <c r="X288" s="70">
        <v>-32.804590456927784</v>
      </c>
      <c r="Y288" s="70">
        <v>-32.804590456927784</v>
      </c>
      <c r="Z288" s="70">
        <v>-32.804590456927784</v>
      </c>
      <c r="AA288" s="70">
        <v>-32.804590456927784</v>
      </c>
      <c r="AB288" s="70">
        <v>-33.788728170635615</v>
      </c>
      <c r="AC288" s="70">
        <v>-33.788728170635615</v>
      </c>
      <c r="AD288" s="145">
        <v>-33.788728170635615</v>
      </c>
      <c r="AE288" s="15"/>
      <c r="AF288" s="144">
        <v>-385.06048950803915</v>
      </c>
      <c r="AG288" s="145">
        <v>-396.60749862425689</v>
      </c>
    </row>
    <row r="289" spans="2:34" x14ac:dyDescent="0.2">
      <c r="B289" s="9">
        <f>G255</f>
        <v>6</v>
      </c>
      <c r="C289" s="9" t="str">
        <f t="shared" si="1134"/>
        <v>6 - % YoY Growth</v>
      </c>
      <c r="D289" s="9" t="s">
        <v>56</v>
      </c>
      <c r="F289" s="16" t="s">
        <v>8</v>
      </c>
      <c r="G289" s="82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148">
        <f>S288/G288-1</f>
        <v>2.9987519963345255E-2</v>
      </c>
      <c r="T289" s="149">
        <f t="shared" ref="T289" si="1366">T288/H288-1</f>
        <v>2.9987519963345255E-2</v>
      </c>
      <c r="U289" s="149">
        <f t="shared" ref="U289" si="1367">U288/I288-1</f>
        <v>2.9987519963345255E-2</v>
      </c>
      <c r="V289" s="149">
        <f t="shared" ref="V289" si="1368">V288/J288-1</f>
        <v>2.9987519963345255E-2</v>
      </c>
      <c r="W289" s="149">
        <f t="shared" ref="W289" si="1369">W288/K288-1</f>
        <v>2.9987519963345255E-2</v>
      </c>
      <c r="X289" s="149">
        <f t="shared" ref="X289" si="1370">X288/L288-1</f>
        <v>2.9987519963345255E-2</v>
      </c>
      <c r="Y289" s="149">
        <f t="shared" ref="Y289" si="1371">Y288/M288-1</f>
        <v>2.9987519963345255E-2</v>
      </c>
      <c r="Z289" s="149">
        <f t="shared" ref="Z289" si="1372">Z288/N288-1</f>
        <v>2.9987519963345255E-2</v>
      </c>
      <c r="AA289" s="149">
        <f t="shared" ref="AA289" si="1373">AA288/O288-1</f>
        <v>2.9987519963345255E-2</v>
      </c>
      <c r="AB289" s="149">
        <f t="shared" ref="AB289" si="1374">AB288/P288-1</f>
        <v>2.9987519963345033E-2</v>
      </c>
      <c r="AC289" s="149">
        <f t="shared" ref="AC289" si="1375">AC288/Q288-1</f>
        <v>2.9987519963345033E-2</v>
      </c>
      <c r="AD289" s="150">
        <f t="shared" ref="AD289" si="1376">AD288/R288-1</f>
        <v>2.9987519963345033E-2</v>
      </c>
      <c r="AE289" s="15"/>
      <c r="AF289" s="11"/>
      <c r="AG289" s="97">
        <f>AG288/AF288-1</f>
        <v>2.9987519963345033E-2</v>
      </c>
    </row>
    <row r="290" spans="2:34" ht="6" customHeight="1" x14ac:dyDescent="0.2">
      <c r="B290" s="9">
        <f>G255</f>
        <v>6</v>
      </c>
      <c r="C290" s="9" t="str">
        <f t="shared" si="1134"/>
        <v xml:space="preserve">6 - </v>
      </c>
      <c r="D290" s="9" t="s">
        <v>56</v>
      </c>
      <c r="F290" s="16"/>
      <c r="G290" s="11"/>
      <c r="S290" s="11"/>
      <c r="AD290" s="15"/>
      <c r="AE290" s="15"/>
      <c r="AF290" s="11"/>
      <c r="AG290" s="15"/>
    </row>
    <row r="291" spans="2:34" x14ac:dyDescent="0.2">
      <c r="B291" s="9">
        <f>G255</f>
        <v>6</v>
      </c>
      <c r="C291" s="9" t="str">
        <f t="shared" si="1134"/>
        <v>6 - Office EBITDA</v>
      </c>
      <c r="D291" s="9" t="s">
        <v>56</v>
      </c>
      <c r="F291" s="8" t="s">
        <v>12</v>
      </c>
      <c r="G291" s="134">
        <f>G279+G282+G285+G288</f>
        <v>113.35980585025858</v>
      </c>
      <c r="H291" s="135">
        <f t="shared" ref="H291:AD291" si="1377">H279+H282+H285+H288</f>
        <v>116.39907540286713</v>
      </c>
      <c r="I291" s="135">
        <f t="shared" si="1377"/>
        <v>36.799261977153037</v>
      </c>
      <c r="J291" s="135">
        <f t="shared" si="1377"/>
        <v>29.259115231574714</v>
      </c>
      <c r="K291" s="135">
        <f t="shared" si="1377"/>
        <v>39.612485879838786</v>
      </c>
      <c r="L291" s="135">
        <f t="shared" si="1377"/>
        <v>30.096365367593148</v>
      </c>
      <c r="M291" s="135">
        <f t="shared" si="1377"/>
        <v>132.36215555680269</v>
      </c>
      <c r="N291" s="135">
        <f t="shared" si="1377"/>
        <v>206.9308513531154</v>
      </c>
      <c r="O291" s="135">
        <f t="shared" si="1377"/>
        <v>187.07920989231914</v>
      </c>
      <c r="P291" s="135">
        <f t="shared" si="1377"/>
        <v>190.98796766472472</v>
      </c>
      <c r="Q291" s="135">
        <f t="shared" si="1377"/>
        <v>156.76838255532195</v>
      </c>
      <c r="R291" s="135">
        <f t="shared" si="1377"/>
        <v>114.35140114294492</v>
      </c>
      <c r="S291" s="134">
        <f t="shared" si="1377"/>
        <v>87.69950341069341</v>
      </c>
      <c r="T291" s="135">
        <f t="shared" si="1377"/>
        <v>91.847766057961181</v>
      </c>
      <c r="U291" s="135">
        <f t="shared" si="1377"/>
        <v>102.63863836045037</v>
      </c>
      <c r="V291" s="135">
        <f t="shared" si="1377"/>
        <v>107.13039842336336</v>
      </c>
      <c r="W291" s="135">
        <f t="shared" si="1377"/>
        <v>114.91537686767386</v>
      </c>
      <c r="X291" s="135">
        <f t="shared" si="1377"/>
        <v>111.81273646225917</v>
      </c>
      <c r="Y291" s="135">
        <f t="shared" si="1377"/>
        <v>234.98886248124137</v>
      </c>
      <c r="Z291" s="135">
        <f t="shared" si="1377"/>
        <v>188.83751888218978</v>
      </c>
      <c r="AA291" s="135">
        <f t="shared" si="1377"/>
        <v>177.75436270696542</v>
      </c>
      <c r="AB291" s="135">
        <f t="shared" si="1377"/>
        <v>222.76607211929448</v>
      </c>
      <c r="AC291" s="135">
        <f t="shared" si="1377"/>
        <v>154.45782244354837</v>
      </c>
      <c r="AD291" s="136">
        <f t="shared" si="1377"/>
        <v>53.814557604457697</v>
      </c>
      <c r="AE291" s="15"/>
      <c r="AF291" s="94">
        <f>SUM(G291:R291)</f>
        <v>1354.0060778745142</v>
      </c>
      <c r="AG291" s="95">
        <f>SUM(S291:AD291)</f>
        <v>1648.6636158200981</v>
      </c>
    </row>
    <row r="292" spans="2:34" x14ac:dyDescent="0.2">
      <c r="B292" s="9">
        <f>G255</f>
        <v>6</v>
      </c>
      <c r="C292" s="9" t="str">
        <f t="shared" si="1134"/>
        <v>6 - % of Revenue - Office EBITDA</v>
      </c>
      <c r="D292" s="9" t="s">
        <v>56</v>
      </c>
      <c r="F292" s="16" t="str">
        <f>"% of Revenue - "&amp;F291</f>
        <v>% of Revenue - Office EBITDA</v>
      </c>
      <c r="G292" s="148">
        <f>G291/G267</f>
        <v>0.26321210233647635</v>
      </c>
      <c r="H292" s="149">
        <f t="shared" ref="H292" si="1378">H291/H267</f>
        <v>0.26822785346438177</v>
      </c>
      <c r="I292" s="149">
        <f t="shared" ref="I292" si="1379">I291/I267</f>
        <v>8.8915838621380708E-2</v>
      </c>
      <c r="J292" s="149">
        <f t="shared" ref="J292" si="1380">J291/J267</f>
        <v>7.5708267490228756E-2</v>
      </c>
      <c r="K292" s="149">
        <f t="shared" ref="K292" si="1381">K291/K267</f>
        <v>9.0158485462633484E-2</v>
      </c>
      <c r="L292" s="149">
        <f t="shared" ref="L292" si="1382">L291/L267</f>
        <v>7.2825364759602357E-2</v>
      </c>
      <c r="M292" s="149">
        <f t="shared" ref="M292" si="1383">M291/M267</f>
        <v>0.28759207364821165</v>
      </c>
      <c r="N292" s="149">
        <f t="shared" ref="N292" si="1384">N291/N267</f>
        <v>0.39016014354745354</v>
      </c>
      <c r="O292" s="149">
        <f t="shared" ref="O292" si="1385">O291/O267</f>
        <v>0.38438278593991532</v>
      </c>
      <c r="P292" s="149">
        <f t="shared" ref="P292" si="1386">P291/P267</f>
        <v>0.37547585537648376</v>
      </c>
      <c r="Q292" s="149">
        <f t="shared" ref="Q292" si="1387">Q291/Q267</f>
        <v>0.35745989446402648</v>
      </c>
      <c r="R292" s="149">
        <f t="shared" ref="R292" si="1388">R291/R267</f>
        <v>0.34096723705340531</v>
      </c>
      <c r="S292" s="148">
        <f t="shared" ref="S292" si="1389">S291/S267</f>
        <v>0.19909736488052113</v>
      </c>
      <c r="T292" s="149">
        <f t="shared" ref="T292" si="1390">T291/T267</f>
        <v>0.19971343310229964</v>
      </c>
      <c r="U292" s="149">
        <f t="shared" ref="U292" si="1391">U291/U267</f>
        <v>0.20392495791337356</v>
      </c>
      <c r="V292" s="149">
        <f t="shared" ref="V292" si="1392">V291/V267</f>
        <v>0.19646970533592645</v>
      </c>
      <c r="W292" s="149">
        <f t="shared" ref="W292" si="1393">W291/W267</f>
        <v>0.19247325442632976</v>
      </c>
      <c r="X292" s="149">
        <f t="shared" ref="X292" si="1394">X291/X267</f>
        <v>0.21387532013235053</v>
      </c>
      <c r="Y292" s="149">
        <f t="shared" ref="Y292" si="1395">Y291/Y267</f>
        <v>0.37236308934842371</v>
      </c>
      <c r="Z292" s="149">
        <f t="shared" ref="Z292" si="1396">Z291/Z267</f>
        <v>0.35102148928138466</v>
      </c>
      <c r="AA292" s="149">
        <f t="shared" ref="AA292" si="1397">AA291/AA267</f>
        <v>0.35681562339467582</v>
      </c>
      <c r="AB292" s="149">
        <f t="shared" ref="AB292" si="1398">AB291/AB267</f>
        <v>0.37517909110121395</v>
      </c>
      <c r="AC292" s="149">
        <f t="shared" ref="AC292" si="1399">AC291/AC267</f>
        <v>0.35246871660723211</v>
      </c>
      <c r="AD292" s="150">
        <f t="shared" ref="AD292" si="1400">AD291/AD267</f>
        <v>0.17028673351910245</v>
      </c>
      <c r="AE292" s="15"/>
      <c r="AF292" s="96">
        <f t="shared" ref="AF292" si="1401">AF291/AF267</f>
        <v>0.25656134755595383</v>
      </c>
      <c r="AG292" s="97">
        <f t="shared" ref="AG292" si="1402">AG291/AG267</f>
        <v>0.27098241339391516</v>
      </c>
    </row>
    <row r="293" spans="2:34" ht="6" customHeight="1" x14ac:dyDescent="0.2">
      <c r="B293" s="9">
        <f>G255</f>
        <v>6</v>
      </c>
      <c r="C293" s="9" t="str">
        <f t="shared" si="1134"/>
        <v xml:space="preserve">6 - </v>
      </c>
      <c r="D293" s="9" t="s">
        <v>56</v>
      </c>
      <c r="G293" s="11"/>
      <c r="S293" s="11"/>
      <c r="AD293" s="15"/>
      <c r="AE293" s="15"/>
      <c r="AF293" s="11"/>
      <c r="AG293" s="15"/>
    </row>
    <row r="294" spans="2:34" x14ac:dyDescent="0.2">
      <c r="B294" s="9">
        <f>G255</f>
        <v>6</v>
      </c>
      <c r="C294" s="9" t="str">
        <f t="shared" si="1134"/>
        <v>6 - Memo:</v>
      </c>
      <c r="D294" s="9" t="s">
        <v>56</v>
      </c>
      <c r="F294" s="6" t="s">
        <v>13</v>
      </c>
      <c r="G294" s="11"/>
      <c r="S294" s="11"/>
      <c r="AD294" s="15"/>
      <c r="AE294" s="15"/>
      <c r="AF294" s="11"/>
      <c r="AG294" s="15"/>
    </row>
    <row r="295" spans="2:34" s="24" customFormat="1" x14ac:dyDescent="0.2">
      <c r="B295" s="9">
        <f>G255</f>
        <v>6</v>
      </c>
      <c r="C295" s="9" t="str">
        <f t="shared" si="1134"/>
        <v>6 - Collections</v>
      </c>
      <c r="D295" s="9" t="s">
        <v>56</v>
      </c>
      <c r="E295" s="49"/>
      <c r="F295" s="24" t="s">
        <v>15</v>
      </c>
      <c r="G295" s="169">
        <f>G296*G265</f>
        <v>425.53146838514544</v>
      </c>
      <c r="H295" s="170">
        <f t="shared" ref="H295" si="1403">H296*H265</f>
        <v>438.62909349722077</v>
      </c>
      <c r="I295" s="170">
        <f t="shared" ref="I295" si="1404">I296*I265</f>
        <v>404.48226822373931</v>
      </c>
      <c r="J295" s="170">
        <f t="shared" ref="J295" si="1405">J296*J265</f>
        <v>382.55568554846656</v>
      </c>
      <c r="K295" s="170">
        <f t="shared" ref="K295" si="1406">K296*K265</f>
        <v>442.42261646618471</v>
      </c>
      <c r="L295" s="170">
        <f t="shared" ref="L295" si="1407">L296*L265</f>
        <v>406.17264738714806</v>
      </c>
      <c r="M295" s="170">
        <f t="shared" ref="M295" si="1408">M296*M265</f>
        <v>465.67911997075595</v>
      </c>
      <c r="N295" s="170">
        <f t="shared" ref="N295" si="1409">N296*N265</f>
        <v>521.62321125420056</v>
      </c>
      <c r="O295" s="170">
        <f t="shared" ref="O295" si="1410">O296*O265</f>
        <v>473.87205101468834</v>
      </c>
      <c r="P295" s="170">
        <f t="shared" ref="P295" si="1411">P296*P265</f>
        <v>501.448415627261</v>
      </c>
      <c r="Q295" s="170">
        <f t="shared" ref="Q295" si="1412">Q296*Q265</f>
        <v>435.46837504831177</v>
      </c>
      <c r="R295" s="170">
        <f t="shared" ref="R295" si="1413">R296*R265</f>
        <v>327.13582755239423</v>
      </c>
      <c r="S295" s="169">
        <f t="shared" ref="S295" si="1414">S296*S265</f>
        <v>432.83458505842975</v>
      </c>
      <c r="T295" s="170">
        <f t="shared" ref="T295" si="1415">T296*T265</f>
        <v>458.40807232232112</v>
      </c>
      <c r="U295" s="170">
        <f t="shared" ref="U295" si="1416">U296*U265</f>
        <v>508.87584821458063</v>
      </c>
      <c r="V295" s="170">
        <f t="shared" ref="V295" si="1417">V296*V265</f>
        <v>554.20811861866935</v>
      </c>
      <c r="W295" s="170">
        <f t="shared" ref="W295" si="1418">W296*W265</f>
        <v>590.90115909116128</v>
      </c>
      <c r="X295" s="170">
        <f t="shared" ref="X295" si="1419">X296*X265</f>
        <v>531.19919306660609</v>
      </c>
      <c r="Y295" s="170">
        <f t="shared" ref="Y295" si="1420">Y296*Y265</f>
        <v>631.49558301361321</v>
      </c>
      <c r="Z295" s="170">
        <f t="shared" ref="Z295" si="1421">Z296*Z265</f>
        <v>532.39993855014109</v>
      </c>
      <c r="AA295" s="170">
        <f t="shared" ref="AA295" si="1422">AA296*AA265</f>
        <v>490.02328570820362</v>
      </c>
      <c r="AB295" s="170">
        <f t="shared" ref="AB295" si="1423">AB296*AB265</f>
        <v>585.13070481352054</v>
      </c>
      <c r="AC295" s="170">
        <f t="shared" ref="AC295" si="1424">AC296*AC265</f>
        <v>445.25088290858628</v>
      </c>
      <c r="AD295" s="171">
        <f t="shared" ref="AD295" si="1425">AD296*AD265</f>
        <v>316.16892720455456</v>
      </c>
      <c r="AE295" s="26"/>
      <c r="AF295" s="68">
        <f>SUM(G295:R295)</f>
        <v>5225.0207799755162</v>
      </c>
      <c r="AG295" s="99">
        <f>SUM(S295:AD295)</f>
        <v>6076.8962985703874</v>
      </c>
    </row>
    <row r="296" spans="2:34" x14ac:dyDescent="0.2">
      <c r="B296" s="9">
        <f>G255</f>
        <v>6</v>
      </c>
      <c r="C296" s="9" t="str">
        <f t="shared" si="1134"/>
        <v>6 - Collections as a % of Production</v>
      </c>
      <c r="D296" s="9" t="s">
        <v>56</v>
      </c>
      <c r="F296" s="16" t="s">
        <v>17</v>
      </c>
      <c r="G296" s="140">
        <v>0.97537092310352591</v>
      </c>
      <c r="H296" s="141">
        <v>0.99779917347644387</v>
      </c>
      <c r="I296" s="141">
        <v>0.96478572685786235</v>
      </c>
      <c r="J296" s="141">
        <v>0.97716553637559989</v>
      </c>
      <c r="K296" s="141">
        <v>0.99403846955096364</v>
      </c>
      <c r="L296" s="141">
        <v>0.97022096248155054</v>
      </c>
      <c r="M296" s="141">
        <v>0.99882915069456224</v>
      </c>
      <c r="N296" s="141">
        <v>0.97088083511161638</v>
      </c>
      <c r="O296" s="141">
        <v>0.96114931308857188</v>
      </c>
      <c r="P296" s="141">
        <v>0.97318102722016508</v>
      </c>
      <c r="Q296" s="141">
        <v>0.98020480717928671</v>
      </c>
      <c r="R296" s="141">
        <v>0.96292094251634242</v>
      </c>
      <c r="S296" s="140">
        <v>0.96096309108395261</v>
      </c>
      <c r="T296" s="141">
        <v>0.97478157291682599</v>
      </c>
      <c r="U296" s="141">
        <v>0.98875277008137186</v>
      </c>
      <c r="V296" s="141">
        <v>0.99396737939952995</v>
      </c>
      <c r="W296" s="141">
        <v>0.96788433358883808</v>
      </c>
      <c r="X296" s="141">
        <v>0.99367228615407144</v>
      </c>
      <c r="Y296" s="141">
        <v>0.97860186158815976</v>
      </c>
      <c r="Z296" s="141">
        <v>0.96783158249580925</v>
      </c>
      <c r="AA296" s="141">
        <v>0.9619592738875683</v>
      </c>
      <c r="AB296" s="141">
        <v>0.96373768721417419</v>
      </c>
      <c r="AC296" s="141">
        <v>0.99364633078403997</v>
      </c>
      <c r="AD296" s="142">
        <v>0.97840035258822666</v>
      </c>
      <c r="AE296" s="15"/>
      <c r="AF296" s="96">
        <f t="shared" ref="AF296" si="1426">AF295/AF265</f>
        <v>0.97734973200179476</v>
      </c>
      <c r="AG296" s="97">
        <f t="shared" ref="AG296" si="1427">AG295/AG265</f>
        <v>0.9768036019635985</v>
      </c>
    </row>
    <row r="297" spans="2:34" ht="6" customHeight="1" x14ac:dyDescent="0.2">
      <c r="B297" s="9">
        <f>G255</f>
        <v>6</v>
      </c>
      <c r="C297" s="9" t="str">
        <f t="shared" si="1134"/>
        <v xml:space="preserve">6 - </v>
      </c>
      <c r="D297" s="9" t="s">
        <v>56</v>
      </c>
      <c r="F297" s="27"/>
      <c r="R297" s="15"/>
      <c r="AD297" s="15"/>
      <c r="AE297" s="15"/>
      <c r="AF297" s="11"/>
      <c r="AG297" s="15"/>
    </row>
    <row r="298" spans="2:34" s="24" customFormat="1" x14ac:dyDescent="0.2">
      <c r="B298" s="9">
        <f>G255</f>
        <v>6</v>
      </c>
      <c r="C298" s="9" t="str">
        <f t="shared" si="1134"/>
        <v>6 - Production per Vet Workday - YoY Change</v>
      </c>
      <c r="D298" s="9" t="s">
        <v>56</v>
      </c>
      <c r="E298" s="49"/>
      <c r="F298" s="24" t="s">
        <v>55</v>
      </c>
      <c r="G298" s="88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151">
        <f>S264/G264-1</f>
        <v>-1.2474735851646268E-2</v>
      </c>
      <c r="T298" s="152">
        <f t="shared" ref="T298" si="1428">T264/H264-1</f>
        <v>2.114464790064341E-2</v>
      </c>
      <c r="U298" s="152">
        <f t="shared" ref="U298" si="1429">U264/I264-1</f>
        <v>4.3968280545729765E-3</v>
      </c>
      <c r="V298" s="152">
        <f t="shared" ref="V298" si="1430">V264/J264-1</f>
        <v>1.9605359632967279E-2</v>
      </c>
      <c r="W298" s="152">
        <f t="shared" ref="W298" si="1431">W264/K264-1</f>
        <v>-1.4094903906068046E-2</v>
      </c>
      <c r="X298" s="152">
        <f t="shared" ref="X298" si="1432">X264/L264-1</f>
        <v>4.8923979597269573E-2</v>
      </c>
      <c r="Y298" s="152">
        <f t="shared" ref="Y298" si="1433">Y264/M264-1</f>
        <v>5.9140449850631382E-2</v>
      </c>
      <c r="Z298" s="152">
        <f t="shared" ref="Z298" si="1434">Z264/N264-1</f>
        <v>6.8392011927980834E-2</v>
      </c>
      <c r="AA298" s="152">
        <f t="shared" ref="AA298" si="1435">AA264/O264-1</f>
        <v>8.2413458093352654E-2</v>
      </c>
      <c r="AB298" s="152">
        <f t="shared" ref="AB298" si="1436">AB264/P264-1</f>
        <v>8.0122107186398894E-2</v>
      </c>
      <c r="AC298" s="152">
        <f t="shared" ref="AC298" si="1437">AC264/Q264-1</f>
        <v>5.4479931063733389E-2</v>
      </c>
      <c r="AD298" s="153">
        <f t="shared" ref="AD298" si="1438">AD264/R264-1</f>
        <v>0.1889815627601743</v>
      </c>
      <c r="AF298" s="43"/>
      <c r="AG298" s="104">
        <f>AG264/AF264-1</f>
        <v>5.3673462184353538E-2</v>
      </c>
    </row>
    <row r="299" spans="2:34" s="24" customFormat="1" ht="6" customHeight="1" x14ac:dyDescent="0.2">
      <c r="D299" s="9" t="s">
        <v>56</v>
      </c>
      <c r="E299" s="49"/>
      <c r="G299" s="28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29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29"/>
      <c r="AE299" s="25"/>
      <c r="AF299" s="28"/>
      <c r="AG299" s="29"/>
    </row>
    <row r="300" spans="2:34" s="24" customFormat="1" ht="6" customHeight="1" x14ac:dyDescent="0.2">
      <c r="D300" s="9" t="s">
        <v>56</v>
      </c>
      <c r="E300" s="49"/>
    </row>
    <row r="301" spans="2:34" x14ac:dyDescent="0.2">
      <c r="D301" s="9" t="s">
        <v>56</v>
      </c>
      <c r="F301" s="16"/>
    </row>
    <row r="302" spans="2:34" ht="15.75" thickBot="1" x14ac:dyDescent="0.4">
      <c r="B302" s="35" t="s">
        <v>52</v>
      </c>
      <c r="C302" s="35"/>
      <c r="D302" s="9" t="s">
        <v>56</v>
      </c>
      <c r="E302" s="48" t="s">
        <v>0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74">
        <f ca="1">AG$2</f>
        <v>45999</v>
      </c>
      <c r="AH302" s="1"/>
    </row>
    <row r="303" spans="2:34" x14ac:dyDescent="0.2">
      <c r="B303" s="9">
        <f>G305</f>
        <v>7</v>
      </c>
      <c r="C303" s="9"/>
      <c r="D303" s="9" t="s">
        <v>56</v>
      </c>
      <c r="F303" t="s">
        <v>159</v>
      </c>
      <c r="AG303" s="6" t="s">
        <v>16</v>
      </c>
    </row>
    <row r="304" spans="2:34" x14ac:dyDescent="0.2">
      <c r="B304" s="9"/>
      <c r="C304" s="9"/>
      <c r="D304" s="9" t="s">
        <v>56</v>
      </c>
      <c r="AG304" s="6"/>
    </row>
    <row r="305" spans="2:33" x14ac:dyDescent="0.2">
      <c r="B305" s="9">
        <f>G305</f>
        <v>7</v>
      </c>
      <c r="C305" s="9"/>
      <c r="D305" s="9" t="s">
        <v>56</v>
      </c>
      <c r="F305" s="40" t="s">
        <v>53</v>
      </c>
      <c r="G305" s="42">
        <v>7</v>
      </c>
    </row>
    <row r="306" spans="2:33" x14ac:dyDescent="0.2">
      <c r="B306" s="9">
        <f>G305</f>
        <v>7</v>
      </c>
      <c r="C306" s="9"/>
      <c r="D306" s="9" t="s">
        <v>56</v>
      </c>
      <c r="F306" s="39" t="s">
        <v>24</v>
      </c>
      <c r="G306" s="41"/>
      <c r="H306" s="11"/>
    </row>
    <row r="307" spans="2:33" x14ac:dyDescent="0.2">
      <c r="B307" s="9">
        <f>G305</f>
        <v>7</v>
      </c>
      <c r="C307" s="9"/>
      <c r="D307" s="9" t="s">
        <v>56</v>
      </c>
      <c r="G307" s="23"/>
    </row>
    <row r="308" spans="2:33" x14ac:dyDescent="0.2">
      <c r="B308" s="9">
        <f>G305</f>
        <v>7</v>
      </c>
      <c r="C308" s="9"/>
      <c r="D308" s="9" t="s">
        <v>56</v>
      </c>
      <c r="G308" s="20">
        <v>2023</v>
      </c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2"/>
      <c r="S308" s="20">
        <v>2024</v>
      </c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2"/>
      <c r="AF308" s="17" t="s">
        <v>14</v>
      </c>
      <c r="AG308" s="18"/>
    </row>
    <row r="309" spans="2:33" ht="15" customHeight="1" x14ac:dyDescent="0.35">
      <c r="B309" s="9">
        <f>G305</f>
        <v>7</v>
      </c>
      <c r="C309" s="9"/>
      <c r="D309" s="9" t="s">
        <v>56</v>
      </c>
      <c r="G309" s="165">
        <v>44957</v>
      </c>
      <c r="H309" s="166">
        <v>44985</v>
      </c>
      <c r="I309" s="166">
        <v>45016</v>
      </c>
      <c r="J309" s="166">
        <v>45046</v>
      </c>
      <c r="K309" s="166">
        <v>45077</v>
      </c>
      <c r="L309" s="166">
        <v>45107</v>
      </c>
      <c r="M309" s="166">
        <v>45138</v>
      </c>
      <c r="N309" s="166">
        <v>45169</v>
      </c>
      <c r="O309" s="166">
        <v>45199</v>
      </c>
      <c r="P309" s="166">
        <v>45230</v>
      </c>
      <c r="Q309" s="166">
        <v>45260</v>
      </c>
      <c r="R309" s="167">
        <v>45291</v>
      </c>
      <c r="S309" s="165">
        <v>45322</v>
      </c>
      <c r="T309" s="166">
        <v>45351</v>
      </c>
      <c r="U309" s="166">
        <v>45382</v>
      </c>
      <c r="V309" s="166">
        <v>45412</v>
      </c>
      <c r="W309" s="166">
        <v>45443</v>
      </c>
      <c r="X309" s="166">
        <v>45473</v>
      </c>
      <c r="Y309" s="166">
        <v>45504</v>
      </c>
      <c r="Z309" s="166">
        <v>45535</v>
      </c>
      <c r="AA309" s="166">
        <v>45565</v>
      </c>
      <c r="AB309" s="166">
        <v>45596</v>
      </c>
      <c r="AC309" s="166">
        <v>45626</v>
      </c>
      <c r="AD309" s="167">
        <v>45657</v>
      </c>
      <c r="AE309" s="168"/>
      <c r="AF309" s="13">
        <v>45291</v>
      </c>
      <c r="AG309" s="14">
        <v>45657</v>
      </c>
    </row>
    <row r="310" spans="2:33" ht="0.95" customHeight="1" x14ac:dyDescent="0.2">
      <c r="B310" s="9">
        <f>G305</f>
        <v>7</v>
      </c>
      <c r="C310" s="9"/>
      <c r="D310" s="9" t="s">
        <v>56</v>
      </c>
      <c r="G310" s="11"/>
      <c r="S310" s="11"/>
      <c r="AD310" s="15"/>
      <c r="AE310" s="15"/>
      <c r="AF310" s="11"/>
      <c r="AG310" s="15"/>
    </row>
    <row r="311" spans="2:33" x14ac:dyDescent="0.2">
      <c r="B311" s="9">
        <f>G305</f>
        <v>7</v>
      </c>
      <c r="C311" s="9" t="str">
        <f>B311&amp;" - "&amp;F311</f>
        <v>7 - Employed Vets</v>
      </c>
      <c r="D311" s="9" t="s">
        <v>56</v>
      </c>
      <c r="F311" s="7" t="s">
        <v>160</v>
      </c>
      <c r="G311" s="121">
        <v>4</v>
      </c>
      <c r="H311" s="154">
        <f>MAX(MIN(IF(H314/G314&gt;1.1,G311-1,IF(H314/G314&lt;0.9,G311+1,G311)),5),1)</f>
        <v>4</v>
      </c>
      <c r="I311" s="154">
        <f t="shared" ref="I311:AC311" si="1439">MAX(MIN(IF(I314/H314&gt;1.1,H311-1,IF(I314/H314&lt;0.9,H311+1,H311)),5),1)</f>
        <v>3</v>
      </c>
      <c r="J311" s="154">
        <f t="shared" si="1439"/>
        <v>3</v>
      </c>
      <c r="K311" s="154">
        <f t="shared" si="1439"/>
        <v>2</v>
      </c>
      <c r="L311" s="154">
        <f t="shared" si="1439"/>
        <v>2</v>
      </c>
      <c r="M311" s="154">
        <f t="shared" si="1439"/>
        <v>2</v>
      </c>
      <c r="N311" s="154">
        <f t="shared" si="1439"/>
        <v>3</v>
      </c>
      <c r="O311" s="154">
        <f t="shared" si="1439"/>
        <v>3</v>
      </c>
      <c r="P311" s="154">
        <f t="shared" si="1439"/>
        <v>3</v>
      </c>
      <c r="Q311" s="154">
        <f t="shared" si="1439"/>
        <v>4</v>
      </c>
      <c r="R311" s="154">
        <f t="shared" si="1439"/>
        <v>5</v>
      </c>
      <c r="S311" s="155">
        <f t="shared" si="1439"/>
        <v>4</v>
      </c>
      <c r="T311" s="154">
        <f t="shared" si="1439"/>
        <v>3</v>
      </c>
      <c r="U311" s="154">
        <f t="shared" si="1439"/>
        <v>2</v>
      </c>
      <c r="V311" s="154">
        <f t="shared" si="1439"/>
        <v>2</v>
      </c>
      <c r="W311" s="154">
        <f t="shared" si="1439"/>
        <v>1</v>
      </c>
      <c r="X311" s="154">
        <f t="shared" si="1439"/>
        <v>1</v>
      </c>
      <c r="Y311" s="154">
        <f t="shared" si="1439"/>
        <v>1</v>
      </c>
      <c r="Z311" s="154">
        <f t="shared" si="1439"/>
        <v>2</v>
      </c>
      <c r="AA311" s="154">
        <f t="shared" si="1439"/>
        <v>2</v>
      </c>
      <c r="AB311" s="154">
        <f t="shared" si="1439"/>
        <v>2</v>
      </c>
      <c r="AC311" s="154">
        <f t="shared" si="1439"/>
        <v>3</v>
      </c>
      <c r="AD311" s="156">
        <f>MROUND(AVERAGE(S311:AC311),1)</f>
        <v>2</v>
      </c>
      <c r="AE311" s="15"/>
      <c r="AF311" s="90">
        <f>AVERAGE(G311:R311)</f>
        <v>3.1666666666666665</v>
      </c>
      <c r="AG311" s="91">
        <f>AVERAGE(S311:AD311)</f>
        <v>2.0833333333333335</v>
      </c>
    </row>
    <row r="312" spans="2:33" x14ac:dyDescent="0.2">
      <c r="B312" s="9">
        <f>G305</f>
        <v>7</v>
      </c>
      <c r="C312" s="9" t="str">
        <f t="shared" ref="C312:C348" si="1440">B312&amp;" - "&amp;F312</f>
        <v>7 - Workdays in Month / Year</v>
      </c>
      <c r="D312" s="9" t="s">
        <v>56</v>
      </c>
      <c r="F312" s="7" t="s">
        <v>54</v>
      </c>
      <c r="G312" s="121">
        <v>22</v>
      </c>
      <c r="H312" s="124">
        <v>21</v>
      </c>
      <c r="I312" s="124">
        <v>24</v>
      </c>
      <c r="J312" s="122">
        <v>21</v>
      </c>
      <c r="K312" s="122">
        <v>23</v>
      </c>
      <c r="L312" s="122">
        <v>23</v>
      </c>
      <c r="M312" s="122">
        <v>22</v>
      </c>
      <c r="N312" s="122">
        <v>24</v>
      </c>
      <c r="O312" s="122">
        <v>22</v>
      </c>
      <c r="P312" s="122">
        <v>22</v>
      </c>
      <c r="Q312" s="122">
        <v>23</v>
      </c>
      <c r="R312" s="122">
        <v>22</v>
      </c>
      <c r="S312" s="121">
        <v>23</v>
      </c>
      <c r="T312" s="122">
        <v>22</v>
      </c>
      <c r="U312" s="122">
        <v>22</v>
      </c>
      <c r="V312" s="122">
        <v>22</v>
      </c>
      <c r="W312" s="122">
        <v>24</v>
      </c>
      <c r="X312" s="122">
        <v>21</v>
      </c>
      <c r="Y312" s="122">
        <v>23</v>
      </c>
      <c r="Z312" s="122">
        <v>23</v>
      </c>
      <c r="AA312" s="122">
        <v>21</v>
      </c>
      <c r="AB312" s="122">
        <v>24</v>
      </c>
      <c r="AC312" s="122">
        <v>22</v>
      </c>
      <c r="AD312" s="123">
        <v>22</v>
      </c>
      <c r="AE312" s="15"/>
      <c r="AF312" s="144">
        <v>269</v>
      </c>
      <c r="AG312" s="145">
        <v>269</v>
      </c>
    </row>
    <row r="313" spans="2:33" x14ac:dyDescent="0.2">
      <c r="B313" s="9">
        <f>G305</f>
        <v>7</v>
      </c>
      <c r="C313" s="9" t="str">
        <f t="shared" si="1440"/>
        <v>7 - Total Vet Days</v>
      </c>
      <c r="D313" s="9" t="s">
        <v>56</v>
      </c>
      <c r="F313" s="8" t="s">
        <v>51</v>
      </c>
      <c r="G313" s="125">
        <f>G311*G312</f>
        <v>88</v>
      </c>
      <c r="H313" s="126">
        <f t="shared" ref="H313" si="1441">H311*H312</f>
        <v>84</v>
      </c>
      <c r="I313" s="126">
        <f t="shared" ref="I313" si="1442">I311*I312</f>
        <v>72</v>
      </c>
      <c r="J313" s="127">
        <f t="shared" ref="J313" si="1443">J311*J312</f>
        <v>63</v>
      </c>
      <c r="K313" s="127">
        <f t="shared" ref="K313" si="1444">K311*K312</f>
        <v>46</v>
      </c>
      <c r="L313" s="127">
        <f t="shared" ref="L313" si="1445">L311*L312</f>
        <v>46</v>
      </c>
      <c r="M313" s="127">
        <f t="shared" ref="M313" si="1446">M311*M312</f>
        <v>44</v>
      </c>
      <c r="N313" s="127">
        <f t="shared" ref="N313" si="1447">N311*N312</f>
        <v>72</v>
      </c>
      <c r="O313" s="127">
        <f t="shared" ref="O313" si="1448">O311*O312</f>
        <v>66</v>
      </c>
      <c r="P313" s="127">
        <f t="shared" ref="P313" si="1449">P311*P312</f>
        <v>66</v>
      </c>
      <c r="Q313" s="127">
        <f t="shared" ref="Q313" si="1450">Q311*Q312</f>
        <v>92</v>
      </c>
      <c r="R313" s="127">
        <f t="shared" ref="R313" si="1451">R311*R312</f>
        <v>110</v>
      </c>
      <c r="S313" s="125">
        <f t="shared" ref="S313" si="1452">S311*S312</f>
        <v>92</v>
      </c>
      <c r="T313" s="127">
        <f t="shared" ref="T313" si="1453">T311*T312</f>
        <v>66</v>
      </c>
      <c r="U313" s="127">
        <f t="shared" ref="U313" si="1454">U311*U312</f>
        <v>44</v>
      </c>
      <c r="V313" s="127">
        <f t="shared" ref="V313" si="1455">V311*V312</f>
        <v>44</v>
      </c>
      <c r="W313" s="127">
        <f t="shared" ref="W313" si="1456">W311*W312</f>
        <v>24</v>
      </c>
      <c r="X313" s="127">
        <f t="shared" ref="X313" si="1457">X311*X312</f>
        <v>21</v>
      </c>
      <c r="Y313" s="127">
        <f t="shared" ref="Y313" si="1458">Y311*Y312</f>
        <v>23</v>
      </c>
      <c r="Z313" s="127">
        <f t="shared" ref="Z313" si="1459">Z311*Z312</f>
        <v>46</v>
      </c>
      <c r="AA313" s="127">
        <f t="shared" ref="AA313" si="1460">AA311*AA312</f>
        <v>42</v>
      </c>
      <c r="AB313" s="127">
        <f t="shared" ref="AB313" si="1461">AB311*AB312</f>
        <v>48</v>
      </c>
      <c r="AC313" s="127">
        <f t="shared" ref="AC313" si="1462">AC311*AC312</f>
        <v>66</v>
      </c>
      <c r="AD313" s="128">
        <f t="shared" ref="AD313" si="1463">AD311*AD312</f>
        <v>44</v>
      </c>
      <c r="AF313" s="119">
        <f>SUM(G313:R313)</f>
        <v>849</v>
      </c>
      <c r="AG313" s="120">
        <f>SUM(S313:AD313)</f>
        <v>560</v>
      </c>
    </row>
    <row r="314" spans="2:33" x14ac:dyDescent="0.2">
      <c r="B314" s="9">
        <f>G305</f>
        <v>7</v>
      </c>
      <c r="C314" s="9" t="str">
        <f t="shared" si="1440"/>
        <v>7 - Production per Vet Workday</v>
      </c>
      <c r="D314" s="9" t="s">
        <v>56</v>
      </c>
      <c r="F314" s="7" t="s">
        <v>50</v>
      </c>
      <c r="G314" s="129">
        <v>5.1622113780402668</v>
      </c>
      <c r="H314" s="130">
        <v>5.3410534689556313</v>
      </c>
      <c r="I314" s="130">
        <v>6.0941405446988881</v>
      </c>
      <c r="J314" s="130">
        <v>6.4723180970699969</v>
      </c>
      <c r="K314" s="130">
        <v>7.2597699976104719</v>
      </c>
      <c r="L314" s="130">
        <v>6.6818480663504705</v>
      </c>
      <c r="M314" s="130">
        <v>6.1569611655061358</v>
      </c>
      <c r="N314" s="130">
        <v>5.5169210352467353</v>
      </c>
      <c r="O314" s="130">
        <v>5.377076900309059</v>
      </c>
      <c r="P314" s="130">
        <v>5.0767535285597463</v>
      </c>
      <c r="Q314" s="130">
        <v>4.4198354297213882</v>
      </c>
      <c r="R314" s="130">
        <v>3.7187891322423949</v>
      </c>
      <c r="S314" s="129">
        <v>4.4807964874582558</v>
      </c>
      <c r="T314" s="130">
        <v>5.114484419780684</v>
      </c>
      <c r="U314" s="130">
        <v>5.85477233465644</v>
      </c>
      <c r="V314" s="130">
        <v>5.7595372997986027</v>
      </c>
      <c r="W314" s="130">
        <v>6.7407292108539822</v>
      </c>
      <c r="X314" s="130">
        <v>6.3118167590745831</v>
      </c>
      <c r="Y314" s="130">
        <v>6.0866857727131123</v>
      </c>
      <c r="Z314" s="130">
        <v>4.8179692323296957</v>
      </c>
      <c r="AA314" s="130">
        <v>5.1441596476104898</v>
      </c>
      <c r="AB314" s="130">
        <v>5.3291580130670964</v>
      </c>
      <c r="AC314" s="130">
        <v>4.6286665312675979</v>
      </c>
      <c r="AD314" s="131">
        <v>3.6806740487991849</v>
      </c>
      <c r="AE314" s="15"/>
      <c r="AF314" s="132">
        <v>5.612933596514476</v>
      </c>
      <c r="AG314" s="133">
        <v>5.3945535104190396</v>
      </c>
    </row>
    <row r="315" spans="2:33" x14ac:dyDescent="0.2">
      <c r="B315" s="9">
        <f>G305</f>
        <v>7</v>
      </c>
      <c r="C315" s="9" t="str">
        <f t="shared" si="1440"/>
        <v>7 - Total Production</v>
      </c>
      <c r="D315" s="9" t="s">
        <v>56</v>
      </c>
      <c r="F315" s="8" t="s">
        <v>1</v>
      </c>
      <c r="G315" s="134">
        <f>G314*G313</f>
        <v>454.27460126754346</v>
      </c>
      <c r="H315" s="135">
        <f t="shared" ref="H315" si="1464">H314*H313</f>
        <v>448.648491392273</v>
      </c>
      <c r="I315" s="135">
        <f t="shared" ref="I315" si="1465">I314*I313</f>
        <v>438.77811921831994</v>
      </c>
      <c r="J315" s="135">
        <f t="shared" ref="J315" si="1466">J314*J313</f>
        <v>407.7560401154098</v>
      </c>
      <c r="K315" s="135">
        <f t="shared" ref="K315" si="1467">K314*K313</f>
        <v>333.94941989008169</v>
      </c>
      <c r="L315" s="135">
        <f t="shared" ref="L315" si="1468">L314*L313</f>
        <v>307.36501105212164</v>
      </c>
      <c r="M315" s="135">
        <f t="shared" ref="M315" si="1469">M314*M313</f>
        <v>270.90629128226999</v>
      </c>
      <c r="N315" s="135">
        <f t="shared" ref="N315" si="1470">N314*N313</f>
        <v>397.21831453776497</v>
      </c>
      <c r="O315" s="135">
        <f t="shared" ref="O315" si="1471">O314*O313</f>
        <v>354.88707542039788</v>
      </c>
      <c r="P315" s="135">
        <f t="shared" ref="P315" si="1472">P314*P313</f>
        <v>335.06573288494326</v>
      </c>
      <c r="Q315" s="135">
        <f t="shared" ref="Q315" si="1473">Q314*Q313</f>
        <v>406.62485953436772</v>
      </c>
      <c r="R315" s="135">
        <f t="shared" ref="R315" si="1474">R314*R313</f>
        <v>409.06680454666343</v>
      </c>
      <c r="S315" s="134">
        <f t="shared" ref="S315" si="1475">S314*S313</f>
        <v>412.23327684615953</v>
      </c>
      <c r="T315" s="135">
        <f t="shared" ref="T315" si="1476">T314*T313</f>
        <v>337.55597170552517</v>
      </c>
      <c r="U315" s="135">
        <f t="shared" ref="U315" si="1477">U314*U313</f>
        <v>257.60998272488337</v>
      </c>
      <c r="V315" s="135">
        <f t="shared" ref="V315" si="1478">V314*V313</f>
        <v>253.41964119113851</v>
      </c>
      <c r="W315" s="135">
        <f t="shared" ref="W315" si="1479">W314*W313</f>
        <v>161.77750106049558</v>
      </c>
      <c r="X315" s="135">
        <f t="shared" ref="X315" si="1480">X314*X313</f>
        <v>132.54815194056624</v>
      </c>
      <c r="Y315" s="135">
        <f t="shared" ref="Y315" si="1481">Y314*Y313</f>
        <v>139.99377277240157</v>
      </c>
      <c r="Z315" s="135">
        <f t="shared" ref="Z315" si="1482">Z314*Z313</f>
        <v>221.626584687166</v>
      </c>
      <c r="AA315" s="135">
        <f t="shared" ref="AA315" si="1483">AA314*AA313</f>
        <v>216.05470519964058</v>
      </c>
      <c r="AB315" s="135">
        <f t="shared" ref="AB315" si="1484">AB314*AB313</f>
        <v>255.79958462722061</v>
      </c>
      <c r="AC315" s="135">
        <f t="shared" ref="AC315" si="1485">AC314*AC313</f>
        <v>305.49199106366143</v>
      </c>
      <c r="AD315" s="136">
        <f t="shared" ref="AD315" si="1486">AD314*AD313</f>
        <v>161.94965814716414</v>
      </c>
      <c r="AE315" s="15"/>
      <c r="AF315" s="94">
        <f>SUM(G315:R315)</f>
        <v>4564.540761142157</v>
      </c>
      <c r="AG315" s="95">
        <f>SUM(S315:AD315)</f>
        <v>2856.0608219660226</v>
      </c>
    </row>
    <row r="316" spans="2:33" x14ac:dyDescent="0.2">
      <c r="B316" s="9">
        <f>G305</f>
        <v>7</v>
      </c>
      <c r="C316" s="9" t="str">
        <f t="shared" si="1440"/>
        <v>7 - Revenue as a % of Production</v>
      </c>
      <c r="D316" s="9" t="s">
        <v>56</v>
      </c>
      <c r="F316" s="7" t="s">
        <v>2</v>
      </c>
      <c r="G316" s="137">
        <v>0.97603554707437978</v>
      </c>
      <c r="H316" s="138">
        <v>0.97603554707437978</v>
      </c>
      <c r="I316" s="138">
        <v>0.97603554707437978</v>
      </c>
      <c r="J316" s="138">
        <v>0.97603554707437978</v>
      </c>
      <c r="K316" s="138">
        <v>0.97603554707437978</v>
      </c>
      <c r="L316" s="138">
        <v>0.97603554707437978</v>
      </c>
      <c r="M316" s="138">
        <v>0.97603554707437978</v>
      </c>
      <c r="N316" s="138">
        <v>0.97603554707437978</v>
      </c>
      <c r="O316" s="138">
        <v>0.97603554707437978</v>
      </c>
      <c r="P316" s="138">
        <v>0.97603554707437978</v>
      </c>
      <c r="Q316" s="138">
        <v>0.97603554707437978</v>
      </c>
      <c r="R316" s="138">
        <v>0.97603554707437978</v>
      </c>
      <c r="S316" s="137">
        <v>0.98578797910608251</v>
      </c>
      <c r="T316" s="138">
        <v>0.98578797910608251</v>
      </c>
      <c r="U316" s="138">
        <v>0.98578797910608251</v>
      </c>
      <c r="V316" s="138">
        <v>0.98578797910608251</v>
      </c>
      <c r="W316" s="138">
        <v>0.98578797910608251</v>
      </c>
      <c r="X316" s="138">
        <v>0.98578797910608251</v>
      </c>
      <c r="Y316" s="138">
        <v>0.98578797910608251</v>
      </c>
      <c r="Z316" s="138">
        <v>0.98578797910608251</v>
      </c>
      <c r="AA316" s="138">
        <v>0.98578797910608251</v>
      </c>
      <c r="AB316" s="138">
        <v>0.98578797910608251</v>
      </c>
      <c r="AC316" s="138">
        <v>0.98578797910608251</v>
      </c>
      <c r="AD316" s="139">
        <v>0.98578797910608251</v>
      </c>
      <c r="AE316" s="15"/>
      <c r="AF316" s="161">
        <v>0.97603554707437978</v>
      </c>
      <c r="AG316" s="162">
        <v>0.98578797910608262</v>
      </c>
    </row>
    <row r="317" spans="2:33" x14ac:dyDescent="0.2">
      <c r="B317" s="9">
        <f>G305</f>
        <v>7</v>
      </c>
      <c r="C317" s="9" t="str">
        <f t="shared" si="1440"/>
        <v>7 - Total Revenue</v>
      </c>
      <c r="D317" s="9" t="s">
        <v>56</v>
      </c>
      <c r="F317" s="8" t="s">
        <v>3</v>
      </c>
      <c r="G317" s="134">
        <f>G316*G315</f>
        <v>443.38815897016252</v>
      </c>
      <c r="H317" s="135">
        <f t="shared" ref="H317" si="1487">H316*H315</f>
        <v>437.89687574015232</v>
      </c>
      <c r="I317" s="135">
        <f t="shared" ref="I317" si="1488">I316*I315</f>
        <v>428.26304163552032</v>
      </c>
      <c r="J317" s="135">
        <f t="shared" ref="J317" si="1489">J316*J315</f>
        <v>397.98438968692676</v>
      </c>
      <c r="K317" s="135">
        <f t="shared" ref="K317" si="1490">K316*K315</f>
        <v>325.94650473758765</v>
      </c>
      <c r="L317" s="135">
        <f t="shared" ref="L317" si="1491">L316*L315</f>
        <v>299.99917671378034</v>
      </c>
      <c r="M317" s="135">
        <f t="shared" ref="M317" si="1492">M316*M315</f>
        <v>264.41417021758167</v>
      </c>
      <c r="N317" s="135">
        <f t="shared" ref="N317" si="1493">N316*N315</f>
        <v>387.6991949378305</v>
      </c>
      <c r="O317" s="135">
        <f t="shared" ref="O317" si="1494">O316*O315</f>
        <v>346.3824008075747</v>
      </c>
      <c r="P317" s="135">
        <f t="shared" ref="P317" si="1495">P316*P315</f>
        <v>327.03606590223359</v>
      </c>
      <c r="Q317" s="135">
        <f t="shared" ref="Q317" si="1496">Q316*Q315</f>
        <v>396.8803172296694</v>
      </c>
      <c r="R317" s="135">
        <f t="shared" ref="R317" si="1497">R316*R315</f>
        <v>399.26374236567102</v>
      </c>
      <c r="S317" s="134">
        <f t="shared" ref="S317" si="1498">S316*S315</f>
        <v>406.37460890245382</v>
      </c>
      <c r="T317" s="135">
        <f t="shared" ref="T317" si="1499">T316*T315</f>
        <v>332.75861918277963</v>
      </c>
      <c r="U317" s="135">
        <f t="shared" ref="U317" si="1500">U316*U315</f>
        <v>253.9488242679156</v>
      </c>
      <c r="V317" s="135">
        <f t="shared" ref="V317" si="1501">V316*V315</f>
        <v>249.81803595560098</v>
      </c>
      <c r="W317" s="135">
        <f t="shared" ref="W317" si="1502">W316*W315</f>
        <v>159.47831583525806</v>
      </c>
      <c r="X317" s="135">
        <f t="shared" ref="X317" si="1503">X316*X315</f>
        <v>130.66437483573677</v>
      </c>
      <c r="Y317" s="135">
        <f t="shared" ref="Y317" si="1504">Y316*Y315</f>
        <v>138.00417834874187</v>
      </c>
      <c r="Z317" s="135">
        <f t="shared" ref="Z317" si="1505">Z316*Z315</f>
        <v>218.47682303494443</v>
      </c>
      <c r="AA317" s="135">
        <f t="shared" ref="AA317" si="1506">AA316*AA315</f>
        <v>212.9841312151141</v>
      </c>
      <c r="AB317" s="135">
        <f t="shared" ref="AB317" si="1507">AB316*AB315</f>
        <v>252.16415558584313</v>
      </c>
      <c r="AC317" s="135">
        <f t="shared" ref="AC317" si="1508">AC316*AC315</f>
        <v>301.15033250374023</v>
      </c>
      <c r="AD317" s="136">
        <f t="shared" ref="AD317" si="1509">AD316*AD315</f>
        <v>159.64802622181386</v>
      </c>
      <c r="AE317" s="15"/>
      <c r="AF317" s="94">
        <f>SUM(G317:R317)</f>
        <v>4455.1540389446909</v>
      </c>
      <c r="AG317" s="95">
        <f>SUM(S317:AD317)</f>
        <v>2815.4704258899424</v>
      </c>
    </row>
    <row r="318" spans="2:33" x14ac:dyDescent="0.2">
      <c r="B318" s="9">
        <f>G305</f>
        <v>7</v>
      </c>
      <c r="C318" s="9" t="str">
        <f t="shared" si="1440"/>
        <v>7 - % YoY Revenue Growth</v>
      </c>
      <c r="D318" s="9" t="s">
        <v>56</v>
      </c>
      <c r="F318" s="16" t="s">
        <v>174</v>
      </c>
      <c r="G318" s="82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148">
        <f>S317/G317-1</f>
        <v>-8.3478887108032862E-2</v>
      </c>
      <c r="T318" s="149">
        <f t="shared" ref="T318" si="1510">T317/H317-1</f>
        <v>-0.2400982112047807</v>
      </c>
      <c r="U318" s="149">
        <f t="shared" ref="U318" si="1511">U317/I317-1</f>
        <v>-0.40702605740132358</v>
      </c>
      <c r="V318" s="149">
        <f t="shared" ref="V318" si="1512">V317/J317-1</f>
        <v>-0.37229187267339914</v>
      </c>
      <c r="W318" s="149">
        <f t="shared" ref="W318" si="1513">W317/K317-1</f>
        <v>-0.51072242371903775</v>
      </c>
      <c r="X318" s="149">
        <f t="shared" ref="X318" si="1514">X317/L317-1</f>
        <v>-0.56445088860893944</v>
      </c>
      <c r="Y318" s="149">
        <f t="shared" ref="Y318" si="1515">Y317/M317-1</f>
        <v>-0.47807570889570439</v>
      </c>
      <c r="Z318" s="149">
        <f t="shared" ref="Z318" si="1516">Z317/N317-1</f>
        <v>-0.4364785228146314</v>
      </c>
      <c r="AA318" s="149">
        <f t="shared" ref="AA318" si="1517">AA317/O317-1</f>
        <v>-0.38511849701788725</v>
      </c>
      <c r="AB318" s="149">
        <f t="shared" ref="AB318" si="1518">AB317/P317-1</f>
        <v>-0.22894083595897086</v>
      </c>
      <c r="AC318" s="149">
        <f t="shared" ref="AC318" si="1519">AC317/Q317-1</f>
        <v>-0.24120617871440442</v>
      </c>
      <c r="AD318" s="150">
        <f t="shared" ref="AD318" si="1520">AD317/R317-1</f>
        <v>-0.60014394175667951</v>
      </c>
      <c r="AE318" s="15"/>
      <c r="AF318" s="11"/>
      <c r="AG318" s="97">
        <f>AG317/AF317-1</f>
        <v>-0.36804195740965817</v>
      </c>
    </row>
    <row r="319" spans="2:33" ht="6" customHeight="1" x14ac:dyDescent="0.2">
      <c r="B319" s="9">
        <f>G305</f>
        <v>7</v>
      </c>
      <c r="C319" s="9" t="str">
        <f t="shared" si="1440"/>
        <v xml:space="preserve">7 - </v>
      </c>
      <c r="D319" s="9" t="s">
        <v>56</v>
      </c>
      <c r="G319" s="11"/>
      <c r="S319" s="11"/>
      <c r="AD319" s="15"/>
      <c r="AE319" s="15"/>
      <c r="AF319" s="11"/>
      <c r="AG319" s="15"/>
    </row>
    <row r="320" spans="2:33" x14ac:dyDescent="0.2">
      <c r="B320" s="9">
        <f>G305</f>
        <v>7</v>
      </c>
      <c r="C320" s="9" t="str">
        <f t="shared" si="1440"/>
        <v>7 - Doctor Compensation</v>
      </c>
      <c r="D320" s="9" t="s">
        <v>56</v>
      </c>
      <c r="F320" t="s">
        <v>4</v>
      </c>
      <c r="G320" s="144">
        <v>-138.78711355512326</v>
      </c>
      <c r="H320" s="70">
        <v>-138.63732513200944</v>
      </c>
      <c r="I320" s="70">
        <v>-178.04344821324432</v>
      </c>
      <c r="J320" s="70">
        <v>-165.92100514846803</v>
      </c>
      <c r="K320" s="70">
        <v>-132.96785470334487</v>
      </c>
      <c r="L320" s="70">
        <v>-123.24955544612449</v>
      </c>
      <c r="M320" s="70">
        <v>-108.92165696746311</v>
      </c>
      <c r="N320" s="70">
        <v>-161.55843345583941</v>
      </c>
      <c r="O320" s="70">
        <v>-147.23336060325991</v>
      </c>
      <c r="P320" s="70">
        <v>-140.59718227247743</v>
      </c>
      <c r="Q320" s="70">
        <v>-127.45249773643368</v>
      </c>
      <c r="R320" s="70">
        <v>-103.13892339323874</v>
      </c>
      <c r="S320" s="144">
        <v>-132.16098577272763</v>
      </c>
      <c r="T320" s="70">
        <v>-143.14563188878978</v>
      </c>
      <c r="U320" s="70">
        <v>-106.77345919056415</v>
      </c>
      <c r="V320" s="70">
        <v>-101.90520846045906</v>
      </c>
      <c r="W320" s="70">
        <v>-61.72739313297447</v>
      </c>
      <c r="X320" s="70">
        <v>-100.06822107447749</v>
      </c>
      <c r="Y320" s="70">
        <v>-107.82643558248941</v>
      </c>
      <c r="Z320" s="70">
        <v>-86.05608646456318</v>
      </c>
      <c r="AA320" s="70">
        <v>-124.00607886905719</v>
      </c>
      <c r="AB320" s="70">
        <v>-144.02579641907491</v>
      </c>
      <c r="AC320" s="70">
        <v>-118.47206477178277</v>
      </c>
      <c r="AD320" s="145">
        <v>-93.039321717196401</v>
      </c>
      <c r="AE320" s="15"/>
      <c r="AF320" s="92">
        <f>SUM(G320:R320)</f>
        <v>-1666.5083566270266</v>
      </c>
      <c r="AG320" s="93">
        <f>SUM(S320:AD320)</f>
        <v>-1319.2066833441563</v>
      </c>
    </row>
    <row r="321" spans="2:33" x14ac:dyDescent="0.2">
      <c r="B321" s="9">
        <f>G305</f>
        <v>7</v>
      </c>
      <c r="C321" s="9" t="str">
        <f t="shared" si="1440"/>
        <v>7 - % of Revenue - Doctor Compensation</v>
      </c>
      <c r="D321" s="9" t="s">
        <v>56</v>
      </c>
      <c r="F321" s="16" t="str">
        <f>"% of Revenue - "&amp;F320</f>
        <v>% of Revenue - Doctor Compensation</v>
      </c>
      <c r="G321" s="148">
        <f>G320/G317</f>
        <v>-0.31301493002762582</v>
      </c>
      <c r="H321" s="149">
        <f t="shared" ref="H321" si="1521">H320/H317</f>
        <v>-0.316598114333834</v>
      </c>
      <c r="I321" s="149">
        <f t="shared" ref="I321" si="1522">I320/I317</f>
        <v>-0.41573386191183609</v>
      </c>
      <c r="J321" s="149">
        <f t="shared" ref="J321" si="1523">J320/J317</f>
        <v>-0.4169032993454575</v>
      </c>
      <c r="K321" s="149">
        <f t="shared" ref="K321" si="1524">K320/K317</f>
        <v>-0.40794379682148874</v>
      </c>
      <c r="L321" s="149">
        <f t="shared" ref="L321" si="1525">L320/L317</f>
        <v>-0.41083297893084875</v>
      </c>
      <c r="M321" s="149">
        <f t="shared" ref="M321" si="1526">M320/M317</f>
        <v>-0.41193577816889854</v>
      </c>
      <c r="N321" s="149">
        <f t="shared" ref="N321" si="1527">N320/N317</f>
        <v>-0.41671077878236529</v>
      </c>
      <c r="O321" s="149">
        <f t="shared" ref="O321" si="1528">O320/O317</f>
        <v>-0.42506016547027814</v>
      </c>
      <c r="P321" s="149">
        <f t="shared" ref="P321" si="1529">P320/P317</f>
        <v>-0.4299133854995324</v>
      </c>
      <c r="Q321" s="149">
        <f t="shared" ref="Q321" si="1530">Q320/Q317</f>
        <v>-0.3211358492809272</v>
      </c>
      <c r="R321" s="149">
        <f t="shared" ref="R321" si="1531">R320/R317</f>
        <v>-0.25832278879652837</v>
      </c>
      <c r="S321" s="148">
        <f t="shared" ref="S321" si="1532">S320/S317</f>
        <v>-0.32521959511611997</v>
      </c>
      <c r="T321" s="149">
        <f t="shared" ref="T321" si="1533">T320/T317</f>
        <v>-0.43017858482626381</v>
      </c>
      <c r="U321" s="149">
        <f t="shared" ref="U321" si="1534">U320/U317</f>
        <v>-0.42045266206044069</v>
      </c>
      <c r="V321" s="149">
        <f t="shared" ref="V321" si="1535">V320/V317</f>
        <v>-0.40791773928832831</v>
      </c>
      <c r="W321" s="149">
        <f t="shared" ref="W321" si="1536">W320/W317</f>
        <v>-0.38705822048396343</v>
      </c>
      <c r="X321" s="149">
        <f t="shared" ref="X321" si="1537">X320/X317</f>
        <v>-0.7658416550056365</v>
      </c>
      <c r="Y321" s="149">
        <f t="shared" ref="Y321" si="1538">Y320/Y317</f>
        <v>-0.78132732553943296</v>
      </c>
      <c r="Z321" s="149">
        <f t="shared" ref="Z321" si="1539">Z320/Z317</f>
        <v>-0.39389114721243856</v>
      </c>
      <c r="AA321" s="149">
        <f t="shared" ref="AA321" si="1540">AA320/AA317</f>
        <v>-0.58223154073300876</v>
      </c>
      <c r="AB321" s="149">
        <f t="shared" ref="AB321" si="1541">AB320/AB317</f>
        <v>-0.57115887896305251</v>
      </c>
      <c r="AC321" s="149">
        <f t="shared" ref="AC321" si="1542">AC320/AC317</f>
        <v>-0.39339841927722718</v>
      </c>
      <c r="AD321" s="150">
        <f t="shared" ref="AD321" si="1543">AD320/AD317</f>
        <v>-0.58277777633109107</v>
      </c>
      <c r="AE321" s="15"/>
      <c r="AF321" s="96">
        <f t="shared" ref="AF321" si="1544">AF320/AF317</f>
        <v>-0.37406301601678821</v>
      </c>
      <c r="AG321" s="97">
        <f t="shared" ref="AG321" si="1545">AG320/AG317</f>
        <v>-0.46855639867968712</v>
      </c>
    </row>
    <row r="322" spans="2:33" ht="3" customHeight="1" x14ac:dyDescent="0.2">
      <c r="B322" s="9">
        <f>G305</f>
        <v>7</v>
      </c>
      <c r="C322" s="9" t="str">
        <f t="shared" si="1440"/>
        <v xml:space="preserve">7 - </v>
      </c>
      <c r="D322" s="9" t="s">
        <v>56</v>
      </c>
      <c r="F322" s="16"/>
      <c r="G322" s="36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6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8"/>
      <c r="AE322" s="15"/>
      <c r="AF322" s="36"/>
      <c r="AG322" s="38"/>
    </row>
    <row r="323" spans="2:33" x14ac:dyDescent="0.2">
      <c r="B323" s="9">
        <f>G305</f>
        <v>7</v>
      </c>
      <c r="C323" s="9" t="str">
        <f t="shared" si="1440"/>
        <v>7 - Administrative Staff Compensation</v>
      </c>
      <c r="D323" s="9" t="s">
        <v>56</v>
      </c>
      <c r="F323" t="s">
        <v>5</v>
      </c>
      <c r="G323" s="144">
        <v>-85.794050149130356</v>
      </c>
      <c r="H323" s="70">
        <v>-88.80886879719354</v>
      </c>
      <c r="I323" s="70">
        <v>-112.50092275176364</v>
      </c>
      <c r="J323" s="70">
        <v>-103.53580399977561</v>
      </c>
      <c r="K323" s="70">
        <v>-125.59300289469246</v>
      </c>
      <c r="L323" s="70">
        <v>-119.98559680776427</v>
      </c>
      <c r="M323" s="70">
        <v>-102.01281937957852</v>
      </c>
      <c r="N323" s="70">
        <v>-101.43334018641528</v>
      </c>
      <c r="O323" s="70">
        <v>-87.534901233668165</v>
      </c>
      <c r="P323" s="70">
        <v>-86.285402024170139</v>
      </c>
      <c r="Q323" s="70">
        <v>-76.929319674033309</v>
      </c>
      <c r="R323" s="70">
        <v>-63.486847957501887</v>
      </c>
      <c r="S323" s="144">
        <v>-77.923913311512464</v>
      </c>
      <c r="T323" s="70">
        <v>-83.259515527376351</v>
      </c>
      <c r="U323" s="70">
        <v>-96.132083059001459</v>
      </c>
      <c r="V323" s="70">
        <v>-94.921146334257941</v>
      </c>
      <c r="W323" s="70">
        <v>-138.66954063287324</v>
      </c>
      <c r="X323" s="70">
        <v>-107.74207960604649</v>
      </c>
      <c r="Y323" s="70">
        <v>-112.99964854215607</v>
      </c>
      <c r="Z323" s="70">
        <v>-86.26637429114848</v>
      </c>
      <c r="AA323" s="70">
        <v>-84.60520903565488</v>
      </c>
      <c r="AB323" s="70">
        <v>-100.57195772006553</v>
      </c>
      <c r="AC323" s="70">
        <v>-76.782349919865908</v>
      </c>
      <c r="AD323" s="145">
        <v>-58.748400938812395</v>
      </c>
      <c r="AE323" s="15"/>
      <c r="AF323" s="92">
        <f>SUM(G323:R323)</f>
        <v>-1153.9008758556872</v>
      </c>
      <c r="AG323" s="93">
        <f>SUM(S323:AD323)</f>
        <v>-1118.6222189187711</v>
      </c>
    </row>
    <row r="324" spans="2:33" x14ac:dyDescent="0.2">
      <c r="B324" s="9">
        <f>G305</f>
        <v>7</v>
      </c>
      <c r="C324" s="9" t="str">
        <f t="shared" si="1440"/>
        <v>7 - % of Revenue - Administrative Staff Compensation</v>
      </c>
      <c r="D324" s="9" t="s">
        <v>56</v>
      </c>
      <c r="F324" s="16" t="str">
        <f>"% of Revenue - "&amp;F323</f>
        <v>% of Revenue - Administrative Staff Compensation</v>
      </c>
      <c r="G324" s="148">
        <f>G323/G317</f>
        <v>-0.19349648476946316</v>
      </c>
      <c r="H324" s="149">
        <f t="shared" ref="H324" si="1546">H323/H317</f>
        <v>-0.20280772418639648</v>
      </c>
      <c r="I324" s="149">
        <f t="shared" ref="I324" si="1547">I323/I317</f>
        <v>-0.26269117765130251</v>
      </c>
      <c r="J324" s="149">
        <f t="shared" ref="J324" si="1548">J323/J317</f>
        <v>-0.26015041464621702</v>
      </c>
      <c r="K324" s="149">
        <f t="shared" ref="K324" si="1549">K323/K317</f>
        <v>-0.385317839182858</v>
      </c>
      <c r="L324" s="149">
        <f t="shared" ref="L324" si="1550">L323/L317</f>
        <v>-0.39995308694543086</v>
      </c>
      <c r="M324" s="149">
        <f t="shared" ref="M324" si="1551">M323/M317</f>
        <v>-0.38580693045170006</v>
      </c>
      <c r="N324" s="149">
        <f t="shared" ref="N324" si="1552">N323/N317</f>
        <v>-0.26162896779468581</v>
      </c>
      <c r="O324" s="149">
        <f t="shared" ref="O324" si="1553">O323/O317</f>
        <v>-0.25271174583230716</v>
      </c>
      <c r="P324" s="149">
        <f t="shared" ref="P324" si="1554">P323/P317</f>
        <v>-0.26384063111242567</v>
      </c>
      <c r="Q324" s="149">
        <f t="shared" ref="Q324" si="1555">Q323/Q317</f>
        <v>-0.19383505891907291</v>
      </c>
      <c r="R324" s="149">
        <f t="shared" ref="R324" si="1556">R323/R317</f>
        <v>-0.15900980034234266</v>
      </c>
      <c r="S324" s="148">
        <f t="shared" ref="S324" si="1557">S323/S317</f>
        <v>-0.19175389309379151</v>
      </c>
      <c r="T324" s="149">
        <f t="shared" ref="T324" si="1558">T323/T317</f>
        <v>-0.25020994416869807</v>
      </c>
      <c r="U324" s="149">
        <f t="shared" ref="U324" si="1559">U323/U317</f>
        <v>-0.37854903772888615</v>
      </c>
      <c r="V324" s="149">
        <f t="shared" ref="V324" si="1560">V323/V317</f>
        <v>-0.37996114240177536</v>
      </c>
      <c r="W324" s="149">
        <f t="shared" ref="W324" si="1561">W323/W317</f>
        <v>-0.8695197206378803</v>
      </c>
      <c r="X324" s="149">
        <f t="shared" ref="X324" si="1562">X323/X317</f>
        <v>-0.82457119426387815</v>
      </c>
      <c r="Y324" s="149">
        <f t="shared" ref="Y324" si="1563">Y323/Y317</f>
        <v>-0.81881324097739705</v>
      </c>
      <c r="Z324" s="149">
        <f t="shared" ref="Z324" si="1564">Z323/Z317</f>
        <v>-0.39485366499196367</v>
      </c>
      <c r="AA324" s="149">
        <f t="shared" ref="AA324" si="1565">AA323/AA317</f>
        <v>-0.39723714885689565</v>
      </c>
      <c r="AB324" s="149">
        <f t="shared" ref="AB324" si="1566">AB323/AB317</f>
        <v>-0.39883526461725149</v>
      </c>
      <c r="AC324" s="149">
        <f t="shared" ref="AC324" si="1567">AC323/AC317</f>
        <v>-0.25496352363785713</v>
      </c>
      <c r="AD324" s="150">
        <f t="shared" ref="AD324" si="1568">AD323/AD317</f>
        <v>-0.36798701699692654</v>
      </c>
      <c r="AE324" s="15"/>
      <c r="AF324" s="96">
        <f t="shared" ref="AF324" si="1569">AF323/AF317</f>
        <v>-0.25900358680505153</v>
      </c>
      <c r="AG324" s="97">
        <f t="shared" ref="AG324" si="1570">AG323/AG317</f>
        <v>-0.39731272210582202</v>
      </c>
    </row>
    <row r="325" spans="2:33" ht="3" customHeight="1" x14ac:dyDescent="0.2">
      <c r="B325" s="9">
        <f>G305</f>
        <v>7</v>
      </c>
      <c r="C325" s="9" t="str">
        <f t="shared" si="1440"/>
        <v xml:space="preserve">7 - </v>
      </c>
      <c r="D325" s="9" t="s">
        <v>56</v>
      </c>
      <c r="F325" s="16"/>
      <c r="G325" s="36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6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8"/>
      <c r="AE325" s="15"/>
      <c r="AF325" s="36"/>
      <c r="AG325" s="38"/>
    </row>
    <row r="326" spans="2:33" x14ac:dyDescent="0.2">
      <c r="B326" s="9">
        <f>G305</f>
        <v>7</v>
      </c>
      <c r="C326" s="9" t="str">
        <f t="shared" si="1440"/>
        <v>7 - Office Supplies</v>
      </c>
      <c r="D326" s="9" t="s">
        <v>56</v>
      </c>
      <c r="F326" t="s">
        <v>6</v>
      </c>
      <c r="G326" s="144">
        <v>-23.169188457059118</v>
      </c>
      <c r="H326" s="70">
        <v>-22.435351724235687</v>
      </c>
      <c r="I326" s="70">
        <v>-28.094401518122275</v>
      </c>
      <c r="J326" s="70">
        <v>-27.177249407168318</v>
      </c>
      <c r="K326" s="70">
        <v>-30.953411709273386</v>
      </c>
      <c r="L326" s="70">
        <v>-29.302117658598991</v>
      </c>
      <c r="M326" s="70">
        <v>-26.86884379839173</v>
      </c>
      <c r="N326" s="70">
        <v>-23.800961152360003</v>
      </c>
      <c r="O326" s="70">
        <v>-21.253789785470374</v>
      </c>
      <c r="P326" s="70">
        <v>-21.38261512310196</v>
      </c>
      <c r="Q326" s="70">
        <v>-20.642970427398108</v>
      </c>
      <c r="R326" s="70">
        <v>-15.661652395286664</v>
      </c>
      <c r="S326" s="144">
        <v>-19.77127552655466</v>
      </c>
      <c r="T326" s="70">
        <v>-23.688769750106971</v>
      </c>
      <c r="U326" s="70">
        <v>-24.749841321995021</v>
      </c>
      <c r="V326" s="70">
        <v>-21.892272375054166</v>
      </c>
      <c r="W326" s="70">
        <v>-28.458140782636637</v>
      </c>
      <c r="X326" s="70">
        <v>-23.136532016052872</v>
      </c>
      <c r="Y326" s="70">
        <v>-24.427817182868807</v>
      </c>
      <c r="Z326" s="70">
        <v>-19.508591922230618</v>
      </c>
      <c r="AA326" s="70">
        <v>-19.337956661299888</v>
      </c>
      <c r="AB326" s="70">
        <v>-25.102769637107382</v>
      </c>
      <c r="AC326" s="70">
        <v>-21.016849672229128</v>
      </c>
      <c r="AD326" s="145">
        <v>-17.112949407848564</v>
      </c>
      <c r="AE326" s="15"/>
      <c r="AF326" s="92">
        <f>SUM(G326:R326)</f>
        <v>-290.74255315646661</v>
      </c>
      <c r="AG326" s="93">
        <f>SUM(S326:AD326)</f>
        <v>-268.2037662559847</v>
      </c>
    </row>
    <row r="327" spans="2:33" x14ac:dyDescent="0.2">
      <c r="B327" s="9">
        <f>G305</f>
        <v>7</v>
      </c>
      <c r="C327" s="9" t="str">
        <f t="shared" si="1440"/>
        <v>7 - % of Revenue - Office Supplies</v>
      </c>
      <c r="D327" s="9" t="s">
        <v>56</v>
      </c>
      <c r="F327" s="16" t="str">
        <f>"% of Revenue - "&amp;F326</f>
        <v>% of Revenue - Office Supplies</v>
      </c>
      <c r="G327" s="148">
        <f>G326/G317</f>
        <v>-5.2254865152179836E-2</v>
      </c>
      <c r="H327" s="149">
        <f t="shared" ref="H327" si="1571">H326/H317</f>
        <v>-5.1234327000653931E-2</v>
      </c>
      <c r="I327" s="149">
        <f t="shared" ref="I327" si="1572">I326/I317</f>
        <v>-6.560080788393699E-2</v>
      </c>
      <c r="J327" s="149">
        <f t="shared" ref="J327" si="1573">J326/J317</f>
        <v>-6.8287224603324828E-2</v>
      </c>
      <c r="K327" s="149">
        <f t="shared" ref="K327" si="1574">K326/K317</f>
        <v>-9.4964698990079047E-2</v>
      </c>
      <c r="L327" s="149">
        <f t="shared" ref="L327" si="1575">L326/L317</f>
        <v>-9.7673993574173071E-2</v>
      </c>
      <c r="M327" s="149">
        <f t="shared" ref="M327" si="1576">M326/M317</f>
        <v>-0.10161650480487426</v>
      </c>
      <c r="N327" s="149">
        <f t="shared" ref="N327" si="1577">N326/N317</f>
        <v>-6.1390277470595743E-2</v>
      </c>
      <c r="O327" s="149">
        <f t="shared" ref="O327" si="1578">O326/O317</f>
        <v>-6.1359323498879091E-2</v>
      </c>
      <c r="P327" s="149">
        <f t="shared" ref="P327" si="1579">P326/P317</f>
        <v>-6.5383049004430677E-2</v>
      </c>
      <c r="Q327" s="149">
        <f t="shared" ref="Q327" si="1580">Q326/Q317</f>
        <v>-5.2013086896048548E-2</v>
      </c>
      <c r="R327" s="149">
        <f t="shared" ref="R327" si="1581">R326/R317</f>
        <v>-3.9226332705519576E-2</v>
      </c>
      <c r="S327" s="148">
        <f t="shared" ref="S327" si="1582">S326/S317</f>
        <v>-4.8652831878333615E-2</v>
      </c>
      <c r="T327" s="149">
        <f t="shared" ref="T327" si="1583">T326/T317</f>
        <v>-7.1189049312333705E-2</v>
      </c>
      <c r="U327" s="149">
        <f t="shared" ref="U327" si="1584">U326/U317</f>
        <v>-9.74599563252318E-2</v>
      </c>
      <c r="V327" s="149">
        <f t="shared" ref="V327" si="1585">V326/V317</f>
        <v>-8.7632873628647773E-2</v>
      </c>
      <c r="W327" s="149">
        <f t="shared" ref="W327" si="1586">W326/W317</f>
        <v>-0.17844520512766165</v>
      </c>
      <c r="X327" s="149">
        <f t="shared" ref="X327" si="1587">X326/X317</f>
        <v>-0.17706840173642358</v>
      </c>
      <c r="Y327" s="149">
        <f t="shared" ref="Y327" si="1588">Y326/Y317</f>
        <v>-0.17700780856894616</v>
      </c>
      <c r="Z327" s="149">
        <f t="shared" ref="Z327" si="1589">Z326/Z317</f>
        <v>-8.9293645207896039E-2</v>
      </c>
      <c r="AA327" s="149">
        <f t="shared" ref="AA327" si="1590">AA326/AA317</f>
        <v>-9.0795293297079208E-2</v>
      </c>
      <c r="AB327" s="149">
        <f t="shared" ref="AB327" si="1591">AB326/AB317</f>
        <v>-9.9549317700555404E-2</v>
      </c>
      <c r="AC327" s="149">
        <f t="shared" ref="AC327" si="1592">AC326/AC317</f>
        <v>-6.9788565390237783E-2</v>
      </c>
      <c r="AD327" s="150">
        <f t="shared" ref="AD327" si="1593">AD326/AD317</f>
        <v>-0.10719173805551439</v>
      </c>
      <c r="AE327" s="15"/>
      <c r="AF327" s="96">
        <f t="shared" ref="AF327" si="1594">AF326/AF317</f>
        <v>-6.5259820561745577E-2</v>
      </c>
      <c r="AG327" s="97">
        <f t="shared" ref="AG327" si="1595">AG326/AG317</f>
        <v>-9.5260729357939583E-2</v>
      </c>
    </row>
    <row r="328" spans="2:33" ht="6" customHeight="1" x14ac:dyDescent="0.2">
      <c r="B328" s="9">
        <f>G305</f>
        <v>7</v>
      </c>
      <c r="C328" s="9" t="str">
        <f t="shared" si="1440"/>
        <v xml:space="preserve">7 - </v>
      </c>
      <c r="D328" s="9" t="s">
        <v>56</v>
      </c>
      <c r="F328" s="16"/>
      <c r="G328" s="11"/>
      <c r="S328" s="11"/>
      <c r="AD328" s="15"/>
      <c r="AE328" s="15"/>
      <c r="AF328" s="11"/>
      <c r="AG328" s="15"/>
    </row>
    <row r="329" spans="2:33" x14ac:dyDescent="0.2">
      <c r="B329" s="9">
        <f>G305</f>
        <v>7</v>
      </c>
      <c r="C329" s="9" t="str">
        <f t="shared" si="1440"/>
        <v>7 - Office Gross Profit</v>
      </c>
      <c r="D329" s="9" t="s">
        <v>56</v>
      </c>
      <c r="F329" s="8" t="s">
        <v>11</v>
      </c>
      <c r="G329" s="134">
        <f>G317+G320+G323+G326</f>
        <v>195.6378068088498</v>
      </c>
      <c r="H329" s="135">
        <f t="shared" ref="H329:AD329" si="1596">H317+H320+H323+H326</f>
        <v>188.01533008671365</v>
      </c>
      <c r="I329" s="135">
        <f t="shared" si="1596"/>
        <v>109.6242691523901</v>
      </c>
      <c r="J329" s="135">
        <f t="shared" si="1596"/>
        <v>101.35033113151482</v>
      </c>
      <c r="K329" s="135">
        <f t="shared" si="1596"/>
        <v>36.432235430276933</v>
      </c>
      <c r="L329" s="135">
        <f t="shared" si="1596"/>
        <v>27.46190680129261</v>
      </c>
      <c r="M329" s="135">
        <f t="shared" si="1596"/>
        <v>26.610850072148331</v>
      </c>
      <c r="N329" s="135">
        <f t="shared" si="1596"/>
        <v>100.90646014321581</v>
      </c>
      <c r="O329" s="135">
        <f t="shared" si="1596"/>
        <v>90.360349185176247</v>
      </c>
      <c r="P329" s="135">
        <f t="shared" si="1596"/>
        <v>78.770866482484067</v>
      </c>
      <c r="Q329" s="135">
        <f t="shared" si="1596"/>
        <v>171.85552939180428</v>
      </c>
      <c r="R329" s="135">
        <f t="shared" si="1596"/>
        <v>216.97631861964376</v>
      </c>
      <c r="S329" s="134">
        <f t="shared" si="1596"/>
        <v>176.51843429165908</v>
      </c>
      <c r="T329" s="135">
        <f t="shared" si="1596"/>
        <v>82.664702016506524</v>
      </c>
      <c r="U329" s="135">
        <f t="shared" si="1596"/>
        <v>26.293440696354963</v>
      </c>
      <c r="V329" s="135">
        <f t="shared" si="1596"/>
        <v>31.099408785829819</v>
      </c>
      <c r="W329" s="135">
        <f t="shared" si="1596"/>
        <v>-69.37675871322628</v>
      </c>
      <c r="X329" s="135">
        <f t="shared" si="1596"/>
        <v>-100.28245786084008</v>
      </c>
      <c r="Y329" s="135">
        <f t="shared" si="1596"/>
        <v>-107.24972295877241</v>
      </c>
      <c r="Z329" s="135">
        <f t="shared" si="1596"/>
        <v>26.645770357002153</v>
      </c>
      <c r="AA329" s="135">
        <f t="shared" si="1596"/>
        <v>-14.965113350897855</v>
      </c>
      <c r="AB329" s="135">
        <f t="shared" si="1596"/>
        <v>-17.536368190404684</v>
      </c>
      <c r="AC329" s="135">
        <f t="shared" si="1596"/>
        <v>84.87906813986244</v>
      </c>
      <c r="AD329" s="136">
        <f t="shared" si="1596"/>
        <v>-9.2526458420434956</v>
      </c>
      <c r="AE329" s="15"/>
      <c r="AF329" s="98">
        <f>SUM(G329:R329)</f>
        <v>1344.0022533055103</v>
      </c>
      <c r="AG329" s="95">
        <f>SUM(S329:AD329)</f>
        <v>109.43775737103017</v>
      </c>
    </row>
    <row r="330" spans="2:33" x14ac:dyDescent="0.2">
      <c r="B330" s="9">
        <f>G305</f>
        <v>7</v>
      </c>
      <c r="C330" s="9" t="str">
        <f t="shared" si="1440"/>
        <v>7 - % of Revenue - Office Gross Profit</v>
      </c>
      <c r="D330" s="9" t="s">
        <v>56</v>
      </c>
      <c r="F330" s="16" t="str">
        <f>"% of Revenue - "&amp;F329</f>
        <v>% of Revenue - Office Gross Profit</v>
      </c>
      <c r="G330" s="148">
        <f>G329/G317</f>
        <v>0.44123372005073125</v>
      </c>
      <c r="H330" s="149">
        <f t="shared" ref="H330" si="1597">H329/H317</f>
        <v>0.42935983447911558</v>
      </c>
      <c r="I330" s="149">
        <f t="shared" ref="I330" si="1598">I329/I317</f>
        <v>0.25597415255292444</v>
      </c>
      <c r="J330" s="149">
        <f t="shared" ref="J330" si="1599">J329/J317</f>
        <v>0.25465906140500072</v>
      </c>
      <c r="K330" s="149">
        <f t="shared" ref="K330" si="1600">K329/K317</f>
        <v>0.11177366500557422</v>
      </c>
      <c r="L330" s="149">
        <f t="shared" ref="L330" si="1601">L329/L317</f>
        <v>9.153994054954738E-2</v>
      </c>
      <c r="M330" s="149">
        <f t="shared" ref="M330" si="1602">M329/M317</f>
        <v>0.10064078657452716</v>
      </c>
      <c r="N330" s="149">
        <f t="shared" ref="N330" si="1603">N329/N317</f>
        <v>0.26026997595235313</v>
      </c>
      <c r="O330" s="149">
        <f t="shared" ref="O330" si="1604">O329/O317</f>
        <v>0.26086876519853558</v>
      </c>
      <c r="P330" s="149">
        <f t="shared" ref="P330" si="1605">P329/P317</f>
        <v>0.24086293438361128</v>
      </c>
      <c r="Q330" s="149">
        <f t="shared" ref="Q330" si="1606">Q329/Q317</f>
        <v>0.43301600490395131</v>
      </c>
      <c r="R330" s="149">
        <f t="shared" ref="R330" si="1607">R329/R317</f>
        <v>0.54344107815560949</v>
      </c>
      <c r="S330" s="148">
        <f t="shared" ref="S330" si="1608">S329/S317</f>
        <v>0.43437367991175496</v>
      </c>
      <c r="T330" s="149">
        <f t="shared" ref="T330" si="1609">T329/T317</f>
        <v>0.24842242169270443</v>
      </c>
      <c r="U330" s="149">
        <f t="shared" ref="U330" si="1610">U329/U317</f>
        <v>0.10353834388544136</v>
      </c>
      <c r="V330" s="149">
        <f t="shared" ref="V330" si="1611">V329/V317</f>
        <v>0.12448824468124862</v>
      </c>
      <c r="W330" s="149">
        <f t="shared" ref="W330" si="1612">W329/W317</f>
        <v>-0.43502314624950539</v>
      </c>
      <c r="X330" s="149">
        <f t="shared" ref="X330" si="1613">X329/X317</f>
        <v>-0.76748125100593823</v>
      </c>
      <c r="Y330" s="149">
        <f t="shared" ref="Y330" si="1614">Y329/Y317</f>
        <v>-0.77714837508577628</v>
      </c>
      <c r="Z330" s="149">
        <f t="shared" ref="Z330" si="1615">Z329/Z317</f>
        <v>0.12196154258770174</v>
      </c>
      <c r="AA330" s="149">
        <f t="shared" ref="AA330" si="1616">AA329/AA317</f>
        <v>-7.0263982886983642E-2</v>
      </c>
      <c r="AB330" s="149">
        <f t="shared" ref="AB330" si="1617">AB329/AB317</f>
        <v>-6.9543461280859378E-2</v>
      </c>
      <c r="AC330" s="149">
        <f t="shared" ref="AC330" si="1618">AC329/AC317</f>
        <v>0.28184949169467799</v>
      </c>
      <c r="AD330" s="150">
        <f t="shared" ref="AD330" si="1619">AD329/AD317</f>
        <v>-5.7956531383532003E-2</v>
      </c>
      <c r="AE330" s="15"/>
      <c r="AF330" s="111">
        <f t="shared" ref="AF330" si="1620">AF329/AF317</f>
        <v>0.30167357661641464</v>
      </c>
      <c r="AG330" s="97">
        <f t="shared" ref="AG330" si="1621">AG329/AG317</f>
        <v>3.8870149856551232E-2</v>
      </c>
    </row>
    <row r="331" spans="2:33" ht="6" customHeight="1" x14ac:dyDescent="0.2">
      <c r="B331" s="9">
        <f>G305</f>
        <v>7</v>
      </c>
      <c r="C331" s="9" t="str">
        <f t="shared" si="1440"/>
        <v xml:space="preserve">7 - </v>
      </c>
      <c r="D331" s="9" t="s">
        <v>56</v>
      </c>
      <c r="F331" s="16"/>
      <c r="G331" s="11"/>
      <c r="S331" s="11"/>
      <c r="AD331" s="15"/>
      <c r="AE331" s="15"/>
      <c r="AF331" s="11"/>
      <c r="AG331" s="15"/>
    </row>
    <row r="332" spans="2:33" x14ac:dyDescent="0.2">
      <c r="B332" s="9">
        <f>G305</f>
        <v>7</v>
      </c>
      <c r="C332" s="9" t="str">
        <f t="shared" si="1440"/>
        <v>7 - General and Administrative Expense</v>
      </c>
      <c r="D332" s="9" t="s">
        <v>56</v>
      </c>
      <c r="F332" t="s">
        <v>10</v>
      </c>
      <c r="G332" s="144">
        <v>-30.333505035672413</v>
      </c>
      <c r="H332" s="70">
        <v>-30.057184118478293</v>
      </c>
      <c r="I332" s="70">
        <v>-39.826225856644619</v>
      </c>
      <c r="J332" s="70">
        <v>-36.826108047723601</v>
      </c>
      <c r="K332" s="70">
        <v>-48.487503311503467</v>
      </c>
      <c r="L332" s="70">
        <v>-43.825866751168384</v>
      </c>
      <c r="M332" s="70">
        <v>-41.243303759519833</v>
      </c>
      <c r="N332" s="70">
        <v>-39.331720973087073</v>
      </c>
      <c r="O332" s="70">
        <v>-37.354237735682815</v>
      </c>
      <c r="P332" s="70">
        <v>-34.045277936280513</v>
      </c>
      <c r="Q332" s="70">
        <v>-32.06743054532339</v>
      </c>
      <c r="R332" s="70">
        <v>-26.546521755864898</v>
      </c>
      <c r="S332" s="144">
        <v>-35.09756682223933</v>
      </c>
      <c r="T332" s="70">
        <v>-38.080805051444251</v>
      </c>
      <c r="U332" s="70">
        <v>-44.317253228985074</v>
      </c>
      <c r="V332" s="70">
        <v>-45.85961922336427</v>
      </c>
      <c r="W332" s="70">
        <v>-63.47733855436703</v>
      </c>
      <c r="X332" s="70">
        <v>-46.580761732488327</v>
      </c>
      <c r="Y332" s="70">
        <v>-48.442317772534707</v>
      </c>
      <c r="Z332" s="70">
        <v>-36.641435887852808</v>
      </c>
      <c r="AA332" s="70">
        <v>-35.741317310833587</v>
      </c>
      <c r="AB332" s="70">
        <v>-42.582248650107921</v>
      </c>
      <c r="AC332" s="70">
        <v>-35.181179803701504</v>
      </c>
      <c r="AD332" s="145">
        <v>-28.256305801005567</v>
      </c>
      <c r="AE332" s="15"/>
      <c r="AF332" s="144">
        <v>-439.9448858269493</v>
      </c>
      <c r="AG332" s="145">
        <v>-500.25814983892445</v>
      </c>
    </row>
    <row r="333" spans="2:33" x14ac:dyDescent="0.2">
      <c r="B333" s="9">
        <f>G305</f>
        <v>7</v>
      </c>
      <c r="C333" s="9" t="str">
        <f t="shared" si="1440"/>
        <v>7 - % of Revenue - General and Administrative Expense</v>
      </c>
      <c r="D333" s="9" t="s">
        <v>56</v>
      </c>
      <c r="F333" s="16" t="str">
        <f>"% of Revenue - "&amp;F332</f>
        <v>% of Revenue - General and Administrative Expense</v>
      </c>
      <c r="G333" s="148">
        <f>G332/G317</f>
        <v>-6.8412979512413374E-2</v>
      </c>
      <c r="H333" s="149">
        <f t="shared" ref="H333" si="1622">H332/H317</f>
        <v>-6.8639868845089005E-2</v>
      </c>
      <c r="I333" s="149">
        <f t="shared" ref="I333" si="1623">I332/I317</f>
        <v>-9.2994776538619289E-2</v>
      </c>
      <c r="J333" s="149">
        <f t="shared" ref="J333" si="1624">J332/J317</f>
        <v>-9.2531538929687046E-2</v>
      </c>
      <c r="K333" s="149">
        <f t="shared" ref="K333" si="1625">K332/K317</f>
        <v>-0.14875908348991099</v>
      </c>
      <c r="L333" s="149">
        <f t="shared" ref="L333" si="1626">L332/L317</f>
        <v>-0.14608662340757436</v>
      </c>
      <c r="M333" s="149">
        <f t="shared" ref="M333" si="1627">M332/M317</f>
        <v>-0.15597992999233534</v>
      </c>
      <c r="N333" s="149">
        <f t="shared" ref="N333" si="1628">N332/N317</f>
        <v>-0.10144906537501093</v>
      </c>
      <c r="O333" s="149">
        <f t="shared" ref="O333" si="1629">O332/O317</f>
        <v>-0.10784103825307845</v>
      </c>
      <c r="P333" s="149">
        <f t="shared" ref="P333" si="1630">P332/P317</f>
        <v>-0.10410251799707694</v>
      </c>
      <c r="Q333" s="149">
        <f t="shared" ref="Q333" si="1631">Q332/Q317</f>
        <v>-8.0798742475219273E-2</v>
      </c>
      <c r="R333" s="149">
        <f t="shared" ref="R333" si="1632">R332/R317</f>
        <v>-6.648868639705309E-2</v>
      </c>
      <c r="S333" s="148">
        <f t="shared" ref="S333" si="1633">S332/S317</f>
        <v>-8.6367519164230439E-2</v>
      </c>
      <c r="T333" s="149">
        <f t="shared" ref="T333" si="1634">T332/T317</f>
        <v>-0.1144397255432984</v>
      </c>
      <c r="U333" s="149">
        <f t="shared" ref="U333" si="1635">U332/U317</f>
        <v>-0.17451253557382271</v>
      </c>
      <c r="V333" s="149">
        <f t="shared" ref="V333" si="1636">V332/V317</f>
        <v>-0.18357209097390667</v>
      </c>
      <c r="W333" s="149">
        <f t="shared" ref="W333" si="1637">W332/W317</f>
        <v>-0.39803115691251378</v>
      </c>
      <c r="X333" s="149">
        <f t="shared" ref="X333" si="1638">X332/X317</f>
        <v>-0.35649167411581623</v>
      </c>
      <c r="Y333" s="149">
        <f t="shared" ref="Y333" si="1639">Y332/Y317</f>
        <v>-0.35102066004203947</v>
      </c>
      <c r="Z333" s="149">
        <f t="shared" ref="Z333" si="1640">Z332/Z317</f>
        <v>-0.16771314860245917</v>
      </c>
      <c r="AA333" s="149">
        <f t="shared" ref="AA333" si="1641">AA332/AA317</f>
        <v>-0.16781211401489265</v>
      </c>
      <c r="AB333" s="149">
        <f t="shared" ref="AB333" si="1642">AB332/AB317</f>
        <v>-0.16886717523820247</v>
      </c>
      <c r="AC333" s="149">
        <f t="shared" ref="AC333" si="1643">AC332/AC317</f>
        <v>-0.11682264970856228</v>
      </c>
      <c r="AD333" s="150">
        <f t="shared" ref="AD333" si="1644">AD332/AD317</f>
        <v>-0.17699126302849777</v>
      </c>
      <c r="AE333" s="15"/>
      <c r="AF333" s="96">
        <f t="shared" ref="AF333" si="1645">AF332/AF317</f>
        <v>-9.8749646360411975E-2</v>
      </c>
      <c r="AG333" s="97">
        <f t="shared" ref="AG333" si="1646">AG332/AG317</f>
        <v>-0.17768190538914924</v>
      </c>
    </row>
    <row r="334" spans="2:33" ht="3" customHeight="1" x14ac:dyDescent="0.2">
      <c r="B334" s="9">
        <f>G305</f>
        <v>7</v>
      </c>
      <c r="C334" s="9" t="str">
        <f t="shared" si="1440"/>
        <v xml:space="preserve">7 - </v>
      </c>
      <c r="D334" s="9" t="s">
        <v>56</v>
      </c>
      <c r="F334" s="16"/>
      <c r="G334" s="36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6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8"/>
      <c r="AE334" s="15"/>
      <c r="AF334" s="36"/>
      <c r="AG334" s="38"/>
    </row>
    <row r="335" spans="2:33" x14ac:dyDescent="0.2">
      <c r="B335" s="9">
        <f>G305</f>
        <v>7</v>
      </c>
      <c r="C335" s="9" t="str">
        <f t="shared" si="1440"/>
        <v>7 - Marketing</v>
      </c>
      <c r="D335" s="9" t="s">
        <v>56</v>
      </c>
      <c r="F335" t="s">
        <v>7</v>
      </c>
      <c r="G335" s="144">
        <v>-20.27215501151003</v>
      </c>
      <c r="H335" s="70">
        <v>-19.235668857299327</v>
      </c>
      <c r="I335" s="70">
        <v>-24.29063378758778</v>
      </c>
      <c r="J335" s="70">
        <v>-23.547525494183645</v>
      </c>
      <c r="K335" s="70">
        <v>-25.991456033076986</v>
      </c>
      <c r="L335" s="70">
        <v>-24.230753780095583</v>
      </c>
      <c r="M335" s="70">
        <v>-21.068093956400176</v>
      </c>
      <c r="N335" s="70">
        <v>-18.543948946098428</v>
      </c>
      <c r="O335" s="70">
        <v>-17.311177207990607</v>
      </c>
      <c r="P335" s="70">
        <v>-14.410453699974898</v>
      </c>
      <c r="Q335" s="70">
        <v>-14.474239147709568</v>
      </c>
      <c r="R335" s="70">
        <v>-10.183025578682594</v>
      </c>
      <c r="S335" s="144">
        <v>-14.700204117613824</v>
      </c>
      <c r="T335" s="70">
        <v>-18.123479038969005</v>
      </c>
      <c r="U335" s="70">
        <v>-22.770122392827396</v>
      </c>
      <c r="V335" s="70">
        <v>-21.691816895544694</v>
      </c>
      <c r="W335" s="70">
        <v>-32.204212916592425</v>
      </c>
      <c r="X335" s="70">
        <v>-25.751049131799206</v>
      </c>
      <c r="Y335" s="70">
        <v>-25.499715649066086</v>
      </c>
      <c r="Z335" s="70">
        <v>-20.839148049682109</v>
      </c>
      <c r="AA335" s="70">
        <v>-22.109626423935794</v>
      </c>
      <c r="AB335" s="70">
        <v>-25.583849265787137</v>
      </c>
      <c r="AC335" s="70">
        <v>-20.622501587886724</v>
      </c>
      <c r="AD335" s="145">
        <v>-17.926868364221768</v>
      </c>
      <c r="AE335" s="15"/>
      <c r="AF335" s="144">
        <v>-233.5591315006096</v>
      </c>
      <c r="AG335" s="145">
        <v>-267.82259383392613</v>
      </c>
    </row>
    <row r="336" spans="2:33" x14ac:dyDescent="0.2">
      <c r="B336" s="9">
        <f>G305</f>
        <v>7</v>
      </c>
      <c r="C336" s="9" t="str">
        <f t="shared" si="1440"/>
        <v>7 - % of Revenue - Marketing</v>
      </c>
      <c r="D336" s="9" t="s">
        <v>56</v>
      </c>
      <c r="F336" s="16" t="str">
        <f>"% of Revenue - "&amp;F335</f>
        <v>% of Revenue - Marketing</v>
      </c>
      <c r="G336" s="148">
        <f>G335/G317</f>
        <v>-4.5721011266054649E-2</v>
      </c>
      <c r="H336" s="149">
        <f t="shared" ref="H336" si="1647">H335/H317</f>
        <v>-4.3927394605833538E-2</v>
      </c>
      <c r="I336" s="149">
        <f t="shared" ref="I336" si="1648">I335/I317</f>
        <v>-5.6718958738122181E-2</v>
      </c>
      <c r="J336" s="149">
        <f t="shared" ref="J336" si="1649">J335/J317</f>
        <v>-5.9166957560087309E-2</v>
      </c>
      <c r="K336" s="149">
        <f t="shared" ref="K336" si="1650">K335/K317</f>
        <v>-7.974147798885628E-2</v>
      </c>
      <c r="L336" s="149">
        <f t="shared" ref="L336" si="1651">L335/L317</f>
        <v>-8.0769400921434434E-2</v>
      </c>
      <c r="M336" s="149">
        <f t="shared" ref="M336" si="1652">M335/M317</f>
        <v>-7.9678384630686092E-2</v>
      </c>
      <c r="N336" s="149">
        <f t="shared" ref="N336" si="1653">N335/N317</f>
        <v>-4.783076464492541E-2</v>
      </c>
      <c r="O336" s="149">
        <f t="shared" ref="O336" si="1654">O335/O317</f>
        <v>-4.9977069180277028E-2</v>
      </c>
      <c r="P336" s="149">
        <f t="shared" ref="P336" si="1655">P335/P317</f>
        <v>-4.4063805807530901E-2</v>
      </c>
      <c r="Q336" s="149">
        <f t="shared" ref="Q336" si="1656">Q335/Q317</f>
        <v>-3.6470035220551179E-2</v>
      </c>
      <c r="R336" s="149">
        <f t="shared" ref="R336" si="1657">R335/R317</f>
        <v>-2.550450866975127E-2</v>
      </c>
      <c r="S336" s="148">
        <f t="shared" ref="S336" si="1658">S335/S317</f>
        <v>-3.6174022184398982E-2</v>
      </c>
      <c r="T336" s="149">
        <f t="shared" ref="T336" si="1659">T335/T317</f>
        <v>-5.4464341400016547E-2</v>
      </c>
      <c r="U336" s="149">
        <f t="shared" ref="U336" si="1660">U335/U317</f>
        <v>-8.9664216632895116E-2</v>
      </c>
      <c r="V336" s="149">
        <f t="shared" ref="V336" si="1661">V335/V317</f>
        <v>-8.6830467674479203E-2</v>
      </c>
      <c r="W336" s="149">
        <f t="shared" ref="W336" si="1662">W335/W317</f>
        <v>-0.20193474421851523</v>
      </c>
      <c r="X336" s="149">
        <f t="shared" ref="X336" si="1663">X335/X317</f>
        <v>-0.19707781225121113</v>
      </c>
      <c r="Y336" s="149">
        <f t="shared" ref="Y336" si="1664">Y335/Y317</f>
        <v>-0.18477495358602347</v>
      </c>
      <c r="Z336" s="149">
        <f t="shared" ref="Z336" si="1665">Z335/Z317</f>
        <v>-9.5383792936008488E-2</v>
      </c>
      <c r="AA336" s="149">
        <f t="shared" ref="AA336" si="1666">AA335/AA317</f>
        <v>-0.10380879691738656</v>
      </c>
      <c r="AB336" s="149">
        <f t="shared" ref="AB336" si="1667">AB335/AB317</f>
        <v>-0.10145712108189675</v>
      </c>
      <c r="AC336" s="149">
        <f t="shared" ref="AC336" si="1668">AC335/AC317</f>
        <v>-6.8479092871765623E-2</v>
      </c>
      <c r="AD336" s="150">
        <f t="shared" ref="AD336" si="1669">AD335/AD317</f>
        <v>-0.11228994675646226</v>
      </c>
      <c r="AE336" s="15"/>
      <c r="AF336" s="96">
        <f t="shared" ref="AF336" si="1670">AF335/AF317</f>
        <v>-5.2424479481282676E-2</v>
      </c>
      <c r="AG336" s="97">
        <f t="shared" ref="AG336" si="1671">AG335/AG317</f>
        <v>-9.5125344372697526E-2</v>
      </c>
    </row>
    <row r="337" spans="2:34" ht="3" customHeight="1" x14ac:dyDescent="0.2">
      <c r="B337" s="9">
        <f>G305</f>
        <v>7</v>
      </c>
      <c r="C337" s="9" t="str">
        <f t="shared" si="1440"/>
        <v xml:space="preserve">7 - </v>
      </c>
      <c r="D337" s="9" t="s">
        <v>56</v>
      </c>
      <c r="F337" s="16"/>
      <c r="G337" s="36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6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8"/>
      <c r="AE337" s="15"/>
      <c r="AF337" s="36"/>
      <c r="AG337" s="38"/>
    </row>
    <row r="338" spans="2:34" x14ac:dyDescent="0.2">
      <c r="B338" s="9">
        <f>G305</f>
        <v>7</v>
      </c>
      <c r="C338" s="9" t="str">
        <f t="shared" si="1440"/>
        <v>7 - Office Rent</v>
      </c>
      <c r="D338" s="9" t="s">
        <v>56</v>
      </c>
      <c r="F338" t="s">
        <v>162</v>
      </c>
      <c r="G338" s="144">
        <v>-30.738605119576938</v>
      </c>
      <c r="H338" s="70">
        <v>-30.738605119576938</v>
      </c>
      <c r="I338" s="70">
        <v>-30.738605119576938</v>
      </c>
      <c r="J338" s="70">
        <v>-30.738605119576938</v>
      </c>
      <c r="K338" s="70">
        <v>-30.738605119576938</v>
      </c>
      <c r="L338" s="70">
        <v>-31.660763273164246</v>
      </c>
      <c r="M338" s="70">
        <v>-31.660763273164246</v>
      </c>
      <c r="N338" s="70">
        <v>-31.660763273164246</v>
      </c>
      <c r="O338" s="70">
        <v>-31.660763273164246</v>
      </c>
      <c r="P338" s="70">
        <v>-31.660763273164246</v>
      </c>
      <c r="Q338" s="70">
        <v>-31.660763273164246</v>
      </c>
      <c r="R338" s="70">
        <v>-31.660763273164246</v>
      </c>
      <c r="S338" s="144">
        <v>-31.660836961693413</v>
      </c>
      <c r="T338" s="70">
        <v>-31.660836961693413</v>
      </c>
      <c r="U338" s="70">
        <v>-31.660836961693413</v>
      </c>
      <c r="V338" s="70">
        <v>-31.660836961693413</v>
      </c>
      <c r="W338" s="70">
        <v>-31.660836961693413</v>
      </c>
      <c r="X338" s="70">
        <v>-32.610662070544215</v>
      </c>
      <c r="Y338" s="70">
        <v>-32.610662070544215</v>
      </c>
      <c r="Z338" s="70">
        <v>-32.610662070544215</v>
      </c>
      <c r="AA338" s="70">
        <v>-32.610662070544215</v>
      </c>
      <c r="AB338" s="70">
        <v>-32.610662070544215</v>
      </c>
      <c r="AC338" s="70">
        <v>-32.610662070544215</v>
      </c>
      <c r="AD338" s="145">
        <v>-32.610662070544215</v>
      </c>
      <c r="AE338" s="15"/>
      <c r="AF338" s="144">
        <v>-375.31836851003442</v>
      </c>
      <c r="AG338" s="145">
        <v>-386.57881930227654</v>
      </c>
    </row>
    <row r="339" spans="2:34" x14ac:dyDescent="0.2">
      <c r="B339" s="9">
        <f>G305</f>
        <v>7</v>
      </c>
      <c r="C339" s="9" t="str">
        <f t="shared" si="1440"/>
        <v>7 - % YoY Growth</v>
      </c>
      <c r="D339" s="9" t="s">
        <v>56</v>
      </c>
      <c r="F339" s="16" t="s">
        <v>8</v>
      </c>
      <c r="G339" s="82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148">
        <f>S338/G338-1</f>
        <v>3.0002397263274583E-2</v>
      </c>
      <c r="T339" s="149">
        <f t="shared" ref="T339" si="1672">T338/H338-1</f>
        <v>3.0002397263274583E-2</v>
      </c>
      <c r="U339" s="149">
        <f t="shared" ref="U339" si="1673">U338/I338-1</f>
        <v>3.0002397263274583E-2</v>
      </c>
      <c r="V339" s="149">
        <f t="shared" ref="V339" si="1674">V338/J338-1</f>
        <v>3.0002397263274583E-2</v>
      </c>
      <c r="W339" s="149">
        <f t="shared" ref="W339" si="1675">W338/K338-1</f>
        <v>3.0002397263274583E-2</v>
      </c>
      <c r="X339" s="149">
        <f t="shared" ref="X339" si="1676">X338/L338-1</f>
        <v>3.0002397263274583E-2</v>
      </c>
      <c r="Y339" s="149">
        <f t="shared" ref="Y339" si="1677">Y338/M338-1</f>
        <v>3.0002397263274583E-2</v>
      </c>
      <c r="Z339" s="149">
        <f t="shared" ref="Z339" si="1678">Z338/N338-1</f>
        <v>3.0002397263274583E-2</v>
      </c>
      <c r="AA339" s="149">
        <f t="shared" ref="AA339" si="1679">AA338/O338-1</f>
        <v>3.0002397263274583E-2</v>
      </c>
      <c r="AB339" s="149">
        <f t="shared" ref="AB339" si="1680">AB338/P338-1</f>
        <v>3.0002397263274583E-2</v>
      </c>
      <c r="AC339" s="149">
        <f t="shared" ref="AC339" si="1681">AC338/Q338-1</f>
        <v>3.0002397263274583E-2</v>
      </c>
      <c r="AD339" s="150">
        <f t="shared" ref="AD339" si="1682">AD338/R338-1</f>
        <v>3.0002397263274583E-2</v>
      </c>
      <c r="AE339" s="15"/>
      <c r="AF339" s="11"/>
      <c r="AG339" s="97">
        <f>AG338/AF338-1</f>
        <v>3.0002397263274583E-2</v>
      </c>
    </row>
    <row r="340" spans="2:34" ht="6" customHeight="1" x14ac:dyDescent="0.2">
      <c r="B340" s="9">
        <f>G305</f>
        <v>7</v>
      </c>
      <c r="C340" s="9" t="str">
        <f t="shared" si="1440"/>
        <v xml:space="preserve">7 - </v>
      </c>
      <c r="D340" s="9" t="s">
        <v>56</v>
      </c>
      <c r="F340" s="16"/>
      <c r="G340" s="11"/>
      <c r="S340" s="11"/>
      <c r="AD340" s="15"/>
      <c r="AE340" s="15"/>
      <c r="AF340" s="11"/>
      <c r="AG340" s="15"/>
    </row>
    <row r="341" spans="2:34" x14ac:dyDescent="0.2">
      <c r="B341" s="9">
        <f>G305</f>
        <v>7</v>
      </c>
      <c r="C341" s="9" t="str">
        <f t="shared" si="1440"/>
        <v>7 - Office EBITDA</v>
      </c>
      <c r="D341" s="9" t="s">
        <v>56</v>
      </c>
      <c r="F341" s="8" t="s">
        <v>12</v>
      </c>
      <c r="G341" s="134">
        <f>G329+G332+G335+G338</f>
        <v>114.29354164209045</v>
      </c>
      <c r="H341" s="135">
        <f t="shared" ref="H341:AD341" si="1683">H329+H332+H335+H338</f>
        <v>107.98387199135911</v>
      </c>
      <c r="I341" s="135">
        <f t="shared" si="1683"/>
        <v>14.768804388580769</v>
      </c>
      <c r="J341" s="135">
        <f t="shared" si="1683"/>
        <v>10.238092470030629</v>
      </c>
      <c r="K341" s="135">
        <f t="shared" si="1683"/>
        <v>-68.785329033880458</v>
      </c>
      <c r="L341" s="135">
        <f t="shared" si="1683"/>
        <v>-72.25547700313561</v>
      </c>
      <c r="M341" s="135">
        <f t="shared" si="1683"/>
        <v>-67.361310916935921</v>
      </c>
      <c r="N341" s="135">
        <f t="shared" si="1683"/>
        <v>11.370026950866066</v>
      </c>
      <c r="O341" s="135">
        <f t="shared" si="1683"/>
        <v>4.0341709683385751</v>
      </c>
      <c r="P341" s="135">
        <f t="shared" si="1683"/>
        <v>-1.3456284269355905</v>
      </c>
      <c r="Q341" s="135">
        <f t="shared" si="1683"/>
        <v>93.653096425607075</v>
      </c>
      <c r="R341" s="135">
        <f t="shared" si="1683"/>
        <v>148.58600801193205</v>
      </c>
      <c r="S341" s="134">
        <f t="shared" si="1683"/>
        <v>95.059826390112534</v>
      </c>
      <c r="T341" s="135">
        <f t="shared" si="1683"/>
        <v>-5.2004190356001452</v>
      </c>
      <c r="U341" s="135">
        <f t="shared" si="1683"/>
        <v>-72.454771887150912</v>
      </c>
      <c r="V341" s="135">
        <f t="shared" si="1683"/>
        <v>-68.11286429477255</v>
      </c>
      <c r="W341" s="135">
        <f t="shared" si="1683"/>
        <v>-196.71914714587916</v>
      </c>
      <c r="X341" s="135">
        <f t="shared" si="1683"/>
        <v>-205.22493079567181</v>
      </c>
      <c r="Y341" s="135">
        <f t="shared" si="1683"/>
        <v>-213.8024184509174</v>
      </c>
      <c r="Z341" s="135">
        <f t="shared" si="1683"/>
        <v>-63.445475651076976</v>
      </c>
      <c r="AA341" s="135">
        <f t="shared" si="1683"/>
        <v>-105.42671915621145</v>
      </c>
      <c r="AB341" s="135">
        <f t="shared" si="1683"/>
        <v>-118.31312817684395</v>
      </c>
      <c r="AC341" s="135">
        <f t="shared" si="1683"/>
        <v>-3.5352753222700031</v>
      </c>
      <c r="AD341" s="136">
        <f t="shared" si="1683"/>
        <v>-88.046482077815043</v>
      </c>
      <c r="AE341" s="15"/>
      <c r="AF341" s="94">
        <f>SUM(G341:R341)</f>
        <v>295.17986746791712</v>
      </c>
      <c r="AG341" s="95">
        <f>SUM(S341:AD341)</f>
        <v>-1045.221805604097</v>
      </c>
    </row>
    <row r="342" spans="2:34" x14ac:dyDescent="0.2">
      <c r="B342" s="9">
        <f>G305</f>
        <v>7</v>
      </c>
      <c r="C342" s="9" t="str">
        <f t="shared" si="1440"/>
        <v>7 - % of Revenue - Office EBITDA</v>
      </c>
      <c r="D342" s="9" t="s">
        <v>56</v>
      </c>
      <c r="F342" s="16" t="str">
        <f>"% of Revenue - "&amp;F341</f>
        <v>% of Revenue - Office EBITDA</v>
      </c>
      <c r="G342" s="148">
        <f>G341/G317</f>
        <v>0.25777310315989233</v>
      </c>
      <c r="H342" s="149">
        <f t="shared" ref="H342" si="1684">H341/H317</f>
        <v>0.24659658009397778</v>
      </c>
      <c r="I342" s="149">
        <f t="shared" ref="I342" si="1685">I341/I317</f>
        <v>3.4485358185892635E-2</v>
      </c>
      <c r="J342" s="149">
        <f t="shared" ref="J342" si="1686">J341/J317</f>
        <v>2.572485940487363E-2</v>
      </c>
      <c r="K342" s="149">
        <f t="shared" ref="K342" si="1687">K341/K317</f>
        <v>-0.21103257140081319</v>
      </c>
      <c r="L342" s="149">
        <f t="shared" ref="L342" si="1688">L341/L317</f>
        <v>-0.24085225097824939</v>
      </c>
      <c r="M342" s="149">
        <f t="shared" ref="M342" si="1689">M341/M317</f>
        <v>-0.2547568114882251</v>
      </c>
      <c r="N342" s="149">
        <f t="shared" ref="N342" si="1690">N341/N317</f>
        <v>2.9326929483795568E-2</v>
      </c>
      <c r="O342" s="149">
        <f t="shared" ref="O342" si="1691">O341/O317</f>
        <v>1.1646581809390691E-2</v>
      </c>
      <c r="P342" s="149">
        <f t="shared" ref="P342" si="1692">P341/P317</f>
        <v>-4.1146178273128503E-3</v>
      </c>
      <c r="Q342" s="149">
        <f t="shared" ref="Q342" si="1693">Q341/Q317</f>
        <v>0.23597314444649384</v>
      </c>
      <c r="R342" s="149">
        <f t="shared" ref="R342" si="1694">R341/R317</f>
        <v>0.37215001575536899</v>
      </c>
      <c r="S342" s="148">
        <f t="shared" ref="S342" si="1695">S341/S317</f>
        <v>0.23392166810532863</v>
      </c>
      <c r="T342" s="149">
        <f t="shared" ref="T342" si="1696">T341/T317</f>
        <v>-1.5628202353921983E-2</v>
      </c>
      <c r="U342" s="149">
        <f t="shared" ref="U342" si="1697">U341/U317</f>
        <v>-0.28531249197953068</v>
      </c>
      <c r="V342" s="149">
        <f t="shared" ref="V342" si="1698">V341/V317</f>
        <v>-0.27264990709829268</v>
      </c>
      <c r="W342" s="149">
        <f t="shared" ref="W342" si="1699">W341/W317</f>
        <v>-1.2335165825872596</v>
      </c>
      <c r="X342" s="149">
        <f t="shared" ref="X342" si="1700">X341/X317</f>
        <v>-1.5706265082098161</v>
      </c>
      <c r="Y342" s="149">
        <f t="shared" ref="Y342" si="1701">Y341/Y317</f>
        <v>-1.5492459794270175</v>
      </c>
      <c r="Z342" s="149">
        <f t="shared" ref="Z342" si="1702">Z341/Z317</f>
        <v>-0.29039911314038624</v>
      </c>
      <c r="AA342" s="149">
        <f t="shared" ref="AA342" si="1703">AA341/AA317</f>
        <v>-0.49499800081223139</v>
      </c>
      <c r="AB342" s="149">
        <f t="shared" ref="AB342" si="1704">AB341/AB317</f>
        <v>-0.46919090424240384</v>
      </c>
      <c r="AC342" s="149">
        <f t="shared" ref="AC342" si="1705">AC341/AC317</f>
        <v>-1.1739237652098874E-2</v>
      </c>
      <c r="AD342" s="150">
        <f t="shared" ref="AD342" si="1706">AD341/AD317</f>
        <v>-0.55150373081020032</v>
      </c>
      <c r="AE342" s="15"/>
      <c r="AF342" s="96">
        <f t="shared" ref="AF342" si="1707">AF341/AF317</f>
        <v>6.6255816272031184E-2</v>
      </c>
      <c r="AG342" s="97">
        <f t="shared" ref="AG342" si="1708">AG341/AG317</f>
        <v>-0.37124233165181009</v>
      </c>
    </row>
    <row r="343" spans="2:34" ht="6" customHeight="1" x14ac:dyDescent="0.2">
      <c r="B343" s="9">
        <f>G305</f>
        <v>7</v>
      </c>
      <c r="C343" s="9" t="str">
        <f t="shared" si="1440"/>
        <v xml:space="preserve">7 - </v>
      </c>
      <c r="D343" s="9" t="s">
        <v>56</v>
      </c>
      <c r="G343" s="11"/>
      <c r="S343" s="11"/>
      <c r="AD343" s="15"/>
      <c r="AE343" s="15"/>
      <c r="AF343" s="11"/>
      <c r="AG343" s="15"/>
    </row>
    <row r="344" spans="2:34" x14ac:dyDescent="0.2">
      <c r="B344" s="9">
        <f>G305</f>
        <v>7</v>
      </c>
      <c r="C344" s="9" t="str">
        <f t="shared" si="1440"/>
        <v>7 - Memo:</v>
      </c>
      <c r="D344" s="9" t="s">
        <v>56</v>
      </c>
      <c r="F344" s="6" t="s">
        <v>13</v>
      </c>
      <c r="G344" s="11"/>
      <c r="S344" s="11"/>
      <c r="AD344" s="15"/>
      <c r="AE344" s="15"/>
      <c r="AF344" s="11"/>
      <c r="AG344" s="15"/>
    </row>
    <row r="345" spans="2:34" s="24" customFormat="1" x14ac:dyDescent="0.2">
      <c r="B345" s="9">
        <f>G305</f>
        <v>7</v>
      </c>
      <c r="C345" s="9" t="str">
        <f t="shared" si="1440"/>
        <v>7 - Collections</v>
      </c>
      <c r="D345" s="9" t="s">
        <v>56</v>
      </c>
      <c r="E345" s="49"/>
      <c r="F345" s="24" t="s">
        <v>15</v>
      </c>
      <c r="G345" s="169">
        <f>G346*G315</f>
        <v>451.15472749120823</v>
      </c>
      <c r="H345" s="170">
        <f t="shared" ref="H345" si="1709">H346*H315</f>
        <v>441.62623837535642</v>
      </c>
      <c r="I345" s="170">
        <f t="shared" ref="I345" si="1710">I346*I315</f>
        <v>436.17327935379814</v>
      </c>
      <c r="J345" s="170">
        <f t="shared" ref="J345" si="1711">J346*J315</f>
        <v>406.79017352523454</v>
      </c>
      <c r="K345" s="170">
        <f t="shared" ref="K345" si="1712">K346*K315</f>
        <v>333.51633980267246</v>
      </c>
      <c r="L345" s="170">
        <f t="shared" ref="L345" si="1713">L346*L315</f>
        <v>298.24193236149046</v>
      </c>
      <c r="M345" s="170">
        <f t="shared" ref="M345" si="1714">M346*M315</f>
        <v>264.01951684266373</v>
      </c>
      <c r="N345" s="170">
        <f t="shared" ref="N345" si="1715">N346*N315</f>
        <v>383.62502121026029</v>
      </c>
      <c r="O345" s="170">
        <f t="shared" ref="O345" si="1716">O346*O315</f>
        <v>344.24059323366271</v>
      </c>
      <c r="P345" s="170">
        <f t="shared" ref="P345" si="1717">P346*P315</f>
        <v>324.56609196954537</v>
      </c>
      <c r="Q345" s="170">
        <f t="shared" ref="Q345" si="1718">Q346*Q315</f>
        <v>401.17689712973697</v>
      </c>
      <c r="R345" s="170">
        <f t="shared" ref="R345" si="1719">R346*R315</f>
        <v>407.51353691262261</v>
      </c>
      <c r="S345" s="169">
        <f t="shared" ref="S345" si="1720">S346*S315</f>
        <v>410.98887554443138</v>
      </c>
      <c r="T345" s="170">
        <f t="shared" ref="T345" si="1721">T346*T315</f>
        <v>327.64098306021577</v>
      </c>
      <c r="U345" s="170">
        <f t="shared" ref="U345" si="1722">U346*U315</f>
        <v>256.23164314419597</v>
      </c>
      <c r="V345" s="170">
        <f t="shared" ref="V345" si="1723">V346*V315</f>
        <v>245.0173048062486</v>
      </c>
      <c r="W345" s="170">
        <f t="shared" ref="W345" si="1724">W346*W315</f>
        <v>160.72144485232718</v>
      </c>
      <c r="X345" s="170">
        <f t="shared" ref="X345" si="1725">X346*X315</f>
        <v>129.43588223695983</v>
      </c>
      <c r="Y345" s="170">
        <f t="shared" ref="Y345" si="1726">Y346*Y315</f>
        <v>136.72841806704062</v>
      </c>
      <c r="Z345" s="170">
        <f t="shared" ref="Z345" si="1727">Z346*Z315</f>
        <v>221.14073030211952</v>
      </c>
      <c r="AA345" s="170">
        <f t="shared" ref="AA345" si="1728">AA346*AA315</f>
        <v>213.12054967313435</v>
      </c>
      <c r="AB345" s="170">
        <f t="shared" ref="AB345" si="1729">AB346*AB315</f>
        <v>248.90056169184035</v>
      </c>
      <c r="AC345" s="170">
        <f t="shared" ref="AC345" si="1730">AC346*AC315</f>
        <v>299.86600001868226</v>
      </c>
      <c r="AD345" s="171">
        <f t="shared" ref="AD345" si="1731">AD346*AD315</f>
        <v>157.51086491260142</v>
      </c>
      <c r="AE345" s="26"/>
      <c r="AF345" s="68">
        <f>SUM(G345:R345)</f>
        <v>4492.6443482082523</v>
      </c>
      <c r="AG345" s="99">
        <f>SUM(S345:AD345)</f>
        <v>2807.303258309797</v>
      </c>
    </row>
    <row r="346" spans="2:34" x14ac:dyDescent="0.2">
      <c r="B346" s="9">
        <f>G305</f>
        <v>7</v>
      </c>
      <c r="C346" s="9" t="str">
        <f t="shared" si="1440"/>
        <v>7 - Collections as a % of Production</v>
      </c>
      <c r="D346" s="9" t="s">
        <v>56</v>
      </c>
      <c r="F346" s="16" t="s">
        <v>17</v>
      </c>
      <c r="G346" s="140">
        <v>0.99313218531780123</v>
      </c>
      <c r="H346" s="141">
        <v>0.98434798477729257</v>
      </c>
      <c r="I346" s="141">
        <v>0.99406342351536969</v>
      </c>
      <c r="J346" s="141">
        <v>0.99763126356165832</v>
      </c>
      <c r="K346" s="141">
        <v>0.99870315664105125</v>
      </c>
      <c r="L346" s="141">
        <v>0.9703184215425088</v>
      </c>
      <c r="M346" s="141">
        <v>0.97457875781692127</v>
      </c>
      <c r="N346" s="141">
        <v>0.96577878504085868</v>
      </c>
      <c r="O346" s="141">
        <v>0.97000036652751187</v>
      </c>
      <c r="P346" s="141">
        <v>0.96866393699828646</v>
      </c>
      <c r="Q346" s="141">
        <v>0.9866019937618441</v>
      </c>
      <c r="R346" s="141">
        <v>0.99620289982766463</v>
      </c>
      <c r="S346" s="140">
        <v>0.99698131768679965</v>
      </c>
      <c r="T346" s="141">
        <v>0.97062712712439003</v>
      </c>
      <c r="U346" s="141">
        <v>0.99464951021653769</v>
      </c>
      <c r="V346" s="141">
        <v>0.96684417851198612</v>
      </c>
      <c r="W346" s="141">
        <v>0.99347216886621648</v>
      </c>
      <c r="X346" s="141">
        <v>0.97651970504272345</v>
      </c>
      <c r="Y346" s="141">
        <v>0.97667500031826648</v>
      </c>
      <c r="Z346" s="141">
        <v>0.99780777930710673</v>
      </c>
      <c r="AA346" s="141">
        <v>0.98641938612817992</v>
      </c>
      <c r="AB346" s="141">
        <v>0.97302957725504413</v>
      </c>
      <c r="AC346" s="141">
        <v>0.98158383456996501</v>
      </c>
      <c r="AD346" s="142">
        <v>0.97259152451850706</v>
      </c>
      <c r="AE346" s="15"/>
      <c r="AF346" s="96">
        <f t="shared" ref="AF346" si="1732">AF345/AF315</f>
        <v>0.984248927395729</v>
      </c>
      <c r="AG346" s="97">
        <f t="shared" ref="AG346" si="1733">AG345/AG315</f>
        <v>0.98292838749047984</v>
      </c>
    </row>
    <row r="347" spans="2:34" ht="6" customHeight="1" x14ac:dyDescent="0.2">
      <c r="B347" s="9">
        <f>G305</f>
        <v>7</v>
      </c>
      <c r="C347" s="9" t="str">
        <f t="shared" si="1440"/>
        <v xml:space="preserve">7 - </v>
      </c>
      <c r="D347" s="9" t="s">
        <v>56</v>
      </c>
      <c r="F347" s="27"/>
      <c r="R347" s="15"/>
      <c r="AD347" s="15"/>
      <c r="AE347" s="15"/>
      <c r="AF347" s="11"/>
      <c r="AG347" s="15"/>
    </row>
    <row r="348" spans="2:34" s="24" customFormat="1" x14ac:dyDescent="0.2">
      <c r="B348" s="9">
        <f>G305</f>
        <v>7</v>
      </c>
      <c r="C348" s="9" t="str">
        <f t="shared" si="1440"/>
        <v>7 - Production per Vet Workday - YoY Change</v>
      </c>
      <c r="D348" s="9" t="s">
        <v>56</v>
      </c>
      <c r="E348" s="49"/>
      <c r="F348" s="24" t="s">
        <v>55</v>
      </c>
      <c r="G348" s="88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151">
        <f>S314/G314-1</f>
        <v>-0.13200057895356798</v>
      </c>
      <c r="T348" s="152">
        <f t="shared" ref="T348" si="1734">T314/H314-1</f>
        <v>-4.2420292268530613E-2</v>
      </c>
      <c r="U348" s="152">
        <f t="shared" ref="U348" si="1735">U314/I314-1</f>
        <v>-3.9278419702786005E-2</v>
      </c>
      <c r="V348" s="152">
        <f t="shared" ref="V348" si="1736">V314/J314-1</f>
        <v>-0.11012759054504262</v>
      </c>
      <c r="W348" s="152">
        <f t="shared" ref="W348" si="1737">W314/K314-1</f>
        <v>-7.1495486348373327E-2</v>
      </c>
      <c r="X348" s="152">
        <f t="shared" ref="X348" si="1738">X314/L314-1</f>
        <v>-5.537858742094881E-2</v>
      </c>
      <c r="Y348" s="152">
        <f t="shared" ref="Y348" si="1739">Y314/M314-1</f>
        <v>-1.1413973696429269E-2</v>
      </c>
      <c r="Z348" s="152">
        <f t="shared" ref="Z348" si="1740">Z314/N314-1</f>
        <v>-0.12669237033692293</v>
      </c>
      <c r="AA348" s="152">
        <f t="shared" ref="AA348" si="1741">AA314/O314-1</f>
        <v>-4.3316704785304805E-2</v>
      </c>
      <c r="AB348" s="152">
        <f t="shared" ref="AB348" si="1742">AB314/P314-1</f>
        <v>4.971769519387248E-2</v>
      </c>
      <c r="AC348" s="152">
        <f t="shared" ref="AC348" si="1743">AC314/Q314-1</f>
        <v>4.7248614765589503E-2</v>
      </c>
      <c r="AD348" s="153">
        <f t="shared" ref="AD348" si="1744">AD314/R314-1</f>
        <v>-1.0249326350006527E-2</v>
      </c>
      <c r="AF348" s="43"/>
      <c r="AG348" s="104">
        <f>AG314/AF314-1</f>
        <v>-3.8906586429429013E-2</v>
      </c>
    </row>
    <row r="349" spans="2:34" s="24" customFormat="1" ht="6" customHeight="1" x14ac:dyDescent="0.2">
      <c r="D349" s="9" t="s">
        <v>56</v>
      </c>
      <c r="E349" s="49"/>
      <c r="G349" s="28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29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29"/>
      <c r="AE349" s="25"/>
      <c r="AF349" s="28"/>
      <c r="AG349" s="29"/>
    </row>
    <row r="350" spans="2:34" s="24" customFormat="1" ht="6" customHeight="1" x14ac:dyDescent="0.2">
      <c r="D350" s="9" t="s">
        <v>56</v>
      </c>
      <c r="E350" s="49"/>
    </row>
    <row r="351" spans="2:34" x14ac:dyDescent="0.2">
      <c r="D351" s="9" t="s">
        <v>56</v>
      </c>
      <c r="F351" s="16"/>
    </row>
    <row r="352" spans="2:34" ht="15.75" thickBot="1" x14ac:dyDescent="0.4">
      <c r="B352" s="35" t="s">
        <v>52</v>
      </c>
      <c r="C352" s="35"/>
      <c r="D352" s="9" t="s">
        <v>56</v>
      </c>
      <c r="E352" s="48" t="s">
        <v>0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74">
        <f ca="1">AG$2</f>
        <v>45999</v>
      </c>
      <c r="AH352" s="1"/>
    </row>
    <row r="353" spans="2:33" x14ac:dyDescent="0.2">
      <c r="B353" s="9">
        <f>G355</f>
        <v>8</v>
      </c>
      <c r="C353" s="9"/>
      <c r="D353" s="9" t="s">
        <v>56</v>
      </c>
      <c r="F353" t="s">
        <v>159</v>
      </c>
      <c r="AG353" s="6" t="s">
        <v>16</v>
      </c>
    </row>
    <row r="354" spans="2:33" x14ac:dyDescent="0.2">
      <c r="B354" s="9"/>
      <c r="C354" s="9"/>
      <c r="D354" s="9" t="s">
        <v>56</v>
      </c>
      <c r="AG354" s="6"/>
    </row>
    <row r="355" spans="2:33" x14ac:dyDescent="0.2">
      <c r="B355" s="9">
        <f>G355</f>
        <v>8</v>
      </c>
      <c r="C355" s="9"/>
      <c r="D355" s="9" t="s">
        <v>56</v>
      </c>
      <c r="F355" s="40" t="s">
        <v>53</v>
      </c>
      <c r="G355" s="42">
        <v>8</v>
      </c>
    </row>
    <row r="356" spans="2:33" x14ac:dyDescent="0.2">
      <c r="B356" s="9">
        <f>G355</f>
        <v>8</v>
      </c>
      <c r="C356" s="9"/>
      <c r="D356" s="9" t="s">
        <v>56</v>
      </c>
      <c r="F356" s="39" t="s">
        <v>25</v>
      </c>
      <c r="G356" s="41"/>
      <c r="H356" s="11"/>
    </row>
    <row r="357" spans="2:33" x14ac:dyDescent="0.2">
      <c r="B357" s="9">
        <f>G355</f>
        <v>8</v>
      </c>
      <c r="C357" s="9"/>
      <c r="D357" s="9" t="s">
        <v>56</v>
      </c>
      <c r="G357" s="23"/>
    </row>
    <row r="358" spans="2:33" x14ac:dyDescent="0.2">
      <c r="B358" s="9">
        <f>G355</f>
        <v>8</v>
      </c>
      <c r="C358" s="9"/>
      <c r="D358" s="9" t="s">
        <v>56</v>
      </c>
      <c r="G358" s="20">
        <v>2023</v>
      </c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2"/>
      <c r="S358" s="20">
        <v>2024</v>
      </c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2"/>
      <c r="AF358" s="17" t="s">
        <v>14</v>
      </c>
      <c r="AG358" s="18"/>
    </row>
    <row r="359" spans="2:33" ht="15" customHeight="1" x14ac:dyDescent="0.35">
      <c r="B359" s="9">
        <f>G355</f>
        <v>8</v>
      </c>
      <c r="C359" s="9"/>
      <c r="D359" s="9" t="s">
        <v>56</v>
      </c>
      <c r="G359" s="165">
        <v>44957</v>
      </c>
      <c r="H359" s="166">
        <v>44985</v>
      </c>
      <c r="I359" s="166">
        <v>45016</v>
      </c>
      <c r="J359" s="166">
        <v>45046</v>
      </c>
      <c r="K359" s="166">
        <v>45077</v>
      </c>
      <c r="L359" s="166">
        <v>45107</v>
      </c>
      <c r="M359" s="166">
        <v>45138</v>
      </c>
      <c r="N359" s="166">
        <v>45169</v>
      </c>
      <c r="O359" s="166">
        <v>45199</v>
      </c>
      <c r="P359" s="166">
        <v>45230</v>
      </c>
      <c r="Q359" s="166">
        <v>45260</v>
      </c>
      <c r="R359" s="167">
        <v>45291</v>
      </c>
      <c r="S359" s="165">
        <v>45322</v>
      </c>
      <c r="T359" s="166">
        <v>45351</v>
      </c>
      <c r="U359" s="166">
        <v>45382</v>
      </c>
      <c r="V359" s="166">
        <v>45412</v>
      </c>
      <c r="W359" s="166">
        <v>45443</v>
      </c>
      <c r="X359" s="166">
        <v>45473</v>
      </c>
      <c r="Y359" s="166">
        <v>45504</v>
      </c>
      <c r="Z359" s="166">
        <v>45535</v>
      </c>
      <c r="AA359" s="166">
        <v>45565</v>
      </c>
      <c r="AB359" s="166">
        <v>45596</v>
      </c>
      <c r="AC359" s="166">
        <v>45626</v>
      </c>
      <c r="AD359" s="167">
        <v>45657</v>
      </c>
      <c r="AE359" s="168"/>
      <c r="AF359" s="13">
        <v>45291</v>
      </c>
      <c r="AG359" s="14">
        <v>45657</v>
      </c>
    </row>
    <row r="360" spans="2:33" ht="0.95" customHeight="1" x14ac:dyDescent="0.2">
      <c r="B360" s="9">
        <f>G355</f>
        <v>8</v>
      </c>
      <c r="C360" s="9"/>
      <c r="D360" s="9" t="s">
        <v>56</v>
      </c>
      <c r="G360" s="11"/>
      <c r="S360" s="11"/>
      <c r="AD360" s="15"/>
      <c r="AE360" s="15"/>
      <c r="AF360" s="11"/>
      <c r="AG360" s="15"/>
    </row>
    <row r="361" spans="2:33" x14ac:dyDescent="0.2">
      <c r="B361" s="9">
        <f>G355</f>
        <v>8</v>
      </c>
      <c r="C361" s="9" t="str">
        <f>B361&amp;" - "&amp;F361</f>
        <v>8 - Employed Vets</v>
      </c>
      <c r="D361" s="9" t="s">
        <v>56</v>
      </c>
      <c r="F361" s="7" t="s">
        <v>160</v>
      </c>
      <c r="G361" s="121">
        <v>4</v>
      </c>
      <c r="H361" s="154">
        <f>MAX(MIN(IF(H364/G364&gt;1.1,G361-1,IF(H364/G364&lt;0.9,G361+1,G361)),5),1)</f>
        <v>4</v>
      </c>
      <c r="I361" s="154">
        <f t="shared" ref="I361:AD361" si="1745">MAX(MIN(IF(I364/H364&gt;1.1,H361-1,IF(I364/H364&lt;0.9,H361+1,H361)),5),1)</f>
        <v>4</v>
      </c>
      <c r="J361" s="154">
        <f t="shared" si="1745"/>
        <v>4</v>
      </c>
      <c r="K361" s="154">
        <f t="shared" si="1745"/>
        <v>4</v>
      </c>
      <c r="L361" s="154">
        <f t="shared" si="1745"/>
        <v>4</v>
      </c>
      <c r="M361" s="154">
        <f t="shared" si="1745"/>
        <v>4</v>
      </c>
      <c r="N361" s="154">
        <f t="shared" si="1745"/>
        <v>5</v>
      </c>
      <c r="O361" s="154">
        <f t="shared" si="1745"/>
        <v>5</v>
      </c>
      <c r="P361" s="154">
        <f t="shared" si="1745"/>
        <v>5</v>
      </c>
      <c r="Q361" s="154">
        <f t="shared" si="1745"/>
        <v>5</v>
      </c>
      <c r="R361" s="154">
        <f t="shared" si="1745"/>
        <v>5</v>
      </c>
      <c r="S361" s="155">
        <f t="shared" si="1745"/>
        <v>4</v>
      </c>
      <c r="T361" s="154">
        <f t="shared" si="1745"/>
        <v>4</v>
      </c>
      <c r="U361" s="154">
        <f t="shared" si="1745"/>
        <v>3</v>
      </c>
      <c r="V361" s="154">
        <f t="shared" si="1745"/>
        <v>3</v>
      </c>
      <c r="W361" s="154">
        <f t="shared" si="1745"/>
        <v>3</v>
      </c>
      <c r="X361" s="154">
        <f t="shared" si="1745"/>
        <v>3</v>
      </c>
      <c r="Y361" s="154">
        <f t="shared" si="1745"/>
        <v>4</v>
      </c>
      <c r="Z361" s="154">
        <f t="shared" si="1745"/>
        <v>5</v>
      </c>
      <c r="AA361" s="154">
        <f t="shared" si="1745"/>
        <v>5</v>
      </c>
      <c r="AB361" s="154">
        <f t="shared" si="1745"/>
        <v>5</v>
      </c>
      <c r="AC361" s="154">
        <f t="shared" si="1745"/>
        <v>5</v>
      </c>
      <c r="AD361" s="156">
        <f t="shared" si="1745"/>
        <v>5</v>
      </c>
      <c r="AE361" s="15"/>
      <c r="AF361" s="90">
        <f>AVERAGE(G361:R361)</f>
        <v>4.416666666666667</v>
      </c>
      <c r="AG361" s="91">
        <f>AVERAGE(S361:AD361)</f>
        <v>4.083333333333333</v>
      </c>
    </row>
    <row r="362" spans="2:33" x14ac:dyDescent="0.2">
      <c r="B362" s="9">
        <f>G355</f>
        <v>8</v>
      </c>
      <c r="C362" s="9" t="str">
        <f t="shared" ref="C362:C398" si="1746">B362&amp;" - "&amp;F362</f>
        <v>8 - Workdays in Month / Year</v>
      </c>
      <c r="D362" s="9" t="s">
        <v>56</v>
      </c>
      <c r="F362" s="7" t="s">
        <v>54</v>
      </c>
      <c r="G362" s="121">
        <v>22</v>
      </c>
      <c r="H362" s="124">
        <v>21</v>
      </c>
      <c r="I362" s="124">
        <v>24</v>
      </c>
      <c r="J362" s="122">
        <v>21</v>
      </c>
      <c r="K362" s="122">
        <v>23</v>
      </c>
      <c r="L362" s="122">
        <v>23</v>
      </c>
      <c r="M362" s="122">
        <v>22</v>
      </c>
      <c r="N362" s="122">
        <v>24</v>
      </c>
      <c r="O362" s="122">
        <v>22</v>
      </c>
      <c r="P362" s="122">
        <v>22</v>
      </c>
      <c r="Q362" s="122">
        <v>23</v>
      </c>
      <c r="R362" s="122">
        <v>22</v>
      </c>
      <c r="S362" s="121">
        <v>23</v>
      </c>
      <c r="T362" s="122">
        <v>22</v>
      </c>
      <c r="U362" s="122">
        <v>22</v>
      </c>
      <c r="V362" s="122">
        <v>22</v>
      </c>
      <c r="W362" s="122">
        <v>24</v>
      </c>
      <c r="X362" s="122">
        <v>21</v>
      </c>
      <c r="Y362" s="122">
        <v>23</v>
      </c>
      <c r="Z362" s="122">
        <v>23</v>
      </c>
      <c r="AA362" s="122">
        <v>21</v>
      </c>
      <c r="AB362" s="122">
        <v>24</v>
      </c>
      <c r="AC362" s="122">
        <v>22</v>
      </c>
      <c r="AD362" s="123">
        <v>22</v>
      </c>
      <c r="AE362" s="15"/>
      <c r="AF362" s="144">
        <v>269</v>
      </c>
      <c r="AG362" s="145">
        <v>269</v>
      </c>
    </row>
    <row r="363" spans="2:33" x14ac:dyDescent="0.2">
      <c r="B363" s="9">
        <f>G355</f>
        <v>8</v>
      </c>
      <c r="C363" s="9" t="str">
        <f t="shared" si="1746"/>
        <v>8 - Total Vet Days</v>
      </c>
      <c r="D363" s="9" t="s">
        <v>56</v>
      </c>
      <c r="F363" s="8" t="s">
        <v>51</v>
      </c>
      <c r="G363" s="125">
        <f>G361*G362</f>
        <v>88</v>
      </c>
      <c r="H363" s="126">
        <f t="shared" ref="H363" si="1747">H361*H362</f>
        <v>84</v>
      </c>
      <c r="I363" s="126">
        <f t="shared" ref="I363" si="1748">I361*I362</f>
        <v>96</v>
      </c>
      <c r="J363" s="127">
        <f t="shared" ref="J363" si="1749">J361*J362</f>
        <v>84</v>
      </c>
      <c r="K363" s="127">
        <f t="shared" ref="K363" si="1750">K361*K362</f>
        <v>92</v>
      </c>
      <c r="L363" s="127">
        <f t="shared" ref="L363" si="1751">L361*L362</f>
        <v>92</v>
      </c>
      <c r="M363" s="127">
        <f t="shared" ref="M363" si="1752">M361*M362</f>
        <v>88</v>
      </c>
      <c r="N363" s="127">
        <f t="shared" ref="N363" si="1753">N361*N362</f>
        <v>120</v>
      </c>
      <c r="O363" s="127">
        <f t="shared" ref="O363" si="1754">O361*O362</f>
        <v>110</v>
      </c>
      <c r="P363" s="127">
        <f t="shared" ref="P363" si="1755">P361*P362</f>
        <v>110</v>
      </c>
      <c r="Q363" s="127">
        <f t="shared" ref="Q363" si="1756">Q361*Q362</f>
        <v>115</v>
      </c>
      <c r="R363" s="127">
        <f t="shared" ref="R363" si="1757">R361*R362</f>
        <v>110</v>
      </c>
      <c r="S363" s="125">
        <f t="shared" ref="S363" si="1758">S361*S362</f>
        <v>92</v>
      </c>
      <c r="T363" s="127">
        <f t="shared" ref="T363" si="1759">T361*T362</f>
        <v>88</v>
      </c>
      <c r="U363" s="127">
        <f t="shared" ref="U363" si="1760">U361*U362</f>
        <v>66</v>
      </c>
      <c r="V363" s="127">
        <f t="shared" ref="V363" si="1761">V361*V362</f>
        <v>66</v>
      </c>
      <c r="W363" s="127">
        <f t="shared" ref="W363" si="1762">W361*W362</f>
        <v>72</v>
      </c>
      <c r="X363" s="127">
        <f t="shared" ref="X363" si="1763">X361*X362</f>
        <v>63</v>
      </c>
      <c r="Y363" s="127">
        <f t="shared" ref="Y363" si="1764">Y361*Y362</f>
        <v>92</v>
      </c>
      <c r="Z363" s="127">
        <f t="shared" ref="Z363" si="1765">Z361*Z362</f>
        <v>115</v>
      </c>
      <c r="AA363" s="127">
        <f t="shared" ref="AA363" si="1766">AA361*AA362</f>
        <v>105</v>
      </c>
      <c r="AB363" s="127">
        <f t="shared" ref="AB363" si="1767">AB361*AB362</f>
        <v>120</v>
      </c>
      <c r="AC363" s="127">
        <f t="shared" ref="AC363" si="1768">AC361*AC362</f>
        <v>110</v>
      </c>
      <c r="AD363" s="128">
        <f t="shared" ref="AD363" si="1769">AD361*AD362</f>
        <v>110</v>
      </c>
      <c r="AF363" s="119">
        <f>SUM(G363:R363)</f>
        <v>1189</v>
      </c>
      <c r="AG363" s="120">
        <f>SUM(S363:AD363)</f>
        <v>1099</v>
      </c>
    </row>
    <row r="364" spans="2:33" x14ac:dyDescent="0.2">
      <c r="B364" s="9">
        <f>G355</f>
        <v>8</v>
      </c>
      <c r="C364" s="9" t="str">
        <f t="shared" si="1746"/>
        <v>8 - Production per Vet Workday</v>
      </c>
      <c r="D364" s="9" t="s">
        <v>56</v>
      </c>
      <c r="F364" s="7" t="s">
        <v>50</v>
      </c>
      <c r="G364" s="129">
        <v>4.4482392710484149</v>
      </c>
      <c r="H364" s="130">
        <v>4.4890706040904726</v>
      </c>
      <c r="I364" s="130">
        <v>4.861681354700452</v>
      </c>
      <c r="J364" s="130">
        <v>4.8761002486501877</v>
      </c>
      <c r="K364" s="130">
        <v>5.246872654226217</v>
      </c>
      <c r="L364" s="130">
        <v>5.1136116315630407</v>
      </c>
      <c r="M364" s="130">
        <v>4.7794712309510157</v>
      </c>
      <c r="N364" s="130">
        <v>3.8805563503437908</v>
      </c>
      <c r="O364" s="130">
        <v>3.858732290040515</v>
      </c>
      <c r="P364" s="130">
        <v>3.8472824214862031</v>
      </c>
      <c r="Q364" s="130">
        <v>3.2102629872939255</v>
      </c>
      <c r="R364" s="130">
        <v>2.5012244159331871</v>
      </c>
      <c r="S364" s="129">
        <v>4.7419749089244752</v>
      </c>
      <c r="T364" s="130">
        <v>4.7148569839734549</v>
      </c>
      <c r="U364" s="130">
        <v>5.2392062229102851</v>
      </c>
      <c r="V364" s="130">
        <v>4.8885335033423871</v>
      </c>
      <c r="W364" s="130">
        <v>5.3170168968087888</v>
      </c>
      <c r="X364" s="130">
        <v>5.3065887361877557</v>
      </c>
      <c r="Y364" s="130">
        <v>4.5793834208781323</v>
      </c>
      <c r="Z364" s="130">
        <v>3.6076494651580373</v>
      </c>
      <c r="AA364" s="130">
        <v>3.8418839274266174</v>
      </c>
      <c r="AB364" s="130">
        <v>3.9570217075201843</v>
      </c>
      <c r="AC364" s="130">
        <v>3.1841290413553369</v>
      </c>
      <c r="AD364" s="131">
        <v>2.6031535397347563</v>
      </c>
      <c r="AE364" s="15"/>
      <c r="AF364" s="132">
        <v>4.2608861411064458</v>
      </c>
      <c r="AG364" s="133">
        <v>4.3342727737280624</v>
      </c>
    </row>
    <row r="365" spans="2:33" x14ac:dyDescent="0.2">
      <c r="B365" s="9">
        <f>G355</f>
        <v>8</v>
      </c>
      <c r="C365" s="9" t="str">
        <f t="shared" si="1746"/>
        <v>8 - Total Production</v>
      </c>
      <c r="D365" s="9" t="s">
        <v>56</v>
      </c>
      <c r="F365" s="8" t="s">
        <v>1</v>
      </c>
      <c r="G365" s="134">
        <f>G364*G363</f>
        <v>391.44505585226051</v>
      </c>
      <c r="H365" s="135">
        <f t="shared" ref="H365" si="1770">H364*H363</f>
        <v>377.08193074359968</v>
      </c>
      <c r="I365" s="135">
        <f t="shared" ref="I365" si="1771">I364*I363</f>
        <v>466.72141005124342</v>
      </c>
      <c r="J365" s="135">
        <f t="shared" ref="J365" si="1772">J364*J363</f>
        <v>409.59242088661574</v>
      </c>
      <c r="K365" s="135">
        <f t="shared" ref="K365" si="1773">K364*K363</f>
        <v>482.71228418881196</v>
      </c>
      <c r="L365" s="135">
        <f t="shared" ref="L365" si="1774">L364*L363</f>
        <v>470.45227010379972</v>
      </c>
      <c r="M365" s="135">
        <f t="shared" ref="M365" si="1775">M364*M363</f>
        <v>420.59346832368936</v>
      </c>
      <c r="N365" s="135">
        <f t="shared" ref="N365" si="1776">N364*N363</f>
        <v>465.66676204125491</v>
      </c>
      <c r="O365" s="135">
        <f t="shared" ref="O365" si="1777">O364*O363</f>
        <v>424.46055190445662</v>
      </c>
      <c r="P365" s="135">
        <f t="shared" ref="P365" si="1778">P364*P363</f>
        <v>423.20106636348237</v>
      </c>
      <c r="Q365" s="135">
        <f t="shared" ref="Q365" si="1779">Q364*Q363</f>
        <v>369.18024353880145</v>
      </c>
      <c r="R365" s="135">
        <f t="shared" ref="R365" si="1780">R364*R363</f>
        <v>275.13468575265057</v>
      </c>
      <c r="S365" s="134">
        <f t="shared" ref="S365" si="1781">S364*S363</f>
        <v>436.26169162105174</v>
      </c>
      <c r="T365" s="135">
        <f t="shared" ref="T365" si="1782">T364*T363</f>
        <v>414.90741458966403</v>
      </c>
      <c r="U365" s="135">
        <f t="shared" ref="U365" si="1783">U364*U363</f>
        <v>345.78761071207884</v>
      </c>
      <c r="V365" s="135">
        <f t="shared" ref="V365" si="1784">V364*V363</f>
        <v>322.64321122059755</v>
      </c>
      <c r="W365" s="135">
        <f t="shared" ref="W365" si="1785">W364*W363</f>
        <v>382.82521657023278</v>
      </c>
      <c r="X365" s="135">
        <f t="shared" ref="X365" si="1786">X364*X363</f>
        <v>334.31509037982863</v>
      </c>
      <c r="Y365" s="135">
        <f t="shared" ref="Y365" si="1787">Y364*Y363</f>
        <v>421.30327472078818</v>
      </c>
      <c r="Z365" s="135">
        <f t="shared" ref="Z365" si="1788">Z364*Z363</f>
        <v>414.87968849317429</v>
      </c>
      <c r="AA365" s="135">
        <f t="shared" ref="AA365" si="1789">AA364*AA363</f>
        <v>403.39781237979486</v>
      </c>
      <c r="AB365" s="135">
        <f t="shared" ref="AB365" si="1790">AB364*AB363</f>
        <v>474.84260490242212</v>
      </c>
      <c r="AC365" s="135">
        <f t="shared" ref="AC365" si="1791">AC364*AC363</f>
        <v>350.25419454908706</v>
      </c>
      <c r="AD365" s="136">
        <f t="shared" ref="AD365" si="1792">AD364*AD363</f>
        <v>286.34688937082319</v>
      </c>
      <c r="AE365" s="15"/>
      <c r="AF365" s="94">
        <f>SUM(G365:R365)</f>
        <v>4976.2421497506666</v>
      </c>
      <c r="AG365" s="95">
        <f>SUM(S365:AD365)</f>
        <v>4587.7646995095429</v>
      </c>
    </row>
    <row r="366" spans="2:33" x14ac:dyDescent="0.2">
      <c r="B366" s="9">
        <f>G355</f>
        <v>8</v>
      </c>
      <c r="C366" s="9" t="str">
        <f t="shared" si="1746"/>
        <v>8 - Revenue as a % of Production</v>
      </c>
      <c r="D366" s="9" t="s">
        <v>56</v>
      </c>
      <c r="F366" s="7" t="s">
        <v>2</v>
      </c>
      <c r="G366" s="137">
        <v>0.9749757806527849</v>
      </c>
      <c r="H366" s="138">
        <v>0.9749757806527849</v>
      </c>
      <c r="I366" s="138">
        <v>0.9749757806527849</v>
      </c>
      <c r="J366" s="138">
        <v>0.9749757806527849</v>
      </c>
      <c r="K366" s="138">
        <v>0.9749757806527849</v>
      </c>
      <c r="L366" s="138">
        <v>0.9749757806527849</v>
      </c>
      <c r="M366" s="138">
        <v>0.9749757806527849</v>
      </c>
      <c r="N366" s="138">
        <v>0.9749757806527849</v>
      </c>
      <c r="O366" s="138">
        <v>0.9749757806527849</v>
      </c>
      <c r="P366" s="138">
        <v>0.9749757806527849</v>
      </c>
      <c r="Q366" s="138">
        <v>0.9749757806527849</v>
      </c>
      <c r="R366" s="138">
        <v>0.9749757806527849</v>
      </c>
      <c r="S366" s="137">
        <v>0.96957177802191141</v>
      </c>
      <c r="T366" s="138">
        <v>0.96957177802191141</v>
      </c>
      <c r="U366" s="138">
        <v>0.96957177802191141</v>
      </c>
      <c r="V366" s="138">
        <v>0.96957177802191141</v>
      </c>
      <c r="W366" s="138">
        <v>0.96957177802191141</v>
      </c>
      <c r="X366" s="138">
        <v>0.96957177802191141</v>
      </c>
      <c r="Y366" s="138">
        <v>0.96957177802191141</v>
      </c>
      <c r="Z366" s="138">
        <v>0.96957177802191141</v>
      </c>
      <c r="AA366" s="138">
        <v>0.96957177802191141</v>
      </c>
      <c r="AB366" s="138">
        <v>0.96957177802191141</v>
      </c>
      <c r="AC366" s="138">
        <v>0.96957177802191141</v>
      </c>
      <c r="AD366" s="139">
        <v>0.96957177802191141</v>
      </c>
      <c r="AE366" s="15"/>
      <c r="AF366" s="161">
        <v>0.9749757806527849</v>
      </c>
      <c r="AG366" s="162">
        <v>0.96957177802191163</v>
      </c>
    </row>
    <row r="367" spans="2:33" x14ac:dyDescent="0.2">
      <c r="B367" s="9">
        <f>G355</f>
        <v>8</v>
      </c>
      <c r="C367" s="9" t="str">
        <f t="shared" si="1746"/>
        <v>8 - Total Revenue</v>
      </c>
      <c r="D367" s="9" t="s">
        <v>56</v>
      </c>
      <c r="F367" s="8" t="s">
        <v>3</v>
      </c>
      <c r="G367" s="134">
        <f>G366*G365</f>
        <v>381.6494489122307</v>
      </c>
      <c r="H367" s="135">
        <f t="shared" ref="H367" si="1793">H366*H365</f>
        <v>367.64574979680049</v>
      </c>
      <c r="I367" s="135">
        <f t="shared" ref="I367" si="1794">I366*I365</f>
        <v>455.04207111207961</v>
      </c>
      <c r="J367" s="135">
        <f t="shared" ref="J367" si="1795">J366*J365</f>
        <v>399.3426903033922</v>
      </c>
      <c r="K367" s="135">
        <f t="shared" ref="K367" si="1796">K366*K365</f>
        <v>470.63278610767588</v>
      </c>
      <c r="L367" s="135">
        <f t="shared" ref="L367" si="1797">L366*L365</f>
        <v>458.67956930432695</v>
      </c>
      <c r="M367" s="135">
        <f t="shared" ref="M367" si="1798">M366*M365</f>
        <v>410.06844511635137</v>
      </c>
      <c r="N367" s="135">
        <f t="shared" ref="N367" si="1799">N366*N365</f>
        <v>454.0138148452271</v>
      </c>
      <c r="O367" s="135">
        <f t="shared" ref="O367" si="1800">O366*O365</f>
        <v>413.83875794935949</v>
      </c>
      <c r="P367" s="135">
        <f t="shared" ref="P367" si="1801">P366*P365</f>
        <v>412.61079005082723</v>
      </c>
      <c r="Q367" s="135">
        <f t="shared" ref="Q367" si="1802">Q366*Q365</f>
        <v>359.94179614582816</v>
      </c>
      <c r="R367" s="135">
        <f t="shared" ref="R367" si="1803">R366*R365</f>
        <v>268.24965502634916</v>
      </c>
      <c r="S367" s="134">
        <f t="shared" ref="S367" si="1804">S366*S365</f>
        <v>422.98702402786995</v>
      </c>
      <c r="T367" s="135">
        <f t="shared" ref="T367" si="1805">T366*T365</f>
        <v>402.28251967817488</v>
      </c>
      <c r="U367" s="135">
        <f t="shared" ref="U367" si="1806">U366*U365</f>
        <v>335.26590853605882</v>
      </c>
      <c r="V367" s="135">
        <f t="shared" ref="V367" si="1807">V366*V365</f>
        <v>312.82575196985391</v>
      </c>
      <c r="W367" s="135">
        <f t="shared" ref="W367" si="1808">W366*W365</f>
        <v>371.1765259016239</v>
      </c>
      <c r="X367" s="135">
        <f t="shared" ref="X367" si="1809">X366*X365</f>
        <v>324.14247659912644</v>
      </c>
      <c r="Y367" s="135">
        <f t="shared" ref="Y367" si="1810">Y366*Y365</f>
        <v>408.48376515748839</v>
      </c>
      <c r="Z367" s="135">
        <f t="shared" ref="Z367" si="1811">Z366*Z365</f>
        <v>402.25563723750372</v>
      </c>
      <c r="AA367" s="135">
        <f t="shared" ref="AA367" si="1812">AA366*AA365</f>
        <v>391.12313419922714</v>
      </c>
      <c r="AB367" s="135">
        <f t="shared" ref="AB367" si="1813">AB366*AB365</f>
        <v>460.39398871579743</v>
      </c>
      <c r="AC367" s="135">
        <f t="shared" ref="AC367" si="1814">AC366*AC365</f>
        <v>339.59658216859083</v>
      </c>
      <c r="AD367" s="136">
        <f t="shared" ref="AD367" si="1815">AD366*AD365</f>
        <v>277.63386265831258</v>
      </c>
      <c r="AE367" s="15"/>
      <c r="AF367" s="94">
        <f>SUM(G367:R367)</f>
        <v>4851.7155746704493</v>
      </c>
      <c r="AG367" s="95">
        <f>SUM(S367:AD367)</f>
        <v>4448.167176849628</v>
      </c>
    </row>
    <row r="368" spans="2:33" x14ac:dyDescent="0.2">
      <c r="B368" s="9">
        <f>G355</f>
        <v>8</v>
      </c>
      <c r="C368" s="9" t="str">
        <f t="shared" si="1746"/>
        <v>8 - % YoY Revenue Growth</v>
      </c>
      <c r="D368" s="9" t="s">
        <v>56</v>
      </c>
      <c r="F368" s="16" t="s">
        <v>174</v>
      </c>
      <c r="G368" s="82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148">
        <f>S367/G367-1</f>
        <v>0.10831294328724628</v>
      </c>
      <c r="T368" s="149">
        <f t="shared" ref="T368" si="1816">T367/H367-1</f>
        <v>9.4212349525374162E-2</v>
      </c>
      <c r="U368" s="149">
        <f t="shared" ref="U368" si="1817">U367/I367-1</f>
        <v>-0.26321997498670668</v>
      </c>
      <c r="V368" s="149">
        <f t="shared" ref="V368" si="1818">V367/J367-1</f>
        <v>-0.21664835850083763</v>
      </c>
      <c r="W368" s="149">
        <f t="shared" ref="W368" si="1819">W367/K367-1</f>
        <v>-0.21132454674183587</v>
      </c>
      <c r="X368" s="149">
        <f t="shared" ref="X368" si="1820">X367/L367-1</f>
        <v>-0.29331389865315149</v>
      </c>
      <c r="Y368" s="149">
        <f t="shared" ref="Y368" si="1821">Y367/M367-1</f>
        <v>-3.8644279454698172E-3</v>
      </c>
      <c r="Z368" s="149">
        <f t="shared" ref="Z368" si="1822">Z367/N367-1</f>
        <v>-0.11400132752649317</v>
      </c>
      <c r="AA368" s="149">
        <f t="shared" ref="AA368" si="1823">AA367/O367-1</f>
        <v>-5.4890034618052863E-2</v>
      </c>
      <c r="AB368" s="149">
        <f t="shared" ref="AB368" si="1824">AB367/P367-1</f>
        <v>0.11580695371316896</v>
      </c>
      <c r="AC368" s="149">
        <f t="shared" ref="AC368" si="1825">AC367/Q367-1</f>
        <v>-5.6523621860781637E-2</v>
      </c>
      <c r="AD368" s="150">
        <f t="shared" ref="AD368" si="1826">AD367/R367-1</f>
        <v>3.4983111650382703E-2</v>
      </c>
      <c r="AE368" s="15"/>
      <c r="AF368" s="11"/>
      <c r="AG368" s="97">
        <f>AG367/AF367-1</f>
        <v>-8.317643349244197E-2</v>
      </c>
    </row>
    <row r="369" spans="2:33" ht="6" customHeight="1" x14ac:dyDescent="0.2">
      <c r="B369" s="9">
        <f>G355</f>
        <v>8</v>
      </c>
      <c r="C369" s="9" t="str">
        <f t="shared" si="1746"/>
        <v xml:space="preserve">8 - </v>
      </c>
      <c r="D369" s="9" t="s">
        <v>56</v>
      </c>
      <c r="G369" s="11"/>
      <c r="S369" s="11"/>
      <c r="AD369" s="15"/>
      <c r="AE369" s="15"/>
      <c r="AF369" s="11"/>
      <c r="AG369" s="15"/>
    </row>
    <row r="370" spans="2:33" x14ac:dyDescent="0.2">
      <c r="B370" s="9">
        <f>G355</f>
        <v>8</v>
      </c>
      <c r="C370" s="9" t="str">
        <f t="shared" si="1746"/>
        <v>8 - Doctor Compensation</v>
      </c>
      <c r="D370" s="9" t="s">
        <v>56</v>
      </c>
      <c r="F370" t="s">
        <v>4</v>
      </c>
      <c r="G370" s="144">
        <v>-132.06328108759436</v>
      </c>
      <c r="H370" s="70">
        <v>-124.37734530660771</v>
      </c>
      <c r="I370" s="70">
        <v>-155.65682695651066</v>
      </c>
      <c r="J370" s="70">
        <v>-138.81240280567101</v>
      </c>
      <c r="K370" s="70">
        <v>-159.19145478893356</v>
      </c>
      <c r="L370" s="70">
        <v>-156.26365075276522</v>
      </c>
      <c r="M370" s="70">
        <v>-138.05548197234123</v>
      </c>
      <c r="N370" s="70">
        <v>-122.6597132716598</v>
      </c>
      <c r="O370" s="70">
        <v>-113.24186472157255</v>
      </c>
      <c r="P370" s="70">
        <v>-116.20122170403751</v>
      </c>
      <c r="Q370" s="70">
        <v>-103.90919621884176</v>
      </c>
      <c r="R370" s="70">
        <v>-77.35044802532353</v>
      </c>
      <c r="S370" s="144">
        <v>-184.54614204114731</v>
      </c>
      <c r="T370" s="70">
        <v>-176.04123094086739</v>
      </c>
      <c r="U370" s="70">
        <v>-128.5965875744624</v>
      </c>
      <c r="V370" s="70">
        <v>-117.56660846897884</v>
      </c>
      <c r="W370" s="70">
        <v>-137.11450163479643</v>
      </c>
      <c r="X370" s="70">
        <v>-117.9762093995796</v>
      </c>
      <c r="Y370" s="70">
        <v>-162.8024434448495</v>
      </c>
      <c r="Z370" s="70">
        <v>-128.69062235686889</v>
      </c>
      <c r="AA370" s="70">
        <v>-123.09170577796161</v>
      </c>
      <c r="AB370" s="70">
        <v>-146.18189174760613</v>
      </c>
      <c r="AC370" s="70">
        <v>-110.56331091179096</v>
      </c>
      <c r="AD370" s="145">
        <v>-89.281623702621985</v>
      </c>
      <c r="AE370" s="15"/>
      <c r="AF370" s="92">
        <f>SUM(G370:R370)</f>
        <v>-1537.7828876118588</v>
      </c>
      <c r="AG370" s="93">
        <f>SUM(S370:AD370)</f>
        <v>-1622.4528780015312</v>
      </c>
    </row>
    <row r="371" spans="2:33" x14ac:dyDescent="0.2">
      <c r="B371" s="9">
        <f>G355</f>
        <v>8</v>
      </c>
      <c r="C371" s="9" t="str">
        <f t="shared" si="1746"/>
        <v>8 - % of Revenue - Doctor Compensation</v>
      </c>
      <c r="D371" s="9" t="s">
        <v>56</v>
      </c>
      <c r="F371" s="16" t="str">
        <f>"% of Revenue - "&amp;F370</f>
        <v>% of Revenue - Doctor Compensation</v>
      </c>
      <c r="G371" s="148">
        <f>G370/G367</f>
        <v>-0.34603294060556977</v>
      </c>
      <c r="H371" s="149">
        <f t="shared" ref="H371" si="1827">H370/H367</f>
        <v>-0.33830758379595477</v>
      </c>
      <c r="I371" s="149">
        <f t="shared" ref="I371" si="1828">I370/I367</f>
        <v>-0.34207128711439833</v>
      </c>
      <c r="J371" s="149">
        <f t="shared" ref="J371" si="1829">J370/J367</f>
        <v>-0.3476022127767287</v>
      </c>
      <c r="K371" s="149">
        <f t="shared" ref="K371" si="1830">K370/K367</f>
        <v>-0.33824981915414665</v>
      </c>
      <c r="L371" s="149">
        <f t="shared" ref="L371" si="1831">L370/L367</f>
        <v>-0.34068151539814201</v>
      </c>
      <c r="M371" s="149">
        <f t="shared" ref="M371" si="1832">M370/M367</f>
        <v>-0.33666448520117137</v>
      </c>
      <c r="N371" s="149">
        <f t="shared" ref="N371" si="1833">N370/N367</f>
        <v>-0.27016735892381244</v>
      </c>
      <c r="O371" s="149">
        <f t="shared" ref="O371" si="1834">O370/O367</f>
        <v>-0.27363764883382358</v>
      </c>
      <c r="P371" s="149">
        <f t="shared" ref="P371" si="1835">P370/P367</f>
        <v>-0.28162429220458174</v>
      </c>
      <c r="Q371" s="149">
        <f t="shared" ref="Q371" si="1836">Q370/Q367</f>
        <v>-0.28868332972574157</v>
      </c>
      <c r="R371" s="149">
        <f t="shared" ref="R371" si="1837">R370/R367</f>
        <v>-0.28835246038890783</v>
      </c>
      <c r="S371" s="148">
        <f t="shared" ref="S371" si="1838">S370/S367</f>
        <v>-0.43629267934466909</v>
      </c>
      <c r="T371" s="149">
        <f t="shared" ref="T371" si="1839">T370/T367</f>
        <v>-0.43760596677603586</v>
      </c>
      <c r="U371" s="149">
        <f t="shared" ref="U371" si="1840">U370/U367</f>
        <v>-0.38356595257770287</v>
      </c>
      <c r="V371" s="149">
        <f t="shared" ref="V371" si="1841">V370/V367</f>
        <v>-0.3758213885163405</v>
      </c>
      <c r="W371" s="149">
        <f t="shared" ref="W371" si="1842">W370/W367</f>
        <v>-0.36940509990962372</v>
      </c>
      <c r="X371" s="149">
        <f t="shared" ref="X371" si="1843">X370/X367</f>
        <v>-0.36396405259000708</v>
      </c>
      <c r="Y371" s="149">
        <f t="shared" ref="Y371" si="1844">Y370/Y367</f>
        <v>-0.39855303277985116</v>
      </c>
      <c r="Z371" s="149">
        <f t="shared" ref="Z371" si="1845">Z370/Z367</f>
        <v>-0.31992248322647149</v>
      </c>
      <c r="AA371" s="149">
        <f t="shared" ref="AA371" si="1846">AA370/AA367</f>
        <v>-0.31471343680545921</v>
      </c>
      <c r="AB371" s="149">
        <f t="shared" ref="AB371" si="1847">AB370/AB367</f>
        <v>-0.31751477067578449</v>
      </c>
      <c r="AC371" s="149">
        <f t="shared" ref="AC371" si="1848">AC370/AC367</f>
        <v>-0.32557250784374037</v>
      </c>
      <c r="AD371" s="150">
        <f t="shared" ref="AD371" si="1849">AD370/AD367</f>
        <v>-0.32158045437166999</v>
      </c>
      <c r="AE371" s="15"/>
      <c r="AF371" s="96">
        <f t="shared" ref="AF371" si="1850">AF370/AF367</f>
        <v>-0.31695652062545154</v>
      </c>
      <c r="AG371" s="97">
        <f t="shared" ref="AG371" si="1851">AG370/AG367</f>
        <v>-0.36474638058694053</v>
      </c>
    </row>
    <row r="372" spans="2:33" ht="3" customHeight="1" x14ac:dyDescent="0.2">
      <c r="B372" s="9">
        <f>G355</f>
        <v>8</v>
      </c>
      <c r="C372" s="9" t="str">
        <f t="shared" si="1746"/>
        <v xml:space="preserve">8 - </v>
      </c>
      <c r="D372" s="9" t="s">
        <v>56</v>
      </c>
      <c r="F372" s="16"/>
      <c r="G372" s="36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6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8"/>
      <c r="AE372" s="15"/>
      <c r="AF372" s="36"/>
      <c r="AG372" s="38"/>
    </row>
    <row r="373" spans="2:33" x14ac:dyDescent="0.2">
      <c r="B373" s="9">
        <f>G355</f>
        <v>8</v>
      </c>
      <c r="C373" s="9" t="str">
        <f t="shared" si="1746"/>
        <v>8 - Administrative Staff Compensation</v>
      </c>
      <c r="D373" s="9" t="s">
        <v>56</v>
      </c>
      <c r="F373" t="s">
        <v>5</v>
      </c>
      <c r="G373" s="144">
        <v>-75.825180731044981</v>
      </c>
      <c r="H373" s="70">
        <v>-70.431342781440478</v>
      </c>
      <c r="I373" s="70">
        <v>-83.936754407738519</v>
      </c>
      <c r="J373" s="70">
        <v>-74.673975240220614</v>
      </c>
      <c r="K373" s="70">
        <v>-83.83116639950363</v>
      </c>
      <c r="L373" s="70">
        <v>-77.47150631157416</v>
      </c>
      <c r="M373" s="70">
        <v>-70.284903576416411</v>
      </c>
      <c r="N373" s="70">
        <v>-65.116946612908734</v>
      </c>
      <c r="O373" s="70">
        <v>-62.069773921915818</v>
      </c>
      <c r="P373" s="70">
        <v>-60.472390988386238</v>
      </c>
      <c r="Q373" s="70">
        <v>-51.99413316301505</v>
      </c>
      <c r="R373" s="70">
        <v>-38.508508416499097</v>
      </c>
      <c r="S373" s="144">
        <v>-79.088781082790547</v>
      </c>
      <c r="T373" s="70">
        <v>-73.697210167693456</v>
      </c>
      <c r="U373" s="70">
        <v>-77.548824270633503</v>
      </c>
      <c r="V373" s="70">
        <v>-75.961852071333965</v>
      </c>
      <c r="W373" s="70">
        <v>-92.919702615805193</v>
      </c>
      <c r="X373" s="70">
        <v>-77.98088297257496</v>
      </c>
      <c r="Y373" s="70">
        <v>-74.292857403003225</v>
      </c>
      <c r="Z373" s="70">
        <v>-56.556723008132018</v>
      </c>
      <c r="AA373" s="70">
        <v>-53.480361802426707</v>
      </c>
      <c r="AB373" s="70">
        <v>-65.649978801635498</v>
      </c>
      <c r="AC373" s="70">
        <v>-49.693824617316629</v>
      </c>
      <c r="AD373" s="145">
        <v>-39.481454693449535</v>
      </c>
      <c r="AE373" s="15"/>
      <c r="AF373" s="92">
        <f>SUM(G373:R373)</f>
        <v>-814.61658255066368</v>
      </c>
      <c r="AG373" s="93">
        <f>SUM(S373:AD373)</f>
        <v>-816.35245350679543</v>
      </c>
    </row>
    <row r="374" spans="2:33" x14ac:dyDescent="0.2">
      <c r="B374" s="9">
        <f>G355</f>
        <v>8</v>
      </c>
      <c r="C374" s="9" t="str">
        <f t="shared" si="1746"/>
        <v>8 - % of Revenue - Administrative Staff Compensation</v>
      </c>
      <c r="D374" s="9" t="s">
        <v>56</v>
      </c>
      <c r="F374" s="16" t="str">
        <f>"% of Revenue - "&amp;F373</f>
        <v>% of Revenue - Administrative Staff Compensation</v>
      </c>
      <c r="G374" s="148">
        <f>G373/G367</f>
        <v>-0.19867755854793012</v>
      </c>
      <c r="H374" s="149">
        <f t="shared" ref="H374" si="1852">H373/H367</f>
        <v>-0.19157393447460824</v>
      </c>
      <c r="I374" s="149">
        <f t="shared" ref="I374" si="1853">I373/I367</f>
        <v>-0.18445932746966684</v>
      </c>
      <c r="J374" s="149">
        <f t="shared" ref="J374" si="1854">J373/J367</f>
        <v>-0.18699221759509016</v>
      </c>
      <c r="K374" s="149">
        <f t="shared" ref="K374" si="1855">K373/K367</f>
        <v>-0.17812436547997729</v>
      </c>
      <c r="L374" s="149">
        <f t="shared" ref="L374" si="1856">L373/L367</f>
        <v>-0.16890114907248679</v>
      </c>
      <c r="M374" s="149">
        <f t="shared" ref="M374" si="1857">M373/M367</f>
        <v>-0.1713979810284452</v>
      </c>
      <c r="N374" s="149">
        <f t="shared" ref="N374" si="1858">N373/N367</f>
        <v>-0.14342503352041622</v>
      </c>
      <c r="O374" s="149">
        <f t="shared" ref="O374" si="1859">O373/O367</f>
        <v>-0.14998540549822342</v>
      </c>
      <c r="P374" s="149">
        <f t="shared" ref="P374" si="1860">P373/P367</f>
        <v>-0.14656037226010735</v>
      </c>
      <c r="Q374" s="149">
        <f t="shared" ref="Q374" si="1861">Q373/Q367</f>
        <v>-0.14445150221440234</v>
      </c>
      <c r="R374" s="149">
        <f t="shared" ref="R374" si="1862">R373/R367</f>
        <v>-0.14355473602646965</v>
      </c>
      <c r="S374" s="148">
        <f t="shared" ref="S374" si="1863">S373/S367</f>
        <v>-0.18697684938339743</v>
      </c>
      <c r="T374" s="149">
        <f t="shared" ref="T374" si="1864">T373/T367</f>
        <v>-0.1831976448458438</v>
      </c>
      <c r="U374" s="149">
        <f t="shared" ref="U374" si="1865">U373/U367</f>
        <v>-0.23130542741208326</v>
      </c>
      <c r="V374" s="149">
        <f t="shared" ref="V374" si="1866">V373/V367</f>
        <v>-0.24282480452138155</v>
      </c>
      <c r="W374" s="149">
        <f t="shared" ref="W374" si="1867">W373/W367</f>
        <v>-0.25033830571611226</v>
      </c>
      <c r="X374" s="149">
        <f t="shared" ref="X374" si="1868">X373/X367</f>
        <v>-0.24057594608007976</v>
      </c>
      <c r="Y374" s="149">
        <f t="shared" ref="Y374" si="1869">Y373/Y367</f>
        <v>-0.18187468815158436</v>
      </c>
      <c r="Z374" s="149">
        <f t="shared" ref="Z374" si="1870">Z373/Z367</f>
        <v>-0.14059895691340987</v>
      </c>
      <c r="AA374" s="149">
        <f t="shared" ref="AA374" si="1871">AA373/AA367</f>
        <v>-0.13673535806548665</v>
      </c>
      <c r="AB374" s="149">
        <f t="shared" ref="AB374" si="1872">AB373/AB367</f>
        <v>-0.14259521281925647</v>
      </c>
      <c r="AC374" s="149">
        <f t="shared" ref="AC374" si="1873">AC373/AC367</f>
        <v>-0.14633193390811691</v>
      </c>
      <c r="AD374" s="150">
        <f t="shared" ref="AD374" si="1874">AD373/AD367</f>
        <v>-0.14220691350622403</v>
      </c>
      <c r="AE374" s="15"/>
      <c r="AF374" s="96">
        <f t="shared" ref="AF374" si="1875">AF373/AF367</f>
        <v>-0.1679027902632145</v>
      </c>
      <c r="AG374" s="97">
        <f t="shared" ref="AG374" si="1876">AG373/AG367</f>
        <v>-0.18352557830008748</v>
      </c>
    </row>
    <row r="375" spans="2:33" ht="3" customHeight="1" x14ac:dyDescent="0.2">
      <c r="B375" s="9">
        <f>G355</f>
        <v>8</v>
      </c>
      <c r="C375" s="9" t="str">
        <f t="shared" si="1746"/>
        <v xml:space="preserve">8 - </v>
      </c>
      <c r="D375" s="9" t="s">
        <v>56</v>
      </c>
      <c r="F375" s="16"/>
      <c r="G375" s="36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6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8"/>
      <c r="AE375" s="15"/>
      <c r="AF375" s="36"/>
      <c r="AG375" s="38"/>
    </row>
    <row r="376" spans="2:33" x14ac:dyDescent="0.2">
      <c r="B376" s="9">
        <f>G355</f>
        <v>8</v>
      </c>
      <c r="C376" s="9" t="str">
        <f t="shared" si="1746"/>
        <v>8 - Office Supplies</v>
      </c>
      <c r="D376" s="9" t="s">
        <v>56</v>
      </c>
      <c r="F376" t="s">
        <v>6</v>
      </c>
      <c r="G376" s="144">
        <v>-19.913261747297579</v>
      </c>
      <c r="H376" s="70">
        <v>-18.273538236129514</v>
      </c>
      <c r="I376" s="70">
        <v>-23.745952900051897</v>
      </c>
      <c r="J376" s="70">
        <v>-18.977785107475427</v>
      </c>
      <c r="K376" s="70">
        <v>-21.039148618800876</v>
      </c>
      <c r="L376" s="70">
        <v>-21.78885805155771</v>
      </c>
      <c r="M376" s="70">
        <v>-18.616423331529244</v>
      </c>
      <c r="N376" s="70">
        <v>-17.745788922533595</v>
      </c>
      <c r="O376" s="70">
        <v>-16.99043834226595</v>
      </c>
      <c r="P376" s="70">
        <v>-18.090360400015332</v>
      </c>
      <c r="Q376" s="70">
        <v>-16.205161863699903</v>
      </c>
      <c r="R376" s="70">
        <v>-12.246907727141728</v>
      </c>
      <c r="S376" s="144">
        <v>-24.289865933801696</v>
      </c>
      <c r="T376" s="70">
        <v>-22.731256947920187</v>
      </c>
      <c r="U376" s="70">
        <v>-25.953371655683139</v>
      </c>
      <c r="V376" s="70">
        <v>-23.922639084595517</v>
      </c>
      <c r="W376" s="70">
        <v>-28.64746888032516</v>
      </c>
      <c r="X376" s="70">
        <v>-26.957783570923908</v>
      </c>
      <c r="Y376" s="70">
        <v>-26.682515052445847</v>
      </c>
      <c r="Z376" s="70">
        <v>-21.102269627267802</v>
      </c>
      <c r="AA376" s="70">
        <v>-19.401146261433873</v>
      </c>
      <c r="AB376" s="70">
        <v>-22.615267577131831</v>
      </c>
      <c r="AC376" s="70">
        <v>-16.174786718143611</v>
      </c>
      <c r="AD376" s="145">
        <v>-13.03232650794352</v>
      </c>
      <c r="AE376" s="15"/>
      <c r="AF376" s="92">
        <f>SUM(G376:R376)</f>
        <v>-223.63362524849876</v>
      </c>
      <c r="AG376" s="93">
        <f>SUM(S376:AD376)</f>
        <v>-271.51069781761612</v>
      </c>
    </row>
    <row r="377" spans="2:33" x14ac:dyDescent="0.2">
      <c r="B377" s="9">
        <f>G355</f>
        <v>8</v>
      </c>
      <c r="C377" s="9" t="str">
        <f t="shared" si="1746"/>
        <v>8 - % of Revenue - Office Supplies</v>
      </c>
      <c r="D377" s="9" t="s">
        <v>56</v>
      </c>
      <c r="F377" s="16" t="str">
        <f>"% of Revenue - "&amp;F376</f>
        <v>% of Revenue - Office Supplies</v>
      </c>
      <c r="G377" s="148">
        <f>G376/G367</f>
        <v>-5.2176838730028152E-2</v>
      </c>
      <c r="H377" s="149">
        <f t="shared" ref="H377" si="1877">H376/H367</f>
        <v>-4.9704200976699399E-2</v>
      </c>
      <c r="I377" s="149">
        <f t="shared" ref="I377" si="1878">I376/I367</f>
        <v>-5.2184082324561863E-2</v>
      </c>
      <c r="J377" s="149">
        <f t="shared" ref="J377" si="1879">J376/J367</f>
        <v>-4.7522555359802515E-2</v>
      </c>
      <c r="K377" s="149">
        <f t="shared" ref="K377" si="1880">K376/K367</f>
        <v>-4.4703958669779838E-2</v>
      </c>
      <c r="L377" s="149">
        <f t="shared" ref="L377" si="1881">L376/L367</f>
        <v>-4.7503441421218248E-2</v>
      </c>
      <c r="M377" s="149">
        <f t="shared" ref="M377" si="1882">M376/M367</f>
        <v>-4.539833179860276E-2</v>
      </c>
      <c r="N377" s="149">
        <f t="shared" ref="N377" si="1883">N376/N367</f>
        <v>-3.9086451430080646E-2</v>
      </c>
      <c r="O377" s="149">
        <f t="shared" ref="O377" si="1884">O376/O367</f>
        <v>-4.1055696248597943E-2</v>
      </c>
      <c r="P377" s="149">
        <f t="shared" ref="P377" si="1885">P376/P367</f>
        <v>-4.384364354065215E-2</v>
      </c>
      <c r="Q377" s="149">
        <f t="shared" ref="Q377" si="1886">Q376/Q367</f>
        <v>-4.5021617487107507E-2</v>
      </c>
      <c r="R377" s="149">
        <f t="shared" ref="R377" si="1887">R376/R367</f>
        <v>-4.5654887145852099E-2</v>
      </c>
      <c r="S377" s="148">
        <f t="shared" ref="S377" si="1888">S376/S367</f>
        <v>-5.7424612468020476E-2</v>
      </c>
      <c r="T377" s="149">
        <f t="shared" ref="T377" si="1889">T376/T367</f>
        <v>-5.6505703917001271E-2</v>
      </c>
      <c r="U377" s="149">
        <f t="shared" ref="U377" si="1890">U376/U367</f>
        <v>-7.7411305459027246E-2</v>
      </c>
      <c r="V377" s="149">
        <f t="shared" ref="V377" si="1891">V376/V367</f>
        <v>-7.6472729415514584E-2</v>
      </c>
      <c r="W377" s="149">
        <f t="shared" ref="W377" si="1892">W376/W367</f>
        <v>-7.7180174071454735E-2</v>
      </c>
      <c r="X377" s="149">
        <f t="shared" ref="X377" si="1893">X376/X367</f>
        <v>-8.3166463876510527E-2</v>
      </c>
      <c r="Y377" s="149">
        <f t="shared" ref="Y377" si="1894">Y376/Y367</f>
        <v>-6.532087032188065E-2</v>
      </c>
      <c r="Z377" s="149">
        <f t="shared" ref="Z377" si="1895">Z376/Z367</f>
        <v>-5.2459848101043247E-2</v>
      </c>
      <c r="AA377" s="149">
        <f t="shared" ref="AA377" si="1896">AA376/AA367</f>
        <v>-4.9603678650088426E-2</v>
      </c>
      <c r="AB377" s="149">
        <f t="shared" ref="AB377" si="1897">AB376/AB367</f>
        <v>-4.9121552694929523E-2</v>
      </c>
      <c r="AC377" s="149">
        <f t="shared" ref="AC377" si="1898">AC376/AC367</f>
        <v>-4.7629415510765445E-2</v>
      </c>
      <c r="AD377" s="150">
        <f t="shared" ref="AD377" si="1899">AD376/AD367</f>
        <v>-4.6940695141293211E-2</v>
      </c>
      <c r="AE377" s="15"/>
      <c r="AF377" s="96">
        <f t="shared" ref="AF377" si="1900">AF376/AF367</f>
        <v>-4.6093721242859334E-2</v>
      </c>
      <c r="AG377" s="97">
        <f t="shared" ref="AG377" si="1901">AG376/AG367</f>
        <v>-6.103878002398079E-2</v>
      </c>
    </row>
    <row r="378" spans="2:33" ht="6" customHeight="1" x14ac:dyDescent="0.2">
      <c r="B378" s="9">
        <f>G355</f>
        <v>8</v>
      </c>
      <c r="C378" s="9" t="str">
        <f t="shared" si="1746"/>
        <v xml:space="preserve">8 - </v>
      </c>
      <c r="D378" s="9" t="s">
        <v>56</v>
      </c>
      <c r="F378" s="16"/>
      <c r="G378" s="11"/>
      <c r="S378" s="11"/>
      <c r="AD378" s="15"/>
      <c r="AE378" s="15"/>
      <c r="AF378" s="11"/>
      <c r="AG378" s="15"/>
    </row>
    <row r="379" spans="2:33" x14ac:dyDescent="0.2">
      <c r="B379" s="9">
        <f>G355</f>
        <v>8</v>
      </c>
      <c r="C379" s="9" t="str">
        <f t="shared" si="1746"/>
        <v>8 - Office Gross Profit</v>
      </c>
      <c r="D379" s="9" t="s">
        <v>56</v>
      </c>
      <c r="F379" s="8" t="s">
        <v>11</v>
      </c>
      <c r="G379" s="134">
        <f>G367+G370+G373+G376</f>
        <v>153.84772534629377</v>
      </c>
      <c r="H379" s="135">
        <f t="shared" ref="H379:AD379" si="1902">H367+H370+H373+H376</f>
        <v>154.56352347262276</v>
      </c>
      <c r="I379" s="135">
        <f t="shared" si="1902"/>
        <v>191.70253684777853</v>
      </c>
      <c r="J379" s="135">
        <f t="shared" si="1902"/>
        <v>166.87852715002515</v>
      </c>
      <c r="K379" s="135">
        <f t="shared" si="1902"/>
        <v>206.5710163004378</v>
      </c>
      <c r="L379" s="135">
        <f t="shared" si="1902"/>
        <v>203.15555418842985</v>
      </c>
      <c r="M379" s="135">
        <f t="shared" si="1902"/>
        <v>183.1116362360645</v>
      </c>
      <c r="N379" s="135">
        <f t="shared" si="1902"/>
        <v>248.49136603812494</v>
      </c>
      <c r="O379" s="135">
        <f t="shared" si="1902"/>
        <v>221.53668096360519</v>
      </c>
      <c r="P379" s="135">
        <f t="shared" si="1902"/>
        <v>217.84681695838819</v>
      </c>
      <c r="Q379" s="135">
        <f t="shared" si="1902"/>
        <v>187.83330490027143</v>
      </c>
      <c r="R379" s="135">
        <f t="shared" si="1902"/>
        <v>140.1437908573848</v>
      </c>
      <c r="S379" s="134">
        <f t="shared" si="1902"/>
        <v>135.06223497013039</v>
      </c>
      <c r="T379" s="135">
        <f t="shared" si="1902"/>
        <v>129.81282162169384</v>
      </c>
      <c r="U379" s="135">
        <f t="shared" si="1902"/>
        <v>103.16712503527977</v>
      </c>
      <c r="V379" s="135">
        <f t="shared" si="1902"/>
        <v>95.374652344945588</v>
      </c>
      <c r="W379" s="135">
        <f t="shared" si="1902"/>
        <v>112.49485277069712</v>
      </c>
      <c r="X379" s="135">
        <f t="shared" si="1902"/>
        <v>101.22760065604797</v>
      </c>
      <c r="Y379" s="135">
        <f t="shared" si="1902"/>
        <v>144.70594925718981</v>
      </c>
      <c r="Z379" s="135">
        <f t="shared" si="1902"/>
        <v>195.90602224523502</v>
      </c>
      <c r="AA379" s="135">
        <f t="shared" si="1902"/>
        <v>195.14992035740499</v>
      </c>
      <c r="AB379" s="135">
        <f t="shared" si="1902"/>
        <v>225.946850589424</v>
      </c>
      <c r="AC379" s="135">
        <f t="shared" si="1902"/>
        <v>163.16465992133962</v>
      </c>
      <c r="AD379" s="136">
        <f t="shared" si="1902"/>
        <v>135.83845775429756</v>
      </c>
      <c r="AE379" s="15"/>
      <c r="AF379" s="98">
        <f>SUM(G379:R379)</f>
        <v>2275.6824792594271</v>
      </c>
      <c r="AG379" s="95">
        <f>SUM(S379:AD379)</f>
        <v>1737.8511475236855</v>
      </c>
    </row>
    <row r="380" spans="2:33" x14ac:dyDescent="0.2">
      <c r="B380" s="9">
        <f>G355</f>
        <v>8</v>
      </c>
      <c r="C380" s="9" t="str">
        <f t="shared" si="1746"/>
        <v>8 - % of Revenue - Office Gross Profit</v>
      </c>
      <c r="D380" s="9" t="s">
        <v>56</v>
      </c>
      <c r="F380" s="16" t="str">
        <f>"% of Revenue - "&amp;F379</f>
        <v>% of Revenue - Office Gross Profit</v>
      </c>
      <c r="G380" s="148">
        <f>G379/G367</f>
        <v>0.40311266211647195</v>
      </c>
      <c r="H380" s="149">
        <f t="shared" ref="H380" si="1903">H379/H367</f>
        <v>0.42041428075273751</v>
      </c>
      <c r="I380" s="149">
        <f t="shared" ref="I380" si="1904">I379/I367</f>
        <v>0.42128530309137291</v>
      </c>
      <c r="J380" s="149">
        <f t="shared" ref="J380" si="1905">J379/J367</f>
        <v>0.41788301426837865</v>
      </c>
      <c r="K380" s="149">
        <f t="shared" ref="K380" si="1906">K379/K367</f>
        <v>0.43892185669609618</v>
      </c>
      <c r="L380" s="149">
        <f t="shared" ref="L380" si="1907">L379/L367</f>
        <v>0.44291389410815291</v>
      </c>
      <c r="M380" s="149">
        <f t="shared" ref="M380" si="1908">M379/M367</f>
        <v>0.44653920197178071</v>
      </c>
      <c r="N380" s="149">
        <f t="shared" ref="N380" si="1909">N379/N367</f>
        <v>0.54732115612569066</v>
      </c>
      <c r="O380" s="149">
        <f t="shared" ref="O380" si="1910">O379/O367</f>
        <v>0.53532124941935511</v>
      </c>
      <c r="P380" s="149">
        <f t="shared" ref="P380" si="1911">P379/P367</f>
        <v>0.52797169199465876</v>
      </c>
      <c r="Q380" s="149">
        <f t="shared" ref="Q380" si="1912">Q379/Q367</f>
        <v>0.52184355057274856</v>
      </c>
      <c r="R380" s="149">
        <f t="shared" ref="R380" si="1913">R379/R367</f>
        <v>0.52243791643877047</v>
      </c>
      <c r="S380" s="148">
        <f t="shared" ref="S380" si="1914">S379/S367</f>
        <v>0.31930585880391299</v>
      </c>
      <c r="T380" s="149">
        <f t="shared" ref="T380" si="1915">T379/T367</f>
        <v>0.32269068446111904</v>
      </c>
      <c r="U380" s="149">
        <f t="shared" ref="U380" si="1916">U379/U367</f>
        <v>0.30771731455118662</v>
      </c>
      <c r="V380" s="149">
        <f t="shared" ref="V380" si="1917">V379/V367</f>
        <v>0.30488107754676336</v>
      </c>
      <c r="W380" s="149">
        <f t="shared" ref="W380" si="1918">W379/W367</f>
        <v>0.30307642030280924</v>
      </c>
      <c r="X380" s="149">
        <f t="shared" ref="X380" si="1919">X379/X367</f>
        <v>0.3122935374534026</v>
      </c>
      <c r="Y380" s="149">
        <f t="shared" ref="Y380" si="1920">Y379/Y367</f>
        <v>0.35425140874668382</v>
      </c>
      <c r="Z380" s="149">
        <f t="shared" ref="Z380" si="1921">Z379/Z367</f>
        <v>0.48701871175907541</v>
      </c>
      <c r="AA380" s="149">
        <f t="shared" ref="AA380" si="1922">AA379/AA367</f>
        <v>0.49894752647896584</v>
      </c>
      <c r="AB380" s="149">
        <f t="shared" ref="AB380" si="1923">AB379/AB367</f>
        <v>0.49076846381002959</v>
      </c>
      <c r="AC380" s="149">
        <f t="shared" ref="AC380" si="1924">AC379/AC367</f>
        <v>0.48046614273737726</v>
      </c>
      <c r="AD380" s="150">
        <f t="shared" ref="AD380" si="1925">AD379/AD367</f>
        <v>0.48927193698081284</v>
      </c>
      <c r="AE380" s="15"/>
      <c r="AF380" s="111">
        <f t="shared" ref="AF380" si="1926">AF379/AF367</f>
        <v>0.46904696786847438</v>
      </c>
      <c r="AG380" s="97">
        <f t="shared" ref="AG380" si="1927">AG379/AG367</f>
        <v>0.39068926108899127</v>
      </c>
    </row>
    <row r="381" spans="2:33" ht="6" customHeight="1" x14ac:dyDescent="0.2">
      <c r="B381" s="9">
        <f>G355</f>
        <v>8</v>
      </c>
      <c r="C381" s="9" t="str">
        <f t="shared" si="1746"/>
        <v xml:space="preserve">8 - </v>
      </c>
      <c r="D381" s="9" t="s">
        <v>56</v>
      </c>
      <c r="F381" s="16"/>
      <c r="G381" s="11"/>
      <c r="S381" s="11"/>
      <c r="AD381" s="15"/>
      <c r="AE381" s="15"/>
      <c r="AF381" s="11"/>
      <c r="AG381" s="15"/>
    </row>
    <row r="382" spans="2:33" x14ac:dyDescent="0.2">
      <c r="B382" s="9">
        <f>G355</f>
        <v>8</v>
      </c>
      <c r="C382" s="9" t="str">
        <f t="shared" si="1746"/>
        <v>8 - General and Administrative Expense</v>
      </c>
      <c r="D382" s="9" t="s">
        <v>56</v>
      </c>
      <c r="F382" t="s">
        <v>10</v>
      </c>
      <c r="G382" s="144">
        <v>-18.775029383116536</v>
      </c>
      <c r="H382" s="70">
        <v>-16.278015116257222</v>
      </c>
      <c r="I382" s="70">
        <v>-19.773861933582783</v>
      </c>
      <c r="J382" s="70">
        <v>-18.89418278260251</v>
      </c>
      <c r="K382" s="70">
        <v>-20.320458317473239</v>
      </c>
      <c r="L382" s="70">
        <v>-17.992955951481168</v>
      </c>
      <c r="M382" s="70">
        <v>-16.011507424269055</v>
      </c>
      <c r="N382" s="70">
        <v>-12.945159524225035</v>
      </c>
      <c r="O382" s="70">
        <v>-12.181430249429521</v>
      </c>
      <c r="P382" s="70">
        <v>-12.923349155584974</v>
      </c>
      <c r="Q382" s="70">
        <v>-11.772857994732506</v>
      </c>
      <c r="R382" s="70">
        <v>-7.9735831541816964</v>
      </c>
      <c r="S382" s="144">
        <v>-15.223713560955986</v>
      </c>
      <c r="T382" s="70">
        <v>-14.049044858384686</v>
      </c>
      <c r="U382" s="70">
        <v>-16.153076371410755</v>
      </c>
      <c r="V382" s="70">
        <v>-15.092169306116721</v>
      </c>
      <c r="W382" s="70">
        <v>-15.533425612228383</v>
      </c>
      <c r="X382" s="70">
        <v>-15.694960868203827</v>
      </c>
      <c r="Y382" s="70">
        <v>-16.100984696681202</v>
      </c>
      <c r="Z382" s="70">
        <v>-13.262401505453598</v>
      </c>
      <c r="AA382" s="70">
        <v>-12.495035779146125</v>
      </c>
      <c r="AB382" s="70">
        <v>-14.018537614958399</v>
      </c>
      <c r="AC382" s="70">
        <v>-11.322483802851869</v>
      </c>
      <c r="AD382" s="145">
        <v>-8.442147530915193</v>
      </c>
      <c r="AE382" s="15"/>
      <c r="AF382" s="144">
        <v>-185.84239098693627</v>
      </c>
      <c r="AG382" s="145">
        <v>-167.38798150730673</v>
      </c>
    </row>
    <row r="383" spans="2:33" x14ac:dyDescent="0.2">
      <c r="B383" s="9">
        <f>G355</f>
        <v>8</v>
      </c>
      <c r="C383" s="9" t="str">
        <f t="shared" si="1746"/>
        <v>8 - % of Revenue - General and Administrative Expense</v>
      </c>
      <c r="D383" s="9" t="s">
        <v>56</v>
      </c>
      <c r="F383" s="16" t="str">
        <f>"% of Revenue - "&amp;F382</f>
        <v>% of Revenue - General and Administrative Expense</v>
      </c>
      <c r="G383" s="148">
        <f>G382/G367</f>
        <v>-4.9194435984720356E-2</v>
      </c>
      <c r="H383" s="149">
        <f t="shared" ref="H383" si="1928">H382/H367</f>
        <v>-4.4276358764528512E-2</v>
      </c>
      <c r="I383" s="149">
        <f t="shared" ref="I383" si="1929">I382/I367</f>
        <v>-4.3455019192527276E-2</v>
      </c>
      <c r="J383" s="149">
        <f t="shared" ref="J383" si="1930">J382/J367</f>
        <v>-4.7313205528434869E-2</v>
      </c>
      <c r="K383" s="149">
        <f t="shared" ref="K383" si="1931">K382/K367</f>
        <v>-4.3176886348126477E-2</v>
      </c>
      <c r="L383" s="149">
        <f t="shared" ref="L383" si="1932">L382/L367</f>
        <v>-3.9227724877240203E-2</v>
      </c>
      <c r="M383" s="149">
        <f t="shared" ref="M383" si="1933">M382/M367</f>
        <v>-3.9045938830348202E-2</v>
      </c>
      <c r="N383" s="149">
        <f t="shared" ref="N383" si="1934">N382/N367</f>
        <v>-2.8512699616063508E-2</v>
      </c>
      <c r="O383" s="149">
        <f t="shared" ref="O383" si="1935">O382/O367</f>
        <v>-2.9435208799172299E-2</v>
      </c>
      <c r="P383" s="149">
        <f t="shared" ref="P383" si="1936">P382/P367</f>
        <v>-3.1320919053020931E-2</v>
      </c>
      <c r="Q383" s="149">
        <f t="shared" ref="Q383" si="1937">Q382/Q367</f>
        <v>-3.270767140908195E-2</v>
      </c>
      <c r="R383" s="149">
        <f t="shared" ref="R383" si="1938">R382/R367</f>
        <v>-2.9724486144813423E-2</v>
      </c>
      <c r="S383" s="148">
        <f t="shared" ref="S383" si="1939">S382/S367</f>
        <v>-3.599097063543235E-2</v>
      </c>
      <c r="T383" s="149">
        <f t="shared" ref="T383" si="1940">T382/T367</f>
        <v>-3.492332918075558E-2</v>
      </c>
      <c r="U383" s="149">
        <f t="shared" ref="U383" si="1941">U382/U367</f>
        <v>-4.8179895301443822E-2</v>
      </c>
      <c r="V383" s="149">
        <f t="shared" ref="V383" si="1942">V382/V367</f>
        <v>-4.8244651250997743E-2</v>
      </c>
      <c r="W383" s="149">
        <f t="shared" ref="W383" si="1943">W382/W367</f>
        <v>-4.1849159438345891E-2</v>
      </c>
      <c r="X383" s="149">
        <f t="shared" ref="X383" si="1944">X382/X367</f>
        <v>-4.8419944935554071E-2</v>
      </c>
      <c r="Y383" s="149">
        <f t="shared" ref="Y383" si="1945">Y382/Y367</f>
        <v>-3.9416461730060595E-2</v>
      </c>
      <c r="Z383" s="149">
        <f t="shared" ref="Z383" si="1946">Z382/Z367</f>
        <v>-3.297008239967332E-2</v>
      </c>
      <c r="AA383" s="149">
        <f t="shared" ref="AA383" si="1947">AA382/AA367</f>
        <v>-3.1946552598398605E-2</v>
      </c>
      <c r="AB383" s="149">
        <f t="shared" ref="AB383" si="1948">AB382/AB367</f>
        <v>-3.0449002286196406E-2</v>
      </c>
      <c r="AC383" s="149">
        <f t="shared" ref="AC383" si="1949">AC382/AC367</f>
        <v>-3.3340982793610342E-2</v>
      </c>
      <c r="AD383" s="150">
        <f t="shared" ref="AD383" si="1950">AD382/AD367</f>
        <v>-3.0407485059936828E-2</v>
      </c>
      <c r="AE383" s="15"/>
      <c r="AF383" s="96">
        <f t="shared" ref="AF383" si="1951">AF382/AF367</f>
        <v>-3.8304469445235259E-2</v>
      </c>
      <c r="AG383" s="97">
        <f t="shared" ref="AG383" si="1952">AG382/AG367</f>
        <v>-3.7630775744777127E-2</v>
      </c>
    </row>
    <row r="384" spans="2:33" ht="3" customHeight="1" x14ac:dyDescent="0.2">
      <c r="B384" s="9">
        <f>G355</f>
        <v>8</v>
      </c>
      <c r="C384" s="9" t="str">
        <f t="shared" si="1746"/>
        <v xml:space="preserve">8 - </v>
      </c>
      <c r="D384" s="9" t="s">
        <v>56</v>
      </c>
      <c r="F384" s="16"/>
      <c r="G384" s="36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6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8"/>
      <c r="AE384" s="15"/>
      <c r="AF384" s="36"/>
      <c r="AG384" s="38"/>
    </row>
    <row r="385" spans="2:33" x14ac:dyDescent="0.2">
      <c r="B385" s="9">
        <f>G355</f>
        <v>8</v>
      </c>
      <c r="C385" s="9" t="str">
        <f t="shared" si="1746"/>
        <v>8 - Marketing</v>
      </c>
      <c r="D385" s="9" t="s">
        <v>56</v>
      </c>
      <c r="F385" t="s">
        <v>7</v>
      </c>
      <c r="G385" s="144">
        <v>-2.7344558890642339</v>
      </c>
      <c r="H385" s="70">
        <v>-3.6764574979680051</v>
      </c>
      <c r="I385" s="70">
        <v>-5.3717045632327656</v>
      </c>
      <c r="J385" s="70">
        <v>-5.1081535083333502</v>
      </c>
      <c r="K385" s="70">
        <v>-7.3834466216926957</v>
      </c>
      <c r="L385" s="70">
        <v>-8.0523894923292225</v>
      </c>
      <c r="M385" s="70">
        <v>-8.9725351736826902</v>
      </c>
      <c r="N385" s="70">
        <v>-9.3580592277611281</v>
      </c>
      <c r="O385" s="70">
        <v>-7.3001395093884547</v>
      </c>
      <c r="P385" s="70">
        <v>-7.2072380503601758</v>
      </c>
      <c r="Q385" s="70">
        <v>-7.1204502323071939</v>
      </c>
      <c r="R385" s="70">
        <v>-5.6080843922882053</v>
      </c>
      <c r="S385" s="144">
        <v>-11.573129518451225</v>
      </c>
      <c r="T385" s="70">
        <v>-12.72945954866114</v>
      </c>
      <c r="U385" s="70">
        <v>-12.682011411903618</v>
      </c>
      <c r="V385" s="70">
        <v>-10.354584481022336</v>
      </c>
      <c r="W385" s="70">
        <v>-12.183943995156916</v>
      </c>
      <c r="X385" s="70">
        <v>-9.8104502187002733</v>
      </c>
      <c r="Y385" s="70">
        <v>-7.6441749910626209</v>
      </c>
      <c r="Z385" s="70">
        <v>-6.6783931005318333</v>
      </c>
      <c r="AA385" s="70">
        <v>-5.9009665887081608</v>
      </c>
      <c r="AB385" s="70">
        <v>-6.1175007699828905</v>
      </c>
      <c r="AC385" s="70">
        <v>-4.305451053027177</v>
      </c>
      <c r="AD385" s="145">
        <v>-4.6219690823396444</v>
      </c>
      <c r="AE385" s="15"/>
      <c r="AF385" s="144">
        <v>-77.893114158408125</v>
      </c>
      <c r="AG385" s="145">
        <v>-104.60203475954783</v>
      </c>
    </row>
    <row r="386" spans="2:33" x14ac:dyDescent="0.2">
      <c r="B386" s="9">
        <f>G355</f>
        <v>8</v>
      </c>
      <c r="C386" s="9" t="str">
        <f t="shared" si="1746"/>
        <v>8 - % of Revenue - Marketing</v>
      </c>
      <c r="D386" s="9" t="s">
        <v>56</v>
      </c>
      <c r="F386" s="16" t="str">
        <f>"% of Revenue - "&amp;F385</f>
        <v>% of Revenue - Marketing</v>
      </c>
      <c r="G386" s="148">
        <f>G385/G367</f>
        <v>-7.1648364667050435E-3</v>
      </c>
      <c r="H386" s="149">
        <f t="shared" ref="H386" si="1953">H385/H367</f>
        <v>-0.01</v>
      </c>
      <c r="I386" s="149">
        <f t="shared" ref="I386" si="1954">I385/I367</f>
        <v>-1.1804852571334404E-2</v>
      </c>
      <c r="J386" s="149">
        <f t="shared" ref="J386" si="1955">J385/J367</f>
        <v>-1.2791403554807873E-2</v>
      </c>
      <c r="K386" s="149">
        <f t="shared" ref="K386" si="1956">K385/K367</f>
        <v>-1.5688338848546434E-2</v>
      </c>
      <c r="L386" s="149">
        <f t="shared" ref="L386" si="1957">L385/L367</f>
        <v>-1.7555587890130297E-2</v>
      </c>
      <c r="M386" s="149">
        <f t="shared" ref="M386" si="1958">M385/M367</f>
        <v>-2.188057940214555E-2</v>
      </c>
      <c r="N386" s="149">
        <f t="shared" ref="N386" si="1959">N385/N367</f>
        <v>-2.0611838058168519E-2</v>
      </c>
      <c r="O386" s="149">
        <f t="shared" ref="O386" si="1960">O385/O367</f>
        <v>-1.7640057556623918E-2</v>
      </c>
      <c r="P386" s="149">
        <f t="shared" ref="P386" si="1961">P385/P367</f>
        <v>-1.7467400814875335E-2</v>
      </c>
      <c r="Q386" s="149">
        <f t="shared" ref="Q386" si="1962">Q385/Q367</f>
        <v>-1.9782226761524489E-2</v>
      </c>
      <c r="R386" s="149">
        <f t="shared" ref="R386" si="1963">R385/R367</f>
        <v>-2.0906212877467984E-2</v>
      </c>
      <c r="S386" s="148">
        <f t="shared" ref="S386" si="1964">S385/S367</f>
        <v>-2.7360483563412311E-2</v>
      </c>
      <c r="T386" s="149">
        <f t="shared" ref="T386" si="1965">T385/T367</f>
        <v>-3.1643083967070405E-2</v>
      </c>
      <c r="U386" s="149">
        <f t="shared" ref="U386" si="1966">U385/U367</f>
        <v>-3.782672526198598E-2</v>
      </c>
      <c r="V386" s="149">
        <f t="shared" ref="V386" si="1967">V385/V367</f>
        <v>-3.3100166517046128E-2</v>
      </c>
      <c r="W386" s="149">
        <f t="shared" ref="W386" si="1968">W385/W367</f>
        <v>-3.2825200800511108E-2</v>
      </c>
      <c r="X386" s="149">
        <f t="shared" ref="X386" si="1969">X385/X367</f>
        <v>-3.0265858154817072E-2</v>
      </c>
      <c r="Y386" s="149">
        <f t="shared" ref="Y386" si="1970">Y385/Y367</f>
        <v>-1.8713534399868881E-2</v>
      </c>
      <c r="Z386" s="149">
        <f t="shared" ref="Z386" si="1971">Z385/Z367</f>
        <v>-1.6602360494922565E-2</v>
      </c>
      <c r="AA386" s="149">
        <f t="shared" ref="AA386" si="1972">AA385/AA367</f>
        <v>-1.5087234869882112E-2</v>
      </c>
      <c r="AB386" s="149">
        <f t="shared" ref="AB386" si="1973">AB385/AB367</f>
        <v>-1.3287533981594277E-2</v>
      </c>
      <c r="AC386" s="149">
        <f t="shared" ref="AC386" si="1974">AC385/AC367</f>
        <v>-1.2678134230720143E-2</v>
      </c>
      <c r="AD386" s="150">
        <f t="shared" ref="AD386" si="1975">AD385/AD367</f>
        <v>-1.6647713784207797E-2</v>
      </c>
      <c r="AE386" s="15"/>
      <c r="AF386" s="96">
        <f t="shared" ref="AF386" si="1976">AF385/AF367</f>
        <v>-1.6054756912187496E-2</v>
      </c>
      <c r="AG386" s="97">
        <f t="shared" ref="AG386" si="1977">AG385/AG367</f>
        <v>-2.3515760671933925E-2</v>
      </c>
    </row>
    <row r="387" spans="2:33" ht="3" customHeight="1" x14ac:dyDescent="0.2">
      <c r="B387" s="9">
        <f>G355</f>
        <v>8</v>
      </c>
      <c r="C387" s="9" t="str">
        <f t="shared" si="1746"/>
        <v xml:space="preserve">8 - </v>
      </c>
      <c r="D387" s="9" t="s">
        <v>56</v>
      </c>
      <c r="F387" s="16"/>
      <c r="G387" s="36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6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8"/>
      <c r="AE387" s="15"/>
      <c r="AF387" s="36"/>
      <c r="AG387" s="38"/>
    </row>
    <row r="388" spans="2:33" x14ac:dyDescent="0.2">
      <c r="B388" s="9">
        <f>G355</f>
        <v>8</v>
      </c>
      <c r="C388" s="9" t="str">
        <f t="shared" si="1746"/>
        <v>8 - Office Rent</v>
      </c>
      <c r="D388" s="9" t="s">
        <v>56</v>
      </c>
      <c r="F388" t="s">
        <v>162</v>
      </c>
      <c r="G388" s="144">
        <v>-30.550822853624016</v>
      </c>
      <c r="H388" s="70">
        <v>-30.550822853624016</v>
      </c>
      <c r="I388" s="70">
        <v>-30.550822853624016</v>
      </c>
      <c r="J388" s="70">
        <v>-31.467347539232737</v>
      </c>
      <c r="K388" s="70">
        <v>-31.467347539232737</v>
      </c>
      <c r="L388" s="70">
        <v>-31.467347539232737</v>
      </c>
      <c r="M388" s="70">
        <v>-31.467347539232737</v>
      </c>
      <c r="N388" s="70">
        <v>-31.467347539232737</v>
      </c>
      <c r="O388" s="70">
        <v>-31.467347539232737</v>
      </c>
      <c r="P388" s="70">
        <v>-31.467347539232737</v>
      </c>
      <c r="Q388" s="70">
        <v>-31.467347539232737</v>
      </c>
      <c r="R388" s="70">
        <v>-31.467347539232737</v>
      </c>
      <c r="S388" s="144">
        <v>-31.467600690338077</v>
      </c>
      <c r="T388" s="70">
        <v>-31.467600690338077</v>
      </c>
      <c r="U388" s="70">
        <v>-31.467600690338077</v>
      </c>
      <c r="V388" s="70">
        <v>-32.411628711048216</v>
      </c>
      <c r="W388" s="70">
        <v>-32.411628711048216</v>
      </c>
      <c r="X388" s="70">
        <v>-32.411628711048216</v>
      </c>
      <c r="Y388" s="70">
        <v>-32.411628711048216</v>
      </c>
      <c r="Z388" s="70">
        <v>-32.411628711048216</v>
      </c>
      <c r="AA388" s="70">
        <v>-32.411628711048216</v>
      </c>
      <c r="AB388" s="70">
        <v>-32.411628711048216</v>
      </c>
      <c r="AC388" s="70">
        <v>-32.411628711048216</v>
      </c>
      <c r="AD388" s="145">
        <v>-32.411628711048216</v>
      </c>
      <c r="AE388" s="15"/>
      <c r="AF388" s="144">
        <v>-374.85859641396667</v>
      </c>
      <c r="AG388" s="145">
        <v>-386.10746047044813</v>
      </c>
    </row>
    <row r="389" spans="2:33" x14ac:dyDescent="0.2">
      <c r="B389" s="9">
        <f>G355</f>
        <v>8</v>
      </c>
      <c r="C389" s="9" t="str">
        <f t="shared" si="1746"/>
        <v>8 - % YoY Growth</v>
      </c>
      <c r="D389" s="9" t="s">
        <v>56</v>
      </c>
      <c r="F389" s="16" t="s">
        <v>8</v>
      </c>
      <c r="G389" s="82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148">
        <f>S388/G388-1</f>
        <v>3.0008286228706549E-2</v>
      </c>
      <c r="T389" s="149">
        <f t="shared" ref="T389" si="1978">T388/H388-1</f>
        <v>3.0008286228706549E-2</v>
      </c>
      <c r="U389" s="149">
        <f t="shared" ref="U389" si="1979">U388/I388-1</f>
        <v>3.0008286228706549E-2</v>
      </c>
      <c r="V389" s="149">
        <f t="shared" ref="V389" si="1980">V388/J388-1</f>
        <v>3.0008286228706549E-2</v>
      </c>
      <c r="W389" s="149">
        <f t="shared" ref="W389" si="1981">W388/K388-1</f>
        <v>3.0008286228706549E-2</v>
      </c>
      <c r="X389" s="149">
        <f t="shared" ref="X389" si="1982">X388/L388-1</f>
        <v>3.0008286228706549E-2</v>
      </c>
      <c r="Y389" s="149">
        <f t="shared" ref="Y389" si="1983">Y388/M388-1</f>
        <v>3.0008286228706549E-2</v>
      </c>
      <c r="Z389" s="149">
        <f t="shared" ref="Z389" si="1984">Z388/N388-1</f>
        <v>3.0008286228706549E-2</v>
      </c>
      <c r="AA389" s="149">
        <f t="shared" ref="AA389" si="1985">AA388/O388-1</f>
        <v>3.0008286228706549E-2</v>
      </c>
      <c r="AB389" s="149">
        <f t="shared" ref="AB389" si="1986">AB388/P388-1</f>
        <v>3.0008286228706549E-2</v>
      </c>
      <c r="AC389" s="149">
        <f t="shared" ref="AC389" si="1987">AC388/Q388-1</f>
        <v>3.0008286228706549E-2</v>
      </c>
      <c r="AD389" s="150">
        <f t="shared" ref="AD389" si="1988">AD388/R388-1</f>
        <v>3.0008286228706549E-2</v>
      </c>
      <c r="AE389" s="15"/>
      <c r="AF389" s="11"/>
      <c r="AG389" s="97">
        <f>AG388/AF388-1</f>
        <v>3.0008286228706549E-2</v>
      </c>
    </row>
    <row r="390" spans="2:33" ht="6" customHeight="1" x14ac:dyDescent="0.2">
      <c r="B390" s="9">
        <f>G355</f>
        <v>8</v>
      </c>
      <c r="C390" s="9" t="str">
        <f t="shared" si="1746"/>
        <v xml:space="preserve">8 - </v>
      </c>
      <c r="D390" s="9" t="s">
        <v>56</v>
      </c>
      <c r="F390" s="16"/>
      <c r="G390" s="11"/>
      <c r="S390" s="11"/>
      <c r="AD390" s="15"/>
      <c r="AE390" s="15"/>
      <c r="AF390" s="11"/>
      <c r="AG390" s="15"/>
    </row>
    <row r="391" spans="2:33" x14ac:dyDescent="0.2">
      <c r="B391" s="9">
        <f>G355</f>
        <v>8</v>
      </c>
      <c r="C391" s="9" t="str">
        <f t="shared" si="1746"/>
        <v>8 - Office EBITDA</v>
      </c>
      <c r="D391" s="9" t="s">
        <v>56</v>
      </c>
      <c r="F391" s="8" t="s">
        <v>12</v>
      </c>
      <c r="G391" s="134">
        <f>G379+G382+G385+G388</f>
        <v>101.78741722048899</v>
      </c>
      <c r="H391" s="135">
        <f t="shared" ref="H391:AD391" si="1989">H379+H382+H385+H388</f>
        <v>104.05822800477351</v>
      </c>
      <c r="I391" s="135">
        <f t="shared" si="1989"/>
        <v>136.00614749733896</v>
      </c>
      <c r="J391" s="135">
        <f t="shared" si="1989"/>
        <v>111.40884331985656</v>
      </c>
      <c r="K391" s="135">
        <f t="shared" si="1989"/>
        <v>147.39976382203912</v>
      </c>
      <c r="L391" s="135">
        <f t="shared" si="1989"/>
        <v>145.64286120538671</v>
      </c>
      <c r="M391" s="135">
        <f t="shared" si="1989"/>
        <v>126.66024609888002</v>
      </c>
      <c r="N391" s="135">
        <f t="shared" si="1989"/>
        <v>194.72079974690604</v>
      </c>
      <c r="O391" s="135">
        <f t="shared" si="1989"/>
        <v>170.58776366555446</v>
      </c>
      <c r="P391" s="135">
        <f t="shared" si="1989"/>
        <v>166.24888221321027</v>
      </c>
      <c r="Q391" s="135">
        <f t="shared" si="1989"/>
        <v>137.47264913399897</v>
      </c>
      <c r="R391" s="135">
        <f t="shared" si="1989"/>
        <v>95.09477577168218</v>
      </c>
      <c r="S391" s="134">
        <f t="shared" si="1989"/>
        <v>76.797791200385106</v>
      </c>
      <c r="T391" s="135">
        <f t="shared" si="1989"/>
        <v>71.566716524309939</v>
      </c>
      <c r="U391" s="135">
        <f t="shared" si="1989"/>
        <v>42.864436561627315</v>
      </c>
      <c r="V391" s="135">
        <f t="shared" si="1989"/>
        <v>37.516269846758327</v>
      </c>
      <c r="W391" s="135">
        <f t="shared" si="1989"/>
        <v>52.365854452263598</v>
      </c>
      <c r="X391" s="135">
        <f t="shared" si="1989"/>
        <v>43.310560858095663</v>
      </c>
      <c r="Y391" s="135">
        <f t="shared" si="1989"/>
        <v>88.549160858397784</v>
      </c>
      <c r="Z391" s="135">
        <f t="shared" si="1989"/>
        <v>143.55359892820138</v>
      </c>
      <c r="AA391" s="135">
        <f t="shared" si="1989"/>
        <v>144.34228927850248</v>
      </c>
      <c r="AB391" s="135">
        <f t="shared" si="1989"/>
        <v>173.39918349343449</v>
      </c>
      <c r="AC391" s="135">
        <f t="shared" si="1989"/>
        <v>115.12509635441234</v>
      </c>
      <c r="AD391" s="136">
        <f t="shared" si="1989"/>
        <v>90.362712429994502</v>
      </c>
      <c r="AE391" s="15"/>
      <c r="AF391" s="94">
        <f>SUM(G391:R391)</f>
        <v>1637.0883777001159</v>
      </c>
      <c r="AG391" s="95">
        <f>SUM(S391:AD391)</f>
        <v>1079.7536707863828</v>
      </c>
    </row>
    <row r="392" spans="2:33" x14ac:dyDescent="0.2">
      <c r="B392" s="9">
        <f>G355</f>
        <v>8</v>
      </c>
      <c r="C392" s="9" t="str">
        <f t="shared" si="1746"/>
        <v>8 - % of Revenue - Office EBITDA</v>
      </c>
      <c r="D392" s="9" t="s">
        <v>56</v>
      </c>
      <c r="F392" s="16" t="str">
        <f>"% of Revenue - "&amp;F391</f>
        <v>% of Revenue - Office EBITDA</v>
      </c>
      <c r="G392" s="148">
        <f>G391/G367</f>
        <v>0.26670395440266287</v>
      </c>
      <c r="H392" s="149">
        <f t="shared" ref="H392" si="1990">H391/H367</f>
        <v>0.28303938794964167</v>
      </c>
      <c r="I392" s="149">
        <f t="shared" ref="I392" si="1991">I391/I367</f>
        <v>0.29888697360433697</v>
      </c>
      <c r="J392" s="149">
        <f t="shared" ref="J392" si="1992">J391/J367</f>
        <v>0.27898054985109666</v>
      </c>
      <c r="K392" s="149">
        <f t="shared" ref="K392" si="1993">K391/K367</f>
        <v>0.31319484781562923</v>
      </c>
      <c r="L392" s="149">
        <f t="shared" ref="L392" si="1994">L391/L367</f>
        <v>0.31752637560526459</v>
      </c>
      <c r="M392" s="149">
        <f t="shared" ref="M392" si="1995">M391/M367</f>
        <v>0.30887586598608407</v>
      </c>
      <c r="N392" s="149">
        <f t="shared" ref="N392" si="1996">N391/N367</f>
        <v>0.42888738928194547</v>
      </c>
      <c r="O392" s="149">
        <f t="shared" ref="O392" si="1997">O391/O367</f>
        <v>0.41220828254667463</v>
      </c>
      <c r="P392" s="149">
        <f t="shared" ref="P392" si="1998">P391/P367</f>
        <v>0.40291937637581166</v>
      </c>
      <c r="Q392" s="149">
        <f t="shared" ref="Q392" si="1999">Q391/Q367</f>
        <v>0.38193021929107335</v>
      </c>
      <c r="R392" s="149">
        <f t="shared" ref="R392" si="2000">R391/R367</f>
        <v>0.35450101795039168</v>
      </c>
      <c r="S392" s="148">
        <f t="shared" ref="S392" si="2001">S391/S367</f>
        <v>0.18156063150373383</v>
      </c>
      <c r="T392" s="149">
        <f t="shared" ref="T392" si="2002">T391/T367</f>
        <v>0.17790163137479389</v>
      </c>
      <c r="U392" s="149">
        <f t="shared" ref="U392" si="2003">U391/U367</f>
        <v>0.12785205853107823</v>
      </c>
      <c r="V392" s="149">
        <f t="shared" ref="V392" si="2004">V391/V367</f>
        <v>0.11992705079591293</v>
      </c>
      <c r="W392" s="149">
        <f t="shared" ref="W392" si="2005">W391/W367</f>
        <v>0.1410807278964149</v>
      </c>
      <c r="X392" s="149">
        <f t="shared" ref="X392" si="2006">X391/X367</f>
        <v>0.13361581398558484</v>
      </c>
      <c r="Y392" s="149">
        <f t="shared" ref="Y392" si="2007">Y391/Y367</f>
        <v>0.21677522685450717</v>
      </c>
      <c r="Z392" s="149">
        <f t="shared" ref="Z392" si="2008">Z391/Z367</f>
        <v>0.35687156534102976</v>
      </c>
      <c r="AA392" s="149">
        <f t="shared" ref="AA392" si="2009">AA391/AA367</f>
        <v>0.36904564485561359</v>
      </c>
      <c r="AB392" s="149">
        <f t="shared" ref="AB392" si="2010">AB391/AB367</f>
        <v>0.37663216232928343</v>
      </c>
      <c r="AC392" s="149">
        <f t="shared" ref="AC392" si="2011">AC391/AC367</f>
        <v>0.33900546236139423</v>
      </c>
      <c r="AD392" s="150">
        <f t="shared" ref="AD392" si="2012">AD391/AD367</f>
        <v>0.32547439121720179</v>
      </c>
      <c r="AE392" s="15"/>
      <c r="AF392" s="96">
        <f t="shared" ref="AF392" si="2013">AF391/AF367</f>
        <v>0.33742463928572614</v>
      </c>
      <c r="AG392" s="97">
        <f t="shared" ref="AG392" si="2014">AG391/AG367</f>
        <v>0.2427412522636139</v>
      </c>
    </row>
    <row r="393" spans="2:33" ht="6" customHeight="1" x14ac:dyDescent="0.2">
      <c r="B393" s="9">
        <f>G355</f>
        <v>8</v>
      </c>
      <c r="C393" s="9" t="str">
        <f t="shared" si="1746"/>
        <v xml:space="preserve">8 - </v>
      </c>
      <c r="D393" s="9" t="s">
        <v>56</v>
      </c>
      <c r="G393" s="11"/>
      <c r="S393" s="11"/>
      <c r="AD393" s="15"/>
      <c r="AE393" s="15"/>
      <c r="AF393" s="11"/>
      <c r="AG393" s="15"/>
    </row>
    <row r="394" spans="2:33" x14ac:dyDescent="0.2">
      <c r="B394" s="9">
        <f>G355</f>
        <v>8</v>
      </c>
      <c r="C394" s="9" t="str">
        <f t="shared" si="1746"/>
        <v>8 - Memo:</v>
      </c>
      <c r="D394" s="9" t="s">
        <v>56</v>
      </c>
      <c r="F394" s="6" t="s">
        <v>13</v>
      </c>
      <c r="G394" s="11"/>
      <c r="S394" s="11"/>
      <c r="AD394" s="15"/>
      <c r="AE394" s="15"/>
      <c r="AF394" s="11"/>
      <c r="AG394" s="15"/>
    </row>
    <row r="395" spans="2:33" s="24" customFormat="1" x14ac:dyDescent="0.2">
      <c r="B395" s="9">
        <f>G355</f>
        <v>8</v>
      </c>
      <c r="C395" s="9" t="str">
        <f t="shared" si="1746"/>
        <v>8 - Collections</v>
      </c>
      <c r="D395" s="9" t="s">
        <v>56</v>
      </c>
      <c r="E395" s="49"/>
      <c r="F395" s="24" t="s">
        <v>15</v>
      </c>
      <c r="G395" s="169">
        <f>G396*G365</f>
        <v>378.8024310238784</v>
      </c>
      <c r="H395" s="170">
        <f t="shared" ref="H395" si="2015">H396*H365</f>
        <v>365.94352325221979</v>
      </c>
      <c r="I395" s="170">
        <f t="shared" ref="I395" si="2016">I396*I365</f>
        <v>450.53132288870302</v>
      </c>
      <c r="J395" s="170">
        <f t="shared" ref="J395" si="2017">J396*J365</f>
        <v>400.99904316325268</v>
      </c>
      <c r="K395" s="170">
        <f t="shared" ref="K395" si="2018">K396*K365</f>
        <v>470.13979182772295</v>
      </c>
      <c r="L395" s="170">
        <f t="shared" ref="L395" si="2019">L396*L365</f>
        <v>470.07545140481329</v>
      </c>
      <c r="M395" s="170">
        <f t="shared" ref="M395" si="2020">M396*M365</f>
        <v>418.0919223957103</v>
      </c>
      <c r="N395" s="170">
        <f t="shared" ref="N395" si="2021">N396*N365</f>
        <v>449.55452156250487</v>
      </c>
      <c r="O395" s="170">
        <f t="shared" ref="O395" si="2022">O396*O365</f>
        <v>408.35224269621619</v>
      </c>
      <c r="P395" s="170">
        <f t="shared" ref="P395" si="2023">P396*P365</f>
        <v>421.9782700662858</v>
      </c>
      <c r="Q395" s="170">
        <f t="shared" ref="Q395" si="2024">Q396*Q365</f>
        <v>368.05289103233343</v>
      </c>
      <c r="R395" s="170">
        <f t="shared" ref="R395" si="2025">R396*R365</f>
        <v>273.1053707876722</v>
      </c>
      <c r="S395" s="169">
        <f t="shared" ref="S395" si="2026">S396*S365</f>
        <v>429.35763329610552</v>
      </c>
      <c r="T395" s="170">
        <f t="shared" ref="T395" si="2027">T396*T365</f>
        <v>409.12863660802878</v>
      </c>
      <c r="U395" s="170">
        <f t="shared" ref="U395" si="2028">U396*U365</f>
        <v>334.02928851143656</v>
      </c>
      <c r="V395" s="170">
        <f t="shared" ref="V395" si="2029">V396*V365</f>
        <v>321.30300835933377</v>
      </c>
      <c r="W395" s="170">
        <f t="shared" ref="W395" si="2030">W396*W365</f>
        <v>377.69735393873634</v>
      </c>
      <c r="X395" s="170">
        <f t="shared" ref="X395" si="2031">X396*X365</f>
        <v>331.12381142849637</v>
      </c>
      <c r="Y395" s="170">
        <f t="shared" ref="Y395" si="2032">Y396*Y365</f>
        <v>418.88490429099789</v>
      </c>
      <c r="Z395" s="170">
        <f t="shared" ref="Z395" si="2033">Z396*Z365</f>
        <v>406.67173016366695</v>
      </c>
      <c r="AA395" s="170">
        <f t="shared" ref="AA395" si="2034">AA396*AA365</f>
        <v>401.63385927714074</v>
      </c>
      <c r="AB395" s="170">
        <f t="shared" ref="AB395" si="2035">AB396*AB365</f>
        <v>466.07734181355022</v>
      </c>
      <c r="AC395" s="170">
        <f t="shared" ref="AC395" si="2036">AC396*AC365</f>
        <v>341.38697112666785</v>
      </c>
      <c r="AD395" s="171">
        <f t="shared" ref="AD395" si="2037">AD396*AD365</f>
        <v>284.79908357262627</v>
      </c>
      <c r="AE395" s="26"/>
      <c r="AF395" s="68">
        <f>SUM(G395:R395)</f>
        <v>4875.6267821013134</v>
      </c>
      <c r="AG395" s="99">
        <f>SUM(S395:AD395)</f>
        <v>4522.0936223867866</v>
      </c>
    </row>
    <row r="396" spans="2:33" x14ac:dyDescent="0.2">
      <c r="B396" s="9">
        <f>G355</f>
        <v>8</v>
      </c>
      <c r="C396" s="9" t="str">
        <f t="shared" si="1746"/>
        <v>8 - Collections as a % of Production</v>
      </c>
      <c r="D396" s="9" t="s">
        <v>56</v>
      </c>
      <c r="F396" s="16" t="s">
        <v>17</v>
      </c>
      <c r="G396" s="140">
        <v>0.96770268358389044</v>
      </c>
      <c r="H396" s="141">
        <v>0.9704615719204176</v>
      </c>
      <c r="I396" s="141">
        <v>0.96531102534858471</v>
      </c>
      <c r="J396" s="141">
        <v>0.97901968570423836</v>
      </c>
      <c r="K396" s="141">
        <v>0.97395448018851061</v>
      </c>
      <c r="L396" s="141">
        <v>0.99919902884323786</v>
      </c>
      <c r="M396" s="141">
        <v>0.99405234242474283</v>
      </c>
      <c r="N396" s="141">
        <v>0.96539963383230987</v>
      </c>
      <c r="O396" s="141">
        <v>0.96204992634541386</v>
      </c>
      <c r="P396" s="141">
        <v>0.99711060204147428</v>
      </c>
      <c r="Q396" s="141">
        <v>0.99694633576363212</v>
      </c>
      <c r="R396" s="141">
        <v>0.99262428523169643</v>
      </c>
      <c r="S396" s="140">
        <v>0.98417450246595739</v>
      </c>
      <c r="T396" s="141">
        <v>0.98607212650718634</v>
      </c>
      <c r="U396" s="141">
        <v>0.96599553646115766</v>
      </c>
      <c r="V396" s="141">
        <v>0.99584617678396625</v>
      </c>
      <c r="W396" s="141">
        <v>0.98660521196216533</v>
      </c>
      <c r="X396" s="141">
        <v>0.9904542778858515</v>
      </c>
      <c r="Y396" s="141">
        <v>0.99425978724852537</v>
      </c>
      <c r="Z396" s="141">
        <v>0.98021605164784442</v>
      </c>
      <c r="AA396" s="141">
        <v>0.99562726160499515</v>
      </c>
      <c r="AB396" s="141">
        <v>0.9815406979104726</v>
      </c>
      <c r="AC396" s="141">
        <v>0.97468346258112692</v>
      </c>
      <c r="AD396" s="142">
        <v>0.99459464776586937</v>
      </c>
      <c r="AE396" s="15"/>
      <c r="AF396" s="96">
        <f t="shared" ref="AF396" si="2038">AF395/AF365</f>
        <v>0.97978085378051905</v>
      </c>
      <c r="AG396" s="97">
        <f t="shared" ref="AG396" si="2039">AG395/AG365</f>
        <v>0.98568560477180167</v>
      </c>
    </row>
    <row r="397" spans="2:33" ht="6" customHeight="1" x14ac:dyDescent="0.2">
      <c r="B397" s="9">
        <f>G355</f>
        <v>8</v>
      </c>
      <c r="C397" s="9" t="str">
        <f t="shared" si="1746"/>
        <v xml:space="preserve">8 - </v>
      </c>
      <c r="D397" s="9" t="s">
        <v>56</v>
      </c>
      <c r="F397" s="27"/>
      <c r="R397" s="15"/>
      <c r="AD397" s="15"/>
      <c r="AE397" s="15"/>
      <c r="AF397" s="11"/>
      <c r="AG397" s="15"/>
    </row>
    <row r="398" spans="2:33" s="24" customFormat="1" x14ac:dyDescent="0.2">
      <c r="B398" s="9">
        <f>G355</f>
        <v>8</v>
      </c>
      <c r="C398" s="9" t="str">
        <f t="shared" si="1746"/>
        <v>8 - Production per Vet Workday - YoY Change</v>
      </c>
      <c r="D398" s="9" t="s">
        <v>56</v>
      </c>
      <c r="E398" s="49"/>
      <c r="F398" s="24" t="s">
        <v>55</v>
      </c>
      <c r="G398" s="88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151">
        <f>S364/G364-1</f>
        <v>6.6034136200328275E-2</v>
      </c>
      <c r="T398" s="152">
        <f t="shared" ref="T398" si="2040">T364/H364-1</f>
        <v>5.0296909938828849E-2</v>
      </c>
      <c r="U398" s="152">
        <f t="shared" ref="U398" si="2041">U364/I364-1</f>
        <v>7.7653149325557447E-2</v>
      </c>
      <c r="V398" s="152">
        <f t="shared" ref="V398" si="2042">V364/J364-1</f>
        <v>2.5498357413060724E-3</v>
      </c>
      <c r="W398" s="152">
        <f t="shared" ref="W398" si="2043">W364/K364-1</f>
        <v>1.3368771686515402E-2</v>
      </c>
      <c r="X398" s="152">
        <f t="shared" ref="X398" si="2044">X364/L364-1</f>
        <v>3.7737927423661111E-2</v>
      </c>
      <c r="Y398" s="152">
        <f t="shared" ref="Y398" si="2045">Y364/M364-1</f>
        <v>-4.186400553625047E-2</v>
      </c>
      <c r="Z398" s="152">
        <f t="shared" ref="Z398" si="2046">Z364/N364-1</f>
        <v>-7.0326741979040097E-2</v>
      </c>
      <c r="AA398" s="152">
        <f t="shared" ref="AA398" si="2047">AA364/O364-1</f>
        <v>-4.3662947692389986E-3</v>
      </c>
      <c r="AB398" s="152">
        <f t="shared" ref="AB398" si="2048">AB364/P364-1</f>
        <v>2.8523844628902673E-2</v>
      </c>
      <c r="AC398" s="152">
        <f t="shared" ref="AC398" si="2049">AC364/Q364-1</f>
        <v>-8.1407492289652383E-3</v>
      </c>
      <c r="AD398" s="153">
        <f t="shared" ref="AD398" si="2050">AD364/R364-1</f>
        <v>4.0751690712862443E-2</v>
      </c>
      <c r="AF398" s="43"/>
      <c r="AG398" s="104">
        <f>AG364/AF364-1</f>
        <v>1.722332636716728E-2</v>
      </c>
    </row>
    <row r="399" spans="2:33" s="24" customFormat="1" ht="6" customHeight="1" x14ac:dyDescent="0.2">
      <c r="D399" s="9" t="s">
        <v>56</v>
      </c>
      <c r="E399" s="49"/>
      <c r="G399" s="28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29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29"/>
      <c r="AE399" s="25"/>
      <c r="AF399" s="28"/>
      <c r="AG399" s="29"/>
    </row>
    <row r="400" spans="2:33" s="24" customFormat="1" ht="6" customHeight="1" x14ac:dyDescent="0.2">
      <c r="D400" s="9" t="s">
        <v>56</v>
      </c>
      <c r="E400" s="49"/>
    </row>
    <row r="401" spans="2:34" x14ac:dyDescent="0.2">
      <c r="D401" s="9" t="s">
        <v>56</v>
      </c>
      <c r="F401" s="16"/>
    </row>
    <row r="402" spans="2:34" ht="15.75" thickBot="1" x14ac:dyDescent="0.4">
      <c r="B402" s="35" t="s">
        <v>52</v>
      </c>
      <c r="C402" s="35"/>
      <c r="D402" s="9" t="s">
        <v>56</v>
      </c>
      <c r="E402" s="48" t="s">
        <v>0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74">
        <f ca="1">AG$2</f>
        <v>45999</v>
      </c>
      <c r="AH402" s="1"/>
    </row>
    <row r="403" spans="2:34" x14ac:dyDescent="0.2">
      <c r="B403" s="9">
        <f>G405</f>
        <v>9</v>
      </c>
      <c r="C403" s="9"/>
      <c r="D403" s="9" t="s">
        <v>56</v>
      </c>
      <c r="F403" t="s">
        <v>159</v>
      </c>
      <c r="AG403" s="6" t="s">
        <v>16</v>
      </c>
    </row>
    <row r="404" spans="2:34" x14ac:dyDescent="0.2">
      <c r="B404" s="9"/>
      <c r="C404" s="9"/>
      <c r="D404" s="9" t="s">
        <v>56</v>
      </c>
      <c r="AG404" s="6"/>
    </row>
    <row r="405" spans="2:34" x14ac:dyDescent="0.2">
      <c r="B405" s="9">
        <f>G405</f>
        <v>9</v>
      </c>
      <c r="C405" s="9"/>
      <c r="D405" s="9" t="s">
        <v>56</v>
      </c>
      <c r="F405" s="40" t="s">
        <v>53</v>
      </c>
      <c r="G405" s="42">
        <v>9</v>
      </c>
    </row>
    <row r="406" spans="2:34" x14ac:dyDescent="0.2">
      <c r="B406" s="9">
        <f>G405</f>
        <v>9</v>
      </c>
      <c r="C406" s="9"/>
      <c r="D406" s="9" t="s">
        <v>56</v>
      </c>
      <c r="F406" s="39" t="s">
        <v>26</v>
      </c>
      <c r="G406" s="41"/>
      <c r="H406" s="11"/>
    </row>
    <row r="407" spans="2:34" x14ac:dyDescent="0.2">
      <c r="B407" s="9">
        <f>G405</f>
        <v>9</v>
      </c>
      <c r="C407" s="9"/>
      <c r="D407" s="9" t="s">
        <v>56</v>
      </c>
      <c r="G407" s="23"/>
    </row>
    <row r="408" spans="2:34" x14ac:dyDescent="0.2">
      <c r="B408" s="9">
        <f>G405</f>
        <v>9</v>
      </c>
      <c r="C408" s="9"/>
      <c r="D408" s="9" t="s">
        <v>56</v>
      </c>
      <c r="G408" s="20">
        <v>2023</v>
      </c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2"/>
      <c r="S408" s="20">
        <v>2024</v>
      </c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2"/>
      <c r="AF408" s="17" t="s">
        <v>14</v>
      </c>
      <c r="AG408" s="18"/>
    </row>
    <row r="409" spans="2:34" ht="15" customHeight="1" x14ac:dyDescent="0.35">
      <c r="B409" s="9">
        <f>G405</f>
        <v>9</v>
      </c>
      <c r="C409" s="9"/>
      <c r="D409" s="9" t="s">
        <v>56</v>
      </c>
      <c r="G409" s="165">
        <v>44957</v>
      </c>
      <c r="H409" s="166">
        <v>44985</v>
      </c>
      <c r="I409" s="166">
        <v>45016</v>
      </c>
      <c r="J409" s="166">
        <v>45046</v>
      </c>
      <c r="K409" s="166">
        <v>45077</v>
      </c>
      <c r="L409" s="166">
        <v>45107</v>
      </c>
      <c r="M409" s="166">
        <v>45138</v>
      </c>
      <c r="N409" s="166">
        <v>45169</v>
      </c>
      <c r="O409" s="166">
        <v>45199</v>
      </c>
      <c r="P409" s="166">
        <v>45230</v>
      </c>
      <c r="Q409" s="166">
        <v>45260</v>
      </c>
      <c r="R409" s="167">
        <v>45291</v>
      </c>
      <c r="S409" s="165">
        <v>45322</v>
      </c>
      <c r="T409" s="166">
        <v>45351</v>
      </c>
      <c r="U409" s="166">
        <v>45382</v>
      </c>
      <c r="V409" s="166">
        <v>45412</v>
      </c>
      <c r="W409" s="166">
        <v>45443</v>
      </c>
      <c r="X409" s="166">
        <v>45473</v>
      </c>
      <c r="Y409" s="166">
        <v>45504</v>
      </c>
      <c r="Z409" s="166">
        <v>45535</v>
      </c>
      <c r="AA409" s="166">
        <v>45565</v>
      </c>
      <c r="AB409" s="166">
        <v>45596</v>
      </c>
      <c r="AC409" s="166">
        <v>45626</v>
      </c>
      <c r="AD409" s="167">
        <v>45657</v>
      </c>
      <c r="AE409" s="168"/>
      <c r="AF409" s="13">
        <v>45291</v>
      </c>
      <c r="AG409" s="14">
        <v>45657</v>
      </c>
    </row>
    <row r="410" spans="2:34" ht="0.95" customHeight="1" x14ac:dyDescent="0.2">
      <c r="B410" s="9">
        <f>G405</f>
        <v>9</v>
      </c>
      <c r="C410" s="9"/>
      <c r="D410" s="9" t="s">
        <v>56</v>
      </c>
      <c r="G410" s="11"/>
      <c r="S410" s="11"/>
      <c r="AD410" s="15"/>
      <c r="AE410" s="15"/>
      <c r="AF410" s="11"/>
      <c r="AG410" s="15"/>
    </row>
    <row r="411" spans="2:34" x14ac:dyDescent="0.2">
      <c r="B411" s="9">
        <f>G405</f>
        <v>9</v>
      </c>
      <c r="C411" s="9" t="str">
        <f>B411&amp;" - "&amp;F411</f>
        <v>9 - Employed Vets</v>
      </c>
      <c r="D411" s="9" t="s">
        <v>56</v>
      </c>
      <c r="F411" s="7" t="s">
        <v>160</v>
      </c>
      <c r="G411" s="121">
        <v>3</v>
      </c>
      <c r="H411" s="154">
        <f>MAX(MIN(IF(H414/G414&gt;1.1,G411-1,IF(H414/G414&lt;0.9,G411+1,G411)),5),1)</f>
        <v>3</v>
      </c>
      <c r="I411" s="154">
        <f t="shared" ref="I411:AB411" si="2051">MAX(MIN(IF(I414/H414&gt;1.1,H411-1,IF(I414/H414&lt;0.9,H411+1,H411)),5),1)</f>
        <v>2</v>
      </c>
      <c r="J411" s="154">
        <f t="shared" si="2051"/>
        <v>2</v>
      </c>
      <c r="K411" s="154">
        <f t="shared" si="2051"/>
        <v>2</v>
      </c>
      <c r="L411" s="154">
        <f t="shared" si="2051"/>
        <v>2</v>
      </c>
      <c r="M411" s="154">
        <f t="shared" si="2051"/>
        <v>3</v>
      </c>
      <c r="N411" s="154">
        <f t="shared" si="2051"/>
        <v>4</v>
      </c>
      <c r="O411" s="154">
        <f t="shared" si="2051"/>
        <v>4</v>
      </c>
      <c r="P411" s="154">
        <f t="shared" si="2051"/>
        <v>4</v>
      </c>
      <c r="Q411" s="154">
        <f t="shared" si="2051"/>
        <v>5</v>
      </c>
      <c r="R411" s="154">
        <f t="shared" si="2051"/>
        <v>5</v>
      </c>
      <c r="S411" s="155">
        <f t="shared" si="2051"/>
        <v>4</v>
      </c>
      <c r="T411" s="154">
        <f t="shared" si="2051"/>
        <v>4</v>
      </c>
      <c r="U411" s="154">
        <f t="shared" si="2051"/>
        <v>3</v>
      </c>
      <c r="V411" s="154">
        <f t="shared" si="2051"/>
        <v>2</v>
      </c>
      <c r="W411" s="154">
        <f t="shared" si="2051"/>
        <v>2</v>
      </c>
      <c r="X411" s="154">
        <f t="shared" si="2051"/>
        <v>2</v>
      </c>
      <c r="Y411" s="154">
        <f t="shared" si="2051"/>
        <v>3</v>
      </c>
      <c r="Z411" s="154">
        <f t="shared" si="2051"/>
        <v>3</v>
      </c>
      <c r="AA411" s="154">
        <f t="shared" si="2051"/>
        <v>3</v>
      </c>
      <c r="AB411" s="154">
        <f t="shared" si="2051"/>
        <v>3</v>
      </c>
      <c r="AC411" s="154">
        <f>AB411</f>
        <v>3</v>
      </c>
      <c r="AD411" s="156">
        <f t="shared" ref="AD411" si="2052">AC411</f>
        <v>3</v>
      </c>
      <c r="AE411" s="15"/>
      <c r="AF411" s="90">
        <f>AVERAGE(G411:R411)</f>
        <v>3.25</v>
      </c>
      <c r="AG411" s="91">
        <f>AVERAGE(S411:AD411)</f>
        <v>2.9166666666666665</v>
      </c>
    </row>
    <row r="412" spans="2:34" x14ac:dyDescent="0.2">
      <c r="B412" s="9">
        <f>G405</f>
        <v>9</v>
      </c>
      <c r="C412" s="9" t="str">
        <f t="shared" ref="C412:C448" si="2053">B412&amp;" - "&amp;F412</f>
        <v>9 - Workdays in Month / Year</v>
      </c>
      <c r="D412" s="9" t="s">
        <v>56</v>
      </c>
      <c r="F412" s="7" t="s">
        <v>54</v>
      </c>
      <c r="G412" s="121">
        <v>22</v>
      </c>
      <c r="H412" s="124">
        <v>21</v>
      </c>
      <c r="I412" s="124">
        <v>24</v>
      </c>
      <c r="J412" s="122">
        <v>21</v>
      </c>
      <c r="K412" s="122">
        <v>23</v>
      </c>
      <c r="L412" s="122">
        <v>23</v>
      </c>
      <c r="M412" s="122">
        <v>22</v>
      </c>
      <c r="N412" s="122">
        <v>24</v>
      </c>
      <c r="O412" s="122">
        <v>22</v>
      </c>
      <c r="P412" s="122">
        <v>22</v>
      </c>
      <c r="Q412" s="122">
        <v>23</v>
      </c>
      <c r="R412" s="122">
        <v>22</v>
      </c>
      <c r="S412" s="121">
        <v>23</v>
      </c>
      <c r="T412" s="122">
        <v>22</v>
      </c>
      <c r="U412" s="122">
        <v>22</v>
      </c>
      <c r="V412" s="122">
        <v>22</v>
      </c>
      <c r="W412" s="122">
        <v>24</v>
      </c>
      <c r="X412" s="122">
        <v>21</v>
      </c>
      <c r="Y412" s="122">
        <v>23</v>
      </c>
      <c r="Z412" s="122">
        <v>23</v>
      </c>
      <c r="AA412" s="122">
        <v>21</v>
      </c>
      <c r="AB412" s="122">
        <v>24</v>
      </c>
      <c r="AC412" s="122">
        <v>22</v>
      </c>
      <c r="AD412" s="123">
        <v>22</v>
      </c>
      <c r="AE412" s="15"/>
      <c r="AF412" s="144">
        <v>269</v>
      </c>
      <c r="AG412" s="145">
        <v>269</v>
      </c>
    </row>
    <row r="413" spans="2:34" x14ac:dyDescent="0.2">
      <c r="B413" s="9">
        <f>G405</f>
        <v>9</v>
      </c>
      <c r="C413" s="9" t="str">
        <f t="shared" si="2053"/>
        <v>9 - Total Vet Days</v>
      </c>
      <c r="D413" s="9" t="s">
        <v>56</v>
      </c>
      <c r="F413" s="8" t="s">
        <v>51</v>
      </c>
      <c r="G413" s="125">
        <f>G411*G412</f>
        <v>66</v>
      </c>
      <c r="H413" s="126">
        <f t="shared" ref="H413" si="2054">H411*H412</f>
        <v>63</v>
      </c>
      <c r="I413" s="126">
        <f t="shared" ref="I413" si="2055">I411*I412</f>
        <v>48</v>
      </c>
      <c r="J413" s="127">
        <f t="shared" ref="J413" si="2056">J411*J412</f>
        <v>42</v>
      </c>
      <c r="K413" s="127">
        <f t="shared" ref="K413" si="2057">K411*K412</f>
        <v>46</v>
      </c>
      <c r="L413" s="127">
        <f t="shared" ref="L413" si="2058">L411*L412</f>
        <v>46</v>
      </c>
      <c r="M413" s="127">
        <f t="shared" ref="M413" si="2059">M411*M412</f>
        <v>66</v>
      </c>
      <c r="N413" s="127">
        <f t="shared" ref="N413" si="2060">N411*N412</f>
        <v>96</v>
      </c>
      <c r="O413" s="127">
        <f t="shared" ref="O413" si="2061">O411*O412</f>
        <v>88</v>
      </c>
      <c r="P413" s="127">
        <f t="shared" ref="P413" si="2062">P411*P412</f>
        <v>88</v>
      </c>
      <c r="Q413" s="127">
        <f t="shared" ref="Q413" si="2063">Q411*Q412</f>
        <v>115</v>
      </c>
      <c r="R413" s="127">
        <f t="shared" ref="R413" si="2064">R411*R412</f>
        <v>110</v>
      </c>
      <c r="S413" s="125">
        <f t="shared" ref="S413" si="2065">S411*S412</f>
        <v>92</v>
      </c>
      <c r="T413" s="127">
        <f t="shared" ref="T413" si="2066">T411*T412</f>
        <v>88</v>
      </c>
      <c r="U413" s="127">
        <f t="shared" ref="U413" si="2067">U411*U412</f>
        <v>66</v>
      </c>
      <c r="V413" s="127">
        <f t="shared" ref="V413" si="2068">V411*V412</f>
        <v>44</v>
      </c>
      <c r="W413" s="127">
        <f t="shared" ref="W413" si="2069">W411*W412</f>
        <v>48</v>
      </c>
      <c r="X413" s="127">
        <f t="shared" ref="X413" si="2070">X411*X412</f>
        <v>42</v>
      </c>
      <c r="Y413" s="127">
        <f t="shared" ref="Y413" si="2071">Y411*Y412</f>
        <v>69</v>
      </c>
      <c r="Z413" s="127">
        <f t="shared" ref="Z413" si="2072">Z411*Z412</f>
        <v>69</v>
      </c>
      <c r="AA413" s="127">
        <f t="shared" ref="AA413" si="2073">AA411*AA412</f>
        <v>63</v>
      </c>
      <c r="AB413" s="127">
        <f t="shared" ref="AB413" si="2074">AB411*AB412</f>
        <v>72</v>
      </c>
      <c r="AC413" s="127">
        <f t="shared" ref="AC413" si="2075">AC411*AC412</f>
        <v>66</v>
      </c>
      <c r="AD413" s="128">
        <f t="shared" ref="AD413" si="2076">AD411*AD412</f>
        <v>66</v>
      </c>
      <c r="AF413" s="119">
        <f>SUM(G413:R413)</f>
        <v>874</v>
      </c>
      <c r="AG413" s="120">
        <f>SUM(S413:AD413)</f>
        <v>785</v>
      </c>
    </row>
    <row r="414" spans="2:34" x14ac:dyDescent="0.2">
      <c r="B414" s="9">
        <f>G405</f>
        <v>9</v>
      </c>
      <c r="C414" s="9" t="str">
        <f t="shared" si="2053"/>
        <v>9 - Production per Vet Workday</v>
      </c>
      <c r="D414" s="9" t="s">
        <v>56</v>
      </c>
      <c r="F414" s="7" t="s">
        <v>50</v>
      </c>
      <c r="G414" s="129">
        <v>4.4921989871666588</v>
      </c>
      <c r="H414" s="130">
        <v>4.5617072193626118</v>
      </c>
      <c r="I414" s="130">
        <v>5.1872768429492702</v>
      </c>
      <c r="J414" s="130">
        <v>5.5377493324461771</v>
      </c>
      <c r="K414" s="130">
        <v>6.043688422230896</v>
      </c>
      <c r="L414" s="130">
        <v>5.852629005418537</v>
      </c>
      <c r="M414" s="130">
        <v>5.0792584662607148</v>
      </c>
      <c r="N414" s="130">
        <v>4.3729023466539427</v>
      </c>
      <c r="O414" s="130">
        <v>4.2962872956527587</v>
      </c>
      <c r="P414" s="130">
        <v>4.3106764446479406</v>
      </c>
      <c r="Q414" s="130">
        <v>3.6394515405399219</v>
      </c>
      <c r="R414" s="130">
        <v>2.9685591875601838</v>
      </c>
      <c r="S414" s="129">
        <v>4.0383826078636815</v>
      </c>
      <c r="T414" s="130">
        <v>4.3773889366232552</v>
      </c>
      <c r="U414" s="130">
        <v>4.8875568982327486</v>
      </c>
      <c r="V414" s="130">
        <v>5.6538309464952423</v>
      </c>
      <c r="W414" s="130">
        <v>5.8611672883730792</v>
      </c>
      <c r="X414" s="130">
        <v>6.0516063066706351</v>
      </c>
      <c r="Y414" s="130">
        <v>4.8627277705716194</v>
      </c>
      <c r="Z414" s="130">
        <v>4.4844540395534382</v>
      </c>
      <c r="AA414" s="130">
        <v>4.4886953357730297</v>
      </c>
      <c r="AB414" s="130">
        <v>4.2459597176156665</v>
      </c>
      <c r="AC414" s="130">
        <v>3.4935144278160055</v>
      </c>
      <c r="AD414" s="131">
        <v>3.1061887288785219</v>
      </c>
      <c r="AE414" s="15"/>
      <c r="AF414" s="132">
        <v>4.6992161442199203</v>
      </c>
      <c r="AG414" s="133">
        <v>4.6289662560810214</v>
      </c>
    </row>
    <row r="415" spans="2:34" x14ac:dyDescent="0.2">
      <c r="B415" s="9">
        <f>G405</f>
        <v>9</v>
      </c>
      <c r="C415" s="9" t="str">
        <f t="shared" si="2053"/>
        <v>9 - Total Production</v>
      </c>
      <c r="D415" s="9" t="s">
        <v>56</v>
      </c>
      <c r="F415" s="8" t="s">
        <v>1</v>
      </c>
      <c r="G415" s="134">
        <f>G414*G413</f>
        <v>296.48513315299948</v>
      </c>
      <c r="H415" s="135">
        <f t="shared" ref="H415" si="2077">H414*H413</f>
        <v>287.38755481984452</v>
      </c>
      <c r="I415" s="135">
        <f t="shared" ref="I415" si="2078">I414*I413</f>
        <v>248.98928846156497</v>
      </c>
      <c r="J415" s="135">
        <f t="shared" ref="J415" si="2079">J414*J413</f>
        <v>232.58547196273943</v>
      </c>
      <c r="K415" s="135">
        <f t="shared" ref="K415" si="2080">K414*K413</f>
        <v>278.00966742262119</v>
      </c>
      <c r="L415" s="135">
        <f t="shared" ref="L415" si="2081">L414*L413</f>
        <v>269.22093424925271</v>
      </c>
      <c r="M415" s="135">
        <f t="shared" ref="M415" si="2082">M414*M413</f>
        <v>335.23105877320717</v>
      </c>
      <c r="N415" s="135">
        <f t="shared" ref="N415" si="2083">N414*N413</f>
        <v>419.7986252787785</v>
      </c>
      <c r="O415" s="135">
        <f t="shared" ref="O415" si="2084">O414*O413</f>
        <v>378.07328201744275</v>
      </c>
      <c r="P415" s="135">
        <f t="shared" ref="P415" si="2085">P414*P413</f>
        <v>379.33952712901879</v>
      </c>
      <c r="Q415" s="135">
        <f t="shared" ref="Q415" si="2086">Q414*Q413</f>
        <v>418.53692716209105</v>
      </c>
      <c r="R415" s="135">
        <f t="shared" ref="R415" si="2087">R414*R413</f>
        <v>326.54151063162021</v>
      </c>
      <c r="S415" s="134">
        <f t="shared" ref="S415" si="2088">S414*S413</f>
        <v>371.5311999234587</v>
      </c>
      <c r="T415" s="135">
        <f t="shared" ref="T415" si="2089">T414*T413</f>
        <v>385.21022642284646</v>
      </c>
      <c r="U415" s="135">
        <f t="shared" ref="U415" si="2090">U414*U413</f>
        <v>322.57875528336143</v>
      </c>
      <c r="V415" s="135">
        <f t="shared" ref="V415" si="2091">V414*V413</f>
        <v>248.76856164579067</v>
      </c>
      <c r="W415" s="135">
        <f t="shared" ref="W415" si="2092">W414*W413</f>
        <v>281.33602984190782</v>
      </c>
      <c r="X415" s="135">
        <f t="shared" ref="X415" si="2093">X414*X413</f>
        <v>254.16746488016668</v>
      </c>
      <c r="Y415" s="135">
        <f t="shared" ref="Y415" si="2094">Y414*Y413</f>
        <v>335.52821616944175</v>
      </c>
      <c r="Z415" s="135">
        <f t="shared" ref="Z415" si="2095">Z414*Z413</f>
        <v>309.42732872918725</v>
      </c>
      <c r="AA415" s="135">
        <f t="shared" ref="AA415" si="2096">AA414*AA413</f>
        <v>282.7878061537009</v>
      </c>
      <c r="AB415" s="135">
        <f t="shared" ref="AB415" si="2097">AB414*AB413</f>
        <v>305.70909966832801</v>
      </c>
      <c r="AC415" s="135">
        <f t="shared" ref="AC415" si="2098">AC414*AC413</f>
        <v>230.57195223585637</v>
      </c>
      <c r="AD415" s="136">
        <f t="shared" ref="AD415" si="2099">AD414*AD413</f>
        <v>205.00845610598245</v>
      </c>
      <c r="AE415" s="15"/>
      <c r="AF415" s="94">
        <f>SUM(G415:R415)</f>
        <v>3870.1989810611803</v>
      </c>
      <c r="AG415" s="95">
        <f>SUM(S415:AD415)</f>
        <v>3532.6250970600286</v>
      </c>
    </row>
    <row r="416" spans="2:34" x14ac:dyDescent="0.2">
      <c r="B416" s="9">
        <f>G405</f>
        <v>9</v>
      </c>
      <c r="C416" s="9" t="str">
        <f t="shared" si="2053"/>
        <v>9 - Revenue as a % of Production</v>
      </c>
      <c r="D416" s="9" t="s">
        <v>56</v>
      </c>
      <c r="F416" s="7" t="s">
        <v>2</v>
      </c>
      <c r="G416" s="137">
        <v>0.97769122068020942</v>
      </c>
      <c r="H416" s="138">
        <v>0.97769122068020942</v>
      </c>
      <c r="I416" s="138">
        <v>0.97769122068020942</v>
      </c>
      <c r="J416" s="138">
        <v>0.97769122068020942</v>
      </c>
      <c r="K416" s="138">
        <v>0.97769122068020942</v>
      </c>
      <c r="L416" s="138">
        <v>0.97769122068020942</v>
      </c>
      <c r="M416" s="138">
        <v>0.97769122068020942</v>
      </c>
      <c r="N416" s="138">
        <v>0.97769122068020942</v>
      </c>
      <c r="O416" s="138">
        <v>0.97769122068020942</v>
      </c>
      <c r="P416" s="138">
        <v>0.97769122068020942</v>
      </c>
      <c r="Q416" s="138">
        <v>0.97769122068020942</v>
      </c>
      <c r="R416" s="138">
        <v>0.97769122068020942</v>
      </c>
      <c r="S416" s="137">
        <v>0.98652085800116485</v>
      </c>
      <c r="T416" s="138">
        <v>0.98652085800116485</v>
      </c>
      <c r="U416" s="138">
        <v>0.98652085800116485</v>
      </c>
      <c r="V416" s="138">
        <v>0.98652085800116485</v>
      </c>
      <c r="W416" s="138">
        <v>0.98652085800116485</v>
      </c>
      <c r="X416" s="138">
        <v>0.98652085800116485</v>
      </c>
      <c r="Y416" s="138">
        <v>0.98652085800116485</v>
      </c>
      <c r="Z416" s="138">
        <v>0.98652085800116485</v>
      </c>
      <c r="AA416" s="138">
        <v>0.98652085800116485</v>
      </c>
      <c r="AB416" s="138">
        <v>0.98652085800116485</v>
      </c>
      <c r="AC416" s="138">
        <v>0.98652085800116485</v>
      </c>
      <c r="AD416" s="139">
        <v>0.98652085800116485</v>
      </c>
      <c r="AE416" s="15"/>
      <c r="AF416" s="161">
        <v>0.97769122068020953</v>
      </c>
      <c r="AG416" s="162">
        <v>0.98652085800116507</v>
      </c>
    </row>
    <row r="417" spans="2:33" x14ac:dyDescent="0.2">
      <c r="B417" s="9">
        <f>G405</f>
        <v>9</v>
      </c>
      <c r="C417" s="9" t="str">
        <f t="shared" si="2053"/>
        <v>9 - Total Revenue</v>
      </c>
      <c r="D417" s="9" t="s">
        <v>56</v>
      </c>
      <c r="F417" s="8" t="s">
        <v>3</v>
      </c>
      <c r="G417" s="134">
        <f>G416*G415</f>
        <v>289.87091174589051</v>
      </c>
      <c r="H417" s="135">
        <f t="shared" ref="H417" si="2100">H416*H415</f>
        <v>280.97628928011437</v>
      </c>
      <c r="I417" s="135">
        <f t="shared" ref="I417" si="2101">I416*I415</f>
        <v>243.43464137228423</v>
      </c>
      <c r="J417" s="135">
        <f t="shared" ref="J417" si="2102">J416*J415</f>
        <v>227.39677399573333</v>
      </c>
      <c r="K417" s="135">
        <f t="shared" ref="K417" si="2103">K416*K415</f>
        <v>271.80761110332156</v>
      </c>
      <c r="L417" s="135">
        <f t="shared" ref="L417" si="2104">L416*L415</f>
        <v>263.21494383881827</v>
      </c>
      <c r="M417" s="135">
        <f t="shared" ref="M417" si="2105">M416*M415</f>
        <v>327.75246306189592</v>
      </c>
      <c r="N417" s="135">
        <f t="shared" ref="N417" si="2106">N416*N415</f>
        <v>410.43343038868278</v>
      </c>
      <c r="O417" s="135">
        <f t="shared" ref="O417" si="2107">O416*O415</f>
        <v>369.63892860220665</v>
      </c>
      <c r="P417" s="135">
        <f t="shared" ref="P417" si="2108">P416*P415</f>
        <v>370.87692533102381</v>
      </c>
      <c r="Q417" s="135">
        <f t="shared" ref="Q417" si="2109">Q416*Q415</f>
        <v>409.19987921684867</v>
      </c>
      <c r="R417" s="135">
        <f t="shared" ref="R417" si="2110">R416*R415</f>
        <v>319.25676813218837</v>
      </c>
      <c r="S417" s="134">
        <f t="shared" ref="S417" si="2111">S416*S415</f>
        <v>366.52327812269277</v>
      </c>
      <c r="T417" s="135">
        <f t="shared" ref="T417" si="2112">T416*T415</f>
        <v>380.01792308148947</v>
      </c>
      <c r="U417" s="135">
        <f t="shared" ref="U417" si="2113">U416*U415</f>
        <v>318.23067043508951</v>
      </c>
      <c r="V417" s="135">
        <f t="shared" ref="V417" si="2114">V416*V415</f>
        <v>245.41537487852108</v>
      </c>
      <c r="W417" s="135">
        <f t="shared" ref="W417" si="2115">W416*W415</f>
        <v>277.5438615462802</v>
      </c>
      <c r="X417" s="135">
        <f t="shared" ref="X417" si="2116">X416*X415</f>
        <v>250.74150552956297</v>
      </c>
      <c r="Y417" s="135">
        <f t="shared" ref="Y417" si="2117">Y416*Y415</f>
        <v>331.00558369907799</v>
      </c>
      <c r="Z417" s="135">
        <f t="shared" ref="Z417" si="2118">Z416*Z415</f>
        <v>305.25651382692627</v>
      </c>
      <c r="AA417" s="135">
        <f t="shared" ref="AA417" si="2119">AA416*AA415</f>
        <v>278.97606915901611</v>
      </c>
      <c r="AB417" s="135">
        <f t="shared" ref="AB417" si="2120">AB416*AB415</f>
        <v>301.58840330356259</v>
      </c>
      <c r="AC417" s="135">
        <f t="shared" ref="AC417" si="2121">AC416*AC415</f>
        <v>227.46404015072062</v>
      </c>
      <c r="AD417" s="136">
        <f t="shared" ref="AD417" si="2122">AD416*AD415</f>
        <v>202.24511801516795</v>
      </c>
      <c r="AE417" s="15"/>
      <c r="AF417" s="94">
        <f>SUM(G417:R417)</f>
        <v>3783.8595660690085</v>
      </c>
      <c r="AG417" s="95">
        <f>SUM(S417:AD417)</f>
        <v>3485.0083417481078</v>
      </c>
    </row>
    <row r="418" spans="2:33" x14ac:dyDescent="0.2">
      <c r="B418" s="9">
        <f>G405</f>
        <v>9</v>
      </c>
      <c r="C418" s="9" t="str">
        <f t="shared" si="2053"/>
        <v>9 - % YoY Revenue Growth</v>
      </c>
      <c r="D418" s="9" t="s">
        <v>56</v>
      </c>
      <c r="F418" s="16" t="s">
        <v>174</v>
      </c>
      <c r="G418" s="82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148">
        <f>S417/G417-1</f>
        <v>0.26443621374468229</v>
      </c>
      <c r="T418" s="149">
        <f t="shared" ref="T418" si="2123">T417/H417-1</f>
        <v>0.35249107337536678</v>
      </c>
      <c r="U418" s="149">
        <f t="shared" ref="U418" si="2124">U417/I417-1</f>
        <v>0.30725302134966004</v>
      </c>
      <c r="V418" s="149">
        <f t="shared" ref="V418" si="2125">V417/J417-1</f>
        <v>7.9238595016857261E-2</v>
      </c>
      <c r="W418" s="149">
        <f t="shared" ref="W418" si="2126">W417/K417-1</f>
        <v>2.1104083214130931E-2</v>
      </c>
      <c r="X418" s="149">
        <f t="shared" ref="X418" si="2127">X417/L417-1</f>
        <v>-4.7388792320596784E-2</v>
      </c>
      <c r="Y418" s="149">
        <f t="shared" ref="Y418" si="2128">Y417/M417-1</f>
        <v>9.9255413881289556E-3</v>
      </c>
      <c r="Z418" s="149">
        <f t="shared" ref="Z418" si="2129">Z417/N417-1</f>
        <v>-0.25625816216323649</v>
      </c>
      <c r="AA418" s="149">
        <f t="shared" ref="AA418" si="2130">AA417/O417-1</f>
        <v>-0.2452741105652293</v>
      </c>
      <c r="AB418" s="149">
        <f t="shared" ref="AB418" si="2131">AB417/P417-1</f>
        <v>-0.18682349128519715</v>
      </c>
      <c r="AC418" s="149">
        <f t="shared" ref="AC418" si="2132">AC417/Q417-1</f>
        <v>-0.44412485999249318</v>
      </c>
      <c r="AD418" s="150">
        <f t="shared" ref="AD418" si="2133">AD417/R417-1</f>
        <v>-0.3665126687888155</v>
      </c>
      <c r="AE418" s="15"/>
      <c r="AF418" s="11"/>
      <c r="AG418" s="97">
        <f>AG417/AF417-1</f>
        <v>-7.8980527448954008E-2</v>
      </c>
    </row>
    <row r="419" spans="2:33" ht="6" customHeight="1" x14ac:dyDescent="0.2">
      <c r="B419" s="9">
        <f>G405</f>
        <v>9</v>
      </c>
      <c r="C419" s="9" t="str">
        <f t="shared" si="2053"/>
        <v xml:space="preserve">9 - </v>
      </c>
      <c r="D419" s="9" t="s">
        <v>56</v>
      </c>
      <c r="G419" s="11"/>
      <c r="S419" s="11"/>
      <c r="AD419" s="15"/>
      <c r="AE419" s="15"/>
      <c r="AF419" s="11"/>
      <c r="AG419" s="15"/>
    </row>
    <row r="420" spans="2:33" x14ac:dyDescent="0.2">
      <c r="B420" s="9">
        <f>G405</f>
        <v>9</v>
      </c>
      <c r="C420" s="9" t="str">
        <f t="shared" si="2053"/>
        <v>9 - Doctor Compensation</v>
      </c>
      <c r="D420" s="9" t="s">
        <v>56</v>
      </c>
      <c r="F420" t="s">
        <v>4</v>
      </c>
      <c r="G420" s="144">
        <v>-97.287247154583724</v>
      </c>
      <c r="H420" s="70">
        <v>-96.690071521451301</v>
      </c>
      <c r="I420" s="70">
        <v>-128.90622045244791</v>
      </c>
      <c r="J420" s="70">
        <v>-122.59957228573253</v>
      </c>
      <c r="K420" s="70">
        <v>-148.76086870666128</v>
      </c>
      <c r="L420" s="70">
        <v>-141.75792577410735</v>
      </c>
      <c r="M420" s="70">
        <v>-115.07217231036215</v>
      </c>
      <c r="N420" s="70">
        <v>-109.29186225990283</v>
      </c>
      <c r="O420" s="70">
        <v>-100.30958104998119</v>
      </c>
      <c r="P420" s="70">
        <v>-98.629835361807821</v>
      </c>
      <c r="Q420" s="70">
        <v>-87.425706777970049</v>
      </c>
      <c r="R420" s="70">
        <v>-66.448305870304168</v>
      </c>
      <c r="S420" s="144">
        <v>-116.21200241517792</v>
      </c>
      <c r="T420" s="70">
        <v>-117.99127249179932</v>
      </c>
      <c r="U420" s="70">
        <v>-131.64201153058221</v>
      </c>
      <c r="V420" s="70">
        <v>-101.55891752654448</v>
      </c>
      <c r="W420" s="70">
        <v>-114.33901952678501</v>
      </c>
      <c r="X420" s="70">
        <v>-103.17306304243318</v>
      </c>
      <c r="Y420" s="70">
        <v>-133.09491014405077</v>
      </c>
      <c r="Z420" s="70">
        <v>-122.62392150225088</v>
      </c>
      <c r="AA420" s="70">
        <v>-114.07296399470141</v>
      </c>
      <c r="AB420" s="70">
        <v>-120.14389299319532</v>
      </c>
      <c r="AC420" s="70">
        <v>-91.205840726311934</v>
      </c>
      <c r="AD420" s="145">
        <v>-79.988644904683241</v>
      </c>
      <c r="AE420" s="15"/>
      <c r="AF420" s="92">
        <f>SUM(G420:R420)</f>
        <v>-1313.1793695253125</v>
      </c>
      <c r="AG420" s="93">
        <f>SUM(S420:AD420)</f>
        <v>-1346.0464607985157</v>
      </c>
    </row>
    <row r="421" spans="2:33" x14ac:dyDescent="0.2">
      <c r="B421" s="9">
        <f>G405</f>
        <v>9</v>
      </c>
      <c r="C421" s="9" t="str">
        <f t="shared" si="2053"/>
        <v>9 - % of Revenue - Doctor Compensation</v>
      </c>
      <c r="D421" s="9" t="s">
        <v>56</v>
      </c>
      <c r="F421" s="16" t="str">
        <f>"% of Revenue - "&amp;F420</f>
        <v>% of Revenue - Doctor Compensation</v>
      </c>
      <c r="G421" s="148">
        <f>G420/G417</f>
        <v>-0.33562266240728778</v>
      </c>
      <c r="H421" s="149">
        <f t="shared" ref="H421" si="2134">H420/H417</f>
        <v>-0.34412181814052584</v>
      </c>
      <c r="I421" s="149">
        <f t="shared" ref="I421" si="2135">I420/I417</f>
        <v>-0.5295311288721305</v>
      </c>
      <c r="J421" s="149">
        <f t="shared" ref="J421" si="2136">J420/J417</f>
        <v>-0.53914385033462653</v>
      </c>
      <c r="K421" s="149">
        <f t="shared" ref="K421" si="2137">K420/K417</f>
        <v>-0.54730207186918389</v>
      </c>
      <c r="L421" s="149">
        <f t="shared" ref="L421" si="2138">L420/L417</f>
        <v>-0.53856336462763266</v>
      </c>
      <c r="M421" s="149">
        <f t="shared" ref="M421" si="2139">M420/M417</f>
        <v>-0.35109475985427091</v>
      </c>
      <c r="N421" s="149">
        <f t="shared" ref="N421" si="2140">N420/N417</f>
        <v>-0.26628401628103932</v>
      </c>
      <c r="O421" s="149">
        <f t="shared" ref="O421" si="2141">O420/O417</f>
        <v>-0.27137179903995201</v>
      </c>
      <c r="P421" s="149">
        <f t="shared" ref="P421" si="2142">P420/P417</f>
        <v>-0.26593683409604518</v>
      </c>
      <c r="Q421" s="149">
        <f t="shared" ref="Q421" si="2143">Q420/Q417</f>
        <v>-0.21365037288205124</v>
      </c>
      <c r="R421" s="149">
        <f t="shared" ref="R421" si="2144">R420/R417</f>
        <v>-0.20813436864333359</v>
      </c>
      <c r="S421" s="148">
        <f t="shared" ref="S421" si="2145">S420/S417</f>
        <v>-0.31706581642074105</v>
      </c>
      <c r="T421" s="149">
        <f t="shared" ref="T421" si="2146">T420/T417</f>
        <v>-0.31048870415119278</v>
      </c>
      <c r="U421" s="149">
        <f t="shared" ref="U421" si="2147">U420/U417</f>
        <v>-0.4136685233720539</v>
      </c>
      <c r="V421" s="149">
        <f t="shared" ref="V421" si="2148">V420/V417</f>
        <v>-0.4138245925986318</v>
      </c>
      <c r="W421" s="149">
        <f t="shared" ref="W421" si="2149">W420/W417</f>
        <v>-0.41196738738795374</v>
      </c>
      <c r="X421" s="149">
        <f t="shared" ref="X421" si="2150">X420/X417</f>
        <v>-0.41147181765752322</v>
      </c>
      <c r="Y421" s="149">
        <f t="shared" ref="Y421" si="2151">Y420/Y417</f>
        <v>-0.40209264344328793</v>
      </c>
      <c r="Z421" s="149">
        <f t="shared" ref="Z421" si="2152">Z420/Z417</f>
        <v>-0.40170779638719173</v>
      </c>
      <c r="AA421" s="149">
        <f t="shared" ref="AA421" si="2153">AA420/AA417</f>
        <v>-0.40889874295877304</v>
      </c>
      <c r="AB421" s="149">
        <f t="shared" ref="AB421" si="2154">AB420/AB417</f>
        <v>-0.39837040044363037</v>
      </c>
      <c r="AC421" s="149">
        <f t="shared" ref="AC421" si="2155">AC420/AC417</f>
        <v>-0.40096817354460845</v>
      </c>
      <c r="AD421" s="150">
        <f t="shared" ref="AD421" si="2156">AD420/AD417</f>
        <v>-0.39550346475450776</v>
      </c>
      <c r="AE421" s="15"/>
      <c r="AF421" s="96">
        <f t="shared" ref="AF421" si="2157">AF420/AF417</f>
        <v>-0.34704759693012438</v>
      </c>
      <c r="AG421" s="97">
        <f t="shared" ref="AG421" si="2158">AG420/AG417</f>
        <v>-0.38623909293810416</v>
      </c>
    </row>
    <row r="422" spans="2:33" ht="3" customHeight="1" x14ac:dyDescent="0.2">
      <c r="B422" s="9">
        <f>G405</f>
        <v>9</v>
      </c>
      <c r="C422" s="9" t="str">
        <f t="shared" si="2053"/>
        <v xml:space="preserve">9 - </v>
      </c>
      <c r="D422" s="9" t="s">
        <v>56</v>
      </c>
      <c r="F422" s="16"/>
      <c r="G422" s="36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6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8"/>
      <c r="AE422" s="15"/>
      <c r="AF422" s="36"/>
      <c r="AG422" s="38"/>
    </row>
    <row r="423" spans="2:33" x14ac:dyDescent="0.2">
      <c r="B423" s="9">
        <f>G405</f>
        <v>9</v>
      </c>
      <c r="C423" s="9" t="str">
        <f t="shared" si="2053"/>
        <v>9 - Administrative Staff Compensation</v>
      </c>
      <c r="D423" s="9" t="s">
        <v>56</v>
      </c>
      <c r="F423" t="s">
        <v>5</v>
      </c>
      <c r="G423" s="144">
        <v>-64.926414446126884</v>
      </c>
      <c r="H423" s="70">
        <v>-62.654426088495043</v>
      </c>
      <c r="I423" s="70">
        <v>-77.967528119392568</v>
      </c>
      <c r="J423" s="70">
        <v>-73.453249522089351</v>
      </c>
      <c r="K423" s="70">
        <v>-88.464395126094416</v>
      </c>
      <c r="L423" s="70">
        <v>-86.669299789088868</v>
      </c>
      <c r="M423" s="70">
        <v>-73.190014079027947</v>
      </c>
      <c r="N423" s="70">
        <v>-69.949696870546731</v>
      </c>
      <c r="O423" s="70">
        <v>-61.015536607573786</v>
      </c>
      <c r="P423" s="70">
        <v>-63.451048289779003</v>
      </c>
      <c r="Q423" s="70">
        <v>-58.440743918946367</v>
      </c>
      <c r="R423" s="70">
        <v>-43.934397327556908</v>
      </c>
      <c r="S423" s="144">
        <v>-65.08599589338138</v>
      </c>
      <c r="T423" s="70">
        <v>-66.78179541029742</v>
      </c>
      <c r="U423" s="70">
        <v>-73.047728017309467</v>
      </c>
      <c r="V423" s="70">
        <v>-87.854814275422612</v>
      </c>
      <c r="W423" s="70">
        <v>-102.79707438910366</v>
      </c>
      <c r="X423" s="70">
        <v>-94.829589470850991</v>
      </c>
      <c r="Y423" s="70">
        <v>-84.941180800514545</v>
      </c>
      <c r="Z423" s="70">
        <v>-79.083862359361049</v>
      </c>
      <c r="AA423" s="70">
        <v>-70.019771045714734</v>
      </c>
      <c r="AB423" s="70">
        <v>-73.446593754113408</v>
      </c>
      <c r="AC423" s="70">
        <v>-55.45103774001953</v>
      </c>
      <c r="AD423" s="145">
        <v>-47.314311261220553</v>
      </c>
      <c r="AE423" s="15"/>
      <c r="AF423" s="92">
        <f>SUM(G423:R423)</f>
        <v>-824.11675018471806</v>
      </c>
      <c r="AG423" s="93">
        <f>SUM(S423:AD423)</f>
        <v>-900.6537544173093</v>
      </c>
    </row>
    <row r="424" spans="2:33" x14ac:dyDescent="0.2">
      <c r="B424" s="9">
        <f>G405</f>
        <v>9</v>
      </c>
      <c r="C424" s="9" t="str">
        <f t="shared" si="2053"/>
        <v>9 - % of Revenue - Administrative Staff Compensation</v>
      </c>
      <c r="D424" s="9" t="s">
        <v>56</v>
      </c>
      <c r="F424" s="16" t="str">
        <f>"% of Revenue - "&amp;F423</f>
        <v>% of Revenue - Administrative Staff Compensation</v>
      </c>
      <c r="G424" s="148">
        <f>G423/G417</f>
        <v>-0.22398389012224626</v>
      </c>
      <c r="H424" s="149">
        <f t="shared" ref="H424" si="2159">H423/H417</f>
        <v>-0.22298830356476385</v>
      </c>
      <c r="I424" s="149">
        <f t="shared" ref="I424" si="2160">I423/I417</f>
        <v>-0.32028115505614069</v>
      </c>
      <c r="J424" s="149">
        <f t="shared" ref="J424" si="2161">J423/J417</f>
        <v>-0.32301799287384597</v>
      </c>
      <c r="K424" s="149">
        <f t="shared" ref="K424" si="2162">K423/K417</f>
        <v>-0.32546695350803351</v>
      </c>
      <c r="L424" s="149">
        <f t="shared" ref="L424" si="2163">L423/L417</f>
        <v>-0.32927195745451859</v>
      </c>
      <c r="M424" s="149">
        <f t="shared" ref="M424" si="2164">M423/M417</f>
        <v>-0.22330881481493564</v>
      </c>
      <c r="N424" s="149">
        <f t="shared" ref="N424" si="2165">N423/N417</f>
        <v>-0.17042884836233729</v>
      </c>
      <c r="O424" s="149">
        <f t="shared" ref="O424" si="2166">O423/O417</f>
        <v>-0.16506794032301916</v>
      </c>
      <c r="P424" s="149">
        <f t="shared" ref="P424" si="2167">P423/P417</f>
        <v>-0.17108383929020707</v>
      </c>
      <c r="Q424" s="149">
        <f t="shared" ref="Q424" si="2168">Q423/Q417</f>
        <v>-0.14281710940578424</v>
      </c>
      <c r="R424" s="149">
        <f t="shared" ref="R424" si="2169">R423/R417</f>
        <v>-0.13761461529725771</v>
      </c>
      <c r="S424" s="148">
        <f t="shared" ref="S424" si="2170">S423/S417</f>
        <v>-0.17757670461409003</v>
      </c>
      <c r="T424" s="149">
        <f t="shared" ref="T424" si="2171">T423/T417</f>
        <v>-0.17573327823271379</v>
      </c>
      <c r="U424" s="149">
        <f t="shared" ref="U424" si="2172">U423/U417</f>
        <v>-0.22954333068348684</v>
      </c>
      <c r="V424" s="149">
        <f t="shared" ref="V424" si="2173">V423/V417</f>
        <v>-0.35798414960313768</v>
      </c>
      <c r="W424" s="149">
        <f t="shared" ref="W424" si="2174">W423/W417</f>
        <v>-0.37038136536830712</v>
      </c>
      <c r="X424" s="149">
        <f t="shared" ref="X424" si="2175">X423/X417</f>
        <v>-0.37819661834833473</v>
      </c>
      <c r="Y424" s="149">
        <f t="shared" ref="Y424" si="2176">Y423/Y417</f>
        <v>-0.25661555267821651</v>
      </c>
      <c r="Z424" s="149">
        <f t="shared" ref="Z424" si="2177">Z423/Z417</f>
        <v>-0.25907346371714074</v>
      </c>
      <c r="AA424" s="149">
        <f t="shared" ref="AA424" si="2178">AA423/AA417</f>
        <v>-0.25098844949960036</v>
      </c>
      <c r="AB424" s="149">
        <f t="shared" ref="AB424" si="2179">AB423/AB417</f>
        <v>-0.24353255280902175</v>
      </c>
      <c r="AC424" s="149">
        <f t="shared" ref="AC424" si="2180">AC423/AC417</f>
        <v>-0.24377935828132197</v>
      </c>
      <c r="AD424" s="150">
        <f t="shared" ref="AD424" si="2181">AD423/AD417</f>
        <v>-0.23394538135487691</v>
      </c>
      <c r="AE424" s="15"/>
      <c r="AF424" s="96">
        <f t="shared" ref="AF424" si="2182">AF423/AF417</f>
        <v>-0.21779792188241273</v>
      </c>
      <c r="AG424" s="97">
        <f t="shared" ref="AG424" si="2183">AG423/AG417</f>
        <v>-0.25843661365973497</v>
      </c>
    </row>
    <row r="425" spans="2:33" ht="3" customHeight="1" x14ac:dyDescent="0.2">
      <c r="B425" s="9">
        <f>G405</f>
        <v>9</v>
      </c>
      <c r="C425" s="9" t="str">
        <f t="shared" si="2053"/>
        <v xml:space="preserve">9 - </v>
      </c>
      <c r="D425" s="9" t="s">
        <v>56</v>
      </c>
      <c r="F425" s="16"/>
      <c r="G425" s="36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6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8"/>
      <c r="AE425" s="15"/>
      <c r="AF425" s="36"/>
      <c r="AG425" s="38"/>
    </row>
    <row r="426" spans="2:33" x14ac:dyDescent="0.2">
      <c r="B426" s="9">
        <f>G405</f>
        <v>9</v>
      </c>
      <c r="C426" s="9" t="str">
        <f t="shared" si="2053"/>
        <v>9 - Office Supplies</v>
      </c>
      <c r="D426" s="9" t="s">
        <v>56</v>
      </c>
      <c r="F426" t="s">
        <v>6</v>
      </c>
      <c r="G426" s="144">
        <v>-21.079222830286014</v>
      </c>
      <c r="H426" s="70">
        <v>-21.597598356424321</v>
      </c>
      <c r="I426" s="70">
        <v>-27.139828637822621</v>
      </c>
      <c r="J426" s="70">
        <v>-25.645905128166589</v>
      </c>
      <c r="K426" s="70">
        <v>-30.402496014150927</v>
      </c>
      <c r="L426" s="70">
        <v>-31.184174263789274</v>
      </c>
      <c r="M426" s="70">
        <v>-27.237236116396847</v>
      </c>
      <c r="N426" s="70">
        <v>-26.718552385123093</v>
      </c>
      <c r="O426" s="70">
        <v>-25.416146900985218</v>
      </c>
      <c r="P426" s="70">
        <v>-25.840324588437706</v>
      </c>
      <c r="Q426" s="70">
        <v>-22.527343007238116</v>
      </c>
      <c r="R426" s="70">
        <v>-17.654906046350909</v>
      </c>
      <c r="S426" s="144">
        <v>-25.895862578447986</v>
      </c>
      <c r="T426" s="70">
        <v>-27.40134558965029</v>
      </c>
      <c r="U426" s="70">
        <v>-29.727409978033059</v>
      </c>
      <c r="V426" s="70">
        <v>-34.518155633225369</v>
      </c>
      <c r="W426" s="70">
        <v>-38.441282671945793</v>
      </c>
      <c r="X426" s="70">
        <v>-35.720544889602827</v>
      </c>
      <c r="Y426" s="70">
        <v>-32.733069316582608</v>
      </c>
      <c r="Z426" s="70">
        <v>-30.353221435094355</v>
      </c>
      <c r="AA426" s="70">
        <v>-28.036588128520194</v>
      </c>
      <c r="AB426" s="70">
        <v>-29.18340186370207</v>
      </c>
      <c r="AC426" s="70">
        <v>-21.797647281115754</v>
      </c>
      <c r="AD426" s="145">
        <v>-18.965894850415619</v>
      </c>
      <c r="AE426" s="15"/>
      <c r="AF426" s="92">
        <f>SUM(G426:R426)</f>
        <v>-302.44373427517166</v>
      </c>
      <c r="AG426" s="93">
        <f>SUM(S426:AD426)</f>
        <v>-352.77442421633589</v>
      </c>
    </row>
    <row r="427" spans="2:33" x14ac:dyDescent="0.2">
      <c r="B427" s="9">
        <f>G405</f>
        <v>9</v>
      </c>
      <c r="C427" s="9" t="str">
        <f t="shared" si="2053"/>
        <v>9 - % of Revenue - Office Supplies</v>
      </c>
      <c r="D427" s="9" t="s">
        <v>56</v>
      </c>
      <c r="F427" s="16" t="str">
        <f>"% of Revenue - "&amp;F426</f>
        <v>% of Revenue - Office Supplies</v>
      </c>
      <c r="G427" s="148">
        <f>G426/G417</f>
        <v>-7.2719344977824785E-2</v>
      </c>
      <c r="H427" s="149">
        <f t="shared" ref="H427" si="2184">H426/H417</f>
        <v>-7.6866266586975152E-2</v>
      </c>
      <c r="I427" s="149">
        <f t="shared" ref="I427" si="2185">I426/I417</f>
        <v>-0.1114871264205891</v>
      </c>
      <c r="J427" s="149">
        <f t="shared" ref="J427" si="2186">J426/J417</f>
        <v>-0.11278042637776289</v>
      </c>
      <c r="K427" s="149">
        <f t="shared" ref="K427" si="2187">K426/K417</f>
        <v>-0.11185299738569168</v>
      </c>
      <c r="L427" s="149">
        <f t="shared" ref="L427" si="2188">L426/L417</f>
        <v>-0.11847417858951484</v>
      </c>
      <c r="M427" s="149">
        <f t="shared" ref="M427" si="2189">M426/M417</f>
        <v>-8.3103070719725169E-2</v>
      </c>
      <c r="N427" s="149">
        <f t="shared" ref="N427" si="2190">N426/N417</f>
        <v>-6.5098382360862933E-2</v>
      </c>
      <c r="O427" s="149">
        <f t="shared" ref="O427" si="2191">O426/O417</f>
        <v>-6.8759389053248895E-2</v>
      </c>
      <c r="P427" s="149">
        <f t="shared" ref="P427" si="2192">P426/P417</f>
        <v>-6.9673583939939346E-2</v>
      </c>
      <c r="Q427" s="149">
        <f t="shared" ref="Q427" si="2193">Q426/Q417</f>
        <v>-5.5052174136395883E-2</v>
      </c>
      <c r="R427" s="149">
        <f t="shared" ref="R427" si="2194">R426/R417</f>
        <v>-5.5300021201244789E-2</v>
      </c>
      <c r="S427" s="148">
        <f t="shared" ref="S427" si="2195">S426/S417</f>
        <v>-7.0652709184215609E-2</v>
      </c>
      <c r="T427" s="149">
        <f t="shared" ref="T427" si="2196">T426/T417</f>
        <v>-7.2105403259557471E-2</v>
      </c>
      <c r="U427" s="149">
        <f t="shared" ref="U427" si="2197">U426/U417</f>
        <v>-9.3414660307220926E-2</v>
      </c>
      <c r="V427" s="149">
        <f t="shared" ref="V427" si="2198">V426/V417</f>
        <v>-0.14065196872979788</v>
      </c>
      <c r="W427" s="149">
        <f t="shared" ref="W427" si="2199">W426/W417</f>
        <v>-0.1385052526752992</v>
      </c>
      <c r="X427" s="149">
        <f t="shared" ref="X427" si="2200">X426/X417</f>
        <v>-0.14245964111191514</v>
      </c>
      <c r="Y427" s="149">
        <f t="shared" ref="Y427" si="2201">Y426/Y417</f>
        <v>-9.8889779896706276E-2</v>
      </c>
      <c r="Z427" s="149">
        <f t="shared" ref="Z427" si="2202">Z426/Z417</f>
        <v>-9.9435130980706818E-2</v>
      </c>
      <c r="AA427" s="149">
        <f t="shared" ref="AA427" si="2203">AA426/AA417</f>
        <v>-0.10049818327800498</v>
      </c>
      <c r="AB427" s="149">
        <f t="shared" ref="AB427" si="2204">AB426/AB417</f>
        <v>-9.6765663215265058E-2</v>
      </c>
      <c r="AC427" s="149">
        <f t="shared" ref="AC427" si="2205">AC426/AC417</f>
        <v>-9.5828981436680505E-2</v>
      </c>
      <c r="AD427" s="150">
        <f t="shared" ref="AD427" si="2206">AD426/AD417</f>
        <v>-9.3776774621542255E-2</v>
      </c>
      <c r="AE427" s="15"/>
      <c r="AF427" s="96">
        <f t="shared" ref="AF427" si="2207">AF426/AF417</f>
        <v>-7.9929957492945666E-2</v>
      </c>
      <c r="AG427" s="97">
        <f t="shared" ref="AG427" si="2208">AG426/AG417</f>
        <v>-0.10122627828184234</v>
      </c>
    </row>
    <row r="428" spans="2:33" ht="6" customHeight="1" x14ac:dyDescent="0.2">
      <c r="B428" s="9">
        <f>G405</f>
        <v>9</v>
      </c>
      <c r="C428" s="9" t="str">
        <f t="shared" si="2053"/>
        <v xml:space="preserve">9 - </v>
      </c>
      <c r="D428" s="9" t="s">
        <v>56</v>
      </c>
      <c r="F428" s="16"/>
      <c r="G428" s="11"/>
      <c r="S428" s="11"/>
      <c r="AD428" s="15"/>
      <c r="AE428" s="15"/>
      <c r="AF428" s="11"/>
      <c r="AG428" s="15"/>
    </row>
    <row r="429" spans="2:33" x14ac:dyDescent="0.2">
      <c r="B429" s="9">
        <f>G405</f>
        <v>9</v>
      </c>
      <c r="C429" s="9" t="str">
        <f t="shared" si="2053"/>
        <v>9 - Office Gross Profit</v>
      </c>
      <c r="D429" s="9" t="s">
        <v>56</v>
      </c>
      <c r="F429" s="8" t="s">
        <v>11</v>
      </c>
      <c r="G429" s="134">
        <f>G417+G420+G423+G426</f>
        <v>106.57802731489389</v>
      </c>
      <c r="H429" s="135">
        <f t="shared" ref="H429:AD429" si="2209">H417+H420+H423+H426</f>
        <v>100.03419331374371</v>
      </c>
      <c r="I429" s="135">
        <f t="shared" si="2209"/>
        <v>9.421064162621132</v>
      </c>
      <c r="J429" s="135">
        <f t="shared" si="2209"/>
        <v>5.6980470597448516</v>
      </c>
      <c r="K429" s="135">
        <f t="shared" si="2209"/>
        <v>4.1798512564149348</v>
      </c>
      <c r="L429" s="135">
        <f t="shared" si="2209"/>
        <v>3.6035440118327813</v>
      </c>
      <c r="M429" s="135">
        <f t="shared" si="2209"/>
        <v>112.253040556109</v>
      </c>
      <c r="N429" s="135">
        <f t="shared" si="2209"/>
        <v>204.47331887311012</v>
      </c>
      <c r="O429" s="135">
        <f t="shared" si="2209"/>
        <v>182.89766404366645</v>
      </c>
      <c r="P429" s="135">
        <f t="shared" si="2209"/>
        <v>182.95571709099929</v>
      </c>
      <c r="Q429" s="135">
        <f t="shared" si="2209"/>
        <v>240.8060855126941</v>
      </c>
      <c r="R429" s="135">
        <f t="shared" si="2209"/>
        <v>191.21915888797639</v>
      </c>
      <c r="S429" s="134">
        <f t="shared" si="2209"/>
        <v>159.3294172356855</v>
      </c>
      <c r="T429" s="135">
        <f t="shared" si="2209"/>
        <v>167.84350958974238</v>
      </c>
      <c r="U429" s="135">
        <f t="shared" si="2209"/>
        <v>83.813520909164765</v>
      </c>
      <c r="V429" s="135">
        <f t="shared" si="2209"/>
        <v>21.483487443328606</v>
      </c>
      <c r="W429" s="135">
        <f t="shared" si="2209"/>
        <v>21.966484958445726</v>
      </c>
      <c r="X429" s="135">
        <f t="shared" si="2209"/>
        <v>17.018308126675983</v>
      </c>
      <c r="Y429" s="135">
        <f t="shared" si="2209"/>
        <v>80.236423437930057</v>
      </c>
      <c r="Z429" s="135">
        <f t="shared" si="2209"/>
        <v>73.195508530219982</v>
      </c>
      <c r="AA429" s="135">
        <f t="shared" si="2209"/>
        <v>66.846745990079768</v>
      </c>
      <c r="AB429" s="135">
        <f t="shared" si="2209"/>
        <v>78.814514692551782</v>
      </c>
      <c r="AC429" s="135">
        <f t="shared" si="2209"/>
        <v>59.009514403273414</v>
      </c>
      <c r="AD429" s="136">
        <f t="shared" si="2209"/>
        <v>55.97626699884853</v>
      </c>
      <c r="AE429" s="15"/>
      <c r="AF429" s="98">
        <f>SUM(G429:R429)</f>
        <v>1344.1197120838067</v>
      </c>
      <c r="AG429" s="95">
        <f>SUM(S429:AD429)</f>
        <v>885.53370231594658</v>
      </c>
    </row>
    <row r="430" spans="2:33" x14ac:dyDescent="0.2">
      <c r="B430" s="9">
        <f>G405</f>
        <v>9</v>
      </c>
      <c r="C430" s="9" t="str">
        <f t="shared" si="2053"/>
        <v>9 - % of Revenue - Office Gross Profit</v>
      </c>
      <c r="D430" s="9" t="s">
        <v>56</v>
      </c>
      <c r="F430" s="16" t="str">
        <f>"% of Revenue - "&amp;F429</f>
        <v>% of Revenue - Office Gross Profit</v>
      </c>
      <c r="G430" s="148">
        <f>G429/G417</f>
        <v>0.36767410249264115</v>
      </c>
      <c r="H430" s="149">
        <f t="shared" ref="H430" si="2210">H429/H417</f>
        <v>0.35602361170773517</v>
      </c>
      <c r="I430" s="149">
        <f t="shared" ref="I430" si="2211">I429/I417</f>
        <v>3.8700589651139719E-2</v>
      </c>
      <c r="J430" s="149">
        <f t="shared" ref="J430" si="2212">J429/J417</f>
        <v>2.5057730413764641E-2</v>
      </c>
      <c r="K430" s="149">
        <f t="shared" ref="K430" si="2213">K429/K417</f>
        <v>1.53779772370909E-2</v>
      </c>
      <c r="L430" s="149">
        <f t="shared" ref="L430" si="2214">L429/L417</f>
        <v>1.3690499328333879E-2</v>
      </c>
      <c r="M430" s="149">
        <f t="shared" ref="M430" si="2215">M429/M417</f>
        <v>0.34249335461106833</v>
      </c>
      <c r="N430" s="149">
        <f t="shared" ref="N430" si="2216">N429/N417</f>
        <v>0.49818875299576043</v>
      </c>
      <c r="O430" s="149">
        <f t="shared" ref="O430" si="2217">O429/O417</f>
        <v>0.49480087158377994</v>
      </c>
      <c r="P430" s="149">
        <f t="shared" ref="P430" si="2218">P429/P417</f>
        <v>0.49330574267380839</v>
      </c>
      <c r="Q430" s="149">
        <f t="shared" ref="Q430" si="2219">Q429/Q417</f>
        <v>0.58848034357576851</v>
      </c>
      <c r="R430" s="149">
        <f t="shared" ref="R430" si="2220">R429/R417</f>
        <v>0.59895099485816394</v>
      </c>
      <c r="S430" s="148">
        <f t="shared" ref="S430" si="2221">S429/S417</f>
        <v>0.43470476978095335</v>
      </c>
      <c r="T430" s="149">
        <f t="shared" ref="T430" si="2222">T429/T417</f>
        <v>0.44167261435653582</v>
      </c>
      <c r="U430" s="149">
        <f t="shared" ref="U430" si="2223">U429/U417</f>
        <v>0.26337348563723834</v>
      </c>
      <c r="V430" s="149">
        <f t="shared" ref="V430" si="2224">V429/V417</f>
        <v>8.7539289068432585E-2</v>
      </c>
      <c r="W430" s="149">
        <f t="shared" ref="W430" si="2225">W429/W417</f>
        <v>7.914599456843989E-2</v>
      </c>
      <c r="X430" s="149">
        <f t="shared" ref="X430" si="2226">X429/X417</f>
        <v>6.7871922882226959E-2</v>
      </c>
      <c r="Y430" s="149">
        <f t="shared" ref="Y430" si="2227">Y429/Y417</f>
        <v>0.24240202398178926</v>
      </c>
      <c r="Z430" s="149">
        <f t="shared" ref="Z430" si="2228">Z429/Z417</f>
        <v>0.2397836089149607</v>
      </c>
      <c r="AA430" s="149">
        <f t="shared" ref="AA430" si="2229">AA429/AA417</f>
        <v>0.23961462426362162</v>
      </c>
      <c r="AB430" s="149">
        <f t="shared" ref="AB430" si="2230">AB429/AB417</f>
        <v>0.26133138353208279</v>
      </c>
      <c r="AC430" s="149">
        <f t="shared" ref="AC430" si="2231">AC429/AC417</f>
        <v>0.25942348673738913</v>
      </c>
      <c r="AD430" s="150">
        <f t="shared" ref="AD430" si="2232">AD429/AD417</f>
        <v>0.27677437926907306</v>
      </c>
      <c r="AE430" s="15"/>
      <c r="AF430" s="111">
        <f t="shared" ref="AF430" si="2233">AF429/AF417</f>
        <v>0.35522452369451735</v>
      </c>
      <c r="AG430" s="97">
        <f t="shared" ref="AG430" si="2234">AG429/AG417</f>
        <v>0.25409801512031843</v>
      </c>
    </row>
    <row r="431" spans="2:33" ht="6" customHeight="1" x14ac:dyDescent="0.2">
      <c r="B431" s="9">
        <f>G405</f>
        <v>9</v>
      </c>
      <c r="C431" s="9" t="str">
        <f t="shared" si="2053"/>
        <v xml:space="preserve">9 - </v>
      </c>
      <c r="D431" s="9" t="s">
        <v>56</v>
      </c>
      <c r="F431" s="16"/>
      <c r="G431" s="11"/>
      <c r="S431" s="11"/>
      <c r="AD431" s="15"/>
      <c r="AE431" s="15"/>
      <c r="AF431" s="11"/>
      <c r="AG431" s="15"/>
    </row>
    <row r="432" spans="2:33" x14ac:dyDescent="0.2">
      <c r="B432" s="9">
        <f>G405</f>
        <v>9</v>
      </c>
      <c r="C432" s="9" t="str">
        <f t="shared" si="2053"/>
        <v>9 - General and Administrative Expense</v>
      </c>
      <c r="D432" s="9" t="s">
        <v>56</v>
      </c>
      <c r="F432" t="s">
        <v>10</v>
      </c>
      <c r="G432" s="144">
        <v>-7.6354068318483863</v>
      </c>
      <c r="H432" s="70">
        <v>-6.6487198788278077</v>
      </c>
      <c r="I432" s="70">
        <v>-8.1279701578396306</v>
      </c>
      <c r="J432" s="70">
        <v>-8.7518613735100921</v>
      </c>
      <c r="K432" s="70">
        <v>-8.7844675046294043</v>
      </c>
      <c r="L432" s="70">
        <v>-10.409341635736043</v>
      </c>
      <c r="M432" s="70">
        <v>-7.9703172655641392</v>
      </c>
      <c r="N432" s="70">
        <v>-8.3834666193810303</v>
      </c>
      <c r="O432" s="70">
        <v>-8.8294191909473838</v>
      </c>
      <c r="P432" s="70">
        <v>-9.1653147118543927</v>
      </c>
      <c r="Q432" s="70">
        <v>-8.2932608353165715</v>
      </c>
      <c r="R432" s="70">
        <v>-6.0910977552829779</v>
      </c>
      <c r="S432" s="144">
        <v>-9.505835219208258</v>
      </c>
      <c r="T432" s="70">
        <v>-10.302904004596693</v>
      </c>
      <c r="U432" s="70">
        <v>-12.091119211435265</v>
      </c>
      <c r="V432" s="70">
        <v>-14.20884456589615</v>
      </c>
      <c r="W432" s="70">
        <v>-14.668737276302171</v>
      </c>
      <c r="X432" s="70">
        <v>-14.048904138926773</v>
      </c>
      <c r="Y432" s="70">
        <v>-10.945852622481537</v>
      </c>
      <c r="Z432" s="70">
        <v>-9.1340591585379105</v>
      </c>
      <c r="AA432" s="70">
        <v>-9.396875341817065</v>
      </c>
      <c r="AB432" s="70">
        <v>-9.2233424149196068</v>
      </c>
      <c r="AC432" s="70">
        <v>-6.3504310485757349</v>
      </c>
      <c r="AD432" s="145">
        <v>-6.0830233575710198</v>
      </c>
      <c r="AE432" s="15"/>
      <c r="AF432" s="144">
        <v>-99.090643760737848</v>
      </c>
      <c r="AG432" s="145">
        <v>-125.95992836026818</v>
      </c>
    </row>
    <row r="433" spans="2:33" x14ac:dyDescent="0.2">
      <c r="B433" s="9">
        <f>G405</f>
        <v>9</v>
      </c>
      <c r="C433" s="9" t="str">
        <f t="shared" si="2053"/>
        <v>9 - % of Revenue - General and Administrative Expense</v>
      </c>
      <c r="D433" s="9" t="s">
        <v>56</v>
      </c>
      <c r="F433" s="16" t="str">
        <f>"% of Revenue - "&amp;F432</f>
        <v>% of Revenue - General and Administrative Expense</v>
      </c>
      <c r="G433" s="148">
        <f>G432/G417</f>
        <v>-2.6340714167766552E-2</v>
      </c>
      <c r="H433" s="149">
        <f t="shared" ref="H433" si="2235">H432/H417</f>
        <v>-2.3662921507940776E-2</v>
      </c>
      <c r="I433" s="149">
        <f t="shared" ref="I433" si="2236">I432/I417</f>
        <v>-3.338871621565781E-2</v>
      </c>
      <c r="J433" s="149">
        <f t="shared" ref="J433" si="2237">J432/J417</f>
        <v>-3.8487183523871385E-2</v>
      </c>
      <c r="K433" s="149">
        <f t="shared" ref="K433" si="2238">K432/K417</f>
        <v>-3.2318695819338869E-2</v>
      </c>
      <c r="L433" s="149">
        <f t="shared" ref="L433" si="2239">L432/L417</f>
        <v>-3.9546924972885603E-2</v>
      </c>
      <c r="M433" s="149">
        <f t="shared" ref="M433" si="2240">M432/M417</f>
        <v>-2.4318100285516231E-2</v>
      </c>
      <c r="N433" s="149">
        <f t="shared" ref="N433" si="2241">N432/N417</f>
        <v>-2.0425886389034732E-2</v>
      </c>
      <c r="O433" s="149">
        <f t="shared" ref="O433" si="2242">O432/O417</f>
        <v>-2.3886605299760829E-2</v>
      </c>
      <c r="P433" s="149">
        <f t="shared" ref="P433" si="2243">P432/P417</f>
        <v>-2.4712550406510058E-2</v>
      </c>
      <c r="Q433" s="149">
        <f t="shared" ref="Q433" si="2244">Q432/Q417</f>
        <v>-2.0267016821189469E-2</v>
      </c>
      <c r="R433" s="149">
        <f t="shared" ref="R433" si="2245">R432/R417</f>
        <v>-1.9078993347326489E-2</v>
      </c>
      <c r="S433" s="148">
        <f t="shared" ref="S433" si="2246">S432/S417</f>
        <v>-2.5935147333333089E-2</v>
      </c>
      <c r="T433" s="149">
        <f t="shared" ref="T433" si="2247">T432/T417</f>
        <v>-2.7111626528171357E-2</v>
      </c>
      <c r="U433" s="149">
        <f t="shared" ref="U433" si="2248">U432/U417</f>
        <v>-3.7994826818245127E-2</v>
      </c>
      <c r="V433" s="149">
        <f t="shared" ref="V433" si="2249">V432/V417</f>
        <v>-5.7897124713272061E-2</v>
      </c>
      <c r="W433" s="149">
        <f t="shared" ref="W433" si="2250">W432/W417</f>
        <v>-5.2851960748035394E-2</v>
      </c>
      <c r="X433" s="149">
        <f t="shared" ref="X433" si="2251">X432/X417</f>
        <v>-5.602943202105954E-2</v>
      </c>
      <c r="Y433" s="149">
        <f t="shared" ref="Y433" si="2252">Y432/Y417</f>
        <v>-3.3068483317286186E-2</v>
      </c>
      <c r="Z433" s="149">
        <f t="shared" ref="Z433" si="2253">Z432/Z417</f>
        <v>-2.9922569199347934E-2</v>
      </c>
      <c r="AA433" s="149">
        <f t="shared" ref="AA433" si="2254">AA432/AA417</f>
        <v>-3.368344593191918E-2</v>
      </c>
      <c r="AB433" s="149">
        <f t="shared" ref="AB433" si="2255">AB432/AB417</f>
        <v>-3.0582549971710581E-2</v>
      </c>
      <c r="AC433" s="149">
        <f t="shared" ref="AC433" si="2256">AC432/AC417</f>
        <v>-2.7918395559877761E-2</v>
      </c>
      <c r="AD433" s="150">
        <f t="shared" ref="AD433" si="2257">AD432/AD417</f>
        <v>-3.0077479334333333E-2</v>
      </c>
      <c r="AE433" s="15"/>
      <c r="AF433" s="96">
        <f t="shared" ref="AF433" si="2258">AF432/AF417</f>
        <v>-2.6187717073147494E-2</v>
      </c>
      <c r="AG433" s="97">
        <f t="shared" ref="AG433" si="2259">AG432/AG417</f>
        <v>-3.6143364953062258E-2</v>
      </c>
    </row>
    <row r="434" spans="2:33" ht="3" customHeight="1" x14ac:dyDescent="0.2">
      <c r="B434" s="9">
        <f>G405</f>
        <v>9</v>
      </c>
      <c r="C434" s="9" t="str">
        <f t="shared" si="2053"/>
        <v xml:space="preserve">9 - </v>
      </c>
      <c r="D434" s="9" t="s">
        <v>56</v>
      </c>
      <c r="F434" s="16"/>
      <c r="G434" s="36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6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8"/>
      <c r="AE434" s="15"/>
      <c r="AF434" s="36"/>
      <c r="AG434" s="38"/>
    </row>
    <row r="435" spans="2:33" x14ac:dyDescent="0.2">
      <c r="B435" s="9">
        <f>G405</f>
        <v>9</v>
      </c>
      <c r="C435" s="9" t="str">
        <f t="shared" si="2053"/>
        <v>9 - Marketing</v>
      </c>
      <c r="D435" s="9" t="s">
        <v>56</v>
      </c>
      <c r="F435" t="s">
        <v>7</v>
      </c>
      <c r="G435" s="144">
        <v>-7.6501992102609906</v>
      </c>
      <c r="H435" s="70">
        <v>-7.9303353474704661</v>
      </c>
      <c r="I435" s="70">
        <v>-9.9169300189355845</v>
      </c>
      <c r="J435" s="70">
        <v>-10.300711512973834</v>
      </c>
      <c r="K435" s="70">
        <v>-13.132426380376472</v>
      </c>
      <c r="L435" s="70">
        <v>-11.338077613191198</v>
      </c>
      <c r="M435" s="70">
        <v>-9.2761994416286289</v>
      </c>
      <c r="N435" s="70">
        <v>-9.6510113079599957</v>
      </c>
      <c r="O435" s="70">
        <v>-9.1898560379559466</v>
      </c>
      <c r="P435" s="70">
        <v>-9.6886738180390921</v>
      </c>
      <c r="Q435" s="70">
        <v>-7.6271969050801571</v>
      </c>
      <c r="R435" s="70">
        <v>-6.7815073213380996</v>
      </c>
      <c r="S435" s="144">
        <v>-10.080548623748509</v>
      </c>
      <c r="T435" s="70">
        <v>-11.815810008873111</v>
      </c>
      <c r="U435" s="70">
        <v>-12.770912141344484</v>
      </c>
      <c r="V435" s="70">
        <v>-14.808798114118625</v>
      </c>
      <c r="W435" s="70">
        <v>-18.460245299215092</v>
      </c>
      <c r="X435" s="70">
        <v>-16.842718233377067</v>
      </c>
      <c r="Y435" s="70">
        <v>-13.700181374713365</v>
      </c>
      <c r="Z435" s="70">
        <v>-11.550019543445558</v>
      </c>
      <c r="AA435" s="70">
        <v>-10.561944169213952</v>
      </c>
      <c r="AB435" s="70">
        <v>-12.823334837569165</v>
      </c>
      <c r="AC435" s="70">
        <v>-9.9450961223151797</v>
      </c>
      <c r="AD435" s="145">
        <v>-8.0946931885617204</v>
      </c>
      <c r="AE435" s="15"/>
      <c r="AF435" s="144">
        <v>-112.48312491521045</v>
      </c>
      <c r="AG435" s="145">
        <v>-151.45430165649583</v>
      </c>
    </row>
    <row r="436" spans="2:33" x14ac:dyDescent="0.2">
      <c r="B436" s="9">
        <f>G405</f>
        <v>9</v>
      </c>
      <c r="C436" s="9" t="str">
        <f t="shared" si="2053"/>
        <v>9 - % of Revenue - Marketing</v>
      </c>
      <c r="D436" s="9" t="s">
        <v>56</v>
      </c>
      <c r="F436" s="16" t="str">
        <f>"% of Revenue - "&amp;F435</f>
        <v>% of Revenue - Marketing</v>
      </c>
      <c r="G436" s="148">
        <f>G435/G417</f>
        <v>-2.6391745084678876E-2</v>
      </c>
      <c r="H436" s="149">
        <f t="shared" ref="H436" si="2260">H435/H417</f>
        <v>-2.8224215530031637E-2</v>
      </c>
      <c r="I436" s="149">
        <f t="shared" ref="I436" si="2261">I435/I417</f>
        <v>-4.0737546484888476E-2</v>
      </c>
      <c r="J436" s="149">
        <f t="shared" ref="J436" si="2262">J435/J417</f>
        <v>-4.5298406533977952E-2</v>
      </c>
      <c r="K436" s="149">
        <f t="shared" ref="K436" si="2263">K435/K417</f>
        <v>-4.8315153233087632E-2</v>
      </c>
      <c r="L436" s="149">
        <f t="shared" ref="L436" si="2264">L435/L417</f>
        <v>-4.307535677052652E-2</v>
      </c>
      <c r="M436" s="149">
        <f t="shared" ref="M436" si="2265">M435/M417</f>
        <v>-2.8302455319387857E-2</v>
      </c>
      <c r="N436" s="149">
        <f t="shared" ref="N436" si="2266">N435/N417</f>
        <v>-2.3514194004178542E-2</v>
      </c>
      <c r="O436" s="149">
        <f t="shared" ref="O436" si="2267">O435/O417</f>
        <v>-2.4861710514927311E-2</v>
      </c>
      <c r="P436" s="149">
        <f t="shared" ref="P436" si="2268">P435/P417</f>
        <v>-2.6123689979880869E-2</v>
      </c>
      <c r="Q436" s="149">
        <f t="shared" ref="Q436" si="2269">Q435/Q417</f>
        <v>-1.8639294126082211E-2</v>
      </c>
      <c r="R436" s="149">
        <f t="shared" ref="R436" si="2270">R435/R417</f>
        <v>-2.1241545985111941E-2</v>
      </c>
      <c r="S436" s="148">
        <f t="shared" ref="S436" si="2271">S435/S417</f>
        <v>-2.7503160714321861E-2</v>
      </c>
      <c r="T436" s="149">
        <f t="shared" ref="T436" si="2272">T435/T417</f>
        <v>-3.1092770343727649E-2</v>
      </c>
      <c r="U436" s="149">
        <f t="shared" ref="U436" si="2273">U435/U417</f>
        <v>-4.0130990906325624E-2</v>
      </c>
      <c r="V436" s="149">
        <f t="shared" ref="V436" si="2274">V435/V417</f>
        <v>-6.034177003559324E-2</v>
      </c>
      <c r="W436" s="149">
        <f t="shared" ref="W436" si="2275">W435/W417</f>
        <v>-6.6512893480574639E-2</v>
      </c>
      <c r="X436" s="149">
        <f t="shared" ref="X436" si="2276">X435/X417</f>
        <v>-6.7171640362473903E-2</v>
      </c>
      <c r="Y436" s="149">
        <f t="shared" ref="Y436" si="2277">Y435/Y417</f>
        <v>-4.1389577848234729E-2</v>
      </c>
      <c r="Z436" s="149">
        <f t="shared" ref="Z436" si="2278">Z435/Z417</f>
        <v>-3.7837094444425727E-2</v>
      </c>
      <c r="AA436" s="149">
        <f t="shared" ref="AA436" si="2279">AA435/AA417</f>
        <v>-3.7859678075805321E-2</v>
      </c>
      <c r="AB436" s="149">
        <f t="shared" ref="AB436" si="2280">AB435/AB417</f>
        <v>-4.2519323346335333E-2</v>
      </c>
      <c r="AC436" s="149">
        <f t="shared" ref="AC436" si="2281">AC435/AC417</f>
        <v>-4.3721619099552744E-2</v>
      </c>
      <c r="AD436" s="150">
        <f t="shared" ref="AD436" si="2282">AD435/AD417</f>
        <v>-4.002417100597027E-2</v>
      </c>
      <c r="AE436" s="15"/>
      <c r="AF436" s="96">
        <f t="shared" ref="AF436" si="2283">AF435/AF417</f>
        <v>-2.9727087633980926E-2</v>
      </c>
      <c r="AG436" s="97">
        <f t="shared" ref="AG436" si="2284">AG435/AG417</f>
        <v>-4.3458806064299159E-2</v>
      </c>
    </row>
    <row r="437" spans="2:33" ht="3" customHeight="1" x14ac:dyDescent="0.2">
      <c r="B437" s="9">
        <f>G405</f>
        <v>9</v>
      </c>
      <c r="C437" s="9" t="str">
        <f t="shared" si="2053"/>
        <v xml:space="preserve">9 - </v>
      </c>
      <c r="D437" s="9" t="s">
        <v>56</v>
      </c>
      <c r="F437" s="16"/>
      <c r="G437" s="36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6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8"/>
      <c r="AE437" s="15"/>
      <c r="AF437" s="36"/>
      <c r="AG437" s="38"/>
    </row>
    <row r="438" spans="2:33" x14ac:dyDescent="0.2">
      <c r="B438" s="9">
        <f>G405</f>
        <v>9</v>
      </c>
      <c r="C438" s="9" t="str">
        <f t="shared" si="2053"/>
        <v>9 - Office Rent</v>
      </c>
      <c r="D438" s="9" t="s">
        <v>56</v>
      </c>
      <c r="F438" t="s">
        <v>162</v>
      </c>
      <c r="G438" s="144">
        <v>-26.363729818580584</v>
      </c>
      <c r="H438" s="70">
        <v>-26.363729818580584</v>
      </c>
      <c r="I438" s="70">
        <v>-26.363729818580584</v>
      </c>
      <c r="J438" s="70">
        <v>-27.154641713137998</v>
      </c>
      <c r="K438" s="70">
        <v>-27.154641713137998</v>
      </c>
      <c r="L438" s="70">
        <v>-27.154641713137998</v>
      </c>
      <c r="M438" s="70">
        <v>-27.154641713137998</v>
      </c>
      <c r="N438" s="70">
        <v>-27.154641713137998</v>
      </c>
      <c r="O438" s="70">
        <v>-27.154641713137998</v>
      </c>
      <c r="P438" s="70">
        <v>-27.154641713137998</v>
      </c>
      <c r="Q438" s="70">
        <v>-27.154641713137998</v>
      </c>
      <c r="R438" s="70">
        <v>-27.154641713137998</v>
      </c>
      <c r="S438" s="144">
        <v>-27.154498118256036</v>
      </c>
      <c r="T438" s="70">
        <v>-27.154498118256036</v>
      </c>
      <c r="U438" s="70">
        <v>-27.154498118256036</v>
      </c>
      <c r="V438" s="70">
        <v>-27.969133061803717</v>
      </c>
      <c r="W438" s="70">
        <v>-27.969133061803717</v>
      </c>
      <c r="X438" s="70">
        <v>-27.969133061803717</v>
      </c>
      <c r="Y438" s="70">
        <v>-27.969133061803717</v>
      </c>
      <c r="Z438" s="70">
        <v>-27.969133061803717</v>
      </c>
      <c r="AA438" s="70">
        <v>-27.969133061803717</v>
      </c>
      <c r="AB438" s="70">
        <v>-27.969133061803717</v>
      </c>
      <c r="AC438" s="70">
        <v>-27.969133061803717</v>
      </c>
      <c r="AD438" s="145">
        <v>-27.969133061803717</v>
      </c>
      <c r="AE438" s="15"/>
      <c r="AF438" s="144">
        <v>-323.4829648739838</v>
      </c>
      <c r="AG438" s="145">
        <v>-333.18569191100164</v>
      </c>
    </row>
    <row r="439" spans="2:33" x14ac:dyDescent="0.2">
      <c r="B439" s="9">
        <f>G405</f>
        <v>9</v>
      </c>
      <c r="C439" s="9" t="str">
        <f t="shared" si="2053"/>
        <v>9 - % YoY Growth</v>
      </c>
      <c r="D439" s="9" t="s">
        <v>56</v>
      </c>
      <c r="F439" s="16" t="s">
        <v>8</v>
      </c>
      <c r="G439" s="82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148">
        <f>S438/G438-1</f>
        <v>2.9994553316888162E-2</v>
      </c>
      <c r="T439" s="149">
        <f t="shared" ref="T439" si="2285">T438/H438-1</f>
        <v>2.9994553316888162E-2</v>
      </c>
      <c r="U439" s="149">
        <f t="shared" ref="U439" si="2286">U438/I438-1</f>
        <v>2.9994553316888162E-2</v>
      </c>
      <c r="V439" s="149">
        <f t="shared" ref="V439" si="2287">V438/J438-1</f>
        <v>2.9994553316888384E-2</v>
      </c>
      <c r="W439" s="149">
        <f t="shared" ref="W439" si="2288">W438/K438-1</f>
        <v>2.9994553316888384E-2</v>
      </c>
      <c r="X439" s="149">
        <f t="shared" ref="X439" si="2289">X438/L438-1</f>
        <v>2.9994553316888384E-2</v>
      </c>
      <c r="Y439" s="149">
        <f t="shared" ref="Y439" si="2290">Y438/M438-1</f>
        <v>2.9994553316888384E-2</v>
      </c>
      <c r="Z439" s="149">
        <f t="shared" ref="Z439" si="2291">Z438/N438-1</f>
        <v>2.9994553316888384E-2</v>
      </c>
      <c r="AA439" s="149">
        <f t="shared" ref="AA439" si="2292">AA438/O438-1</f>
        <v>2.9994553316888384E-2</v>
      </c>
      <c r="AB439" s="149">
        <f t="shared" ref="AB439" si="2293">AB438/P438-1</f>
        <v>2.9994553316888384E-2</v>
      </c>
      <c r="AC439" s="149">
        <f t="shared" ref="AC439" si="2294">AC438/Q438-1</f>
        <v>2.9994553316888384E-2</v>
      </c>
      <c r="AD439" s="150">
        <f t="shared" ref="AD439" si="2295">AD438/R438-1</f>
        <v>2.9994553316888384E-2</v>
      </c>
      <c r="AE439" s="15"/>
      <c r="AF439" s="11"/>
      <c r="AG439" s="97">
        <f>AG438/AF438-1</f>
        <v>2.9994553316888384E-2</v>
      </c>
    </row>
    <row r="440" spans="2:33" ht="6" customHeight="1" x14ac:dyDescent="0.2">
      <c r="B440" s="9">
        <f>G405</f>
        <v>9</v>
      </c>
      <c r="C440" s="9" t="str">
        <f t="shared" si="2053"/>
        <v xml:space="preserve">9 - </v>
      </c>
      <c r="D440" s="9" t="s">
        <v>56</v>
      </c>
      <c r="F440" s="16"/>
      <c r="G440" s="11"/>
      <c r="S440" s="11"/>
      <c r="AD440" s="15"/>
      <c r="AE440" s="15"/>
      <c r="AF440" s="11"/>
      <c r="AG440" s="15"/>
    </row>
    <row r="441" spans="2:33" x14ac:dyDescent="0.2">
      <c r="B441" s="9">
        <f>G405</f>
        <v>9</v>
      </c>
      <c r="C441" s="9" t="str">
        <f t="shared" si="2053"/>
        <v>9 - Office EBITDA</v>
      </c>
      <c r="D441" s="9" t="s">
        <v>56</v>
      </c>
      <c r="F441" s="8" t="s">
        <v>12</v>
      </c>
      <c r="G441" s="134">
        <f>G429+G432+G435+G438</f>
        <v>64.928691454203928</v>
      </c>
      <c r="H441" s="135">
        <f t="shared" ref="H441:AD441" si="2296">H429+H432+H435+H438</f>
        <v>59.091408268864868</v>
      </c>
      <c r="I441" s="135">
        <f t="shared" si="2296"/>
        <v>-34.987565832734667</v>
      </c>
      <c r="J441" s="135">
        <f t="shared" si="2296"/>
        <v>-40.509167539877069</v>
      </c>
      <c r="K441" s="135">
        <f t="shared" si="2296"/>
        <v>-44.89168434172894</v>
      </c>
      <c r="L441" s="135">
        <f t="shared" si="2296"/>
        <v>-45.298516950232454</v>
      </c>
      <c r="M441" s="135">
        <f t="shared" si="2296"/>
        <v>67.851882135778226</v>
      </c>
      <c r="N441" s="135">
        <f t="shared" si="2296"/>
        <v>159.28419923263107</v>
      </c>
      <c r="O441" s="135">
        <f t="shared" si="2296"/>
        <v>137.72374710162512</v>
      </c>
      <c r="P441" s="135">
        <f t="shared" si="2296"/>
        <v>136.9470868479678</v>
      </c>
      <c r="Q441" s="135">
        <f t="shared" si="2296"/>
        <v>197.73098605915936</v>
      </c>
      <c r="R441" s="135">
        <f t="shared" si="2296"/>
        <v>151.1919120982173</v>
      </c>
      <c r="S441" s="134">
        <f t="shared" si="2296"/>
        <v>112.58853527447269</v>
      </c>
      <c r="T441" s="135">
        <f t="shared" si="2296"/>
        <v>118.57029745801654</v>
      </c>
      <c r="U441" s="135">
        <f t="shared" si="2296"/>
        <v>31.796991438128977</v>
      </c>
      <c r="V441" s="135">
        <f t="shared" si="2296"/>
        <v>-35.503288298489885</v>
      </c>
      <c r="W441" s="135">
        <f t="shared" si="2296"/>
        <v>-39.131630678875254</v>
      </c>
      <c r="X441" s="135">
        <f t="shared" si="2296"/>
        <v>-41.84244730743157</v>
      </c>
      <c r="Y441" s="135">
        <f t="shared" si="2296"/>
        <v>27.621256378931434</v>
      </c>
      <c r="Z441" s="135">
        <f t="shared" si="2296"/>
        <v>24.542296766432798</v>
      </c>
      <c r="AA441" s="135">
        <f t="shared" si="2296"/>
        <v>18.918793417245034</v>
      </c>
      <c r="AB441" s="135">
        <f t="shared" si="2296"/>
        <v>28.798704378259302</v>
      </c>
      <c r="AC441" s="135">
        <f t="shared" si="2296"/>
        <v>14.744854170578783</v>
      </c>
      <c r="AD441" s="136">
        <f t="shared" si="2296"/>
        <v>13.82941739091207</v>
      </c>
      <c r="AE441" s="15"/>
      <c r="AF441" s="94">
        <f>SUM(G441:R441)</f>
        <v>809.06297853387446</v>
      </c>
      <c r="AG441" s="95">
        <f>SUM(S441:AD441)</f>
        <v>274.93378038818088</v>
      </c>
    </row>
    <row r="442" spans="2:33" x14ac:dyDescent="0.2">
      <c r="B442" s="9">
        <f>G405</f>
        <v>9</v>
      </c>
      <c r="C442" s="9" t="str">
        <f t="shared" si="2053"/>
        <v>9 - % of Revenue - Office EBITDA</v>
      </c>
      <c r="D442" s="9" t="s">
        <v>56</v>
      </c>
      <c r="F442" s="16" t="str">
        <f>"% of Revenue - "&amp;F441</f>
        <v>% of Revenue - Office EBITDA</v>
      </c>
      <c r="G442" s="148">
        <f>G441/G417</f>
        <v>0.22399174537085789</v>
      </c>
      <c r="H442" s="149">
        <f t="shared" ref="H442" si="2297">H441/H417</f>
        <v>0.21030745483991614</v>
      </c>
      <c r="I442" s="149">
        <f t="shared" ref="I442" si="2298">I441/I417</f>
        <v>-0.14372467959162902</v>
      </c>
      <c r="J442" s="149">
        <f t="shared" ref="J442" si="2299">J441/J417</f>
        <v>-0.17814310567412511</v>
      </c>
      <c r="K442" s="149">
        <f t="shared" ref="K442" si="2300">K441/K417</f>
        <v>-0.16515977665049406</v>
      </c>
      <c r="L442" s="149">
        <f t="shared" ref="L442" si="2301">L441/L417</f>
        <v>-0.17209705607737588</v>
      </c>
      <c r="M442" s="149">
        <f t="shared" ref="M442" si="2302">M441/M417</f>
        <v>0.20702173067411678</v>
      </c>
      <c r="N442" s="149">
        <f t="shared" ref="N442" si="2303">N441/N417</f>
        <v>0.38808778096313457</v>
      </c>
      <c r="O442" s="149">
        <f t="shared" ref="O442" si="2304">O441/O417</f>
        <v>0.37258994235923382</v>
      </c>
      <c r="P442" s="149">
        <f t="shared" ref="P442" si="2305">P441/P417</f>
        <v>0.36925210897317634</v>
      </c>
      <c r="Q442" s="149">
        <f t="shared" ref="Q442" si="2306">Q441/Q417</f>
        <v>0.48321369604895487</v>
      </c>
      <c r="R442" s="149">
        <f t="shared" ref="R442" si="2307">R441/R417</f>
        <v>0.47357464959244416</v>
      </c>
      <c r="S442" s="148">
        <f t="shared" ref="S442" si="2308">S441/S417</f>
        <v>0.30717976727465574</v>
      </c>
      <c r="T442" s="149">
        <f t="shared" ref="T442" si="2309">T441/T417</f>
        <v>0.31201238219648608</v>
      </c>
      <c r="U442" s="149">
        <f t="shared" ref="U442" si="2310">U441/U417</f>
        <v>9.9918060677984546E-2</v>
      </c>
      <c r="V442" s="149">
        <f t="shared" ref="V442" si="2311">V441/V417</f>
        <v>-0.14466611277334915</v>
      </c>
      <c r="W442" s="149">
        <f t="shared" ref="W442" si="2312">W441/W417</f>
        <v>-0.14099260009160783</v>
      </c>
      <c r="X442" s="149">
        <f t="shared" ref="X442" si="2313">X441/X417</f>
        <v>-0.16687483477879275</v>
      </c>
      <c r="Y442" s="149">
        <f t="shared" ref="Y442" si="2314">Y441/Y417</f>
        <v>8.3446496793970468E-2</v>
      </c>
      <c r="Z442" s="149">
        <f t="shared" ref="Z442" si="2315">Z441/Z417</f>
        <v>8.0398928949138623E-2</v>
      </c>
      <c r="AA442" s="149">
        <f t="shared" ref="AA442" si="2316">AA441/AA417</f>
        <v>6.7815112150215795E-2</v>
      </c>
      <c r="AB442" s="149">
        <f t="shared" ref="AB442" si="2317">AB441/AB417</f>
        <v>9.549009200221828E-2</v>
      </c>
      <c r="AC442" s="149">
        <f t="shared" ref="AC442" si="2318">AC441/AC417</f>
        <v>6.4822792036968363E-2</v>
      </c>
      <c r="AD442" s="150">
        <f t="shared" ref="AD442" si="2319">AD441/AD417</f>
        <v>6.8379486865412953E-2</v>
      </c>
      <c r="AE442" s="15"/>
      <c r="AF442" s="96">
        <f t="shared" ref="AF442" si="2320">AF441/AF417</f>
        <v>0.21381950476941117</v>
      </c>
      <c r="AG442" s="97">
        <f t="shared" ref="AG442" si="2321">AG441/AG417</f>
        <v>7.8890422468909191E-2</v>
      </c>
    </row>
    <row r="443" spans="2:33" ht="6" customHeight="1" x14ac:dyDescent="0.2">
      <c r="B443" s="9">
        <f>G405</f>
        <v>9</v>
      </c>
      <c r="C443" s="9" t="str">
        <f t="shared" si="2053"/>
        <v xml:space="preserve">9 - </v>
      </c>
      <c r="D443" s="9" t="s">
        <v>56</v>
      </c>
      <c r="G443" s="11"/>
      <c r="S443" s="11"/>
      <c r="AD443" s="15"/>
      <c r="AE443" s="15"/>
      <c r="AF443" s="11"/>
      <c r="AG443" s="15"/>
    </row>
    <row r="444" spans="2:33" x14ac:dyDescent="0.2">
      <c r="B444" s="9">
        <f>G405</f>
        <v>9</v>
      </c>
      <c r="C444" s="9" t="str">
        <f t="shared" si="2053"/>
        <v>9 - Memo:</v>
      </c>
      <c r="D444" s="9" t="s">
        <v>56</v>
      </c>
      <c r="F444" s="6" t="s">
        <v>13</v>
      </c>
      <c r="G444" s="11"/>
      <c r="S444" s="11"/>
      <c r="AD444" s="15"/>
      <c r="AE444" s="15"/>
      <c r="AF444" s="11"/>
      <c r="AG444" s="15"/>
    </row>
    <row r="445" spans="2:33" s="24" customFormat="1" x14ac:dyDescent="0.2">
      <c r="B445" s="9">
        <f>G405</f>
        <v>9</v>
      </c>
      <c r="C445" s="9" t="str">
        <f t="shared" si="2053"/>
        <v>9 - Collections</v>
      </c>
      <c r="D445" s="9" t="s">
        <v>56</v>
      </c>
      <c r="E445" s="49"/>
      <c r="F445" s="24" t="s">
        <v>15</v>
      </c>
      <c r="G445" s="169">
        <f>G446*G415</f>
        <v>289.92067225817971</v>
      </c>
      <c r="H445" s="170">
        <f t="shared" ref="H445" si="2322">H446*H415</f>
        <v>282.19006979852202</v>
      </c>
      <c r="I445" s="170">
        <f t="shared" ref="I445" si="2323">I446*I415</f>
        <v>241.05101191108949</v>
      </c>
      <c r="J445" s="170">
        <f t="shared" ref="J445" si="2324">J446*J415</f>
        <v>229.04893814732651</v>
      </c>
      <c r="K445" s="170">
        <f t="shared" ref="K445" si="2325">K446*K415</f>
        <v>269.71386490616391</v>
      </c>
      <c r="L445" s="170">
        <f t="shared" ref="L445" si="2326">L446*L415</f>
        <v>258.94565609376559</v>
      </c>
      <c r="M445" s="170">
        <f t="shared" ref="M445" si="2327">M446*M415</f>
        <v>330.52326876363691</v>
      </c>
      <c r="N445" s="170">
        <f t="shared" ref="N445" si="2328">N446*N415</f>
        <v>404.359410499597</v>
      </c>
      <c r="O445" s="170">
        <f t="shared" ref="O445" si="2329">O446*O415</f>
        <v>377.94315774433881</v>
      </c>
      <c r="P445" s="170">
        <f t="shared" ref="P445" si="2330">P446*P415</f>
        <v>371.97971441565079</v>
      </c>
      <c r="Q445" s="170">
        <f t="shared" ref="Q445" si="2331">Q446*Q415</f>
        <v>404.3605907476994</v>
      </c>
      <c r="R445" s="170">
        <f t="shared" ref="R445" si="2332">R446*R415</f>
        <v>316.02525434650164</v>
      </c>
      <c r="S445" s="169">
        <f t="shared" ref="S445" si="2333">S446*S415</f>
        <v>370.94056840616031</v>
      </c>
      <c r="T445" s="170">
        <f t="shared" ref="T445" si="2334">T446*T415</f>
        <v>375.37909293480715</v>
      </c>
      <c r="U445" s="170">
        <f t="shared" ref="U445" si="2335">U446*U415</f>
        <v>319.78711356246339</v>
      </c>
      <c r="V445" s="170">
        <f t="shared" ref="V445" si="2336">V446*V415</f>
        <v>240.13321271609863</v>
      </c>
      <c r="W445" s="170">
        <f t="shared" ref="W445" si="2337">W446*W415</f>
        <v>275.9153579635464</v>
      </c>
      <c r="X445" s="170">
        <f t="shared" ref="X445" si="2338">X446*X415</f>
        <v>246.94107786687178</v>
      </c>
      <c r="Y445" s="170">
        <f t="shared" ref="Y445" si="2339">Y446*Y415</f>
        <v>323.3958755934994</v>
      </c>
      <c r="Z445" s="170">
        <f t="shared" ref="Z445" si="2340">Z446*Z415</f>
        <v>301.48143600487919</v>
      </c>
      <c r="AA445" s="170">
        <f t="shared" ref="AA445" si="2341">AA446*AA415</f>
        <v>273.57953374205346</v>
      </c>
      <c r="AB445" s="170">
        <f t="shared" ref="AB445" si="2342">AB446*AB415</f>
        <v>293.8626296474385</v>
      </c>
      <c r="AC445" s="170">
        <f t="shared" ref="AC445" si="2343">AC446*AC415</f>
        <v>222.41590146521355</v>
      </c>
      <c r="AD445" s="171">
        <f t="shared" ref="AD445" si="2344">AD446*AD415</f>
        <v>204.889518804208</v>
      </c>
      <c r="AE445" s="26"/>
      <c r="AF445" s="68">
        <f>SUM(G445:R445)</f>
        <v>3776.061609632472</v>
      </c>
      <c r="AG445" s="99">
        <f>SUM(S445:AD445)</f>
        <v>3448.7213187072398</v>
      </c>
    </row>
    <row r="446" spans="2:33" x14ac:dyDescent="0.2">
      <c r="B446" s="9">
        <f>G405</f>
        <v>9</v>
      </c>
      <c r="C446" s="9" t="str">
        <f t="shared" si="2053"/>
        <v>9 - Collections as a % of Production</v>
      </c>
      <c r="D446" s="9" t="s">
        <v>56</v>
      </c>
      <c r="F446" s="16" t="s">
        <v>17</v>
      </c>
      <c r="G446" s="140">
        <v>0.97785905544399687</v>
      </c>
      <c r="H446" s="141">
        <v>0.98191471782909789</v>
      </c>
      <c r="I446" s="141">
        <v>0.96811799977611945</v>
      </c>
      <c r="J446" s="141">
        <v>0.9847946916650947</v>
      </c>
      <c r="K446" s="141">
        <v>0.97016002143606661</v>
      </c>
      <c r="L446" s="141">
        <v>0.9618332869093531</v>
      </c>
      <c r="M446" s="141">
        <v>0.98595658162820998</v>
      </c>
      <c r="N446" s="141">
        <v>0.96322233125721013</v>
      </c>
      <c r="O446" s="141">
        <v>0.9996558226161617</v>
      </c>
      <c r="P446" s="141">
        <v>0.98059835006103957</v>
      </c>
      <c r="Q446" s="141">
        <v>0.96612882760306251</v>
      </c>
      <c r="R446" s="141">
        <v>0.9677950400095312</v>
      </c>
      <c r="S446" s="140">
        <v>0.99841027747489297</v>
      </c>
      <c r="T446" s="141">
        <v>0.97447852415722824</v>
      </c>
      <c r="U446" s="141">
        <v>0.99134585996388447</v>
      </c>
      <c r="V446" s="141">
        <v>0.96528761965514154</v>
      </c>
      <c r="W446" s="141">
        <v>0.98073239363828568</v>
      </c>
      <c r="X446" s="141">
        <v>0.97156840268009148</v>
      </c>
      <c r="Y446" s="141">
        <v>0.96384107210281378</v>
      </c>
      <c r="Z446" s="141">
        <v>0.9743206498374215</v>
      </c>
      <c r="AA446" s="141">
        <v>0.96743751954197565</v>
      </c>
      <c r="AB446" s="141">
        <v>0.96124920706075789</v>
      </c>
      <c r="AC446" s="141">
        <v>0.96462687377387579</v>
      </c>
      <c r="AD446" s="142">
        <v>0.99941984197123568</v>
      </c>
      <c r="AE446" s="15"/>
      <c r="AF446" s="96">
        <f t="shared" ref="AF446" si="2345">AF445/AF415</f>
        <v>0.97567634845407958</v>
      </c>
      <c r="AG446" s="97">
        <f t="shared" ref="AG446" si="2346">AG445/AG415</f>
        <v>0.97624888686245925</v>
      </c>
    </row>
    <row r="447" spans="2:33" ht="6" customHeight="1" x14ac:dyDescent="0.2">
      <c r="B447" s="9">
        <f>G405</f>
        <v>9</v>
      </c>
      <c r="C447" s="9" t="str">
        <f t="shared" si="2053"/>
        <v xml:space="preserve">9 - </v>
      </c>
      <c r="D447" s="9" t="s">
        <v>56</v>
      </c>
      <c r="F447" s="27"/>
      <c r="R447" s="15"/>
      <c r="AD447" s="15"/>
      <c r="AE447" s="15"/>
      <c r="AF447" s="11"/>
      <c r="AG447" s="15"/>
    </row>
    <row r="448" spans="2:33" s="24" customFormat="1" x14ac:dyDescent="0.2">
      <c r="B448" s="9">
        <f>G405</f>
        <v>9</v>
      </c>
      <c r="C448" s="9" t="str">
        <f t="shared" si="2053"/>
        <v>9 - Production per Vet Workday - YoY Change</v>
      </c>
      <c r="D448" s="9" t="s">
        <v>56</v>
      </c>
      <c r="E448" s="49"/>
      <c r="F448" s="24" t="s">
        <v>55</v>
      </c>
      <c r="G448" s="88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151">
        <f>S414/G414-1</f>
        <v>-0.10102321393140479</v>
      </c>
      <c r="T448" s="152">
        <f t="shared" ref="T448" si="2347">T414/H414-1</f>
        <v>-4.0405548597463592E-2</v>
      </c>
      <c r="U448" s="152">
        <f t="shared" ref="U448" si="2348">U414/I414-1</f>
        <v>-5.7779824326112728E-2</v>
      </c>
      <c r="V448" s="152">
        <f t="shared" ref="V448" si="2349">V414/J414-1</f>
        <v>2.0961875859734747E-2</v>
      </c>
      <c r="W448" s="152">
        <f t="shared" ref="W448" si="2350">W414/K414-1</f>
        <v>-3.0200288483839932E-2</v>
      </c>
      <c r="X448" s="152">
        <f t="shared" ref="X448" si="2351">X414/L414-1</f>
        <v>3.3997935127594525E-2</v>
      </c>
      <c r="Y448" s="152">
        <f t="shared" ref="Y448" si="2352">Y414/M414-1</f>
        <v>-4.2630375502135553E-2</v>
      </c>
      <c r="Z448" s="152">
        <f t="shared" ref="Z448" si="2353">Z414/N414-1</f>
        <v>2.5509760807911119E-2</v>
      </c>
      <c r="AA448" s="152">
        <f t="shared" ref="AA448" si="2354">AA414/O414-1</f>
        <v>4.4784723850977315E-2</v>
      </c>
      <c r="AB448" s="152">
        <f t="shared" ref="AB448" si="2355">AB414/P414-1</f>
        <v>-1.5013125634290025E-2</v>
      </c>
      <c r="AC448" s="152">
        <f t="shared" ref="AC448" si="2356">AC414/Q414-1</f>
        <v>-4.0098655277675754E-2</v>
      </c>
      <c r="AD448" s="153">
        <f t="shared" ref="AD448" si="2357">AD414/R414-1</f>
        <v>4.636240432566674E-2</v>
      </c>
      <c r="AF448" s="43"/>
      <c r="AG448" s="104">
        <f>AG414/AF414-1</f>
        <v>-1.4949277918468784E-2</v>
      </c>
    </row>
    <row r="449" spans="2:34" s="24" customFormat="1" ht="6" customHeight="1" x14ac:dyDescent="0.2">
      <c r="D449" s="9" t="s">
        <v>56</v>
      </c>
      <c r="E449" s="49"/>
      <c r="G449" s="28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29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29"/>
      <c r="AE449" s="25"/>
      <c r="AF449" s="28"/>
      <c r="AG449" s="29"/>
    </row>
    <row r="450" spans="2:34" s="24" customFormat="1" ht="6" customHeight="1" x14ac:dyDescent="0.2">
      <c r="D450" s="9" t="s">
        <v>56</v>
      </c>
      <c r="E450" s="49"/>
    </row>
    <row r="451" spans="2:34" x14ac:dyDescent="0.2">
      <c r="D451" s="9" t="s">
        <v>56</v>
      </c>
      <c r="F451" s="16"/>
    </row>
    <row r="452" spans="2:34" ht="15.75" thickBot="1" x14ac:dyDescent="0.4">
      <c r="B452" s="35" t="s">
        <v>52</v>
      </c>
      <c r="C452" s="35"/>
      <c r="D452" s="9" t="s">
        <v>56</v>
      </c>
      <c r="E452" s="48" t="s">
        <v>0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74">
        <f ca="1">AG$2</f>
        <v>45999</v>
      </c>
      <c r="AH452" s="1"/>
    </row>
    <row r="453" spans="2:34" x14ac:dyDescent="0.2">
      <c r="B453" s="9">
        <f>G455</f>
        <v>10</v>
      </c>
      <c r="C453" s="9"/>
      <c r="D453" s="9" t="s">
        <v>56</v>
      </c>
      <c r="F453" t="s">
        <v>159</v>
      </c>
      <c r="AG453" s="6" t="s">
        <v>16</v>
      </c>
    </row>
    <row r="454" spans="2:34" x14ac:dyDescent="0.2">
      <c r="B454" s="9"/>
      <c r="C454" s="9"/>
      <c r="D454" s="9" t="s">
        <v>56</v>
      </c>
      <c r="AG454" s="6"/>
    </row>
    <row r="455" spans="2:34" x14ac:dyDescent="0.2">
      <c r="B455" s="9">
        <f>G455</f>
        <v>10</v>
      </c>
      <c r="C455" s="9"/>
      <c r="D455" s="9" t="s">
        <v>56</v>
      </c>
      <c r="F455" s="40" t="s">
        <v>53</v>
      </c>
      <c r="G455" s="42">
        <v>10</v>
      </c>
    </row>
    <row r="456" spans="2:34" x14ac:dyDescent="0.2">
      <c r="B456" s="9">
        <f>G455</f>
        <v>10</v>
      </c>
      <c r="C456" s="9"/>
      <c r="D456" s="9" t="s">
        <v>56</v>
      </c>
      <c r="F456" s="39" t="s">
        <v>27</v>
      </c>
      <c r="G456" s="41"/>
      <c r="H456" s="11"/>
    </row>
    <row r="457" spans="2:34" x14ac:dyDescent="0.2">
      <c r="B457" s="9">
        <f>G455</f>
        <v>10</v>
      </c>
      <c r="C457" s="9"/>
      <c r="D457" s="9" t="s">
        <v>56</v>
      </c>
      <c r="G457" s="23"/>
    </row>
    <row r="458" spans="2:34" x14ac:dyDescent="0.2">
      <c r="B458" s="9">
        <f>G455</f>
        <v>10</v>
      </c>
      <c r="C458" s="9"/>
      <c r="D458" s="9" t="s">
        <v>56</v>
      </c>
      <c r="G458" s="20">
        <v>2023</v>
      </c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2"/>
      <c r="S458" s="20">
        <v>2024</v>
      </c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2"/>
      <c r="AF458" s="17" t="s">
        <v>14</v>
      </c>
      <c r="AG458" s="18"/>
    </row>
    <row r="459" spans="2:34" ht="15" customHeight="1" x14ac:dyDescent="0.35">
      <c r="B459" s="9">
        <f>G455</f>
        <v>10</v>
      </c>
      <c r="C459" s="9"/>
      <c r="D459" s="9" t="s">
        <v>56</v>
      </c>
      <c r="G459" s="165">
        <v>44957</v>
      </c>
      <c r="H459" s="166">
        <v>44985</v>
      </c>
      <c r="I459" s="166">
        <v>45016</v>
      </c>
      <c r="J459" s="166">
        <v>45046</v>
      </c>
      <c r="K459" s="166">
        <v>45077</v>
      </c>
      <c r="L459" s="166">
        <v>45107</v>
      </c>
      <c r="M459" s="166">
        <v>45138</v>
      </c>
      <c r="N459" s="166">
        <v>45169</v>
      </c>
      <c r="O459" s="166">
        <v>45199</v>
      </c>
      <c r="P459" s="166">
        <v>45230</v>
      </c>
      <c r="Q459" s="166">
        <v>45260</v>
      </c>
      <c r="R459" s="167">
        <v>45291</v>
      </c>
      <c r="S459" s="165">
        <v>45322</v>
      </c>
      <c r="T459" s="166">
        <v>45351</v>
      </c>
      <c r="U459" s="166">
        <v>45382</v>
      </c>
      <c r="V459" s="166">
        <v>45412</v>
      </c>
      <c r="W459" s="166">
        <v>45443</v>
      </c>
      <c r="X459" s="166">
        <v>45473</v>
      </c>
      <c r="Y459" s="166">
        <v>45504</v>
      </c>
      <c r="Z459" s="166">
        <v>45535</v>
      </c>
      <c r="AA459" s="166">
        <v>45565</v>
      </c>
      <c r="AB459" s="166">
        <v>45596</v>
      </c>
      <c r="AC459" s="166">
        <v>45626</v>
      </c>
      <c r="AD459" s="167">
        <v>45657</v>
      </c>
      <c r="AE459" s="168"/>
      <c r="AF459" s="13">
        <v>45291</v>
      </c>
      <c r="AG459" s="14">
        <v>45657</v>
      </c>
    </row>
    <row r="460" spans="2:34" ht="0.95" customHeight="1" x14ac:dyDescent="0.2">
      <c r="B460" s="9">
        <f>G455</f>
        <v>10</v>
      </c>
      <c r="C460" s="9"/>
      <c r="D460" s="9" t="s">
        <v>56</v>
      </c>
      <c r="G460" s="11"/>
      <c r="S460" s="11"/>
      <c r="AD460" s="15"/>
      <c r="AE460" s="15"/>
      <c r="AF460" s="11"/>
      <c r="AG460" s="15"/>
    </row>
    <row r="461" spans="2:34" x14ac:dyDescent="0.2">
      <c r="B461" s="9">
        <f>G455</f>
        <v>10</v>
      </c>
      <c r="C461" s="9" t="str">
        <f>B461&amp;" - "&amp;F461</f>
        <v>10 - Employed Vets</v>
      </c>
      <c r="D461" s="9" t="s">
        <v>56</v>
      </c>
      <c r="F461" s="7" t="s">
        <v>160</v>
      </c>
      <c r="G461" s="121">
        <v>1</v>
      </c>
      <c r="H461" s="154">
        <f>MAX(MIN(IF(H464/G464&gt;1.1,G461-1,IF(H464/G464&lt;0.9,G461+1,G461)),5),1)</f>
        <v>1</v>
      </c>
      <c r="I461" s="154">
        <f t="shared" ref="I461:AD461" si="2358">MAX(MIN(IF(I464/H464&gt;1.1,H461-1,IF(I464/H464&lt;0.9,H461+1,H461)),5),1)</f>
        <v>1</v>
      </c>
      <c r="J461" s="154">
        <f t="shared" si="2358"/>
        <v>1</v>
      </c>
      <c r="K461" s="154">
        <f t="shared" si="2358"/>
        <v>1</v>
      </c>
      <c r="L461" s="154">
        <f t="shared" si="2358"/>
        <v>1</v>
      </c>
      <c r="M461" s="154">
        <f t="shared" si="2358"/>
        <v>2</v>
      </c>
      <c r="N461" s="154">
        <f t="shared" si="2358"/>
        <v>3</v>
      </c>
      <c r="O461" s="154">
        <f t="shared" si="2358"/>
        <v>3</v>
      </c>
      <c r="P461" s="154">
        <f t="shared" si="2358"/>
        <v>3</v>
      </c>
      <c r="Q461" s="154">
        <f t="shared" si="2358"/>
        <v>4</v>
      </c>
      <c r="R461" s="154">
        <f t="shared" si="2358"/>
        <v>5</v>
      </c>
      <c r="S461" s="155">
        <f t="shared" si="2358"/>
        <v>4</v>
      </c>
      <c r="T461" s="154">
        <f t="shared" si="2358"/>
        <v>3</v>
      </c>
      <c r="U461" s="154">
        <f t="shared" si="2358"/>
        <v>3</v>
      </c>
      <c r="V461" s="154">
        <f t="shared" si="2358"/>
        <v>2</v>
      </c>
      <c r="W461" s="154">
        <f t="shared" si="2358"/>
        <v>2</v>
      </c>
      <c r="X461" s="154">
        <f t="shared" si="2358"/>
        <v>2</v>
      </c>
      <c r="Y461" s="154">
        <f t="shared" si="2358"/>
        <v>3</v>
      </c>
      <c r="Z461" s="154">
        <f t="shared" si="2358"/>
        <v>4</v>
      </c>
      <c r="AA461" s="154">
        <f t="shared" si="2358"/>
        <v>4</v>
      </c>
      <c r="AB461" s="154">
        <f t="shared" si="2358"/>
        <v>4</v>
      </c>
      <c r="AC461" s="154">
        <f t="shared" si="2358"/>
        <v>5</v>
      </c>
      <c r="AD461" s="156">
        <f t="shared" si="2358"/>
        <v>5</v>
      </c>
      <c r="AE461" s="15"/>
      <c r="AF461" s="90">
        <f>AVERAGE(G461:R461)</f>
        <v>2.1666666666666665</v>
      </c>
      <c r="AG461" s="91">
        <f>AVERAGE(S461:AD461)</f>
        <v>3.4166666666666665</v>
      </c>
    </row>
    <row r="462" spans="2:34" x14ac:dyDescent="0.2">
      <c r="B462" s="9">
        <f>G455</f>
        <v>10</v>
      </c>
      <c r="C462" s="9" t="str">
        <f t="shared" ref="C462:C498" si="2359">B462&amp;" - "&amp;F462</f>
        <v>10 - Workdays in Month / Year</v>
      </c>
      <c r="D462" s="9" t="s">
        <v>56</v>
      </c>
      <c r="F462" s="7" t="s">
        <v>54</v>
      </c>
      <c r="G462" s="121">
        <v>22</v>
      </c>
      <c r="H462" s="124">
        <v>21</v>
      </c>
      <c r="I462" s="124">
        <v>24</v>
      </c>
      <c r="J462" s="122">
        <v>21</v>
      </c>
      <c r="K462" s="122">
        <v>23</v>
      </c>
      <c r="L462" s="122">
        <v>23</v>
      </c>
      <c r="M462" s="122">
        <v>22</v>
      </c>
      <c r="N462" s="122">
        <v>24</v>
      </c>
      <c r="O462" s="122">
        <v>22</v>
      </c>
      <c r="P462" s="122">
        <v>22</v>
      </c>
      <c r="Q462" s="122">
        <v>23</v>
      </c>
      <c r="R462" s="122">
        <v>22</v>
      </c>
      <c r="S462" s="121">
        <v>23</v>
      </c>
      <c r="T462" s="122">
        <v>22</v>
      </c>
      <c r="U462" s="122">
        <v>22</v>
      </c>
      <c r="V462" s="122">
        <v>22</v>
      </c>
      <c r="W462" s="122">
        <v>24</v>
      </c>
      <c r="X462" s="122">
        <v>21</v>
      </c>
      <c r="Y462" s="122">
        <v>23</v>
      </c>
      <c r="Z462" s="122">
        <v>23</v>
      </c>
      <c r="AA462" s="122">
        <v>21</v>
      </c>
      <c r="AB462" s="122">
        <v>24</v>
      </c>
      <c r="AC462" s="122">
        <v>22</v>
      </c>
      <c r="AD462" s="123">
        <v>22</v>
      </c>
      <c r="AE462" s="15"/>
      <c r="AF462" s="144">
        <v>269</v>
      </c>
      <c r="AG462" s="145">
        <v>269</v>
      </c>
    </row>
    <row r="463" spans="2:34" x14ac:dyDescent="0.2">
      <c r="B463" s="9">
        <f>G455</f>
        <v>10</v>
      </c>
      <c r="C463" s="9" t="str">
        <f t="shared" si="2359"/>
        <v>10 - Total Vet Days</v>
      </c>
      <c r="D463" s="9" t="s">
        <v>56</v>
      </c>
      <c r="F463" s="8" t="s">
        <v>51</v>
      </c>
      <c r="G463" s="125">
        <f>G461*G462</f>
        <v>22</v>
      </c>
      <c r="H463" s="126">
        <f t="shared" ref="H463" si="2360">H461*H462</f>
        <v>21</v>
      </c>
      <c r="I463" s="126">
        <f t="shared" ref="I463" si="2361">I461*I462</f>
        <v>24</v>
      </c>
      <c r="J463" s="127">
        <f t="shared" ref="J463" si="2362">J461*J462</f>
        <v>21</v>
      </c>
      <c r="K463" s="127">
        <f t="shared" ref="K463" si="2363">K461*K462</f>
        <v>23</v>
      </c>
      <c r="L463" s="127">
        <f t="shared" ref="L463" si="2364">L461*L462</f>
        <v>23</v>
      </c>
      <c r="M463" s="127">
        <f t="shared" ref="M463" si="2365">M461*M462</f>
        <v>44</v>
      </c>
      <c r="N463" s="127">
        <f t="shared" ref="N463" si="2366">N461*N462</f>
        <v>72</v>
      </c>
      <c r="O463" s="127">
        <f t="shared" ref="O463" si="2367">O461*O462</f>
        <v>66</v>
      </c>
      <c r="P463" s="127">
        <f t="shared" ref="P463" si="2368">P461*P462</f>
        <v>66</v>
      </c>
      <c r="Q463" s="127">
        <f t="shared" ref="Q463" si="2369">Q461*Q462</f>
        <v>92</v>
      </c>
      <c r="R463" s="127">
        <f t="shared" ref="R463" si="2370">R461*R462</f>
        <v>110</v>
      </c>
      <c r="S463" s="125">
        <f t="shared" ref="S463" si="2371">S461*S462</f>
        <v>92</v>
      </c>
      <c r="T463" s="127">
        <f t="shared" ref="T463" si="2372">T461*T462</f>
        <v>66</v>
      </c>
      <c r="U463" s="127">
        <f t="shared" ref="U463" si="2373">U461*U462</f>
        <v>66</v>
      </c>
      <c r="V463" s="127">
        <f t="shared" ref="V463" si="2374">V461*V462</f>
        <v>44</v>
      </c>
      <c r="W463" s="127">
        <f t="shared" ref="W463" si="2375">W461*W462</f>
        <v>48</v>
      </c>
      <c r="X463" s="127">
        <f t="shared" ref="X463" si="2376">X461*X462</f>
        <v>42</v>
      </c>
      <c r="Y463" s="127">
        <f t="shared" ref="Y463" si="2377">Y461*Y462</f>
        <v>69</v>
      </c>
      <c r="Z463" s="127">
        <f t="shared" ref="Z463" si="2378">Z461*Z462</f>
        <v>92</v>
      </c>
      <c r="AA463" s="127">
        <f t="shared" ref="AA463" si="2379">AA461*AA462</f>
        <v>84</v>
      </c>
      <c r="AB463" s="127">
        <f t="shared" ref="AB463" si="2380">AB461*AB462</f>
        <v>96</v>
      </c>
      <c r="AC463" s="127">
        <f t="shared" ref="AC463" si="2381">AC461*AC462</f>
        <v>110</v>
      </c>
      <c r="AD463" s="128">
        <f t="shared" ref="AD463" si="2382">AD461*AD462</f>
        <v>110</v>
      </c>
      <c r="AF463" s="119">
        <f>SUM(G463:R463)</f>
        <v>584</v>
      </c>
      <c r="AG463" s="120">
        <f>SUM(S463:AD463)</f>
        <v>919</v>
      </c>
    </row>
    <row r="464" spans="2:34" x14ac:dyDescent="0.2">
      <c r="B464" s="9">
        <f>G455</f>
        <v>10</v>
      </c>
      <c r="C464" s="9" t="str">
        <f t="shared" si="2359"/>
        <v>10 - Production per Vet Workday</v>
      </c>
      <c r="D464" s="9" t="s">
        <v>56</v>
      </c>
      <c r="F464" s="7" t="s">
        <v>50</v>
      </c>
      <c r="G464" s="129">
        <v>6.0011049388312427</v>
      </c>
      <c r="H464" s="130">
        <v>6.5088577665489025</v>
      </c>
      <c r="I464" s="130">
        <v>7.3133852005006634</v>
      </c>
      <c r="J464" s="130">
        <v>8.0700408197683515</v>
      </c>
      <c r="K464" s="130">
        <v>8.7024911259448388</v>
      </c>
      <c r="L464" s="130">
        <v>7.9932127078309421</v>
      </c>
      <c r="M464" s="130">
        <v>7.1040964119288788</v>
      </c>
      <c r="N464" s="130">
        <v>6.2071974241402863</v>
      </c>
      <c r="O464" s="130">
        <v>6.3360459923295753</v>
      </c>
      <c r="P464" s="130">
        <v>6.2381492465394306</v>
      </c>
      <c r="Q464" s="130">
        <v>5.3743874261540112</v>
      </c>
      <c r="R464" s="130">
        <v>4.4240823542470364</v>
      </c>
      <c r="S464" s="129">
        <v>6.1832771353200568</v>
      </c>
      <c r="T464" s="130">
        <v>6.8508507658405193</v>
      </c>
      <c r="U464" s="130">
        <v>7.2155854002630306</v>
      </c>
      <c r="V464" s="130">
        <v>8.5417432230032588</v>
      </c>
      <c r="W464" s="130">
        <v>8.8524438465084234</v>
      </c>
      <c r="X464" s="130">
        <v>8.0309354980169569</v>
      </c>
      <c r="Y464" s="130">
        <v>7.0918550250236558</v>
      </c>
      <c r="Z464" s="130">
        <v>6.3621308797203522</v>
      </c>
      <c r="AA464" s="130">
        <v>6.191496003236562</v>
      </c>
      <c r="AB464" s="130">
        <v>6.2848683932263594</v>
      </c>
      <c r="AC464" s="130">
        <v>5.1005888452130312</v>
      </c>
      <c r="AD464" s="131">
        <v>4.3980053403768196</v>
      </c>
      <c r="AE464" s="15"/>
      <c r="AF464" s="132">
        <v>6.6934553496197235</v>
      </c>
      <c r="AG464" s="133">
        <v>6.7656974864117432</v>
      </c>
    </row>
    <row r="465" spans="2:33" x14ac:dyDescent="0.2">
      <c r="B465" s="9">
        <f>G455</f>
        <v>10</v>
      </c>
      <c r="C465" s="9" t="str">
        <f t="shared" si="2359"/>
        <v>10 - Total Production</v>
      </c>
      <c r="D465" s="9" t="s">
        <v>56</v>
      </c>
      <c r="F465" s="8" t="s">
        <v>1</v>
      </c>
      <c r="G465" s="134">
        <f>G464*G463</f>
        <v>132.02430865428735</v>
      </c>
      <c r="H465" s="135">
        <f t="shared" ref="H465" si="2383">H464*H463</f>
        <v>136.68601309752694</v>
      </c>
      <c r="I465" s="135">
        <f t="shared" ref="I465" si="2384">I464*I463</f>
        <v>175.52124481201594</v>
      </c>
      <c r="J465" s="135">
        <f t="shared" ref="J465" si="2385">J464*J463</f>
        <v>169.47085721513537</v>
      </c>
      <c r="K465" s="135">
        <f t="shared" ref="K465" si="2386">K464*K463</f>
        <v>200.15729589673128</v>
      </c>
      <c r="L465" s="135">
        <f t="shared" ref="L465" si="2387">L464*L463</f>
        <v>183.84389228011167</v>
      </c>
      <c r="M465" s="135">
        <f t="shared" ref="M465" si="2388">M464*M463</f>
        <v>312.58024212487067</v>
      </c>
      <c r="N465" s="135">
        <f t="shared" ref="N465" si="2389">N464*N463</f>
        <v>446.91821453810064</v>
      </c>
      <c r="O465" s="135">
        <f t="shared" ref="O465" si="2390">O464*O463</f>
        <v>418.179035493752</v>
      </c>
      <c r="P465" s="135">
        <f t="shared" ref="P465" si="2391">P464*P463</f>
        <v>411.7178502716024</v>
      </c>
      <c r="Q465" s="135">
        <f t="shared" ref="Q465" si="2392">Q464*Q463</f>
        <v>494.44364320616904</v>
      </c>
      <c r="R465" s="135">
        <f t="shared" ref="R465" si="2393">R464*R463</f>
        <v>486.64905896717403</v>
      </c>
      <c r="S465" s="134">
        <f t="shared" ref="S465" si="2394">S464*S463</f>
        <v>568.86149644944521</v>
      </c>
      <c r="T465" s="135">
        <f t="shared" ref="T465" si="2395">T464*T463</f>
        <v>452.15615054547425</v>
      </c>
      <c r="U465" s="135">
        <f t="shared" ref="U465" si="2396">U464*U463</f>
        <v>476.22863641736001</v>
      </c>
      <c r="V465" s="135">
        <f t="shared" ref="V465" si="2397">V464*V463</f>
        <v>375.83670181214336</v>
      </c>
      <c r="W465" s="135">
        <f t="shared" ref="W465" si="2398">W464*W463</f>
        <v>424.91730463240435</v>
      </c>
      <c r="X465" s="135">
        <f t="shared" ref="X465" si="2399">X464*X463</f>
        <v>337.29929091671221</v>
      </c>
      <c r="Y465" s="135">
        <f t="shared" ref="Y465" si="2400">Y464*Y463</f>
        <v>489.33799672663224</v>
      </c>
      <c r="Z465" s="135">
        <f t="shared" ref="Z465" si="2401">Z464*Z463</f>
        <v>585.31604093427245</v>
      </c>
      <c r="AA465" s="135">
        <f t="shared" ref="AA465" si="2402">AA464*AA463</f>
        <v>520.08566427187122</v>
      </c>
      <c r="AB465" s="135">
        <f t="shared" ref="AB465" si="2403">AB464*AB463</f>
        <v>603.34736574973044</v>
      </c>
      <c r="AC465" s="135">
        <f t="shared" ref="AC465" si="2404">AC464*AC463</f>
        <v>561.06477297343349</v>
      </c>
      <c r="AD465" s="136">
        <f t="shared" ref="AD465" si="2405">AD464*AD463</f>
        <v>483.78058744145017</v>
      </c>
      <c r="AE465" s="15"/>
      <c r="AF465" s="94">
        <f>SUM(G465:R465)</f>
        <v>3568.191656557477</v>
      </c>
      <c r="AG465" s="95">
        <f>SUM(S465:AD465)</f>
        <v>5878.2320088709293</v>
      </c>
    </row>
    <row r="466" spans="2:33" x14ac:dyDescent="0.2">
      <c r="B466" s="9">
        <f>G455</f>
        <v>10</v>
      </c>
      <c r="C466" s="9" t="str">
        <f t="shared" si="2359"/>
        <v>10 - Revenue as a % of Production</v>
      </c>
      <c r="D466" s="9" t="s">
        <v>56</v>
      </c>
      <c r="F466" s="7" t="s">
        <v>2</v>
      </c>
      <c r="G466" s="137">
        <v>0.97788075142514974</v>
      </c>
      <c r="H466" s="138">
        <v>0.97788075142514974</v>
      </c>
      <c r="I466" s="138">
        <v>0.97788075142514974</v>
      </c>
      <c r="J466" s="138">
        <v>0.97788075142514974</v>
      </c>
      <c r="K466" s="138">
        <v>0.97788075142514974</v>
      </c>
      <c r="L466" s="138">
        <v>0.97788075142514974</v>
      </c>
      <c r="M466" s="138">
        <v>0.97788075142514974</v>
      </c>
      <c r="N466" s="138">
        <v>0.97788075142514974</v>
      </c>
      <c r="O466" s="138">
        <v>0.97788075142514974</v>
      </c>
      <c r="P466" s="138">
        <v>0.97788075142514974</v>
      </c>
      <c r="Q466" s="138">
        <v>0.97788075142514974</v>
      </c>
      <c r="R466" s="138">
        <v>0.97788075142514974</v>
      </c>
      <c r="S466" s="137">
        <v>0.99133429502405157</v>
      </c>
      <c r="T466" s="138">
        <v>0.99133429502405157</v>
      </c>
      <c r="U466" s="138">
        <v>0.99133429502405157</v>
      </c>
      <c r="V466" s="138">
        <v>0.99133429502405157</v>
      </c>
      <c r="W466" s="138">
        <v>0.99133429502405157</v>
      </c>
      <c r="X466" s="138">
        <v>0.99133429502405157</v>
      </c>
      <c r="Y466" s="138">
        <v>0.99133429502405157</v>
      </c>
      <c r="Z466" s="138">
        <v>0.99133429502405157</v>
      </c>
      <c r="AA466" s="138">
        <v>0.99133429502405157</v>
      </c>
      <c r="AB466" s="138">
        <v>0.99133429502405157</v>
      </c>
      <c r="AC466" s="138">
        <v>0.99133429502405157</v>
      </c>
      <c r="AD466" s="139">
        <v>0.99133429502405157</v>
      </c>
      <c r="AE466" s="15"/>
      <c r="AF466" s="161">
        <v>0.97788075142514985</v>
      </c>
      <c r="AG466" s="162">
        <v>0.99133429502405146</v>
      </c>
    </row>
    <row r="467" spans="2:33" x14ac:dyDescent="0.2">
      <c r="B467" s="9">
        <f>G455</f>
        <v>10</v>
      </c>
      <c r="C467" s="9" t="str">
        <f t="shared" si="2359"/>
        <v>10 - Total Revenue</v>
      </c>
      <c r="D467" s="9" t="s">
        <v>56</v>
      </c>
      <c r="F467" s="8" t="s">
        <v>3</v>
      </c>
      <c r="G467" s="134">
        <f>G466*G465</f>
        <v>129.10403015324042</v>
      </c>
      <c r="H467" s="135">
        <f t="shared" ref="H467" si="2406">H466*H465</f>
        <v>133.66262119711749</v>
      </c>
      <c r="I467" s="135">
        <f t="shared" ref="I467" si="2407">I466*I465</f>
        <v>171.63884676785182</v>
      </c>
      <c r="J467" s="135">
        <f t="shared" ref="J467" si="2408">J466*J465</f>
        <v>165.72228919820083</v>
      </c>
      <c r="K467" s="135">
        <f t="shared" ref="K467" si="2409">K466*K465</f>
        <v>195.72996691472164</v>
      </c>
      <c r="L467" s="135">
        <f t="shared" ref="L467" si="2410">L466*L465</f>
        <v>179.77740352779989</v>
      </c>
      <c r="M467" s="135">
        <f t="shared" ref="M467" si="2411">M466*M465</f>
        <v>305.66620204972378</v>
      </c>
      <c r="N467" s="135">
        <f t="shared" ref="N467" si="2412">N466*N465</f>
        <v>437.03271945810411</v>
      </c>
      <c r="O467" s="135">
        <f t="shared" ref="O467" si="2413">O466*O465</f>
        <v>408.92922945887454</v>
      </c>
      <c r="P467" s="135">
        <f t="shared" ref="P467" si="2414">P466*P465</f>
        <v>402.61096079874187</v>
      </c>
      <c r="Q467" s="135">
        <f t="shared" ref="Q467" si="2415">Q466*Q465</f>
        <v>483.50692135583722</v>
      </c>
      <c r="R467" s="135">
        <f t="shared" ref="R467" si="2416">R466*R465</f>
        <v>475.88474746316217</v>
      </c>
      <c r="S467" s="134">
        <f t="shared" ref="S467" si="2417">S466*S465</f>
        <v>563.93191054903775</v>
      </c>
      <c r="T467" s="135">
        <f t="shared" ref="T467" si="2418">T466*T465</f>
        <v>448.23789874178664</v>
      </c>
      <c r="U467" s="135">
        <f t="shared" ref="U467" si="2419">U466*U465</f>
        <v>472.10177955306898</v>
      </c>
      <c r="V467" s="135">
        <f t="shared" ref="V467" si="2420">V466*V465</f>
        <v>372.57981183510583</v>
      </c>
      <c r="W467" s="135">
        <f t="shared" ref="W467" si="2421">W466*W465</f>
        <v>421.2350966312847</v>
      </c>
      <c r="X467" s="135">
        <f t="shared" ref="X467" si="2422">X466*X465</f>
        <v>334.37635477303138</v>
      </c>
      <c r="Y467" s="135">
        <f t="shared" ref="Y467" si="2423">Y466*Y465</f>
        <v>485.09753801347762</v>
      </c>
      <c r="Z467" s="135">
        <f t="shared" ref="Z467" si="2424">Z466*Z465</f>
        <v>580.24386480584587</v>
      </c>
      <c r="AA467" s="135">
        <f t="shared" ref="AA467" si="2425">AA466*AA465</f>
        <v>515.57875534307107</v>
      </c>
      <c r="AB467" s="135">
        <f t="shared" ref="AB467" si="2426">AB466*AB465</f>
        <v>598.11893548012767</v>
      </c>
      <c r="AC467" s="135">
        <f t="shared" ref="AC467" si="2427">AC466*AC465</f>
        <v>556.20275117844824</v>
      </c>
      <c r="AD467" s="136">
        <f t="shared" ref="AD467" si="2428">AD466*AD465</f>
        <v>479.58828759759155</v>
      </c>
      <c r="AE467" s="15"/>
      <c r="AF467" s="94">
        <f>SUM(G467:R467)</f>
        <v>3489.2659383433756</v>
      </c>
      <c r="AG467" s="95">
        <f>SUM(S467:AD467)</f>
        <v>5827.292984501878</v>
      </c>
    </row>
    <row r="468" spans="2:33" x14ac:dyDescent="0.2">
      <c r="B468" s="9">
        <f>G455</f>
        <v>10</v>
      </c>
      <c r="C468" s="9" t="str">
        <f t="shared" si="2359"/>
        <v>10 - % YoY Revenue Growth</v>
      </c>
      <c r="D468" s="9" t="s">
        <v>56</v>
      </c>
      <c r="F468" s="16" t="s">
        <v>174</v>
      </c>
      <c r="G468" s="82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148">
        <f>S467/G467-1</f>
        <v>3.3680426542817994</v>
      </c>
      <c r="T468" s="149">
        <f t="shared" ref="T468" si="2429">T467/H467-1</f>
        <v>2.3535022336630127</v>
      </c>
      <c r="U468" s="149">
        <f t="shared" ref="U468" si="2430">U467/I467-1</f>
        <v>1.7505532019310577</v>
      </c>
      <c r="V468" s="149">
        <f t="shared" ref="V468" si="2431">V467/J467-1</f>
        <v>1.2482178688076604</v>
      </c>
      <c r="W468" s="149">
        <f t="shared" ref="W468" si="2432">W467/K467-1</f>
        <v>1.1521236797368606</v>
      </c>
      <c r="X468" s="149">
        <f t="shared" ref="X468" si="2433">X467/L467-1</f>
        <v>0.85994651280701739</v>
      </c>
      <c r="Y468" s="149">
        <f t="shared" ref="Y468" si="2434">Y467/M467-1</f>
        <v>0.58701725856679809</v>
      </c>
      <c r="Z468" s="149">
        <f t="shared" ref="Z468" si="2435">Z467/N467-1</f>
        <v>0.32768975633063691</v>
      </c>
      <c r="AA468" s="149">
        <f t="shared" ref="AA468" si="2436">AA467/O467-1</f>
        <v>0.26080191436871147</v>
      </c>
      <c r="AB468" s="149">
        <f t="shared" ref="AB468" si="2437">AB467/P467-1</f>
        <v>0.48560022880032028</v>
      </c>
      <c r="AC468" s="149">
        <f t="shared" ref="AC468" si="2438">AC467/Q467-1</f>
        <v>0.15035116688455941</v>
      </c>
      <c r="AD468" s="150">
        <f t="shared" ref="AD468" si="2439">AD467/R467-1</f>
        <v>7.7824308389209396E-3</v>
      </c>
      <c r="AE468" s="15"/>
      <c r="AF468" s="11"/>
      <c r="AG468" s="97">
        <f>AG467/AF467-1</f>
        <v>0.67006272593499849</v>
      </c>
    </row>
    <row r="469" spans="2:33" ht="6" customHeight="1" x14ac:dyDescent="0.2">
      <c r="B469" s="9">
        <f>G455</f>
        <v>10</v>
      </c>
      <c r="C469" s="9" t="str">
        <f t="shared" si="2359"/>
        <v xml:space="preserve">10 - </v>
      </c>
      <c r="D469" s="9" t="s">
        <v>56</v>
      </c>
      <c r="G469" s="11"/>
      <c r="S469" s="11"/>
      <c r="AD469" s="15"/>
      <c r="AE469" s="15"/>
      <c r="AF469" s="11"/>
      <c r="AG469" s="15"/>
    </row>
    <row r="470" spans="2:33" x14ac:dyDescent="0.2">
      <c r="B470" s="9">
        <f>G455</f>
        <v>10</v>
      </c>
      <c r="C470" s="9" t="str">
        <f t="shared" si="2359"/>
        <v>10 - Doctor Compensation</v>
      </c>
      <c r="D470" s="9" t="s">
        <v>56</v>
      </c>
      <c r="F470" t="s">
        <v>4</v>
      </c>
      <c r="G470" s="144">
        <v>-42.812422247316228</v>
      </c>
      <c r="H470" s="70">
        <v>-43.702290342149254</v>
      </c>
      <c r="I470" s="70">
        <v>-56.056150724302476</v>
      </c>
      <c r="J470" s="70">
        <v>-53.207889476627976</v>
      </c>
      <c r="K470" s="70">
        <v>-64.529527343354815</v>
      </c>
      <c r="L470" s="70">
        <v>-58.612558915138791</v>
      </c>
      <c r="M470" s="70">
        <v>-51.199922708534793</v>
      </c>
      <c r="N470" s="70">
        <v>-109.16272489896301</v>
      </c>
      <c r="O470" s="70">
        <v>-104.82345062610261</v>
      </c>
      <c r="P470" s="70">
        <v>-101.85187151248859</v>
      </c>
      <c r="Q470" s="70">
        <v>-93.04853028488202</v>
      </c>
      <c r="R470" s="70">
        <v>-71.414670505904311</v>
      </c>
      <c r="S470" s="144">
        <v>-103.09888484093301</v>
      </c>
      <c r="T470" s="70">
        <v>-107.13494152951004</v>
      </c>
      <c r="U470" s="70">
        <v>-112.87275382592969</v>
      </c>
      <c r="V470" s="70">
        <v>-136.95581800591503</v>
      </c>
      <c r="W470" s="70">
        <v>-155.52116803471029</v>
      </c>
      <c r="X470" s="70">
        <v>-120.70768529589898</v>
      </c>
      <c r="Y470" s="70">
        <v>-116.14630269957016</v>
      </c>
      <c r="Z470" s="70">
        <v>-106.05907068792585</v>
      </c>
      <c r="AA470" s="70">
        <v>-139.51245534701306</v>
      </c>
      <c r="AB470" s="70">
        <v>-159.31256176598828</v>
      </c>
      <c r="AC470" s="70">
        <v>-119.21161415075925</v>
      </c>
      <c r="AD470" s="145">
        <v>-102.92040456957457</v>
      </c>
      <c r="AE470" s="15"/>
      <c r="AF470" s="92">
        <f>SUM(G470:R470)</f>
        <v>-850.42200958576495</v>
      </c>
      <c r="AG470" s="93">
        <f>SUM(S470:AD470)</f>
        <v>-1479.4536607537282</v>
      </c>
    </row>
    <row r="471" spans="2:33" x14ac:dyDescent="0.2">
      <c r="B471" s="9">
        <f>G455</f>
        <v>10</v>
      </c>
      <c r="C471" s="9" t="str">
        <f t="shared" si="2359"/>
        <v>10 - % of Revenue - Doctor Compensation</v>
      </c>
      <c r="D471" s="9" t="s">
        <v>56</v>
      </c>
      <c r="F471" s="16" t="str">
        <f>"% of Revenue - "&amp;F470</f>
        <v>% of Revenue - Doctor Compensation</v>
      </c>
      <c r="G471" s="148">
        <f>G470/G467</f>
        <v>-0.33161181875190027</v>
      </c>
      <c r="H471" s="149">
        <f t="shared" ref="H471" si="2440">H470/H467</f>
        <v>-0.32695969861087626</v>
      </c>
      <c r="I471" s="149">
        <f t="shared" ref="I471" si="2441">I470/I467</f>
        <v>-0.32659361082820948</v>
      </c>
      <c r="J471" s="149">
        <f t="shared" ref="J471" si="2442">J470/J467</f>
        <v>-0.32106658515314324</v>
      </c>
      <c r="K471" s="149">
        <f t="shared" ref="K471" si="2443">K470/K467</f>
        <v>-0.32968649798765837</v>
      </c>
      <c r="L471" s="149">
        <f t="shared" ref="L471" si="2444">L470/L467</f>
        <v>-0.32602850950662016</v>
      </c>
      <c r="M471" s="149">
        <f t="shared" ref="M471" si="2445">M470/M467</f>
        <v>-0.1675027280255405</v>
      </c>
      <c r="N471" s="149">
        <f t="shared" ref="N471" si="2446">N470/N467</f>
        <v>-0.24978158393796834</v>
      </c>
      <c r="O471" s="149">
        <f t="shared" ref="O471" si="2447">O470/O467</f>
        <v>-0.25633641000623203</v>
      </c>
      <c r="P471" s="149">
        <f t="shared" ref="P471" si="2448">P470/P467</f>
        <v>-0.25297838715176596</v>
      </c>
      <c r="Q471" s="149">
        <f t="shared" ref="Q471" si="2449">Q470/Q467</f>
        <v>-0.19244508439291377</v>
      </c>
      <c r="R471" s="149">
        <f t="shared" ref="R471" si="2450">R470/R467</f>
        <v>-0.15006715572751669</v>
      </c>
      <c r="S471" s="148">
        <f t="shared" ref="S471" si="2451">S470/S467</f>
        <v>-0.18282151251302148</v>
      </c>
      <c r="T471" s="149">
        <f t="shared" ref="T471" si="2452">T470/T467</f>
        <v>-0.23901357254761393</v>
      </c>
      <c r="U471" s="149">
        <f t="shared" ref="U471" si="2453">U470/U467</f>
        <v>-0.23908563516279155</v>
      </c>
      <c r="V471" s="149">
        <f t="shared" ref="V471" si="2454">V470/V467</f>
        <v>-0.36758786615772981</v>
      </c>
      <c r="W471" s="149">
        <f t="shared" ref="W471" si="2455">W470/W467</f>
        <v>-0.36920277839726395</v>
      </c>
      <c r="X471" s="149">
        <f t="shared" ref="X471" si="2456">X470/X467</f>
        <v>-0.36099348405730775</v>
      </c>
      <c r="Y471" s="149">
        <f t="shared" ref="Y471" si="2457">Y470/Y467</f>
        <v>-0.23942876143053776</v>
      </c>
      <c r="Z471" s="149">
        <f t="shared" ref="Z471" si="2458">Z470/Z467</f>
        <v>-0.18278361413336794</v>
      </c>
      <c r="AA471" s="149">
        <f t="shared" ref="AA471" si="2459">AA470/AA467</f>
        <v>-0.27059387901695081</v>
      </c>
      <c r="AB471" s="149">
        <f t="shared" ref="AB471" si="2460">AB470/AB467</f>
        <v>-0.26635599095036744</v>
      </c>
      <c r="AC471" s="149">
        <f t="shared" ref="AC471" si="2461">AC470/AC467</f>
        <v>-0.2143312198621474</v>
      </c>
      <c r="AD471" s="150">
        <f t="shared" ref="AD471" si="2462">AD470/AD467</f>
        <v>-0.21460158062894993</v>
      </c>
      <c r="AE471" s="15"/>
      <c r="AF471" s="96">
        <f t="shared" ref="AF471" si="2463">AF470/AF467</f>
        <v>-0.2437251916629565</v>
      </c>
      <c r="AG471" s="97">
        <f t="shared" ref="AG471" si="2464">AG470/AG467</f>
        <v>-0.25388352099138417</v>
      </c>
    </row>
    <row r="472" spans="2:33" ht="3" customHeight="1" x14ac:dyDescent="0.2">
      <c r="B472" s="9">
        <f>G455</f>
        <v>10</v>
      </c>
      <c r="C472" s="9" t="str">
        <f t="shared" si="2359"/>
        <v xml:space="preserve">10 - </v>
      </c>
      <c r="D472" s="9" t="s">
        <v>56</v>
      </c>
      <c r="F472" s="16"/>
      <c r="G472" s="36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6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8"/>
      <c r="AE472" s="15"/>
      <c r="AF472" s="36"/>
      <c r="AG472" s="38"/>
    </row>
    <row r="473" spans="2:33" x14ac:dyDescent="0.2">
      <c r="B473" s="9">
        <f>G455</f>
        <v>10</v>
      </c>
      <c r="C473" s="9" t="str">
        <f t="shared" si="2359"/>
        <v>10 - Administrative Staff Compensation</v>
      </c>
      <c r="D473" s="9" t="s">
        <v>56</v>
      </c>
      <c r="F473" t="s">
        <v>5</v>
      </c>
      <c r="G473" s="144">
        <v>-22.068036902481708</v>
      </c>
      <c r="H473" s="70">
        <v>-22.774984361348121</v>
      </c>
      <c r="I473" s="70">
        <v>-30.596973700425007</v>
      </c>
      <c r="J473" s="70">
        <v>-28.123437794364328</v>
      </c>
      <c r="K473" s="70">
        <v>-35.083075576789305</v>
      </c>
      <c r="L473" s="70">
        <v>-31.792051357181773</v>
      </c>
      <c r="M473" s="70">
        <v>-26.842876528520446</v>
      </c>
      <c r="N473" s="70">
        <v>-27.009609502989665</v>
      </c>
      <c r="O473" s="70">
        <v>-25.456345948643726</v>
      </c>
      <c r="P473" s="70">
        <v>-23.814776798940056</v>
      </c>
      <c r="Q473" s="70">
        <v>-20.951081087872996</v>
      </c>
      <c r="R473" s="70">
        <v>-16.865874079740038</v>
      </c>
      <c r="S473" s="144">
        <v>-50.690888569464732</v>
      </c>
      <c r="T473" s="70">
        <v>-50.896693413774742</v>
      </c>
      <c r="U473" s="70">
        <v>-55.245308735313493</v>
      </c>
      <c r="V473" s="70">
        <v>-65.135996772058022</v>
      </c>
      <c r="W473" s="70">
        <v>-70.894904170046175</v>
      </c>
      <c r="X473" s="70">
        <v>-57.1947385848989</v>
      </c>
      <c r="Y473" s="70">
        <v>-55.817621947409499</v>
      </c>
      <c r="Z473" s="70">
        <v>-58.636132525184955</v>
      </c>
      <c r="AA473" s="70">
        <v>-53.955295251821063</v>
      </c>
      <c r="AB473" s="70">
        <v>-65.689805520000562</v>
      </c>
      <c r="AC473" s="70">
        <v>-49.157859413659885</v>
      </c>
      <c r="AD473" s="145">
        <v>-44.446413700042363</v>
      </c>
      <c r="AE473" s="15"/>
      <c r="AF473" s="92">
        <f>SUM(G473:R473)</f>
        <v>-311.37912363929712</v>
      </c>
      <c r="AG473" s="93">
        <f>SUM(S473:AD473)</f>
        <v>-677.76165860367462</v>
      </c>
    </row>
    <row r="474" spans="2:33" x14ac:dyDescent="0.2">
      <c r="B474" s="9">
        <f>G455</f>
        <v>10</v>
      </c>
      <c r="C474" s="9" t="str">
        <f t="shared" si="2359"/>
        <v>10 - % of Revenue - Administrative Staff Compensation</v>
      </c>
      <c r="D474" s="9" t="s">
        <v>56</v>
      </c>
      <c r="F474" s="16" t="str">
        <f>"% of Revenue - "&amp;F473</f>
        <v>% of Revenue - Administrative Staff Compensation</v>
      </c>
      <c r="G474" s="148">
        <f>G473/G467</f>
        <v>-0.17093220774198906</v>
      </c>
      <c r="H474" s="149">
        <f t="shared" ref="H474" si="2465">H473/H467</f>
        <v>-0.17039157363045396</v>
      </c>
      <c r="I474" s="149">
        <f t="shared" ref="I474" si="2466">I473/I467</f>
        <v>-0.17826368725145653</v>
      </c>
      <c r="J474" s="149">
        <f t="shared" ref="J474" si="2467">J473/J467</f>
        <v>-0.1697022043952652</v>
      </c>
      <c r="K474" s="149">
        <f t="shared" ref="K474" si="2468">K473/K467</f>
        <v>-0.17924222912720764</v>
      </c>
      <c r="L474" s="149">
        <f t="shared" ref="L474" si="2469">L473/L467</f>
        <v>-0.17684119768848261</v>
      </c>
      <c r="M474" s="149">
        <f t="shared" ref="M474" si="2470">M473/M467</f>
        <v>-8.78176139478902E-2</v>
      </c>
      <c r="N474" s="149">
        <f t="shared" ref="N474" si="2471">N473/N467</f>
        <v>-6.1802259420027074E-2</v>
      </c>
      <c r="O474" s="149">
        <f t="shared" ref="O474" si="2472">O473/O467</f>
        <v>-6.2251226165293806E-2</v>
      </c>
      <c r="P474" s="149">
        <f t="shared" ref="P474" si="2473">P473/P467</f>
        <v>-5.9150840681768332E-2</v>
      </c>
      <c r="Q474" s="149">
        <f t="shared" ref="Q474" si="2474">Q473/Q467</f>
        <v>-4.3331501913400815E-2</v>
      </c>
      <c r="R474" s="149">
        <f t="shared" ref="R474" si="2475">R473/R467</f>
        <v>-3.5441089821954444E-2</v>
      </c>
      <c r="S474" s="148">
        <f t="shared" ref="S474" si="2476">S473/S467</f>
        <v>-8.9888313857097848E-2</v>
      </c>
      <c r="T474" s="149">
        <f t="shared" ref="T474" si="2477">T473/T467</f>
        <v>-0.11354839373610051</v>
      </c>
      <c r="U474" s="149">
        <f t="shared" ref="U474" si="2478">U473/U467</f>
        <v>-0.11701991207830931</v>
      </c>
      <c r="V474" s="149">
        <f t="shared" ref="V474" si="2479">V473/V467</f>
        <v>-0.17482427845791473</v>
      </c>
      <c r="W474" s="149">
        <f t="shared" ref="W474" si="2480">W473/W467</f>
        <v>-0.16830246277437291</v>
      </c>
      <c r="X474" s="149">
        <f t="shared" ref="X474" si="2481">X473/X467</f>
        <v>-0.17104899245558691</v>
      </c>
      <c r="Y474" s="149">
        <f t="shared" ref="Y474" si="2482">Y473/Y467</f>
        <v>-0.11506473971397212</v>
      </c>
      <c r="Z474" s="149">
        <f t="shared" ref="Z474" si="2483">Z473/Z467</f>
        <v>-0.10105429127597078</v>
      </c>
      <c r="AA474" s="149">
        <f t="shared" ref="AA474" si="2484">AA473/AA467</f>
        <v>-0.10464995830931531</v>
      </c>
      <c r="AB474" s="149">
        <f t="shared" ref="AB474" si="2485">AB473/AB467</f>
        <v>-0.10982732968865033</v>
      </c>
      <c r="AC474" s="149">
        <f t="shared" ref="AC474" si="2486">AC473/AC467</f>
        <v>-8.8381187093208788E-2</v>
      </c>
      <c r="AD474" s="150">
        <f t="shared" ref="AD474" si="2487">AD473/AD467</f>
        <v>-9.2676186740690475E-2</v>
      </c>
      <c r="AE474" s="15"/>
      <c r="AF474" s="96">
        <f t="shared" ref="AF474" si="2488">AF473/AF467</f>
        <v>-8.9239149191114073E-2</v>
      </c>
      <c r="AG474" s="97">
        <f t="shared" ref="AG474" si="2489">AG473/AG467</f>
        <v>-0.11630814863886757</v>
      </c>
    </row>
    <row r="475" spans="2:33" ht="3" customHeight="1" x14ac:dyDescent="0.2">
      <c r="B475" s="9">
        <f>G455</f>
        <v>10</v>
      </c>
      <c r="C475" s="9" t="str">
        <f t="shared" si="2359"/>
        <v xml:space="preserve">10 - </v>
      </c>
      <c r="D475" s="9" t="s">
        <v>56</v>
      </c>
      <c r="F475" s="16"/>
      <c r="G475" s="36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6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8"/>
      <c r="AE475" s="15"/>
      <c r="AF475" s="36"/>
      <c r="AG475" s="38"/>
    </row>
    <row r="476" spans="2:33" x14ac:dyDescent="0.2">
      <c r="B476" s="9">
        <f>G455</f>
        <v>10</v>
      </c>
      <c r="C476" s="9" t="str">
        <f t="shared" si="2359"/>
        <v>10 - Office Supplies</v>
      </c>
      <c r="D476" s="9" t="s">
        <v>56</v>
      </c>
      <c r="F476" t="s">
        <v>6</v>
      </c>
      <c r="G476" s="144">
        <v>-12.871514523381764</v>
      </c>
      <c r="H476" s="70">
        <v>-13.064406621559977</v>
      </c>
      <c r="I476" s="70">
        <v>-17.509106063051142</v>
      </c>
      <c r="J476" s="70">
        <v>-17.632931969164456</v>
      </c>
      <c r="K476" s="70">
        <v>-20.901047699103646</v>
      </c>
      <c r="L476" s="70">
        <v>-19.585558966042409</v>
      </c>
      <c r="M476" s="70">
        <v>-16.16111818525868</v>
      </c>
      <c r="N476" s="70">
        <v>-15.265349758256491</v>
      </c>
      <c r="O476" s="70">
        <v>-13.922444315443544</v>
      </c>
      <c r="P476" s="70">
        <v>-13.9726296991529</v>
      </c>
      <c r="Q476" s="70">
        <v>-12.205683723694813</v>
      </c>
      <c r="R476" s="70">
        <v>-9.5722209939972416</v>
      </c>
      <c r="S476" s="144">
        <v>-19.48850221848204</v>
      </c>
      <c r="T476" s="70">
        <v>-21.174398416764568</v>
      </c>
      <c r="U476" s="70">
        <v>-23.283876526479084</v>
      </c>
      <c r="V476" s="70">
        <v>-27.817289813944033</v>
      </c>
      <c r="W476" s="70">
        <v>-31.007240084300566</v>
      </c>
      <c r="X476" s="70">
        <v>-25.107312676411784</v>
      </c>
      <c r="Y476" s="70">
        <v>-24.50739947341048</v>
      </c>
      <c r="Z476" s="70">
        <v>-21.937835677012966</v>
      </c>
      <c r="AA476" s="70">
        <v>-19.446833231650974</v>
      </c>
      <c r="AB476" s="70">
        <v>-22.579749428654345</v>
      </c>
      <c r="AC476" s="70">
        <v>-16.606363212279188</v>
      </c>
      <c r="AD476" s="145">
        <v>-14.925516526888684</v>
      </c>
      <c r="AE476" s="15"/>
      <c r="AF476" s="92">
        <f>SUM(G476:R476)</f>
        <v>-182.66401251810706</v>
      </c>
      <c r="AG476" s="93">
        <f>SUM(S476:AD476)</f>
        <v>-267.88231728627869</v>
      </c>
    </row>
    <row r="477" spans="2:33" x14ac:dyDescent="0.2">
      <c r="B477" s="9">
        <f>G455</f>
        <v>10</v>
      </c>
      <c r="C477" s="9" t="str">
        <f t="shared" si="2359"/>
        <v>10 - % of Revenue - Office Supplies</v>
      </c>
      <c r="D477" s="9" t="s">
        <v>56</v>
      </c>
      <c r="F477" s="16" t="str">
        <f>"% of Revenue - "&amp;F476</f>
        <v>% of Revenue - Office Supplies</v>
      </c>
      <c r="G477" s="148">
        <f>G476/G467</f>
        <v>-9.9698781735193559E-2</v>
      </c>
      <c r="H477" s="149">
        <f t="shared" ref="H477" si="2490">H476/H467</f>
        <v>-9.774166109082498E-2</v>
      </c>
      <c r="I477" s="149">
        <f t="shared" ref="I477" si="2491">I476/I467</f>
        <v>-0.10201132431711619</v>
      </c>
      <c r="J477" s="149">
        <f t="shared" ref="J477" si="2492">J476/J467</f>
        <v>-0.10640048513978582</v>
      </c>
      <c r="K477" s="149">
        <f t="shared" ref="K477" si="2493">K476/K467</f>
        <v>-0.10678511843927356</v>
      </c>
      <c r="L477" s="149">
        <f t="shared" ref="L477" si="2494">L476/L467</f>
        <v>-0.10894338544061682</v>
      </c>
      <c r="M477" s="149">
        <f t="shared" ref="M477" si="2495">M476/M467</f>
        <v>-5.2871786533434578E-2</v>
      </c>
      <c r="N477" s="149">
        <f t="shared" ref="N477" si="2496">N476/N467</f>
        <v>-3.4929535200899059E-2</v>
      </c>
      <c r="O477" s="149">
        <f t="shared" ref="O477" si="2497">O476/O467</f>
        <v>-3.4046097252247665E-2</v>
      </c>
      <c r="P477" s="149">
        <f t="shared" ref="P477" si="2498">P476/P467</f>
        <v>-3.4705040497239645E-2</v>
      </c>
      <c r="Q477" s="149">
        <f t="shared" ref="Q477" si="2499">Q476/Q467</f>
        <v>-2.5244072389838723E-2</v>
      </c>
      <c r="R477" s="149">
        <f t="shared" ref="R477" si="2500">R476/R467</f>
        <v>-2.0114578256657027E-2</v>
      </c>
      <c r="S477" s="148">
        <f t="shared" ref="S477" si="2501">S476/S467</f>
        <v>-3.4558254026639944E-2</v>
      </c>
      <c r="T477" s="149">
        <f t="shared" ref="T477" si="2502">T476/T467</f>
        <v>-4.7239197033989218E-2</v>
      </c>
      <c r="U477" s="149">
        <f t="shared" ref="U477" si="2503">U476/U467</f>
        <v>-4.9319611861072726E-2</v>
      </c>
      <c r="V477" s="149">
        <f t="shared" ref="V477" si="2504">V476/V467</f>
        <v>-7.4661291165865007E-2</v>
      </c>
      <c r="W477" s="149">
        <f t="shared" ref="W477" si="2505">W476/W467</f>
        <v>-7.3610295847313517E-2</v>
      </c>
      <c r="X477" s="149">
        <f t="shared" ref="X477" si="2506">X476/X467</f>
        <v>-7.5086986020450441E-2</v>
      </c>
      <c r="Y477" s="149">
        <f t="shared" ref="Y477" si="2507">Y476/Y467</f>
        <v>-5.0520560408883343E-2</v>
      </c>
      <c r="Z477" s="149">
        <f t="shared" ref="Z477" si="2508">Z476/Z467</f>
        <v>-3.7807958011505279E-2</v>
      </c>
      <c r="AA477" s="149">
        <f t="shared" ref="AA477" si="2509">AA476/AA467</f>
        <v>-3.7718453349985033E-2</v>
      </c>
      <c r="AB477" s="149">
        <f t="shared" ref="AB477" si="2510">AB476/AB467</f>
        <v>-3.7751270005402716E-2</v>
      </c>
      <c r="AC477" s="149">
        <f t="shared" ref="AC477" si="2511">AC476/AC467</f>
        <v>-2.9856672188504362E-2</v>
      </c>
      <c r="AD477" s="150">
        <f t="shared" ref="AD477" si="2512">AD476/AD467</f>
        <v>-3.11215200889398E-2</v>
      </c>
      <c r="AE477" s="15"/>
      <c r="AF477" s="96">
        <f t="shared" ref="AF477" si="2513">AF476/AF467</f>
        <v>-5.235026958272828E-2</v>
      </c>
      <c r="AG477" s="97">
        <f t="shared" ref="AG477" si="2514">AG476/AG467</f>
        <v>-4.5970284658542443E-2</v>
      </c>
    </row>
    <row r="478" spans="2:33" ht="6" customHeight="1" x14ac:dyDescent="0.2">
      <c r="B478" s="9">
        <f>G455</f>
        <v>10</v>
      </c>
      <c r="C478" s="9" t="str">
        <f t="shared" si="2359"/>
        <v xml:space="preserve">10 - </v>
      </c>
      <c r="D478" s="9" t="s">
        <v>56</v>
      </c>
      <c r="F478" s="16"/>
      <c r="G478" s="11"/>
      <c r="S478" s="11"/>
      <c r="AD478" s="15"/>
      <c r="AE478" s="15"/>
      <c r="AF478" s="11"/>
      <c r="AG478" s="15"/>
    </row>
    <row r="479" spans="2:33" x14ac:dyDescent="0.2">
      <c r="B479" s="9">
        <f>G455</f>
        <v>10</v>
      </c>
      <c r="C479" s="9" t="str">
        <f t="shared" si="2359"/>
        <v>10 - Office Gross Profit</v>
      </c>
      <c r="D479" s="9" t="s">
        <v>56</v>
      </c>
      <c r="F479" s="8" t="s">
        <v>11</v>
      </c>
      <c r="G479" s="134">
        <f>G467+G470+G473+G476</f>
        <v>51.352056480060725</v>
      </c>
      <c r="H479" s="135">
        <f t="shared" ref="H479:AD479" si="2515">H467+H470+H473+H476</f>
        <v>54.120939872060141</v>
      </c>
      <c r="I479" s="135">
        <f t="shared" si="2515"/>
        <v>67.476616280073188</v>
      </c>
      <c r="J479" s="135">
        <f t="shared" si="2515"/>
        <v>66.758029958044077</v>
      </c>
      <c r="K479" s="135">
        <f t="shared" si="2515"/>
        <v>75.216316295473874</v>
      </c>
      <c r="L479" s="135">
        <f t="shared" si="2515"/>
        <v>69.78723428943691</v>
      </c>
      <c r="M479" s="135">
        <f t="shared" si="2515"/>
        <v>211.46228462740987</v>
      </c>
      <c r="N479" s="135">
        <f t="shared" si="2515"/>
        <v>285.59503529789492</v>
      </c>
      <c r="O479" s="135">
        <f t="shared" si="2515"/>
        <v>264.72698856868465</v>
      </c>
      <c r="P479" s="135">
        <f t="shared" si="2515"/>
        <v>262.97168278816036</v>
      </c>
      <c r="Q479" s="135">
        <f t="shared" si="2515"/>
        <v>357.30162625938743</v>
      </c>
      <c r="R479" s="135">
        <f t="shared" si="2515"/>
        <v>378.03198188352059</v>
      </c>
      <c r="S479" s="134">
        <f t="shared" si="2515"/>
        <v>390.65363492015797</v>
      </c>
      <c r="T479" s="135">
        <f t="shared" si="2515"/>
        <v>269.03186538173725</v>
      </c>
      <c r="U479" s="135">
        <f t="shared" si="2515"/>
        <v>280.69984046534671</v>
      </c>
      <c r="V479" s="135">
        <f t="shared" si="2515"/>
        <v>142.67070724318873</v>
      </c>
      <c r="W479" s="135">
        <f t="shared" si="2515"/>
        <v>163.81178434222767</v>
      </c>
      <c r="X479" s="135">
        <f t="shared" si="2515"/>
        <v>131.36661821582172</v>
      </c>
      <c r="Y479" s="135">
        <f t="shared" si="2515"/>
        <v>288.62621389308742</v>
      </c>
      <c r="Z479" s="135">
        <f t="shared" si="2515"/>
        <v>393.6108259157221</v>
      </c>
      <c r="AA479" s="135">
        <f t="shared" si="2515"/>
        <v>302.66417151258594</v>
      </c>
      <c r="AB479" s="135">
        <f t="shared" si="2515"/>
        <v>350.5368187654845</v>
      </c>
      <c r="AC479" s="135">
        <f t="shared" si="2515"/>
        <v>371.22691440174992</v>
      </c>
      <c r="AD479" s="136">
        <f t="shared" si="2515"/>
        <v>317.29595280108595</v>
      </c>
      <c r="AE479" s="15"/>
      <c r="AF479" s="98">
        <f>SUM(G479:R479)</f>
        <v>2144.8007926002065</v>
      </c>
      <c r="AG479" s="95">
        <f>SUM(S479:AD479)</f>
        <v>3402.1953478581963</v>
      </c>
    </row>
    <row r="480" spans="2:33" x14ac:dyDescent="0.2">
      <c r="B480" s="9">
        <f>G455</f>
        <v>10</v>
      </c>
      <c r="C480" s="9" t="str">
        <f t="shared" si="2359"/>
        <v>10 - % of Revenue - Office Gross Profit</v>
      </c>
      <c r="D480" s="9" t="s">
        <v>56</v>
      </c>
      <c r="F480" s="16" t="str">
        <f>"% of Revenue - "&amp;F479</f>
        <v>% of Revenue - Office Gross Profit</v>
      </c>
      <c r="G480" s="148">
        <f>G479/G467</f>
        <v>0.39775719177091717</v>
      </c>
      <c r="H480" s="149">
        <f t="shared" ref="H480" si="2516">H479/H467</f>
        <v>0.40490706666784482</v>
      </c>
      <c r="I480" s="149">
        <f t="shared" ref="I480" si="2517">I479/I467</f>
        <v>0.39313137760321776</v>
      </c>
      <c r="J480" s="149">
        <f t="shared" ref="J480" si="2518">J479/J467</f>
        <v>0.4028307253118058</v>
      </c>
      <c r="K480" s="149">
        <f t="shared" ref="K480" si="2519">K479/K467</f>
        <v>0.38428615444586045</v>
      </c>
      <c r="L480" s="149">
        <f t="shared" ref="L480" si="2520">L479/L467</f>
        <v>0.38818690736428041</v>
      </c>
      <c r="M480" s="149">
        <f t="shared" ref="M480" si="2521">M479/M467</f>
        <v>0.69180787149313472</v>
      </c>
      <c r="N480" s="149">
        <f t="shared" ref="N480" si="2522">N479/N467</f>
        <v>0.65348662144110548</v>
      </c>
      <c r="O480" s="149">
        <f t="shared" ref="O480" si="2523">O479/O467</f>
        <v>0.64736626657622642</v>
      </c>
      <c r="P480" s="149">
        <f t="shared" ref="P480" si="2524">P479/P467</f>
        <v>0.6531657316692262</v>
      </c>
      <c r="Q480" s="149">
        <f t="shared" ref="Q480" si="2525">Q479/Q467</f>
        <v>0.73897934130384679</v>
      </c>
      <c r="R480" s="149">
        <f t="shared" ref="R480" si="2526">R479/R467</f>
        <v>0.79437717619387183</v>
      </c>
      <c r="S480" s="148">
        <f t="shared" ref="S480" si="2527">S479/S467</f>
        <v>0.69273191960324076</v>
      </c>
      <c r="T480" s="149">
        <f t="shared" ref="T480" si="2528">T479/T467</f>
        <v>0.60019883668229623</v>
      </c>
      <c r="U480" s="149">
        <f t="shared" ref="U480" si="2529">U479/U467</f>
        <v>0.59457484089782642</v>
      </c>
      <c r="V480" s="149">
        <f t="shared" ref="V480" si="2530">V479/V467</f>
        <v>0.38292656421849042</v>
      </c>
      <c r="W480" s="149">
        <f t="shared" ref="W480" si="2531">W479/W467</f>
        <v>0.38888446298104956</v>
      </c>
      <c r="X480" s="149">
        <f t="shared" ref="X480" si="2532">X479/X467</f>
        <v>0.3928705374666549</v>
      </c>
      <c r="Y480" s="149">
        <f t="shared" ref="Y480" si="2533">Y479/Y467</f>
        <v>0.59498593844660663</v>
      </c>
      <c r="Z480" s="149">
        <f t="shared" ref="Z480" si="2534">Z479/Z467</f>
        <v>0.678354136579156</v>
      </c>
      <c r="AA480" s="149">
        <f t="shared" ref="AA480" si="2535">AA479/AA467</f>
        <v>0.58703770932374877</v>
      </c>
      <c r="AB480" s="149">
        <f t="shared" ref="AB480" si="2536">AB479/AB467</f>
        <v>0.58606540935557949</v>
      </c>
      <c r="AC480" s="149">
        <f t="shared" ref="AC480" si="2537">AC479/AC467</f>
        <v>0.66743092085613942</v>
      </c>
      <c r="AD480" s="150">
        <f t="shared" ref="AD480" si="2538">AD479/AD467</f>
        <v>0.66160071254141983</v>
      </c>
      <c r="AE480" s="15"/>
      <c r="AF480" s="111">
        <f t="shared" ref="AF480" si="2539">AF479/AF467</f>
        <v>0.61468538956320118</v>
      </c>
      <c r="AG480" s="97">
        <f t="shared" ref="AG480" si="2540">AG479/AG467</f>
        <v>0.58383804571120579</v>
      </c>
    </row>
    <row r="481" spans="2:33" ht="6" customHeight="1" x14ac:dyDescent="0.2">
      <c r="B481" s="9">
        <f>G455</f>
        <v>10</v>
      </c>
      <c r="C481" s="9" t="str">
        <f t="shared" si="2359"/>
        <v xml:space="preserve">10 - </v>
      </c>
      <c r="D481" s="9" t="s">
        <v>56</v>
      </c>
      <c r="F481" s="16"/>
      <c r="G481" s="11"/>
      <c r="S481" s="11"/>
      <c r="AD481" s="15"/>
      <c r="AE481" s="15"/>
      <c r="AF481" s="11"/>
      <c r="AG481" s="15"/>
    </row>
    <row r="482" spans="2:33" x14ac:dyDescent="0.2">
      <c r="B482" s="9">
        <f>G455</f>
        <v>10</v>
      </c>
      <c r="C482" s="9" t="str">
        <f t="shared" si="2359"/>
        <v>10 - General and Administrative Expense</v>
      </c>
      <c r="D482" s="9" t="s">
        <v>56</v>
      </c>
      <c r="F482" t="s">
        <v>10</v>
      </c>
      <c r="G482" s="144">
        <v>-5.7371363834819888</v>
      </c>
      <c r="H482" s="70">
        <v>-6.0616193794681212</v>
      </c>
      <c r="I482" s="70">
        <v>-7.6855468242977008</v>
      </c>
      <c r="J482" s="70">
        <v>-6.9795382842729596</v>
      </c>
      <c r="K482" s="70">
        <v>-8.5174994801119599</v>
      </c>
      <c r="L482" s="70">
        <v>-7.3055091183582634</v>
      </c>
      <c r="M482" s="70">
        <v>-6.9394829555992779</v>
      </c>
      <c r="N482" s="70">
        <v>-6.7641098331028831</v>
      </c>
      <c r="O482" s="70">
        <v>-5.7845961397854575</v>
      </c>
      <c r="P482" s="70">
        <v>-6.2292882453957237</v>
      </c>
      <c r="Q482" s="70">
        <v>-5.3363217298588657</v>
      </c>
      <c r="R482" s="70">
        <v>-3.8010685080181994</v>
      </c>
      <c r="S482" s="144">
        <v>-5.1471911980919351</v>
      </c>
      <c r="T482" s="70">
        <v>-6.0565636824494309</v>
      </c>
      <c r="U482" s="70">
        <v>-5.7984603368222469</v>
      </c>
      <c r="V482" s="70">
        <v>-7.580072661150262</v>
      </c>
      <c r="W482" s="70">
        <v>-7.7830928461813906</v>
      </c>
      <c r="X482" s="70">
        <v>-6.6183859136282353</v>
      </c>
      <c r="Y482" s="70">
        <v>-6.2335359992710853</v>
      </c>
      <c r="Z482" s="70">
        <v>-5.7587690627591339</v>
      </c>
      <c r="AA482" s="70">
        <v>-5.3842753535380528</v>
      </c>
      <c r="AB482" s="70">
        <v>-6.520542770832952</v>
      </c>
      <c r="AC482" s="70">
        <v>-5.3828827660264613</v>
      </c>
      <c r="AD482" s="145">
        <v>-4.8975527975007331</v>
      </c>
      <c r="AE482" s="15"/>
      <c r="AF482" s="144">
        <v>-77.141716881751407</v>
      </c>
      <c r="AG482" s="145">
        <v>-73.161325388251925</v>
      </c>
    </row>
    <row r="483" spans="2:33" x14ac:dyDescent="0.2">
      <c r="B483" s="9">
        <f>G455</f>
        <v>10</v>
      </c>
      <c r="C483" s="9" t="str">
        <f t="shared" si="2359"/>
        <v>10 - % of Revenue - General and Administrative Expense</v>
      </c>
      <c r="D483" s="9" t="s">
        <v>56</v>
      </c>
      <c r="F483" s="16" t="str">
        <f>"% of Revenue - "&amp;F482</f>
        <v>% of Revenue - General and Administrative Expense</v>
      </c>
      <c r="G483" s="148">
        <f>G482/G467</f>
        <v>-4.443808900986497E-2</v>
      </c>
      <c r="H483" s="149">
        <f t="shared" ref="H483" si="2541">H482/H467</f>
        <v>-4.5350145950892394E-2</v>
      </c>
      <c r="I483" s="149">
        <f t="shared" ref="I483" si="2542">I482/I467</f>
        <v>-4.4777432201538271E-2</v>
      </c>
      <c r="J483" s="149">
        <f t="shared" ref="J483" si="2543">J482/J467</f>
        <v>-4.2115869374249104E-2</v>
      </c>
      <c r="K483" s="149">
        <f t="shared" ref="K483" si="2544">K482/K467</f>
        <v>-4.3516583660502955E-2</v>
      </c>
      <c r="L483" s="149">
        <f t="shared" ref="L483" si="2545">L482/L467</f>
        <v>-4.0636414671705812E-2</v>
      </c>
      <c r="M483" s="149">
        <f t="shared" ref="M483" si="2546">M482/M467</f>
        <v>-2.2702814079753601E-2</v>
      </c>
      <c r="N483" s="149">
        <f t="shared" ref="N483" si="2547">N482/N467</f>
        <v>-1.5477353369537176E-2</v>
      </c>
      <c r="O483" s="149">
        <f t="shared" ref="O483" si="2548">O482/O467</f>
        <v>-1.4145714522388296E-2</v>
      </c>
      <c r="P483" s="149">
        <f t="shared" ref="P483" si="2549">P482/P467</f>
        <v>-1.547222716698375E-2</v>
      </c>
      <c r="Q483" s="149">
        <f t="shared" ref="Q483" si="2550">Q482/Q467</f>
        <v>-1.1036701842643524E-2</v>
      </c>
      <c r="R483" s="149">
        <f t="shared" ref="R483" si="2551">R482/R467</f>
        <v>-7.9873720018993396E-3</v>
      </c>
      <c r="S483" s="148">
        <f t="shared" ref="S483" si="2552">S482/S467</f>
        <v>-9.1273274340526109E-3</v>
      </c>
      <c r="T483" s="149">
        <f t="shared" ref="T483" si="2553">T482/T467</f>
        <v>-1.3511940198386471E-2</v>
      </c>
      <c r="U483" s="149">
        <f t="shared" ref="U483" si="2554">U482/U467</f>
        <v>-1.2282225121692095E-2</v>
      </c>
      <c r="V483" s="149">
        <f t="shared" ref="V483" si="2555">V482/V467</f>
        <v>-2.0344829269775374E-2</v>
      </c>
      <c r="W483" s="149">
        <f t="shared" ref="W483" si="2556">W482/W467</f>
        <v>-1.8476838488588911E-2</v>
      </c>
      <c r="X483" s="149">
        <f t="shared" ref="X483" si="2557">X482/X467</f>
        <v>-1.9793223471559991E-2</v>
      </c>
      <c r="Y483" s="149">
        <f t="shared" ref="Y483" si="2558">Y482/Y467</f>
        <v>-1.2850067276774959E-2</v>
      </c>
      <c r="Z483" s="149">
        <f t="shared" ref="Z483" si="2559">Z482/Z467</f>
        <v>-9.924739255426791E-3</v>
      </c>
      <c r="AA483" s="149">
        <f t="shared" ref="AA483" si="2560">AA482/AA467</f>
        <v>-1.0443167600952262E-2</v>
      </c>
      <c r="AB483" s="149">
        <f t="shared" ref="AB483" si="2561">AB482/AB467</f>
        <v>-1.0901749441519889E-2</v>
      </c>
      <c r="AC483" s="149">
        <f t="shared" ref="AC483" si="2562">AC482/AC467</f>
        <v>-9.6779146716220663E-3</v>
      </c>
      <c r="AD483" s="150">
        <f t="shared" ref="AD483" si="2563">AD482/AD467</f>
        <v>-1.0211994171154834E-2</v>
      </c>
      <c r="AE483" s="15"/>
      <c r="AF483" s="96">
        <f t="shared" ref="AF483" si="2564">AF482/AF467</f>
        <v>-2.2108293906189489E-2</v>
      </c>
      <c r="AG483" s="97">
        <f t="shared" ref="AG483" si="2565">AG482/AG467</f>
        <v>-1.2554941991561082E-2</v>
      </c>
    </row>
    <row r="484" spans="2:33" ht="3" customHeight="1" x14ac:dyDescent="0.2">
      <c r="B484" s="9">
        <f>G455</f>
        <v>10</v>
      </c>
      <c r="C484" s="9" t="str">
        <f t="shared" si="2359"/>
        <v xml:space="preserve">10 - </v>
      </c>
      <c r="D484" s="9" t="s">
        <v>56</v>
      </c>
      <c r="F484" s="16"/>
      <c r="G484" s="36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6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8"/>
      <c r="AE484" s="15"/>
      <c r="AF484" s="36"/>
      <c r="AG484" s="38"/>
    </row>
    <row r="485" spans="2:33" x14ac:dyDescent="0.2">
      <c r="B485" s="9">
        <f>G455</f>
        <v>10</v>
      </c>
      <c r="C485" s="9" t="str">
        <f t="shared" si="2359"/>
        <v>10 - Marketing</v>
      </c>
      <c r="D485" s="9" t="s">
        <v>56</v>
      </c>
      <c r="F485" t="s">
        <v>7</v>
      </c>
      <c r="G485" s="144">
        <v>-1.8419743736101155</v>
      </c>
      <c r="H485" s="70">
        <v>-1.8852753242858025</v>
      </c>
      <c r="I485" s="70">
        <v>-3.0159389083209658</v>
      </c>
      <c r="J485" s="70">
        <v>-2.2538583754045973</v>
      </c>
      <c r="K485" s="70">
        <v>-3.5222079686493086</v>
      </c>
      <c r="L485" s="70">
        <v>-3.5810094710558307</v>
      </c>
      <c r="M485" s="70">
        <v>-3.6986199202647727</v>
      </c>
      <c r="N485" s="70">
        <v>-3.1793551025624933</v>
      </c>
      <c r="O485" s="70">
        <v>-3.4165661427073002</v>
      </c>
      <c r="P485" s="70">
        <v>-3.1400450178177168</v>
      </c>
      <c r="Q485" s="70">
        <v>-3.0102975727014201</v>
      </c>
      <c r="R485" s="70">
        <v>-2.0723336992712551</v>
      </c>
      <c r="S485" s="144">
        <v>-2.7084459068007978</v>
      </c>
      <c r="T485" s="70">
        <v>-2.1966180226850374</v>
      </c>
      <c r="U485" s="70">
        <v>-1.9059308958027927</v>
      </c>
      <c r="V485" s="70">
        <v>-1.8628990591755292</v>
      </c>
      <c r="W485" s="70">
        <v>-2.1061754831564237</v>
      </c>
      <c r="X485" s="70">
        <v>-1.671881773865157</v>
      </c>
      <c r="Y485" s="70">
        <v>-1.6169917933782585</v>
      </c>
      <c r="Z485" s="70">
        <v>-1.6552624857657814</v>
      </c>
      <c r="AA485" s="70">
        <v>-1.2889468883576778</v>
      </c>
      <c r="AB485" s="70">
        <v>-1.4952973387003192</v>
      </c>
      <c r="AC485" s="70">
        <v>-1.4613771077877</v>
      </c>
      <c r="AD485" s="145">
        <v>-1.5460889556809607</v>
      </c>
      <c r="AE485" s="15"/>
      <c r="AF485" s="144">
        <v>-34.617481876651574</v>
      </c>
      <c r="AG485" s="145">
        <v>-21.515915711156435</v>
      </c>
    </row>
    <row r="486" spans="2:33" x14ac:dyDescent="0.2">
      <c r="B486" s="9">
        <f>G455</f>
        <v>10</v>
      </c>
      <c r="C486" s="9" t="str">
        <f t="shared" si="2359"/>
        <v>10 - % of Revenue - Marketing</v>
      </c>
      <c r="D486" s="9" t="s">
        <v>56</v>
      </c>
      <c r="F486" s="16" t="str">
        <f>"% of Revenue - "&amp;F485</f>
        <v>% of Revenue - Marketing</v>
      </c>
      <c r="G486" s="148">
        <f>G485/G467</f>
        <v>-1.4267365406205976E-2</v>
      </c>
      <c r="H486" s="149">
        <f t="shared" ref="H486" si="2566">H485/H467</f>
        <v>-1.41047310564523E-2</v>
      </c>
      <c r="I486" s="149">
        <f t="shared" ref="I486" si="2567">I485/I467</f>
        <v>-1.7571423748844805E-2</v>
      </c>
      <c r="J486" s="149">
        <f t="shared" ref="J486" si="2568">J485/J467</f>
        <v>-1.3600212658835674E-2</v>
      </c>
      <c r="K486" s="149">
        <f t="shared" ref="K486" si="2569">K485/K467</f>
        <v>-1.7995241220185323E-2</v>
      </c>
      <c r="L486" s="149">
        <f t="shared" ref="L486" si="2570">L485/L467</f>
        <v>-1.9919129995122447E-2</v>
      </c>
      <c r="M486" s="149">
        <f t="shared" ref="M486" si="2571">M485/M467</f>
        <v>-1.2100192613585409E-2</v>
      </c>
      <c r="N486" s="149">
        <f t="shared" ref="N486" si="2572">N485/N467</f>
        <v>-7.2748674435742797E-3</v>
      </c>
      <c r="O486" s="149">
        <f t="shared" ref="O486" si="2573">O485/O467</f>
        <v>-8.3549081273264665E-3</v>
      </c>
      <c r="P486" s="149">
        <f t="shared" ref="P486" si="2574">P485/P467</f>
        <v>-7.7992040047498113E-3</v>
      </c>
      <c r="Q486" s="149">
        <f t="shared" ref="Q486" si="2575">Q485/Q467</f>
        <v>-6.2259658336638159E-3</v>
      </c>
      <c r="R486" s="149">
        <f t="shared" ref="R486" si="2576">R485/R467</f>
        <v>-4.3546966157634055E-3</v>
      </c>
      <c r="S486" s="148">
        <f t="shared" ref="S486" si="2577">S485/S467</f>
        <v>-4.802788875990162E-3</v>
      </c>
      <c r="T486" s="149">
        <f t="shared" ref="T486" si="2578">T485/T467</f>
        <v>-4.9005629127991876E-3</v>
      </c>
      <c r="U486" s="149">
        <f t="shared" ref="U486" si="2579">U485/U467</f>
        <v>-4.0371186433719999E-3</v>
      </c>
      <c r="V486" s="149">
        <f t="shared" ref="V486" si="2580">V485/V467</f>
        <v>-5.0000000000000001E-3</v>
      </c>
      <c r="W486" s="149">
        <f t="shared" ref="W486" si="2581">W485/W467</f>
        <v>-5.0000000000000001E-3</v>
      </c>
      <c r="X486" s="149">
        <f t="shared" ref="X486" si="2582">X485/X467</f>
        <v>-5.0000000000000001E-3</v>
      </c>
      <c r="Y486" s="149">
        <f t="shared" ref="Y486" si="2583">Y485/Y467</f>
        <v>-3.3333333333333327E-3</v>
      </c>
      <c r="Z486" s="149">
        <f t="shared" ref="Z486" si="2584">Z485/Z467</f>
        <v>-2.852701400504502E-3</v>
      </c>
      <c r="AA486" s="149">
        <f t="shared" ref="AA486" si="2585">AA485/AA467</f>
        <v>-2.5000000000000001E-3</v>
      </c>
      <c r="AB486" s="149">
        <f t="shared" ref="AB486" si="2586">AB485/AB467</f>
        <v>-2.5000000000000001E-3</v>
      </c>
      <c r="AC486" s="149">
        <f t="shared" ref="AC486" si="2587">AC485/AC467</f>
        <v>-2.6274179778712418E-3</v>
      </c>
      <c r="AD486" s="150">
        <f t="shared" ref="AD486" si="2588">AD485/AD467</f>
        <v>-3.2237838072022278E-3</v>
      </c>
      <c r="AE486" s="15"/>
      <c r="AF486" s="96">
        <f t="shared" ref="AF486" si="2589">AF485/AF467</f>
        <v>-9.9211359891608515E-3</v>
      </c>
      <c r="AG486" s="97">
        <f t="shared" ref="AG486" si="2590">AG485/AG467</f>
        <v>-3.6922659918386847E-3</v>
      </c>
    </row>
    <row r="487" spans="2:33" ht="3" customHeight="1" x14ac:dyDescent="0.2">
      <c r="B487" s="9">
        <f>G455</f>
        <v>10</v>
      </c>
      <c r="C487" s="9" t="str">
        <f t="shared" si="2359"/>
        <v xml:space="preserve">10 - </v>
      </c>
      <c r="D487" s="9" t="s">
        <v>56</v>
      </c>
      <c r="F487" s="16"/>
      <c r="G487" s="36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6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8"/>
      <c r="AE487" s="15"/>
      <c r="AF487" s="36"/>
      <c r="AG487" s="38"/>
    </row>
    <row r="488" spans="2:33" x14ac:dyDescent="0.2">
      <c r="B488" s="9">
        <f>G455</f>
        <v>10</v>
      </c>
      <c r="C488" s="9" t="str">
        <f t="shared" si="2359"/>
        <v>10 - Office Rent</v>
      </c>
      <c r="D488" s="9" t="s">
        <v>56</v>
      </c>
      <c r="F488" t="s">
        <v>162</v>
      </c>
      <c r="G488" s="144">
        <v>-15.519262042742572</v>
      </c>
      <c r="H488" s="70">
        <v>-15.519262042742572</v>
      </c>
      <c r="I488" s="70">
        <v>-15.519262042742572</v>
      </c>
      <c r="J488" s="70">
        <v>-15.519262042742572</v>
      </c>
      <c r="K488" s="70">
        <v>-15.519262042742572</v>
      </c>
      <c r="L488" s="70">
        <v>-15.984839904024849</v>
      </c>
      <c r="M488" s="70">
        <v>-15.984839904024849</v>
      </c>
      <c r="N488" s="70">
        <v>-15.984839904024849</v>
      </c>
      <c r="O488" s="70">
        <v>-15.984839904024849</v>
      </c>
      <c r="P488" s="70">
        <v>-15.984839904024849</v>
      </c>
      <c r="Q488" s="70">
        <v>-15.984839904024849</v>
      </c>
      <c r="R488" s="70">
        <v>-15.984839904024849</v>
      </c>
      <c r="S488" s="144">
        <v>-15.985097809060303</v>
      </c>
      <c r="T488" s="70">
        <v>-15.985097809060303</v>
      </c>
      <c r="U488" s="70">
        <v>-15.985097809060303</v>
      </c>
      <c r="V488" s="70">
        <v>-15.985097809060303</v>
      </c>
      <c r="W488" s="70">
        <v>-15.985097809060303</v>
      </c>
      <c r="X488" s="70">
        <v>-16.464650743332115</v>
      </c>
      <c r="Y488" s="70">
        <v>-16.464650743332115</v>
      </c>
      <c r="Z488" s="70">
        <v>-16.464650743332115</v>
      </c>
      <c r="AA488" s="70">
        <v>-16.464650743332115</v>
      </c>
      <c r="AB488" s="70">
        <v>-16.464650743332115</v>
      </c>
      <c r="AC488" s="70">
        <v>-16.464650743332115</v>
      </c>
      <c r="AD488" s="145">
        <v>-16.464650743332115</v>
      </c>
      <c r="AE488" s="15"/>
      <c r="AF488" s="144">
        <v>-189.49018954188682</v>
      </c>
      <c r="AG488" s="145">
        <v>-195.17804424862635</v>
      </c>
    </row>
    <row r="489" spans="2:33" x14ac:dyDescent="0.2">
      <c r="B489" s="9">
        <f>G455</f>
        <v>10</v>
      </c>
      <c r="C489" s="9" t="str">
        <f t="shared" si="2359"/>
        <v>10 - % YoY Growth</v>
      </c>
      <c r="D489" s="9" t="s">
        <v>56</v>
      </c>
      <c r="F489" s="16" t="s">
        <v>8</v>
      </c>
      <c r="G489" s="82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148">
        <f>S488/G488-1</f>
        <v>3.0016618382674665E-2</v>
      </c>
      <c r="T489" s="149">
        <f t="shared" ref="T489" si="2591">T488/H488-1</f>
        <v>3.0016618382674665E-2</v>
      </c>
      <c r="U489" s="149">
        <f t="shared" ref="U489" si="2592">U488/I488-1</f>
        <v>3.0016618382674665E-2</v>
      </c>
      <c r="V489" s="149">
        <f t="shared" ref="V489" si="2593">V488/J488-1</f>
        <v>3.0016618382674665E-2</v>
      </c>
      <c r="W489" s="149">
        <f t="shared" ref="W489" si="2594">W488/K488-1</f>
        <v>3.0016618382674665E-2</v>
      </c>
      <c r="X489" s="149">
        <f t="shared" ref="X489" si="2595">X488/L488-1</f>
        <v>3.0016618382674887E-2</v>
      </c>
      <c r="Y489" s="149">
        <f t="shared" ref="Y489" si="2596">Y488/M488-1</f>
        <v>3.0016618382674887E-2</v>
      </c>
      <c r="Z489" s="149">
        <f t="shared" ref="Z489" si="2597">Z488/N488-1</f>
        <v>3.0016618382674887E-2</v>
      </c>
      <c r="AA489" s="149">
        <f t="shared" ref="AA489" si="2598">AA488/O488-1</f>
        <v>3.0016618382674887E-2</v>
      </c>
      <c r="AB489" s="149">
        <f t="shared" ref="AB489" si="2599">AB488/P488-1</f>
        <v>3.0016618382674887E-2</v>
      </c>
      <c r="AC489" s="149">
        <f t="shared" ref="AC489" si="2600">AC488/Q488-1</f>
        <v>3.0016618382674887E-2</v>
      </c>
      <c r="AD489" s="150">
        <f t="shared" ref="AD489" si="2601">AD488/R488-1</f>
        <v>3.0016618382674887E-2</v>
      </c>
      <c r="AE489" s="15"/>
      <c r="AF489" s="11"/>
      <c r="AG489" s="97">
        <f>AG488/AF488-1</f>
        <v>3.0016618382674887E-2</v>
      </c>
    </row>
    <row r="490" spans="2:33" ht="6" customHeight="1" x14ac:dyDescent="0.2">
      <c r="B490" s="9">
        <f>G455</f>
        <v>10</v>
      </c>
      <c r="C490" s="9" t="str">
        <f t="shared" si="2359"/>
        <v xml:space="preserve">10 - </v>
      </c>
      <c r="D490" s="9" t="s">
        <v>56</v>
      </c>
      <c r="F490" s="16"/>
      <c r="G490" s="11"/>
      <c r="S490" s="11"/>
      <c r="AD490" s="15"/>
      <c r="AE490" s="15"/>
      <c r="AF490" s="11"/>
      <c r="AG490" s="15"/>
    </row>
    <row r="491" spans="2:33" x14ac:dyDescent="0.2">
      <c r="B491" s="9">
        <f>G455</f>
        <v>10</v>
      </c>
      <c r="C491" s="9" t="str">
        <f t="shared" si="2359"/>
        <v>10 - Office EBITDA</v>
      </c>
      <c r="D491" s="9" t="s">
        <v>56</v>
      </c>
      <c r="F491" s="8" t="s">
        <v>12</v>
      </c>
      <c r="G491" s="134">
        <f>G479+G482+G485+G488</f>
        <v>28.25368368022605</v>
      </c>
      <c r="H491" s="135">
        <f t="shared" ref="H491:AD491" si="2602">H479+H482+H485+H488</f>
        <v>30.65478312556365</v>
      </c>
      <c r="I491" s="135">
        <f t="shared" si="2602"/>
        <v>41.255868504711941</v>
      </c>
      <c r="J491" s="135">
        <f t="shared" si="2602"/>
        <v>42.005371255623942</v>
      </c>
      <c r="K491" s="135">
        <f t="shared" si="2602"/>
        <v>47.657346803970029</v>
      </c>
      <c r="L491" s="135">
        <f t="shared" si="2602"/>
        <v>42.915875795997962</v>
      </c>
      <c r="M491" s="135">
        <f t="shared" si="2602"/>
        <v>184.83934184752096</v>
      </c>
      <c r="N491" s="135">
        <f t="shared" si="2602"/>
        <v>259.66673045820465</v>
      </c>
      <c r="O491" s="135">
        <f t="shared" si="2602"/>
        <v>239.54098638216706</v>
      </c>
      <c r="P491" s="135">
        <f t="shared" si="2602"/>
        <v>237.61750962092208</v>
      </c>
      <c r="Q491" s="135">
        <f t="shared" si="2602"/>
        <v>332.97016705280231</v>
      </c>
      <c r="R491" s="135">
        <f t="shared" si="2602"/>
        <v>356.17373977220626</v>
      </c>
      <c r="S491" s="134">
        <f t="shared" si="2602"/>
        <v>366.81290000620493</v>
      </c>
      <c r="T491" s="135">
        <f t="shared" si="2602"/>
        <v>244.79358586754248</v>
      </c>
      <c r="U491" s="135">
        <f t="shared" si="2602"/>
        <v>257.0103514236614</v>
      </c>
      <c r="V491" s="135">
        <f t="shared" si="2602"/>
        <v>117.24263771380262</v>
      </c>
      <c r="W491" s="135">
        <f t="shared" si="2602"/>
        <v>137.93741820382954</v>
      </c>
      <c r="X491" s="135">
        <f t="shared" si="2602"/>
        <v>106.61169978499622</v>
      </c>
      <c r="Y491" s="135">
        <f t="shared" si="2602"/>
        <v>264.31103535710594</v>
      </c>
      <c r="Z491" s="135">
        <f t="shared" si="2602"/>
        <v>369.73214362386506</v>
      </c>
      <c r="AA491" s="135">
        <f t="shared" si="2602"/>
        <v>279.52629852735811</v>
      </c>
      <c r="AB491" s="135">
        <f t="shared" si="2602"/>
        <v>326.05632791261911</v>
      </c>
      <c r="AC491" s="135">
        <f t="shared" si="2602"/>
        <v>347.91800378460363</v>
      </c>
      <c r="AD491" s="136">
        <f t="shared" si="2602"/>
        <v>294.38766030457214</v>
      </c>
      <c r="AE491" s="15"/>
      <c r="AF491" s="94">
        <f>SUM(G491:R491)</f>
        <v>1843.5514042999168</v>
      </c>
      <c r="AG491" s="95">
        <f>SUM(S491:AD491)</f>
        <v>3112.3400625101613</v>
      </c>
    </row>
    <row r="492" spans="2:33" x14ac:dyDescent="0.2">
      <c r="B492" s="9">
        <f>G455</f>
        <v>10</v>
      </c>
      <c r="C492" s="9" t="str">
        <f t="shared" si="2359"/>
        <v>10 - % of Revenue - Office EBITDA</v>
      </c>
      <c r="D492" s="9" t="s">
        <v>56</v>
      </c>
      <c r="F492" s="16" t="str">
        <f>"% of Revenue - "&amp;F491</f>
        <v>% of Revenue - Office EBITDA</v>
      </c>
      <c r="G492" s="148">
        <f>G491/G467</f>
        <v>0.21884431993865919</v>
      </c>
      <c r="H492" s="149">
        <f t="shared" ref="H492" si="2603">H491/H467</f>
        <v>0.22934447081024878</v>
      </c>
      <c r="I492" s="149">
        <f t="shared" ref="I492" si="2604">I491/I467</f>
        <v>0.24036440049327587</v>
      </c>
      <c r="J492" s="149">
        <f t="shared" ref="J492" si="2605">J491/J467</f>
        <v>0.25346844687491787</v>
      </c>
      <c r="K492" s="149">
        <f t="shared" ref="K492" si="2606">K491/K467</f>
        <v>0.24348518295481061</v>
      </c>
      <c r="L492" s="149">
        <f t="shared" ref="L492" si="2607">L491/L467</f>
        <v>0.23871674055722839</v>
      </c>
      <c r="M492" s="149">
        <f t="shared" ref="M492" si="2608">M491/M467</f>
        <v>0.60470978017207311</v>
      </c>
      <c r="N492" s="149">
        <f t="shared" ref="N492" si="2609">N491/N467</f>
        <v>0.59415855815138219</v>
      </c>
      <c r="O492" s="149">
        <f t="shared" ref="O492" si="2610">O491/O467</f>
        <v>0.58577614199685712</v>
      </c>
      <c r="P492" s="149">
        <f t="shared" ref="P492" si="2611">P491/P467</f>
        <v>0.59019135780484344</v>
      </c>
      <c r="Q492" s="149">
        <f t="shared" ref="Q492" si="2612">Q491/Q467</f>
        <v>0.6886564645633122</v>
      </c>
      <c r="R492" s="149">
        <f t="shared" ref="R492" si="2613">R491/R467</f>
        <v>0.74844537815277923</v>
      </c>
      <c r="S492" s="148">
        <f t="shared" ref="S492" si="2614">S491/S467</f>
        <v>0.65045600921763769</v>
      </c>
      <c r="T492" s="149">
        <f t="shared" ref="T492" si="2615">T491/T467</f>
        <v>0.54612424909781909</v>
      </c>
      <c r="U492" s="149">
        <f t="shared" ref="U492" si="2616">U491/U467</f>
        <v>0.54439606575295885</v>
      </c>
      <c r="V492" s="149">
        <f t="shared" ref="V492" si="2617">V491/V467</f>
        <v>0.31467791326732208</v>
      </c>
      <c r="W492" s="149">
        <f t="shared" ref="W492" si="2618">W491/W467</f>
        <v>0.3274594622028108</v>
      </c>
      <c r="X492" s="149">
        <f t="shared" ref="X492" si="2619">X491/X467</f>
        <v>0.31883743650881746</v>
      </c>
      <c r="Y492" s="149">
        <f t="shared" ref="Y492" si="2620">Y491/Y467</f>
        <v>0.5448616301774809</v>
      </c>
      <c r="Z492" s="149">
        <f t="shared" ref="Z492" si="2621">Z491/Z467</f>
        <v>0.63720129767779676</v>
      </c>
      <c r="AA492" s="149">
        <f t="shared" ref="AA492" si="2622">AA491/AA467</f>
        <v>0.54216023377720168</v>
      </c>
      <c r="AB492" s="149">
        <f t="shared" ref="AB492" si="2623">AB491/AB467</f>
        <v>0.54513627402697773</v>
      </c>
      <c r="AC492" s="149">
        <f t="shared" ref="AC492" si="2624">AC491/AC467</f>
        <v>0.62552370164918514</v>
      </c>
      <c r="AD492" s="150">
        <f t="shared" ref="AD492" si="2625">AD491/AD467</f>
        <v>0.6138341321454126</v>
      </c>
      <c r="AE492" s="15"/>
      <c r="AF492" s="96">
        <f t="shared" ref="AF492" si="2626">AF491/AF467</f>
        <v>0.52834935395471549</v>
      </c>
      <c r="AG492" s="97">
        <f t="shared" ref="AG492" si="2627">AG491/AG467</f>
        <v>0.53409706201278406</v>
      </c>
    </row>
    <row r="493" spans="2:33" ht="6" customHeight="1" x14ac:dyDescent="0.2">
      <c r="B493" s="9">
        <f>G455</f>
        <v>10</v>
      </c>
      <c r="C493" s="9" t="str">
        <f t="shared" si="2359"/>
        <v xml:space="preserve">10 - </v>
      </c>
      <c r="D493" s="9" t="s">
        <v>56</v>
      </c>
      <c r="G493" s="11"/>
      <c r="S493" s="11"/>
      <c r="AD493" s="15"/>
      <c r="AE493" s="15"/>
      <c r="AF493" s="11"/>
      <c r="AG493" s="15"/>
    </row>
    <row r="494" spans="2:33" x14ac:dyDescent="0.2">
      <c r="B494" s="9">
        <f>G455</f>
        <v>10</v>
      </c>
      <c r="C494" s="9" t="str">
        <f t="shared" si="2359"/>
        <v>10 - Memo:</v>
      </c>
      <c r="D494" s="9" t="s">
        <v>56</v>
      </c>
      <c r="F494" s="6" t="s">
        <v>13</v>
      </c>
      <c r="G494" s="11"/>
      <c r="S494" s="11"/>
      <c r="AD494" s="15"/>
      <c r="AE494" s="15"/>
      <c r="AF494" s="11"/>
      <c r="AG494" s="15"/>
    </row>
    <row r="495" spans="2:33" s="24" customFormat="1" x14ac:dyDescent="0.2">
      <c r="B495" s="9">
        <f>G455</f>
        <v>10</v>
      </c>
      <c r="C495" s="9" t="str">
        <f t="shared" si="2359"/>
        <v>10 - Collections</v>
      </c>
      <c r="D495" s="9" t="s">
        <v>56</v>
      </c>
      <c r="E495" s="49"/>
      <c r="F495" s="24" t="s">
        <v>15</v>
      </c>
      <c r="G495" s="169">
        <f>G496*G465</f>
        <v>128.71899904775833</v>
      </c>
      <c r="H495" s="170">
        <f t="shared" ref="H495" si="2628">H496*H465</f>
        <v>134.66024552480164</v>
      </c>
      <c r="I495" s="170">
        <f t="shared" ref="I495" si="2629">I496*I465</f>
        <v>175.29154556808268</v>
      </c>
      <c r="J495" s="170">
        <f t="shared" ref="J495" si="2630">J496*J465</f>
        <v>167.27800794712491</v>
      </c>
      <c r="K495" s="170">
        <f t="shared" ref="K495" si="2631">K496*K465</f>
        <v>193.57723009855792</v>
      </c>
      <c r="L495" s="170">
        <f t="shared" ref="L495" si="2632">L496*L465</f>
        <v>176.77451333542552</v>
      </c>
      <c r="M495" s="170">
        <f t="shared" ref="M495" si="2633">M496*M465</f>
        <v>301.46499829397635</v>
      </c>
      <c r="N495" s="170">
        <f t="shared" ref="N495" si="2634">N496*N465</f>
        <v>446.48306829033345</v>
      </c>
      <c r="O495" s="170">
        <f t="shared" ref="O495" si="2635">O496*O465</f>
        <v>407.23387395962607</v>
      </c>
      <c r="P495" s="170">
        <f t="shared" ref="P495" si="2636">P496*P465</f>
        <v>408.35702901854683</v>
      </c>
      <c r="Q495" s="170">
        <f t="shared" ref="Q495" si="2637">Q496*Q465</f>
        <v>479.06459262910255</v>
      </c>
      <c r="R495" s="170">
        <f t="shared" ref="R495" si="2638">R496*R465</f>
        <v>479.9089404633641</v>
      </c>
      <c r="S495" s="169">
        <f t="shared" ref="S495" si="2639">S496*S465</f>
        <v>554.30690906932807</v>
      </c>
      <c r="T495" s="170">
        <f t="shared" ref="T495" si="2640">T496*T465</f>
        <v>436.61461240471959</v>
      </c>
      <c r="U495" s="170">
        <f t="shared" ref="U495" si="2641">U496*U465</f>
        <v>469.42120820123455</v>
      </c>
      <c r="V495" s="170">
        <f t="shared" ref="V495" si="2642">V496*V465</f>
        <v>368.490299792695</v>
      </c>
      <c r="W495" s="170">
        <f t="shared" ref="W495" si="2643">W496*W465</f>
        <v>422.41925297702022</v>
      </c>
      <c r="X495" s="170">
        <f t="shared" ref="X495" si="2644">X496*X465</f>
        <v>334.85114408983117</v>
      </c>
      <c r="Y495" s="170">
        <f t="shared" ref="Y495" si="2645">Y496*Y465</f>
        <v>480.50921635158733</v>
      </c>
      <c r="Z495" s="170">
        <f t="shared" ref="Z495" si="2646">Z496*Z465</f>
        <v>569.35099739822681</v>
      </c>
      <c r="AA495" s="170">
        <f t="shared" ref="AA495" si="2647">AA496*AA465</f>
        <v>500.04532417889709</v>
      </c>
      <c r="AB495" s="170">
        <f t="shared" ref="AB495" si="2648">AB496*AB465</f>
        <v>602.93499042192298</v>
      </c>
      <c r="AC495" s="170">
        <f t="shared" ref="AC495" si="2649">AC496*AC465</f>
        <v>553.35922617916606</v>
      </c>
      <c r="AD495" s="171">
        <f t="shared" ref="AD495" si="2650">AD496*AD465</f>
        <v>471.96884160034784</v>
      </c>
      <c r="AE495" s="26"/>
      <c r="AF495" s="68">
        <f>SUM(G495:R495)</f>
        <v>3498.8130441767003</v>
      </c>
      <c r="AG495" s="99">
        <f>SUM(S495:AD495)</f>
        <v>5764.2720226649772</v>
      </c>
    </row>
    <row r="496" spans="2:33" x14ac:dyDescent="0.2">
      <c r="B496" s="9">
        <f>G455</f>
        <v>10</v>
      </c>
      <c r="C496" s="9" t="str">
        <f t="shared" si="2359"/>
        <v>10 - Collections as a % of Production</v>
      </c>
      <c r="D496" s="9" t="s">
        <v>56</v>
      </c>
      <c r="F496" s="16" t="s">
        <v>17</v>
      </c>
      <c r="G496" s="140">
        <v>0.97496438617842607</v>
      </c>
      <c r="H496" s="141">
        <v>0.98517940843530283</v>
      </c>
      <c r="I496" s="141">
        <v>0.99869133081764971</v>
      </c>
      <c r="J496" s="141">
        <v>0.98706061145824764</v>
      </c>
      <c r="K496" s="141">
        <v>0.96712552610838498</v>
      </c>
      <c r="L496" s="141">
        <v>0.96154683815160436</v>
      </c>
      <c r="M496" s="141">
        <v>0.96444035056299582</v>
      </c>
      <c r="N496" s="141">
        <v>0.99902634031549387</v>
      </c>
      <c r="O496" s="141">
        <v>0.97382661347142196</v>
      </c>
      <c r="P496" s="141">
        <v>0.99183707665130738</v>
      </c>
      <c r="Q496" s="141">
        <v>0.96889625180062455</v>
      </c>
      <c r="R496" s="141">
        <v>0.98614994033253733</v>
      </c>
      <c r="S496" s="140">
        <v>0.97441453241085974</v>
      </c>
      <c r="T496" s="141">
        <v>0.96562794043162836</v>
      </c>
      <c r="U496" s="141">
        <v>0.98570554625329265</v>
      </c>
      <c r="V496" s="141">
        <v>0.98045320751265963</v>
      </c>
      <c r="W496" s="141">
        <v>0.99412108749596539</v>
      </c>
      <c r="X496" s="141">
        <v>0.99274191528767386</v>
      </c>
      <c r="Y496" s="141">
        <v>0.9819577052382934</v>
      </c>
      <c r="Z496" s="141">
        <v>0.97272406286599888</v>
      </c>
      <c r="AA496" s="141">
        <v>0.96146723228560638</v>
      </c>
      <c r="AB496" s="141">
        <v>0.99931652087799361</v>
      </c>
      <c r="AC496" s="141">
        <v>0.98626620817159671</v>
      </c>
      <c r="AD496" s="142">
        <v>0.97558449812223635</v>
      </c>
      <c r="AE496" s="15"/>
      <c r="AF496" s="96">
        <f t="shared" ref="AF496" si="2651">AF495/AF465</f>
        <v>0.98055636606478924</v>
      </c>
      <c r="AG496" s="97">
        <f t="shared" ref="AG496" si="2652">AG495/AG465</f>
        <v>0.98061322077216861</v>
      </c>
    </row>
    <row r="497" spans="2:34" ht="6" customHeight="1" x14ac:dyDescent="0.2">
      <c r="B497" s="9">
        <f>G455</f>
        <v>10</v>
      </c>
      <c r="C497" s="9" t="str">
        <f t="shared" si="2359"/>
        <v xml:space="preserve">10 - </v>
      </c>
      <c r="D497" s="9" t="s">
        <v>56</v>
      </c>
      <c r="F497" s="27"/>
      <c r="R497" s="15"/>
      <c r="AD497" s="15"/>
      <c r="AE497" s="15"/>
      <c r="AF497" s="11"/>
      <c r="AG497" s="15"/>
    </row>
    <row r="498" spans="2:34" s="24" customFormat="1" x14ac:dyDescent="0.2">
      <c r="B498" s="9">
        <f>G455</f>
        <v>10</v>
      </c>
      <c r="C498" s="9" t="str">
        <f t="shared" si="2359"/>
        <v>10 - Production per Vet Workday - YoY Change</v>
      </c>
      <c r="D498" s="9" t="s">
        <v>56</v>
      </c>
      <c r="E498" s="49"/>
      <c r="F498" s="24" t="s">
        <v>55</v>
      </c>
      <c r="G498" s="88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151">
        <f>S464/G464-1</f>
        <v>3.035644241280222E-2</v>
      </c>
      <c r="T498" s="152">
        <f t="shared" ref="T498" si="2653">T464/H464-1</f>
        <v>5.2542705887541175E-2</v>
      </c>
      <c r="U498" s="152">
        <f t="shared" ref="U498" si="2654">U464/I464-1</f>
        <v>-1.3372712848618629E-2</v>
      </c>
      <c r="V498" s="152">
        <f t="shared" ref="V498" si="2655">V464/J464-1</f>
        <v>5.8451055424580511E-2</v>
      </c>
      <c r="W498" s="152">
        <f t="shared" ref="W498" si="2656">W464/K464-1</f>
        <v>1.723101102815594E-2</v>
      </c>
      <c r="X498" s="152">
        <f t="shared" ref="X498" si="2657">X464/L464-1</f>
        <v>4.7193527264772772E-3</v>
      </c>
      <c r="Y498" s="152">
        <f t="shared" ref="Y498" si="2658">Y464/M464-1</f>
        <v>-1.7231448160905938E-3</v>
      </c>
      <c r="Z498" s="152">
        <f t="shared" ref="Z498" si="2659">Z464/N464-1</f>
        <v>2.4960291254394029E-2</v>
      </c>
      <c r="AA498" s="152">
        <f t="shared" ref="AA498" si="2660">AA464/O464-1</f>
        <v>-2.2813910957718009E-2</v>
      </c>
      <c r="AB498" s="152">
        <f t="shared" ref="AB498" si="2661">AB464/P464-1</f>
        <v>7.4892640173438441E-3</v>
      </c>
      <c r="AC498" s="152">
        <f t="shared" ref="AC498" si="2662">AC464/Q464-1</f>
        <v>-5.0945076941896983E-2</v>
      </c>
      <c r="AD498" s="153">
        <f t="shared" ref="AD498" si="2663">AD464/R464-1</f>
        <v>-5.8943328315720356E-3</v>
      </c>
      <c r="AF498" s="43"/>
      <c r="AG498" s="104">
        <f>AG464/AF464-1</f>
        <v>1.0792951176722854E-2</v>
      </c>
    </row>
    <row r="499" spans="2:34" s="24" customFormat="1" ht="6" customHeight="1" x14ac:dyDescent="0.2">
      <c r="D499" s="9" t="s">
        <v>56</v>
      </c>
      <c r="E499" s="49"/>
      <c r="G499" s="28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29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29"/>
      <c r="AE499" s="25"/>
      <c r="AF499" s="28"/>
      <c r="AG499" s="29"/>
    </row>
    <row r="500" spans="2:34" s="24" customFormat="1" ht="6" customHeight="1" x14ac:dyDescent="0.2">
      <c r="D500" s="9" t="s">
        <v>56</v>
      </c>
      <c r="E500" s="49"/>
    </row>
    <row r="501" spans="2:34" x14ac:dyDescent="0.2">
      <c r="D501" s="9" t="s">
        <v>56</v>
      </c>
      <c r="F501" s="16"/>
    </row>
    <row r="502" spans="2:34" ht="15.75" thickBot="1" x14ac:dyDescent="0.4">
      <c r="B502" s="35" t="s">
        <v>52</v>
      </c>
      <c r="C502" s="35"/>
      <c r="D502" s="9" t="s">
        <v>56</v>
      </c>
      <c r="E502" s="48" t="s">
        <v>0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74">
        <f ca="1">AG$2</f>
        <v>45999</v>
      </c>
      <c r="AH502" s="1"/>
    </row>
    <row r="503" spans="2:34" x14ac:dyDescent="0.2">
      <c r="B503" s="9">
        <f>G505</f>
        <v>11</v>
      </c>
      <c r="C503" s="9"/>
      <c r="D503" s="9" t="s">
        <v>56</v>
      </c>
      <c r="F503" t="s">
        <v>159</v>
      </c>
      <c r="AG503" s="6" t="s">
        <v>16</v>
      </c>
    </row>
    <row r="504" spans="2:34" x14ac:dyDescent="0.2">
      <c r="B504" s="9"/>
      <c r="C504" s="9"/>
      <c r="D504" s="9" t="s">
        <v>56</v>
      </c>
      <c r="AG504" s="6"/>
    </row>
    <row r="505" spans="2:34" x14ac:dyDescent="0.2">
      <c r="B505" s="9">
        <f>G505</f>
        <v>11</v>
      </c>
      <c r="C505" s="9"/>
      <c r="D505" s="9" t="s">
        <v>56</v>
      </c>
      <c r="F505" s="40" t="s">
        <v>53</v>
      </c>
      <c r="G505" s="42">
        <v>11</v>
      </c>
    </row>
    <row r="506" spans="2:34" x14ac:dyDescent="0.2">
      <c r="B506" s="9">
        <f>G505</f>
        <v>11</v>
      </c>
      <c r="C506" s="9"/>
      <c r="D506" s="9" t="s">
        <v>56</v>
      </c>
      <c r="F506" s="39" t="s">
        <v>28</v>
      </c>
      <c r="G506" s="41"/>
      <c r="H506" s="11"/>
    </row>
    <row r="507" spans="2:34" x14ac:dyDescent="0.2">
      <c r="B507" s="9">
        <f>G505</f>
        <v>11</v>
      </c>
      <c r="C507" s="9"/>
      <c r="D507" s="9" t="s">
        <v>56</v>
      </c>
      <c r="G507" s="23"/>
    </row>
    <row r="508" spans="2:34" x14ac:dyDescent="0.2">
      <c r="B508" s="9">
        <f>G505</f>
        <v>11</v>
      </c>
      <c r="C508" s="9"/>
      <c r="D508" s="9" t="s">
        <v>56</v>
      </c>
      <c r="G508" s="20">
        <v>2023</v>
      </c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2"/>
      <c r="S508" s="20">
        <v>2024</v>
      </c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2"/>
      <c r="AF508" s="17" t="s">
        <v>14</v>
      </c>
      <c r="AG508" s="18"/>
    </row>
    <row r="509" spans="2:34" ht="15" customHeight="1" x14ac:dyDescent="0.35">
      <c r="B509" s="9">
        <f>G505</f>
        <v>11</v>
      </c>
      <c r="C509" s="9"/>
      <c r="D509" s="9" t="s">
        <v>56</v>
      </c>
      <c r="G509" s="165">
        <v>44957</v>
      </c>
      <c r="H509" s="166">
        <v>44985</v>
      </c>
      <c r="I509" s="166">
        <v>45016</v>
      </c>
      <c r="J509" s="166">
        <v>45046</v>
      </c>
      <c r="K509" s="166">
        <v>45077</v>
      </c>
      <c r="L509" s="166">
        <v>45107</v>
      </c>
      <c r="M509" s="166">
        <v>45138</v>
      </c>
      <c r="N509" s="166">
        <v>45169</v>
      </c>
      <c r="O509" s="166">
        <v>45199</v>
      </c>
      <c r="P509" s="166">
        <v>45230</v>
      </c>
      <c r="Q509" s="166">
        <v>45260</v>
      </c>
      <c r="R509" s="167">
        <v>45291</v>
      </c>
      <c r="S509" s="165">
        <v>45322</v>
      </c>
      <c r="T509" s="166">
        <v>45351</v>
      </c>
      <c r="U509" s="166">
        <v>45382</v>
      </c>
      <c r="V509" s="166">
        <v>45412</v>
      </c>
      <c r="W509" s="166">
        <v>45443</v>
      </c>
      <c r="X509" s="166">
        <v>45473</v>
      </c>
      <c r="Y509" s="166">
        <v>45504</v>
      </c>
      <c r="Z509" s="166">
        <v>45535</v>
      </c>
      <c r="AA509" s="166">
        <v>45565</v>
      </c>
      <c r="AB509" s="166">
        <v>45596</v>
      </c>
      <c r="AC509" s="166">
        <v>45626</v>
      </c>
      <c r="AD509" s="167">
        <v>45657</v>
      </c>
      <c r="AE509" s="168"/>
      <c r="AF509" s="13">
        <v>45291</v>
      </c>
      <c r="AG509" s="14">
        <v>45657</v>
      </c>
    </row>
    <row r="510" spans="2:34" ht="0.95" customHeight="1" x14ac:dyDescent="0.2">
      <c r="B510" s="9">
        <f>G505</f>
        <v>11</v>
      </c>
      <c r="C510" s="9"/>
      <c r="D510" s="9" t="s">
        <v>56</v>
      </c>
      <c r="G510" s="11"/>
      <c r="S510" s="11"/>
      <c r="AD510" s="15"/>
      <c r="AE510" s="15"/>
      <c r="AF510" s="11"/>
      <c r="AG510" s="15"/>
    </row>
    <row r="511" spans="2:34" x14ac:dyDescent="0.2">
      <c r="B511" s="9">
        <f>G505</f>
        <v>11</v>
      </c>
      <c r="C511" s="9" t="str">
        <f>B511&amp;" - "&amp;F511</f>
        <v>11 - Employed Vets</v>
      </c>
      <c r="D511" s="9" t="s">
        <v>56</v>
      </c>
      <c r="F511" s="7" t="s">
        <v>160</v>
      </c>
      <c r="G511" s="121">
        <v>3</v>
      </c>
      <c r="H511" s="154">
        <f>MAX(MIN(IF(H514/G514&gt;1.1,G511-1,IF(H514/G514&lt;0.9,G511+1,G511)),5),1)</f>
        <v>2</v>
      </c>
      <c r="I511" s="154">
        <f t="shared" ref="I511:AD511" si="2664">MAX(MIN(IF(I514/H514&gt;1.1,H511-1,IF(I514/H514&lt;0.9,H511+1,H511)),5),1)</f>
        <v>1</v>
      </c>
      <c r="J511" s="154">
        <f t="shared" si="2664"/>
        <v>1</v>
      </c>
      <c r="K511" s="154">
        <f t="shared" si="2664"/>
        <v>1</v>
      </c>
      <c r="L511" s="154">
        <f t="shared" si="2664"/>
        <v>1</v>
      </c>
      <c r="M511" s="154">
        <f t="shared" si="2664"/>
        <v>1</v>
      </c>
      <c r="N511" s="154">
        <f t="shared" si="2664"/>
        <v>2</v>
      </c>
      <c r="O511" s="154">
        <f t="shared" si="2664"/>
        <v>2</v>
      </c>
      <c r="P511" s="154">
        <f t="shared" si="2664"/>
        <v>2</v>
      </c>
      <c r="Q511" s="154">
        <f t="shared" si="2664"/>
        <v>3</v>
      </c>
      <c r="R511" s="154">
        <f t="shared" si="2664"/>
        <v>4</v>
      </c>
      <c r="S511" s="155">
        <f t="shared" si="2664"/>
        <v>4</v>
      </c>
      <c r="T511" s="154">
        <f t="shared" si="2664"/>
        <v>3</v>
      </c>
      <c r="U511" s="154">
        <f t="shared" si="2664"/>
        <v>2</v>
      </c>
      <c r="V511" s="154">
        <f t="shared" si="2664"/>
        <v>1</v>
      </c>
      <c r="W511" s="154">
        <f t="shared" si="2664"/>
        <v>1</v>
      </c>
      <c r="X511" s="154">
        <f t="shared" si="2664"/>
        <v>2</v>
      </c>
      <c r="Y511" s="154">
        <f t="shared" si="2664"/>
        <v>2</v>
      </c>
      <c r="Z511" s="154">
        <f t="shared" si="2664"/>
        <v>3</v>
      </c>
      <c r="AA511" s="154">
        <f t="shared" si="2664"/>
        <v>2</v>
      </c>
      <c r="AB511" s="154">
        <f t="shared" si="2664"/>
        <v>2</v>
      </c>
      <c r="AC511" s="154">
        <f t="shared" si="2664"/>
        <v>3</v>
      </c>
      <c r="AD511" s="156">
        <f t="shared" si="2664"/>
        <v>4</v>
      </c>
      <c r="AE511" s="15"/>
      <c r="AF511" s="90">
        <f>AVERAGE(G511:R511)</f>
        <v>1.9166666666666667</v>
      </c>
      <c r="AG511" s="91">
        <f>AVERAGE(S511:AD511)</f>
        <v>2.4166666666666665</v>
      </c>
    </row>
    <row r="512" spans="2:34" x14ac:dyDescent="0.2">
      <c r="B512" s="9">
        <f>G505</f>
        <v>11</v>
      </c>
      <c r="C512" s="9" t="str">
        <f t="shared" ref="C512:C548" si="2665">B512&amp;" - "&amp;F512</f>
        <v>11 - Workdays in Month / Year</v>
      </c>
      <c r="D512" s="9" t="s">
        <v>56</v>
      </c>
      <c r="F512" s="7" t="s">
        <v>54</v>
      </c>
      <c r="G512" s="121">
        <v>22</v>
      </c>
      <c r="H512" s="124">
        <v>21</v>
      </c>
      <c r="I512" s="124">
        <v>24</v>
      </c>
      <c r="J512" s="122">
        <v>21</v>
      </c>
      <c r="K512" s="122">
        <v>23</v>
      </c>
      <c r="L512" s="122">
        <v>23</v>
      </c>
      <c r="M512" s="122">
        <v>22</v>
      </c>
      <c r="N512" s="122">
        <v>24</v>
      </c>
      <c r="O512" s="122">
        <v>22</v>
      </c>
      <c r="P512" s="122">
        <v>22</v>
      </c>
      <c r="Q512" s="122">
        <v>23</v>
      </c>
      <c r="R512" s="122">
        <v>22</v>
      </c>
      <c r="S512" s="121">
        <v>23</v>
      </c>
      <c r="T512" s="122">
        <v>22</v>
      </c>
      <c r="U512" s="122">
        <v>22</v>
      </c>
      <c r="V512" s="122">
        <v>22</v>
      </c>
      <c r="W512" s="122">
        <v>24</v>
      </c>
      <c r="X512" s="122">
        <v>21</v>
      </c>
      <c r="Y512" s="122">
        <v>23</v>
      </c>
      <c r="Z512" s="122">
        <v>23</v>
      </c>
      <c r="AA512" s="122">
        <v>21</v>
      </c>
      <c r="AB512" s="122">
        <v>24</v>
      </c>
      <c r="AC512" s="122">
        <v>22</v>
      </c>
      <c r="AD512" s="123">
        <v>22</v>
      </c>
      <c r="AE512" s="15"/>
      <c r="AF512" s="144">
        <v>269</v>
      </c>
      <c r="AG512" s="145">
        <v>269</v>
      </c>
    </row>
    <row r="513" spans="2:33" x14ac:dyDescent="0.2">
      <c r="B513" s="9">
        <f>G505</f>
        <v>11</v>
      </c>
      <c r="C513" s="9" t="str">
        <f t="shared" si="2665"/>
        <v>11 - Total Vet Days</v>
      </c>
      <c r="D513" s="9" t="s">
        <v>56</v>
      </c>
      <c r="F513" s="8" t="s">
        <v>51</v>
      </c>
      <c r="G513" s="125">
        <f>G511*G512</f>
        <v>66</v>
      </c>
      <c r="H513" s="126">
        <f t="shared" ref="H513" si="2666">H511*H512</f>
        <v>42</v>
      </c>
      <c r="I513" s="126">
        <f t="shared" ref="I513" si="2667">I511*I512</f>
        <v>24</v>
      </c>
      <c r="J513" s="127">
        <f t="shared" ref="J513" si="2668">J511*J512</f>
        <v>21</v>
      </c>
      <c r="K513" s="127">
        <f t="shared" ref="K513" si="2669">K511*K512</f>
        <v>23</v>
      </c>
      <c r="L513" s="127">
        <f t="shared" ref="L513" si="2670">L511*L512</f>
        <v>23</v>
      </c>
      <c r="M513" s="127">
        <f t="shared" ref="M513" si="2671">M511*M512</f>
        <v>22</v>
      </c>
      <c r="N513" s="127">
        <f t="shared" ref="N513" si="2672">N511*N512</f>
        <v>48</v>
      </c>
      <c r="O513" s="127">
        <f t="shared" ref="O513" si="2673">O511*O512</f>
        <v>44</v>
      </c>
      <c r="P513" s="127">
        <f t="shared" ref="P513" si="2674">P511*P512</f>
        <v>44</v>
      </c>
      <c r="Q513" s="127">
        <f t="shared" ref="Q513" si="2675">Q511*Q512</f>
        <v>69</v>
      </c>
      <c r="R513" s="127">
        <f t="shared" ref="R513" si="2676">R511*R512</f>
        <v>88</v>
      </c>
      <c r="S513" s="125">
        <f t="shared" ref="S513" si="2677">S511*S512</f>
        <v>92</v>
      </c>
      <c r="T513" s="127">
        <f t="shared" ref="T513" si="2678">T511*T512</f>
        <v>66</v>
      </c>
      <c r="U513" s="127">
        <f t="shared" ref="U513" si="2679">U511*U512</f>
        <v>44</v>
      </c>
      <c r="V513" s="127">
        <f t="shared" ref="V513" si="2680">V511*V512</f>
        <v>22</v>
      </c>
      <c r="W513" s="127">
        <f t="shared" ref="W513" si="2681">W511*W512</f>
        <v>24</v>
      </c>
      <c r="X513" s="127">
        <f t="shared" ref="X513" si="2682">X511*X512</f>
        <v>42</v>
      </c>
      <c r="Y513" s="127">
        <f t="shared" ref="Y513" si="2683">Y511*Y512</f>
        <v>46</v>
      </c>
      <c r="Z513" s="127">
        <f t="shared" ref="Z513" si="2684">Z511*Z512</f>
        <v>69</v>
      </c>
      <c r="AA513" s="127">
        <f t="shared" ref="AA513" si="2685">AA511*AA512</f>
        <v>42</v>
      </c>
      <c r="AB513" s="127">
        <f t="shared" ref="AB513" si="2686">AB511*AB512</f>
        <v>48</v>
      </c>
      <c r="AC513" s="127">
        <f t="shared" ref="AC513" si="2687">AC511*AC512</f>
        <v>66</v>
      </c>
      <c r="AD513" s="128">
        <f t="shared" ref="AD513" si="2688">AD511*AD512</f>
        <v>88</v>
      </c>
      <c r="AF513" s="119">
        <f>SUM(G513:R513)</f>
        <v>514</v>
      </c>
      <c r="AG513" s="120">
        <f>SUM(S513:AD513)</f>
        <v>649</v>
      </c>
    </row>
    <row r="514" spans="2:33" x14ac:dyDescent="0.2">
      <c r="B514" s="9">
        <f>G505</f>
        <v>11</v>
      </c>
      <c r="C514" s="9" t="str">
        <f t="shared" si="2665"/>
        <v>11 - Production per Vet Workday</v>
      </c>
      <c r="D514" s="9" t="s">
        <v>56</v>
      </c>
      <c r="F514" s="7" t="s">
        <v>50</v>
      </c>
      <c r="G514" s="129">
        <v>5.0828371294823711</v>
      </c>
      <c r="H514" s="130">
        <v>6.0008553061515943</v>
      </c>
      <c r="I514" s="130">
        <v>6.8281376032317329</v>
      </c>
      <c r="J514" s="130">
        <v>7.390960700461406</v>
      </c>
      <c r="K514" s="130">
        <v>9.1154179055590454</v>
      </c>
      <c r="L514" s="130">
        <v>8.5732798784541764</v>
      </c>
      <c r="M514" s="130">
        <v>7.8840592711756754</v>
      </c>
      <c r="N514" s="130">
        <v>7.0093877514697951</v>
      </c>
      <c r="O514" s="130">
        <v>7.1261480306770455</v>
      </c>
      <c r="P514" s="130">
        <v>7.3160476491750561</v>
      </c>
      <c r="Q514" s="130">
        <v>6.4828391923820989</v>
      </c>
      <c r="R514" s="130">
        <v>5.1013516876970701</v>
      </c>
      <c r="S514" s="129">
        <v>4.9675735112953321</v>
      </c>
      <c r="T514" s="130">
        <v>5.6106908935985391</v>
      </c>
      <c r="U514" s="130">
        <v>6.941507334474605</v>
      </c>
      <c r="V514" s="130">
        <v>7.6851447267400035</v>
      </c>
      <c r="W514" s="130">
        <v>8.6788882309222366</v>
      </c>
      <c r="X514" s="130">
        <v>7.8095416773141331</v>
      </c>
      <c r="Y514" s="130">
        <v>7.7222446695289442</v>
      </c>
      <c r="Z514" s="130">
        <v>6.921137336657825</v>
      </c>
      <c r="AA514" s="130">
        <v>8.0144665396112362</v>
      </c>
      <c r="AB514" s="130">
        <v>7.6850698931502466</v>
      </c>
      <c r="AC514" s="130">
        <v>6.4591010294059474</v>
      </c>
      <c r="AD514" s="131">
        <v>4.9464719591927686</v>
      </c>
      <c r="AE514" s="15"/>
      <c r="AF514" s="132">
        <v>7.0055905502206723</v>
      </c>
      <c r="AG514" s="133">
        <v>6.9599825100011969</v>
      </c>
    </row>
    <row r="515" spans="2:33" x14ac:dyDescent="0.2">
      <c r="B515" s="9">
        <f>G505</f>
        <v>11</v>
      </c>
      <c r="C515" s="9" t="str">
        <f t="shared" si="2665"/>
        <v>11 - Total Production</v>
      </c>
      <c r="D515" s="9" t="s">
        <v>56</v>
      </c>
      <c r="F515" s="8" t="s">
        <v>1</v>
      </c>
      <c r="G515" s="134">
        <f>G514*G513</f>
        <v>335.46725054583646</v>
      </c>
      <c r="H515" s="135">
        <f t="shared" ref="H515" si="2689">H514*H513</f>
        <v>252.03592285836697</v>
      </c>
      <c r="I515" s="135">
        <f t="shared" ref="I515" si="2690">I514*I513</f>
        <v>163.8753024775616</v>
      </c>
      <c r="J515" s="135">
        <f t="shared" ref="J515" si="2691">J514*J513</f>
        <v>155.21017470968951</v>
      </c>
      <c r="K515" s="135">
        <f t="shared" ref="K515" si="2692">K514*K513</f>
        <v>209.65461182785805</v>
      </c>
      <c r="L515" s="135">
        <f t="shared" ref="L515" si="2693">L514*L513</f>
        <v>197.18543720444606</v>
      </c>
      <c r="M515" s="135">
        <f t="shared" ref="M515" si="2694">M514*M513</f>
        <v>173.44930396586486</v>
      </c>
      <c r="N515" s="135">
        <f t="shared" ref="N515" si="2695">N514*N513</f>
        <v>336.45061207055016</v>
      </c>
      <c r="O515" s="135">
        <f t="shared" ref="O515" si="2696">O514*O513</f>
        <v>313.55051334978998</v>
      </c>
      <c r="P515" s="135">
        <f t="shared" ref="P515" si="2697">P514*P513</f>
        <v>321.90609656370248</v>
      </c>
      <c r="Q515" s="135">
        <f t="shared" ref="Q515" si="2698">Q514*Q513</f>
        <v>447.31590427436481</v>
      </c>
      <c r="R515" s="135">
        <f t="shared" ref="R515" si="2699">R514*R513</f>
        <v>448.91894851734219</v>
      </c>
      <c r="S515" s="134">
        <f t="shared" ref="S515" si="2700">S514*S513</f>
        <v>457.01676303917054</v>
      </c>
      <c r="T515" s="135">
        <f t="shared" ref="T515" si="2701">T514*T513</f>
        <v>370.30559897750356</v>
      </c>
      <c r="U515" s="135">
        <f t="shared" ref="U515" si="2702">U514*U513</f>
        <v>305.42632271688262</v>
      </c>
      <c r="V515" s="135">
        <f t="shared" ref="V515" si="2703">V514*V513</f>
        <v>169.07318398828008</v>
      </c>
      <c r="W515" s="135">
        <f t="shared" ref="W515" si="2704">W514*W513</f>
        <v>208.29331754213368</v>
      </c>
      <c r="X515" s="135">
        <f t="shared" ref="X515" si="2705">X514*X513</f>
        <v>328.00075044719358</v>
      </c>
      <c r="Y515" s="135">
        <f t="shared" ref="Y515" si="2706">Y514*Y513</f>
        <v>355.22325479833142</v>
      </c>
      <c r="Z515" s="135">
        <f t="shared" ref="Z515" si="2707">Z514*Z513</f>
        <v>477.55847622938995</v>
      </c>
      <c r="AA515" s="135">
        <f t="shared" ref="AA515" si="2708">AA514*AA513</f>
        <v>336.60759466367193</v>
      </c>
      <c r="AB515" s="135">
        <f t="shared" ref="AB515" si="2709">AB514*AB513</f>
        <v>368.88335487121185</v>
      </c>
      <c r="AC515" s="135">
        <f t="shared" ref="AC515" si="2710">AC514*AC513</f>
        <v>426.30066794079255</v>
      </c>
      <c r="AD515" s="136">
        <f t="shared" ref="AD515" si="2711">AD514*AD513</f>
        <v>435.28953240896362</v>
      </c>
      <c r="AE515" s="15"/>
      <c r="AF515" s="94">
        <f>SUM(G515:R515)</f>
        <v>3355.0200783653727</v>
      </c>
      <c r="AG515" s="95">
        <f>SUM(S515:AD515)</f>
        <v>4237.9788176235252</v>
      </c>
    </row>
    <row r="516" spans="2:33" x14ac:dyDescent="0.2">
      <c r="B516" s="9">
        <f>G505</f>
        <v>11</v>
      </c>
      <c r="C516" s="9" t="str">
        <f t="shared" si="2665"/>
        <v>11 - Revenue as a % of Production</v>
      </c>
      <c r="D516" s="9" t="s">
        <v>56</v>
      </c>
      <c r="F516" s="7" t="s">
        <v>2</v>
      </c>
      <c r="G516" s="137">
        <v>0.98812294481903229</v>
      </c>
      <c r="H516" s="138">
        <v>0.98812294481903229</v>
      </c>
      <c r="I516" s="138">
        <v>0.98812294481903229</v>
      </c>
      <c r="J516" s="138">
        <v>0.98812294481903229</v>
      </c>
      <c r="K516" s="138">
        <v>0.98812294481903229</v>
      </c>
      <c r="L516" s="138">
        <v>0.98812294481903229</v>
      </c>
      <c r="M516" s="138">
        <v>0.98812294481903229</v>
      </c>
      <c r="N516" s="138">
        <v>0.98812294481903229</v>
      </c>
      <c r="O516" s="138">
        <v>0.98812294481903229</v>
      </c>
      <c r="P516" s="138">
        <v>0.98812294481903229</v>
      </c>
      <c r="Q516" s="138">
        <v>0.98812294481903229</v>
      </c>
      <c r="R516" s="138">
        <v>0.98812294481903229</v>
      </c>
      <c r="S516" s="137">
        <v>0.98963462974820693</v>
      </c>
      <c r="T516" s="138">
        <v>0.98963462974820693</v>
      </c>
      <c r="U516" s="138">
        <v>0.98963462974820693</v>
      </c>
      <c r="V516" s="138">
        <v>0.98963462974820693</v>
      </c>
      <c r="W516" s="138">
        <v>0.98963462974820693</v>
      </c>
      <c r="X516" s="138">
        <v>0.98963462974820693</v>
      </c>
      <c r="Y516" s="138">
        <v>0.98963462974820693</v>
      </c>
      <c r="Z516" s="138">
        <v>0.98963462974820693</v>
      </c>
      <c r="AA516" s="138">
        <v>0.98963462974820693</v>
      </c>
      <c r="AB516" s="138">
        <v>0.98963462974820693</v>
      </c>
      <c r="AC516" s="138">
        <v>0.98963462974820693</v>
      </c>
      <c r="AD516" s="139">
        <v>0.98963462974820693</v>
      </c>
      <c r="AE516" s="15"/>
      <c r="AF516" s="161">
        <v>0.9881229448190324</v>
      </c>
      <c r="AG516" s="162">
        <v>0.98963462974820671</v>
      </c>
    </row>
    <row r="517" spans="2:33" x14ac:dyDescent="0.2">
      <c r="B517" s="9">
        <f>G505</f>
        <v>11</v>
      </c>
      <c r="C517" s="9" t="str">
        <f t="shared" si="2665"/>
        <v>11 - Total Revenue</v>
      </c>
      <c r="D517" s="9" t="s">
        <v>56</v>
      </c>
      <c r="F517" s="8" t="s">
        <v>3</v>
      </c>
      <c r="G517" s="134">
        <f>G516*G515</f>
        <v>331.48288749969606</v>
      </c>
      <c r="H517" s="135">
        <f t="shared" ref="H517" si="2712">H516*H515</f>
        <v>249.04247829499204</v>
      </c>
      <c r="I517" s="135">
        <f t="shared" ref="I517" si="2713">I516*I515</f>
        <v>161.92894646723784</v>
      </c>
      <c r="J517" s="135">
        <f t="shared" ref="J517" si="2714">J516*J515</f>
        <v>153.36673490001488</v>
      </c>
      <c r="K517" s="135">
        <f t="shared" ref="K517" si="2715">K516*K515</f>
        <v>207.16453243423422</v>
      </c>
      <c r="L517" s="135">
        <f t="shared" ref="L517" si="2716">L516*L515</f>
        <v>194.84345488588562</v>
      </c>
      <c r="M517" s="135">
        <f t="shared" ref="M517" si="2717">M516*M515</f>
        <v>171.38923701156185</v>
      </c>
      <c r="N517" s="135">
        <f t="shared" ref="N517" si="2718">N516*N515</f>
        <v>332.45456958531787</v>
      </c>
      <c r="O517" s="135">
        <f t="shared" ref="O517" si="2719">O516*O515</f>
        <v>309.82645660071375</v>
      </c>
      <c r="P517" s="135">
        <f t="shared" ref="P517" si="2720">P516*P515</f>
        <v>318.08280009172546</v>
      </c>
      <c r="Q517" s="135">
        <f t="shared" ref="Q517" si="2721">Q516*Q515</f>
        <v>442.00310859597369</v>
      </c>
      <c r="R517" s="135">
        <f t="shared" ref="R517" si="2722">R516*R515</f>
        <v>443.5871133940197</v>
      </c>
      <c r="S517" s="134">
        <f t="shared" ref="S517" si="2723">S516*S515</f>
        <v>452.27961507899357</v>
      </c>
      <c r="T517" s="135">
        <f t="shared" ref="T517" si="2724">T516*T515</f>
        <v>366.46724433778974</v>
      </c>
      <c r="U517" s="135">
        <f t="shared" ref="U517" si="2725">U516*U515</f>
        <v>302.26046579727847</v>
      </c>
      <c r="V517" s="135">
        <f t="shared" ref="V517" si="2726">V516*V515</f>
        <v>167.32067783659201</v>
      </c>
      <c r="W517" s="135">
        <f t="shared" ref="W517" si="2727">W516*W515</f>
        <v>206.13428018483515</v>
      </c>
      <c r="X517" s="135">
        <f t="shared" ref="X517" si="2728">X516*X515</f>
        <v>324.60090122594244</v>
      </c>
      <c r="Y517" s="135">
        <f t="shared" ref="Y517" si="2729">Y516*Y515</f>
        <v>351.54123424029967</v>
      </c>
      <c r="Z517" s="135">
        <f t="shared" ref="Z517" si="2730">Z516*Z515</f>
        <v>472.60840580639018</v>
      </c>
      <c r="AA517" s="135">
        <f t="shared" ref="AA517" si="2731">AA516*AA515</f>
        <v>333.1185323154175</v>
      </c>
      <c r="AB517" s="135">
        <f t="shared" ref="AB517" si="2732">AB516*AB515</f>
        <v>365.05974231824814</v>
      </c>
      <c r="AC517" s="135">
        <f t="shared" ref="AC517" si="2733">AC516*AC515</f>
        <v>421.88190367899955</v>
      </c>
      <c r="AD517" s="136">
        <f t="shared" ref="AD517" si="2734">AD516*AD515</f>
        <v>430.77759523881485</v>
      </c>
      <c r="AE517" s="15"/>
      <c r="AF517" s="94">
        <f>SUM(G517:R517)</f>
        <v>3315.1723197613724</v>
      </c>
      <c r="AG517" s="95">
        <f>SUM(S517:AD517)</f>
        <v>4194.0505980596017</v>
      </c>
    </row>
    <row r="518" spans="2:33" x14ac:dyDescent="0.2">
      <c r="B518" s="9">
        <f>G505</f>
        <v>11</v>
      </c>
      <c r="C518" s="9" t="str">
        <f t="shared" si="2665"/>
        <v>11 - % YoY Revenue Growth</v>
      </c>
      <c r="D518" s="9" t="s">
        <v>56</v>
      </c>
      <c r="F518" s="16" t="s">
        <v>174</v>
      </c>
      <c r="G518" s="82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148">
        <f>S517/G517-1</f>
        <v>0.36441316319657147</v>
      </c>
      <c r="T518" s="149">
        <f t="shared" ref="T518" si="2735">T517/H517-1</f>
        <v>0.47150496913906981</v>
      </c>
      <c r="U518" s="149">
        <f t="shared" ref="U518" si="2736">U517/I517-1</f>
        <v>0.86662404956999528</v>
      </c>
      <c r="V518" s="149">
        <f t="shared" ref="V518" si="2737">V517/J517-1</f>
        <v>9.0984156021018503E-2</v>
      </c>
      <c r="W518" s="149">
        <f t="shared" ref="W518" si="2738">W517/K517-1</f>
        <v>-4.9731111657644878E-3</v>
      </c>
      <c r="X518" s="149">
        <f t="shared" ref="X518" si="2739">X517/L517-1</f>
        <v>0.66595742934271063</v>
      </c>
      <c r="Y518" s="149">
        <f t="shared" ref="Y518" si="2740">Y517/M517-1</f>
        <v>1.0511278325872051</v>
      </c>
      <c r="Z518" s="149">
        <f t="shared" ref="Z518" si="2741">Z517/N517-1</f>
        <v>0.42157289760189198</v>
      </c>
      <c r="AA518" s="149">
        <f t="shared" ref="AA518" si="2742">AA517/O517-1</f>
        <v>7.5177813961579076E-2</v>
      </c>
      <c r="AB518" s="149">
        <f t="shared" ref="AB518" si="2743">AB517/P517-1</f>
        <v>0.14768777882040762</v>
      </c>
      <c r="AC518" s="149">
        <f t="shared" ref="AC518" si="2744">AC517/Q517-1</f>
        <v>-4.5522767884799031E-2</v>
      </c>
      <c r="AD518" s="150">
        <f t="shared" ref="AD518" si="2745">AD517/R517-1</f>
        <v>-2.8877119664715512E-2</v>
      </c>
      <c r="AE518" s="15"/>
      <c r="AF518" s="11"/>
      <c r="AG518" s="97">
        <f>AG517/AF517-1</f>
        <v>0.26510787178673456</v>
      </c>
    </row>
    <row r="519" spans="2:33" ht="6" customHeight="1" x14ac:dyDescent="0.2">
      <c r="B519" s="9">
        <f>G505</f>
        <v>11</v>
      </c>
      <c r="C519" s="9" t="str">
        <f t="shared" si="2665"/>
        <v xml:space="preserve">11 - </v>
      </c>
      <c r="D519" s="9" t="s">
        <v>56</v>
      </c>
      <c r="G519" s="11"/>
      <c r="S519" s="11"/>
      <c r="AD519" s="15"/>
      <c r="AE519" s="15"/>
      <c r="AF519" s="11"/>
      <c r="AG519" s="15"/>
    </row>
    <row r="520" spans="2:33" x14ac:dyDescent="0.2">
      <c r="B520" s="9">
        <f>G505</f>
        <v>11</v>
      </c>
      <c r="C520" s="9" t="str">
        <f t="shared" si="2665"/>
        <v>11 - Doctor Compensation</v>
      </c>
      <c r="D520" s="9" t="s">
        <v>56</v>
      </c>
      <c r="F520" t="s">
        <v>4</v>
      </c>
      <c r="G520" s="144">
        <v>-100.39427679483757</v>
      </c>
      <c r="H520" s="70">
        <v>-111.0910231200544</v>
      </c>
      <c r="I520" s="70">
        <v>-144.75729818512781</v>
      </c>
      <c r="J520" s="70">
        <v>-140.59645093440437</v>
      </c>
      <c r="K520" s="70">
        <v>-193.78196287192995</v>
      </c>
      <c r="L520" s="70">
        <v>-181.91547947128612</v>
      </c>
      <c r="M520" s="70">
        <v>-154.9224150364447</v>
      </c>
      <c r="N520" s="70">
        <v>-151.84084609853741</v>
      </c>
      <c r="O520" s="70">
        <v>-139.87116127956429</v>
      </c>
      <c r="P520" s="70">
        <v>-139.08122562169353</v>
      </c>
      <c r="Q520" s="70">
        <v>-130.51579221768387</v>
      </c>
      <c r="R520" s="70">
        <v>-100.99062083876747</v>
      </c>
      <c r="S520" s="144">
        <v>-102.77738138878777</v>
      </c>
      <c r="T520" s="70">
        <v>-114.16270583193098</v>
      </c>
      <c r="U520" s="70">
        <v>-137.28298473654485</v>
      </c>
      <c r="V520" s="70">
        <v>-148.50529846196719</v>
      </c>
      <c r="W520" s="70">
        <v>-123.73867979423466</v>
      </c>
      <c r="X520" s="70">
        <v>-147.71471569693367</v>
      </c>
      <c r="Y520" s="70">
        <v>-160.86670065154615</v>
      </c>
      <c r="Z520" s="70">
        <v>-142.60535772188365</v>
      </c>
      <c r="AA520" s="70">
        <v>-150.87139068633724</v>
      </c>
      <c r="AB520" s="70">
        <v>-161.28001580772741</v>
      </c>
      <c r="AC520" s="70">
        <v>-126.16837129808033</v>
      </c>
      <c r="AD520" s="145">
        <v>-93.67466960779079</v>
      </c>
      <c r="AE520" s="15"/>
      <c r="AF520" s="92">
        <f>SUM(G520:R520)</f>
        <v>-1689.7585524703316</v>
      </c>
      <c r="AG520" s="93">
        <f>SUM(S520:AD520)</f>
        <v>-1609.6482716837645</v>
      </c>
    </row>
    <row r="521" spans="2:33" x14ac:dyDescent="0.2">
      <c r="B521" s="9">
        <f>G505</f>
        <v>11</v>
      </c>
      <c r="C521" s="9" t="str">
        <f t="shared" si="2665"/>
        <v>11 - % of Revenue - Doctor Compensation</v>
      </c>
      <c r="D521" s="9" t="s">
        <v>56</v>
      </c>
      <c r="F521" s="16" t="str">
        <f>"% of Revenue - "&amp;F520</f>
        <v>% of Revenue - Doctor Compensation</v>
      </c>
      <c r="G521" s="148">
        <f>G520/G517</f>
        <v>-0.30286413139480578</v>
      </c>
      <c r="H521" s="149">
        <f t="shared" ref="H521" si="2746">H520/H517</f>
        <v>-0.44607258922498572</v>
      </c>
      <c r="I521" s="149">
        <f t="shared" ref="I521" si="2747">I520/I517</f>
        <v>-0.89395565983266456</v>
      </c>
      <c r="J521" s="149">
        <f t="shared" ref="J521" si="2748">J520/J517</f>
        <v>-0.91673367778263071</v>
      </c>
      <c r="K521" s="149">
        <f t="shared" ref="K521" si="2749">K520/K517</f>
        <v>-0.9354012513384613</v>
      </c>
      <c r="L521" s="149">
        <f t="shared" ref="L521" si="2750">L520/L517</f>
        <v>-0.93364942424075237</v>
      </c>
      <c r="M521" s="149">
        <f t="shared" ref="M521" si="2751">M520/M517</f>
        <v>-0.90392149319151061</v>
      </c>
      <c r="N521" s="149">
        <f t="shared" ref="N521" si="2752">N520/N517</f>
        <v>-0.45672660263907267</v>
      </c>
      <c r="O521" s="149">
        <f t="shared" ref="O521" si="2753">O520/O517</f>
        <v>-0.45145002403659179</v>
      </c>
      <c r="P521" s="149">
        <f t="shared" ref="P521" si="2754">P520/P517</f>
        <v>-0.43724849498805568</v>
      </c>
      <c r="Q521" s="149">
        <f t="shared" ref="Q521" si="2755">Q520/Q517</f>
        <v>-0.29528252104893177</v>
      </c>
      <c r="R521" s="149">
        <f t="shared" ref="R521" si="2756">R520/R517</f>
        <v>-0.22766806741985257</v>
      </c>
      <c r="S521" s="148">
        <f t="shared" ref="S521" si="2757">S520/S517</f>
        <v>-0.22724301065577993</v>
      </c>
      <c r="T521" s="149">
        <f t="shared" ref="T521" si="2758">T520/T517</f>
        <v>-0.31152226452932846</v>
      </c>
      <c r="U521" s="149">
        <f t="shared" ref="U521" si="2759">U520/U517</f>
        <v>-0.45418769660938219</v>
      </c>
      <c r="V521" s="149">
        <f t="shared" ref="V521" si="2760">V520/V517</f>
        <v>-0.88754898905561319</v>
      </c>
      <c r="W521" s="149">
        <f t="shared" ref="W521" si="2761">W520/W517</f>
        <v>-0.6002819117872169</v>
      </c>
      <c r="X521" s="149">
        <f t="shared" ref="X521" si="2762">X520/X517</f>
        <v>-0.45506563641397602</v>
      </c>
      <c r="Y521" s="149">
        <f t="shared" ref="Y521" si="2763">Y520/Y517</f>
        <v>-0.45760407310166079</v>
      </c>
      <c r="Z521" s="149">
        <f t="shared" ref="Z521" si="2764">Z520/Z517</f>
        <v>-0.30174105235932619</v>
      </c>
      <c r="AA521" s="149">
        <f t="shared" ref="AA521" si="2765">AA520/AA517</f>
        <v>-0.45290602608528169</v>
      </c>
      <c r="AB521" s="149">
        <f t="shared" ref="AB521" si="2766">AB520/AB517</f>
        <v>-0.44179074576546523</v>
      </c>
      <c r="AC521" s="149">
        <f t="shared" ref="AC521" si="2767">AC520/AC517</f>
        <v>-0.29906087508811235</v>
      </c>
      <c r="AD521" s="150">
        <f t="shared" ref="AD521" si="2768">AD520/AD517</f>
        <v>-0.21745483201339511</v>
      </c>
      <c r="AE521" s="15"/>
      <c r="AF521" s="96">
        <f t="shared" ref="AF521" si="2769">AF520/AF517</f>
        <v>-0.50970459134141211</v>
      </c>
      <c r="AG521" s="97">
        <f t="shared" ref="AG521" si="2770">AG520/AG517</f>
        <v>-0.38379324093716854</v>
      </c>
    </row>
    <row r="522" spans="2:33" ht="3" customHeight="1" x14ac:dyDescent="0.2">
      <c r="B522" s="9">
        <f>G505</f>
        <v>11</v>
      </c>
      <c r="C522" s="9" t="str">
        <f t="shared" si="2665"/>
        <v xml:space="preserve">11 - </v>
      </c>
      <c r="D522" s="9" t="s">
        <v>56</v>
      </c>
      <c r="F522" s="16"/>
      <c r="G522" s="36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6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8"/>
      <c r="AE522" s="15"/>
      <c r="AF522" s="36"/>
      <c r="AG522" s="38"/>
    </row>
    <row r="523" spans="2:33" x14ac:dyDescent="0.2">
      <c r="B523" s="9">
        <f>G505</f>
        <v>11</v>
      </c>
      <c r="C523" s="9" t="str">
        <f t="shared" si="2665"/>
        <v>11 - Administrative Staff Compensation</v>
      </c>
      <c r="D523" s="9" t="s">
        <v>56</v>
      </c>
      <c r="F523" t="s">
        <v>5</v>
      </c>
      <c r="G523" s="144">
        <v>-61.611921312079915</v>
      </c>
      <c r="H523" s="70">
        <v>-70.205874794498158</v>
      </c>
      <c r="I523" s="70">
        <v>-54.196559674929247</v>
      </c>
      <c r="J523" s="70">
        <v>-49.806498724682676</v>
      </c>
      <c r="K523" s="70">
        <v>-69.735154311133968</v>
      </c>
      <c r="L523" s="70">
        <v>-64.704665286426106</v>
      </c>
      <c r="M523" s="70">
        <v>-55.10566716459104</v>
      </c>
      <c r="N523" s="70">
        <v>-65.821942254270482</v>
      </c>
      <c r="O523" s="70">
        <v>-62.5030704915755</v>
      </c>
      <c r="P523" s="70">
        <v>-63.362255186481946</v>
      </c>
      <c r="Q523" s="70">
        <v>-69.34964253079994</v>
      </c>
      <c r="R523" s="70">
        <v>-64.627640651462187</v>
      </c>
      <c r="S523" s="144">
        <v>-79.520533360505567</v>
      </c>
      <c r="T523" s="70">
        <v>-87.155176411795708</v>
      </c>
      <c r="U523" s="70">
        <v>-87.949389264668937</v>
      </c>
      <c r="V523" s="70">
        <v>-98.533472302757616</v>
      </c>
      <c r="W523" s="70">
        <v>-105.32902030748437</v>
      </c>
      <c r="X523" s="70">
        <v>-98.816406047698834</v>
      </c>
      <c r="Y523" s="70">
        <v>-106.29562062648772</v>
      </c>
      <c r="Z523" s="70">
        <v>-98.434745603302318</v>
      </c>
      <c r="AA523" s="70">
        <v>-102.75726966589812</v>
      </c>
      <c r="AB523" s="70">
        <v>-111.82233260393195</v>
      </c>
      <c r="AC523" s="70">
        <v>-88.143502748713018</v>
      </c>
      <c r="AD523" s="145">
        <v>-83.25279594430188</v>
      </c>
      <c r="AE523" s="15"/>
      <c r="AF523" s="92">
        <f>SUM(G523:R523)</f>
        <v>-751.03089238293103</v>
      </c>
      <c r="AG523" s="93">
        <f>SUM(S523:AD523)</f>
        <v>-1148.0102648875459</v>
      </c>
    </row>
    <row r="524" spans="2:33" x14ac:dyDescent="0.2">
      <c r="B524" s="9">
        <f>G505</f>
        <v>11</v>
      </c>
      <c r="C524" s="9" t="str">
        <f t="shared" si="2665"/>
        <v>11 - % of Revenue - Administrative Staff Compensation</v>
      </c>
      <c r="D524" s="9" t="s">
        <v>56</v>
      </c>
      <c r="F524" s="16" t="str">
        <f>"% of Revenue - "&amp;F523</f>
        <v>% of Revenue - Administrative Staff Compensation</v>
      </c>
      <c r="G524" s="148">
        <f>G523/G517</f>
        <v>-0.18586757758991829</v>
      </c>
      <c r="H524" s="149">
        <f t="shared" ref="H524" si="2771">H523/H517</f>
        <v>-0.28190321295846948</v>
      </c>
      <c r="I524" s="149">
        <f t="shared" ref="I524" si="2772">I523/I517</f>
        <v>-0.33469346189993604</v>
      </c>
      <c r="J524" s="149">
        <f t="shared" ref="J524" si="2773">J523/J517</f>
        <v>-0.32475424841738509</v>
      </c>
      <c r="K524" s="149">
        <f t="shared" ref="K524" si="2774">K523/K517</f>
        <v>-0.33661724568259221</v>
      </c>
      <c r="L524" s="149">
        <f t="shared" ref="L524" si="2775">L523/L517</f>
        <v>-0.33208539298547046</v>
      </c>
      <c r="M524" s="149">
        <f t="shared" ref="M524" si="2776">M523/M517</f>
        <v>-0.32152349893986421</v>
      </c>
      <c r="N524" s="149">
        <f t="shared" ref="N524" si="2777">N523/N517</f>
        <v>-0.19798778021421837</v>
      </c>
      <c r="O524" s="149">
        <f t="shared" ref="O524" si="2778">O523/O517</f>
        <v>-0.2017357432200369</v>
      </c>
      <c r="P524" s="149">
        <f t="shared" ref="P524" si="2779">P523/P517</f>
        <v>-0.1992005074408619</v>
      </c>
      <c r="Q524" s="149">
        <f t="shared" ref="Q524" si="2780">Q523/Q517</f>
        <v>-0.15689854026386743</v>
      </c>
      <c r="R524" s="149">
        <f t="shared" ref="R524" si="2781">R523/R517</f>
        <v>-0.14569323296381737</v>
      </c>
      <c r="S524" s="148">
        <f t="shared" ref="S524" si="2782">S523/S517</f>
        <v>-0.1758216172237097</v>
      </c>
      <c r="T524" s="149">
        <f t="shared" ref="T524" si="2783">T523/T517</f>
        <v>-0.23782528386482685</v>
      </c>
      <c r="U524" s="149">
        <f t="shared" ref="U524" si="2784">U523/U517</f>
        <v>-0.29097218861448876</v>
      </c>
      <c r="V524" s="149">
        <f t="shared" ref="V524:W524" si="2785">V523/V517</f>
        <v>-0.58888999002853037</v>
      </c>
      <c r="W524" s="149">
        <f t="shared" si="2785"/>
        <v>-0.51097284844150437</v>
      </c>
      <c r="X524" s="149">
        <f t="shared" ref="X524" si="2786">X523/X517</f>
        <v>-0.30442431205363923</v>
      </c>
      <c r="Y524" s="149">
        <f t="shared" ref="Y524" si="2787">Y523/Y517</f>
        <v>-0.30237027771777192</v>
      </c>
      <c r="Z524" s="149">
        <f t="shared" ref="Z524" si="2788">Z523/Z517</f>
        <v>-0.2082797182486579</v>
      </c>
      <c r="AA524" s="149">
        <f t="shared" ref="AA524" si="2789">AA523/AA517</f>
        <v>-0.30847058838684216</v>
      </c>
      <c r="AB524" s="149">
        <f t="shared" ref="AB524" si="2790">AB523/AB517</f>
        <v>-0.30631241860256558</v>
      </c>
      <c r="AC524" s="149">
        <f t="shared" ref="AC524" si="2791">AC523/AC517</f>
        <v>-0.20892932827898544</v>
      </c>
      <c r="AD524" s="150">
        <f t="shared" ref="AD524" si="2792">AD523/AD517</f>
        <v>-0.1932616664943963</v>
      </c>
      <c r="AE524" s="15"/>
      <c r="AF524" s="96">
        <f t="shared" ref="AF524" si="2793">AF523/AF517</f>
        <v>-0.22654354583806086</v>
      </c>
      <c r="AG524" s="97">
        <f t="shared" ref="AG524" si="2794">AG523/AG517</f>
        <v>-0.27372351335453093</v>
      </c>
    </row>
    <row r="525" spans="2:33" ht="3" customHeight="1" x14ac:dyDescent="0.2">
      <c r="B525" s="9">
        <f>G505</f>
        <v>11</v>
      </c>
      <c r="C525" s="9" t="str">
        <f t="shared" si="2665"/>
        <v xml:space="preserve">11 - </v>
      </c>
      <c r="D525" s="9" t="s">
        <v>56</v>
      </c>
      <c r="F525" s="16"/>
      <c r="G525" s="36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6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8"/>
      <c r="AE525" s="15"/>
      <c r="AF525" s="36"/>
      <c r="AG525" s="38"/>
    </row>
    <row r="526" spans="2:33" x14ac:dyDescent="0.2">
      <c r="B526" s="9">
        <f>G505</f>
        <v>11</v>
      </c>
      <c r="C526" s="9" t="str">
        <f t="shared" si="2665"/>
        <v>11 - Office Supplies</v>
      </c>
      <c r="D526" s="9" t="s">
        <v>56</v>
      </c>
      <c r="F526" t="s">
        <v>6</v>
      </c>
      <c r="G526" s="144">
        <v>-25.214286036111844</v>
      </c>
      <c r="H526" s="70">
        <v>-29.183567509019255</v>
      </c>
      <c r="I526" s="70">
        <v>-38.052142784906998</v>
      </c>
      <c r="J526" s="70">
        <v>-36.823369197934674</v>
      </c>
      <c r="K526" s="70">
        <v>-50.707877603473307</v>
      </c>
      <c r="L526" s="70">
        <v>-45.231462676606114</v>
      </c>
      <c r="M526" s="70">
        <v>-40.894419142503715</v>
      </c>
      <c r="N526" s="70">
        <v>-40.94756220035211</v>
      </c>
      <c r="O526" s="70">
        <v>-39.029509887033484</v>
      </c>
      <c r="P526" s="70">
        <v>-38.142475789753163</v>
      </c>
      <c r="Q526" s="70">
        <v>-37.446772426863333</v>
      </c>
      <c r="R526" s="70">
        <v>-26.830378984541952</v>
      </c>
      <c r="S526" s="144">
        <v>-28.345883470771586</v>
      </c>
      <c r="T526" s="70">
        <v>-29.063400944802293</v>
      </c>
      <c r="U526" s="70">
        <v>-36.371178352982263</v>
      </c>
      <c r="V526" s="70">
        <v>-37.785316853590579</v>
      </c>
      <c r="W526" s="70">
        <v>-43.495824780058939</v>
      </c>
      <c r="X526" s="70">
        <v>-33.943815119037879</v>
      </c>
      <c r="Y526" s="70">
        <v>-38.4339904011957</v>
      </c>
      <c r="Z526" s="70">
        <v>-32.510802919547473</v>
      </c>
      <c r="AA526" s="70">
        <v>-31.901677208762642</v>
      </c>
      <c r="AB526" s="70">
        <v>-34.248836107588353</v>
      </c>
      <c r="AC526" s="70">
        <v>-27.358705095758054</v>
      </c>
      <c r="AD526" s="145">
        <v>-21.285470311278438</v>
      </c>
      <c r="AE526" s="15"/>
      <c r="AF526" s="92">
        <f>SUM(G526:R526)</f>
        <v>-448.50382423909991</v>
      </c>
      <c r="AG526" s="93">
        <f>SUM(S526:AD526)</f>
        <v>-394.74490156537428</v>
      </c>
    </row>
    <row r="527" spans="2:33" x14ac:dyDescent="0.2">
      <c r="B527" s="9">
        <f>G505</f>
        <v>11</v>
      </c>
      <c r="C527" s="9" t="str">
        <f t="shared" si="2665"/>
        <v>11 - % of Revenue - Office Supplies</v>
      </c>
      <c r="D527" s="9" t="s">
        <v>56</v>
      </c>
      <c r="F527" s="16" t="str">
        <f>"% of Revenue - "&amp;F526</f>
        <v>% of Revenue - Office Supplies</v>
      </c>
      <c r="G527" s="148">
        <f>G526/G517</f>
        <v>-7.6065121268545005E-2</v>
      </c>
      <c r="H527" s="149">
        <f t="shared" ref="H527" si="2795">H526/H517</f>
        <v>-0.1171830914501709</v>
      </c>
      <c r="I527" s="149">
        <f t="shared" ref="I527" si="2796">I526/I517</f>
        <v>-0.23499283861891779</v>
      </c>
      <c r="J527" s="149">
        <f t="shared" ref="J527" si="2797">J526/J517</f>
        <v>-0.24010010529298359</v>
      </c>
      <c r="K527" s="149">
        <f t="shared" ref="K527" si="2798">K526/K517</f>
        <v>-0.24477103782024495</v>
      </c>
      <c r="L527" s="149">
        <f t="shared" ref="L527" si="2799">L526/L517</f>
        <v>-0.23214258186448664</v>
      </c>
      <c r="M527" s="149">
        <f t="shared" ref="M527" si="2800">M526/M517</f>
        <v>-0.23860552655208445</v>
      </c>
      <c r="N527" s="149">
        <f t="shared" ref="N527" si="2801">N526/N517</f>
        <v>-0.12316739171739292</v>
      </c>
      <c r="O527" s="149">
        <f t="shared" ref="O527" si="2802">O526/O517</f>
        <v>-0.12597216620959015</v>
      </c>
      <c r="P527" s="149">
        <f t="shared" ref="P527" si="2803">P526/P517</f>
        <v>-0.11991366958148642</v>
      </c>
      <c r="Q527" s="149">
        <f t="shared" ref="Q527" si="2804">Q526/Q517</f>
        <v>-8.4720608743710638E-2</v>
      </c>
      <c r="R527" s="149">
        <f t="shared" ref="R527" si="2805">R526/R517</f>
        <v>-6.0485028023592874E-2</v>
      </c>
      <c r="S527" s="148">
        <f t="shared" ref="S527" si="2806">S526/S517</f>
        <v>-6.2673360739065792E-2</v>
      </c>
      <c r="T527" s="149">
        <f t="shared" ref="T527" si="2807">T526/T517</f>
        <v>-7.9306954151714626E-2</v>
      </c>
      <c r="U527" s="149">
        <f t="shared" ref="U527" si="2808">U526/U517</f>
        <v>-0.12033058394535745</v>
      </c>
      <c r="V527" s="149">
        <f t="shared" ref="V527" si="2809">V526/V517</f>
        <v>-0.22582574576043918</v>
      </c>
      <c r="W527" s="149">
        <f t="shared" ref="W527" si="2810">W526/W517</f>
        <v>-0.21100723635611401</v>
      </c>
      <c r="X527" s="149">
        <f t="shared" ref="X527" si="2811">X526/X517</f>
        <v>-0.10457092075480982</v>
      </c>
      <c r="Y527" s="149">
        <f t="shared" ref="Y527" si="2812">Y526/Y517</f>
        <v>-0.1093299637644321</v>
      </c>
      <c r="Z527" s="149">
        <f t="shared" ref="Z527" si="2813">Z526/Z517</f>
        <v>-6.8790149561719652E-2</v>
      </c>
      <c r="AA527" s="149">
        <f t="shared" ref="AA527" si="2814">AA526/AA517</f>
        <v>-9.5766744008574503E-2</v>
      </c>
      <c r="AB527" s="149">
        <f t="shared" ref="AB527" si="2815">AB526/AB517</f>
        <v>-9.3817071940327082E-2</v>
      </c>
      <c r="AC527" s="149">
        <f t="shared" ref="AC527" si="2816">AC526/AC517</f>
        <v>-6.484920272042452E-2</v>
      </c>
      <c r="AD527" s="150">
        <f t="shared" ref="AD527" si="2817">AD526/AD517</f>
        <v>-4.9411739483522073E-2</v>
      </c>
      <c r="AE527" s="15"/>
      <c r="AF527" s="96">
        <f t="shared" ref="AF527" si="2818">AF526/AF517</f>
        <v>-0.13528823873366058</v>
      </c>
      <c r="AG527" s="97">
        <f t="shared" ref="AG527" si="2819">AG526/AG517</f>
        <v>-9.4120204879742028E-2</v>
      </c>
    </row>
    <row r="528" spans="2:33" ht="6" customHeight="1" x14ac:dyDescent="0.2">
      <c r="B528" s="9">
        <f>G505</f>
        <v>11</v>
      </c>
      <c r="C528" s="9" t="str">
        <f t="shared" si="2665"/>
        <v xml:space="preserve">11 - </v>
      </c>
      <c r="D528" s="9" t="s">
        <v>56</v>
      </c>
      <c r="F528" s="16"/>
      <c r="G528" s="11"/>
      <c r="S528" s="11"/>
      <c r="AD528" s="15"/>
      <c r="AE528" s="15"/>
      <c r="AF528" s="11"/>
      <c r="AG528" s="15"/>
    </row>
    <row r="529" spans="2:33" x14ac:dyDescent="0.2">
      <c r="B529" s="9">
        <f>G505</f>
        <v>11</v>
      </c>
      <c r="C529" s="9" t="str">
        <f t="shared" si="2665"/>
        <v>11 - Office Gross Profit</v>
      </c>
      <c r="D529" s="9" t="s">
        <v>56</v>
      </c>
      <c r="F529" s="8" t="s">
        <v>11</v>
      </c>
      <c r="G529" s="134">
        <f>G517+G520+G523+G526</f>
        <v>144.26240335666674</v>
      </c>
      <c r="H529" s="135">
        <f t="shared" ref="H529:AD529" si="2820">H517+H520+H523+H526</f>
        <v>38.562012871420208</v>
      </c>
      <c r="I529" s="135">
        <f t="shared" si="2820"/>
        <v>-75.077054177726211</v>
      </c>
      <c r="J529" s="135">
        <f t="shared" si="2820"/>
        <v>-73.859583957006848</v>
      </c>
      <c r="K529" s="135">
        <f t="shared" si="2820"/>
        <v>-107.06046235230301</v>
      </c>
      <c r="L529" s="135">
        <f t="shared" si="2820"/>
        <v>-97.008152548432719</v>
      </c>
      <c r="M529" s="135">
        <f t="shared" si="2820"/>
        <v>-79.53326433197762</v>
      </c>
      <c r="N529" s="135">
        <f t="shared" si="2820"/>
        <v>73.844219032157866</v>
      </c>
      <c r="O529" s="135">
        <f t="shared" si="2820"/>
        <v>68.42271494254048</v>
      </c>
      <c r="P529" s="135">
        <f t="shared" si="2820"/>
        <v>77.496843493796817</v>
      </c>
      <c r="Q529" s="135">
        <f t="shared" si="2820"/>
        <v>204.69090142062657</v>
      </c>
      <c r="R529" s="135">
        <f t="shared" si="2820"/>
        <v>251.1384729192481</v>
      </c>
      <c r="S529" s="134">
        <f t="shared" si="2820"/>
        <v>241.63581685892865</v>
      </c>
      <c r="T529" s="135">
        <f t="shared" si="2820"/>
        <v>136.08596114926078</v>
      </c>
      <c r="U529" s="135">
        <f t="shared" si="2820"/>
        <v>40.656913443082423</v>
      </c>
      <c r="V529" s="135">
        <f t="shared" si="2820"/>
        <v>-117.50340978172338</v>
      </c>
      <c r="W529" s="135">
        <f t="shared" si="2820"/>
        <v>-66.429244696942817</v>
      </c>
      <c r="X529" s="135">
        <f t="shared" si="2820"/>
        <v>44.125964362272057</v>
      </c>
      <c r="Y529" s="135">
        <f t="shared" si="2820"/>
        <v>45.944922561070101</v>
      </c>
      <c r="Z529" s="135">
        <f t="shared" si="2820"/>
        <v>199.05749956165675</v>
      </c>
      <c r="AA529" s="135">
        <f t="shared" si="2820"/>
        <v>47.588194754419497</v>
      </c>
      <c r="AB529" s="135">
        <f t="shared" si="2820"/>
        <v>57.708557799000424</v>
      </c>
      <c r="AC529" s="135">
        <f t="shared" si="2820"/>
        <v>180.21132453644816</v>
      </c>
      <c r="AD529" s="136">
        <f t="shared" si="2820"/>
        <v>232.56465937544374</v>
      </c>
      <c r="AE529" s="15"/>
      <c r="AF529" s="98">
        <f>SUM(G529:R529)</f>
        <v>425.87905066901033</v>
      </c>
      <c r="AG529" s="95">
        <f>SUM(S529:AD529)</f>
        <v>1041.6471599229164</v>
      </c>
    </row>
    <row r="530" spans="2:33" x14ac:dyDescent="0.2">
      <c r="B530" s="9">
        <f>G505</f>
        <v>11</v>
      </c>
      <c r="C530" s="9" t="str">
        <f t="shared" si="2665"/>
        <v>11 - % of Revenue - Office Gross Profit</v>
      </c>
      <c r="D530" s="9" t="s">
        <v>56</v>
      </c>
      <c r="F530" s="16" t="str">
        <f>"% of Revenue - "&amp;F529</f>
        <v>% of Revenue - Office Gross Profit</v>
      </c>
      <c r="G530" s="148">
        <f>G529/G517</f>
        <v>0.43520316974673096</v>
      </c>
      <c r="H530" s="149">
        <f t="shared" ref="H530" si="2821">H529/H517</f>
        <v>0.15484110636637383</v>
      </c>
      <c r="I530" s="149">
        <f t="shared" ref="I530" si="2822">I529/I517</f>
        <v>-0.46364196035151828</v>
      </c>
      <c r="J530" s="149">
        <f t="shared" ref="J530" si="2823">J529/J517</f>
        <v>-0.48158803149299934</v>
      </c>
      <c r="K530" s="149">
        <f t="shared" ref="K530" si="2824">K529/K517</f>
        <v>-0.51678953484129853</v>
      </c>
      <c r="L530" s="149">
        <f t="shared" ref="L530" si="2825">L529/L517</f>
        <v>-0.49787739909070944</v>
      </c>
      <c r="M530" s="149">
        <f t="shared" ref="M530" si="2826">M529/M517</f>
        <v>-0.46405051868345931</v>
      </c>
      <c r="N530" s="149">
        <f t="shared" ref="N530" si="2827">N529/N517</f>
        <v>0.22211822542931603</v>
      </c>
      <c r="O530" s="149">
        <f t="shared" ref="O530" si="2828">O529/O517</f>
        <v>0.22084206653378113</v>
      </c>
      <c r="P530" s="149">
        <f t="shared" ref="P530" si="2829">P529/P517</f>
        <v>0.243637327989596</v>
      </c>
      <c r="Q530" s="149">
        <f t="shared" ref="Q530" si="2830">Q529/Q517</f>
        <v>0.46309832994349026</v>
      </c>
      <c r="R530" s="149">
        <f t="shared" ref="R530" si="2831">R529/R517</f>
        <v>0.56615367159273722</v>
      </c>
      <c r="S530" s="148">
        <f t="shared" ref="S530" si="2832">S529/S517</f>
        <v>0.53426201138144458</v>
      </c>
      <c r="T530" s="149">
        <f t="shared" ref="T530" si="2833">T529/T517</f>
        <v>0.37134549745413015</v>
      </c>
      <c r="U530" s="149">
        <f t="shared" ref="U530" si="2834">U529/U517</f>
        <v>0.13450953083077163</v>
      </c>
      <c r="V530" s="149">
        <f t="shared" ref="V530" si="2835">V529/V517</f>
        <v>-0.7022647248445828</v>
      </c>
      <c r="W530" s="149">
        <f t="shared" ref="W530" si="2836">W529/W517</f>
        <v>-0.32226199658483523</v>
      </c>
      <c r="X530" s="149">
        <f t="shared" ref="X530" si="2837">X529/X517</f>
        <v>0.13593913077757488</v>
      </c>
      <c r="Y530" s="149">
        <f t="shared" ref="Y530" si="2838">Y529/Y517</f>
        <v>0.13069568541613519</v>
      </c>
      <c r="Z530" s="149">
        <f t="shared" ref="Z530" si="2839">Z529/Z517</f>
        <v>0.4211890798302963</v>
      </c>
      <c r="AA530" s="149">
        <f t="shared" ref="AA530" si="2840">AA529/AA517</f>
        <v>0.14285664151930164</v>
      </c>
      <c r="AB530" s="149">
        <f t="shared" ref="AB530" si="2841">AB529/AB517</f>
        <v>0.15807976369164209</v>
      </c>
      <c r="AC530" s="149">
        <f t="shared" ref="AC530" si="2842">AC529/AC517</f>
        <v>0.42716059391247768</v>
      </c>
      <c r="AD530" s="150">
        <f t="shared" ref="AD530" si="2843">AD529/AD517</f>
        <v>0.53987176200868647</v>
      </c>
      <c r="AE530" s="15"/>
      <c r="AF530" s="111">
        <f t="shared" ref="AF530" si="2844">AF529/AF517</f>
        <v>0.12846362408686657</v>
      </c>
      <c r="AG530" s="97">
        <f t="shared" ref="AG530" si="2845">AG529/AG517</f>
        <v>0.24836304082855834</v>
      </c>
    </row>
    <row r="531" spans="2:33" ht="6" customHeight="1" x14ac:dyDescent="0.2">
      <c r="B531" s="9">
        <f>G505</f>
        <v>11</v>
      </c>
      <c r="C531" s="9" t="str">
        <f t="shared" si="2665"/>
        <v xml:space="preserve">11 - </v>
      </c>
      <c r="D531" s="9" t="s">
        <v>56</v>
      </c>
      <c r="F531" s="16"/>
      <c r="G531" s="11"/>
      <c r="S531" s="11"/>
      <c r="AD531" s="15"/>
      <c r="AE531" s="15"/>
      <c r="AF531" s="11"/>
      <c r="AG531" s="15"/>
    </row>
    <row r="532" spans="2:33" x14ac:dyDescent="0.2">
      <c r="B532" s="9">
        <f>G505</f>
        <v>11</v>
      </c>
      <c r="C532" s="9" t="str">
        <f t="shared" si="2665"/>
        <v>11 - General and Administrative Expense</v>
      </c>
      <c r="D532" s="9" t="s">
        <v>56</v>
      </c>
      <c r="F532" t="s">
        <v>10</v>
      </c>
      <c r="G532" s="144">
        <v>-23.57252372964609</v>
      </c>
      <c r="H532" s="70">
        <v>-25.490156175313917</v>
      </c>
      <c r="I532" s="70">
        <v>-31.524098937397127</v>
      </c>
      <c r="J532" s="70">
        <v>-30.751210362538039</v>
      </c>
      <c r="K532" s="70">
        <v>-43.696006792503425</v>
      </c>
      <c r="L532" s="70">
        <v>-40.98481697231226</v>
      </c>
      <c r="M532" s="70">
        <v>-34.4007724817534</v>
      </c>
      <c r="N532" s="70">
        <v>-31.152027266659498</v>
      </c>
      <c r="O532" s="70">
        <v>-27.655103677503181</v>
      </c>
      <c r="P532" s="70">
        <v>-29.010561271116806</v>
      </c>
      <c r="Q532" s="70">
        <v>-27.857587940522066</v>
      </c>
      <c r="R532" s="70">
        <v>-22.254098355439783</v>
      </c>
      <c r="S532" s="144">
        <v>-23.507303390052193</v>
      </c>
      <c r="T532" s="70">
        <v>-24.54313678400009</v>
      </c>
      <c r="U532" s="70">
        <v>-28.409746185727212</v>
      </c>
      <c r="V532" s="70">
        <v>-29.178638311304333</v>
      </c>
      <c r="W532" s="70">
        <v>-34.128346749057833</v>
      </c>
      <c r="X532" s="70">
        <v>-26.920595896039927</v>
      </c>
      <c r="Y532" s="70">
        <v>-29.734557522073501</v>
      </c>
      <c r="Z532" s="70">
        <v>-26.095947793503559</v>
      </c>
      <c r="AA532" s="70">
        <v>-26.734297454353893</v>
      </c>
      <c r="AB532" s="70">
        <v>-31.80472943105902</v>
      </c>
      <c r="AC532" s="70">
        <v>-25.507944435753291</v>
      </c>
      <c r="AD532" s="145">
        <v>-20.424856350284312</v>
      </c>
      <c r="AE532" s="15"/>
      <c r="AF532" s="144">
        <v>-368.34896396270557</v>
      </c>
      <c r="AG532" s="145">
        <v>-326.99010030320915</v>
      </c>
    </row>
    <row r="533" spans="2:33" x14ac:dyDescent="0.2">
      <c r="B533" s="9">
        <f>G505</f>
        <v>11</v>
      </c>
      <c r="C533" s="9" t="str">
        <f t="shared" si="2665"/>
        <v>11 - % of Revenue - General and Administrative Expense</v>
      </c>
      <c r="D533" s="9" t="s">
        <v>56</v>
      </c>
      <c r="F533" s="16" t="str">
        <f>"% of Revenue - "&amp;F532</f>
        <v>% of Revenue - General and Administrative Expense</v>
      </c>
      <c r="G533" s="148">
        <f>G532/G517</f>
        <v>-7.1112339787578638E-2</v>
      </c>
      <c r="H533" s="149">
        <f t="shared" ref="H533" si="2846">H532/H517</f>
        <v>-0.1023526442148584</v>
      </c>
      <c r="I533" s="149">
        <f t="shared" ref="I533" si="2847">I532/I517</f>
        <v>-0.19467858974661592</v>
      </c>
      <c r="J533" s="149">
        <f t="shared" ref="J533" si="2848">J532/J517</f>
        <v>-0.20050769407450597</v>
      </c>
      <c r="K533" s="149">
        <f t="shared" ref="K533" si="2849">K532/K517</f>
        <v>-0.21092416872263123</v>
      </c>
      <c r="L533" s="149">
        <f t="shared" ref="L533" si="2850">L532/L517</f>
        <v>-0.2103474145247318</v>
      </c>
      <c r="M533" s="149">
        <f t="shared" ref="M533" si="2851">M532/M517</f>
        <v>-0.20071722753181251</v>
      </c>
      <c r="N533" s="149">
        <f t="shared" ref="N533" si="2852">N532/N517</f>
        <v>-9.370311048970241E-2</v>
      </c>
      <c r="O533" s="149">
        <f t="shared" ref="O533" si="2853">O532/O517</f>
        <v>-8.9259981155009827E-2</v>
      </c>
      <c r="P533" s="149">
        <f t="shared" ref="P533" si="2854">P532/P517</f>
        <v>-9.1204432502326557E-2</v>
      </c>
      <c r="Q533" s="149">
        <f t="shared" ref="Q533" si="2855">Q532/Q517</f>
        <v>-6.3025773798315379E-2</v>
      </c>
      <c r="R533" s="149">
        <f t="shared" ref="R533" si="2856">R532/R517</f>
        <v>-5.0168496070967704E-2</v>
      </c>
      <c r="S533" s="148">
        <f t="shared" ref="S533" si="2857">S532/S517</f>
        <v>-5.1975155647787687E-2</v>
      </c>
      <c r="T533" s="149">
        <f t="shared" ref="T533" si="2858">T532/T517</f>
        <v>-6.6972252399664811E-2</v>
      </c>
      <c r="U533" s="149">
        <f t="shared" ref="U533" si="2859">U532/U517</f>
        <v>-9.3990942913391787E-2</v>
      </c>
      <c r="V533" s="149">
        <f t="shared" ref="V533" si="2860">V532/V517</f>
        <v>-0.17438752154590628</v>
      </c>
      <c r="W533" s="149">
        <f t="shared" ref="W533" si="2861">W532/W517</f>
        <v>-0.16556366422147664</v>
      </c>
      <c r="X533" s="149">
        <f t="shared" ref="X533" si="2862">X532/X517</f>
        <v>-8.2934445943825388E-2</v>
      </c>
      <c r="Y533" s="149">
        <f t="shared" ref="Y533" si="2863">Y532/Y517</f>
        <v>-8.4583413340775085E-2</v>
      </c>
      <c r="Z533" s="149">
        <f t="shared" ref="Z533" si="2864">Z532/Z517</f>
        <v>-5.5216850722274467E-2</v>
      </c>
      <c r="AA533" s="149">
        <f t="shared" ref="AA533" si="2865">AA532/AA517</f>
        <v>-8.0254608677971073E-2</v>
      </c>
      <c r="AB533" s="149">
        <f t="shared" ref="AB533" si="2866">AB532/AB517</f>
        <v>-8.7121985100544475E-2</v>
      </c>
      <c r="AC533" s="149">
        <f t="shared" ref="AC533" si="2867">AC532/AC517</f>
        <v>-6.046228627801422E-2</v>
      </c>
      <c r="AD533" s="150">
        <f t="shared" ref="AD533" si="2868">AD532/AD517</f>
        <v>-4.7413924438110953E-2</v>
      </c>
      <c r="AE533" s="15"/>
      <c r="AF533" s="96">
        <f t="shared" ref="AF533" si="2869">AF532/AF517</f>
        <v>-0.11111005052950595</v>
      </c>
      <c r="AG533" s="97">
        <f t="shared" ref="AG533" si="2870">AG532/AG517</f>
        <v>-7.7965225420621467E-2</v>
      </c>
    </row>
    <row r="534" spans="2:33" ht="3" customHeight="1" x14ac:dyDescent="0.2">
      <c r="B534" s="9">
        <f>G505</f>
        <v>11</v>
      </c>
      <c r="C534" s="9" t="str">
        <f t="shared" si="2665"/>
        <v xml:space="preserve">11 - </v>
      </c>
      <c r="D534" s="9" t="s">
        <v>56</v>
      </c>
      <c r="F534" s="16"/>
      <c r="G534" s="36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6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8"/>
      <c r="AE534" s="15"/>
      <c r="AF534" s="36"/>
      <c r="AG534" s="38"/>
    </row>
    <row r="535" spans="2:33" x14ac:dyDescent="0.2">
      <c r="B535" s="9">
        <f>G505</f>
        <v>11</v>
      </c>
      <c r="C535" s="9" t="str">
        <f t="shared" si="2665"/>
        <v>11 - Marketing</v>
      </c>
      <c r="D535" s="9" t="s">
        <v>56</v>
      </c>
      <c r="F535" t="s">
        <v>7</v>
      </c>
      <c r="G535" s="144">
        <v>-9.2702122802433973</v>
      </c>
      <c r="H535" s="70">
        <v>-9.2666803325096119</v>
      </c>
      <c r="I535" s="70">
        <v>-11.274462027386376</v>
      </c>
      <c r="J535" s="70">
        <v>-11.970731931861602</v>
      </c>
      <c r="K535" s="70">
        <v>-14.521159922213535</v>
      </c>
      <c r="L535" s="70">
        <v>-15.077664048403999</v>
      </c>
      <c r="M535" s="70">
        <v>-15.601157935408606</v>
      </c>
      <c r="N535" s="70">
        <v>-14.656912949407797</v>
      </c>
      <c r="O535" s="70">
        <v>-11.922042928385897</v>
      </c>
      <c r="P535" s="70">
        <v>-13.115117810122687</v>
      </c>
      <c r="Q535" s="70">
        <v>-13.999529198685533</v>
      </c>
      <c r="R535" s="70">
        <v>-11.060438102093688</v>
      </c>
      <c r="S535" s="144">
        <v>-10.507658681341397</v>
      </c>
      <c r="T535" s="70">
        <v>-12.922328656849325</v>
      </c>
      <c r="U535" s="70">
        <v>-18.245011446977827</v>
      </c>
      <c r="V535" s="70">
        <v>-21.713700887603391</v>
      </c>
      <c r="W535" s="70">
        <v>-25.351075944461378</v>
      </c>
      <c r="X535" s="70">
        <v>-21.09709177901459</v>
      </c>
      <c r="Y535" s="70">
        <v>-23.309522129195297</v>
      </c>
      <c r="Z535" s="70">
        <v>-19.001259381136339</v>
      </c>
      <c r="AA535" s="70">
        <v>-19.27964716441782</v>
      </c>
      <c r="AB535" s="70">
        <v>-22.623902433958037</v>
      </c>
      <c r="AC535" s="70">
        <v>-17.149265011826227</v>
      </c>
      <c r="AD535" s="145">
        <v>-11.930466683261873</v>
      </c>
      <c r="AE535" s="15"/>
      <c r="AF535" s="144">
        <v>-151.73610946672272</v>
      </c>
      <c r="AG535" s="145">
        <v>-223.13093020004348</v>
      </c>
    </row>
    <row r="536" spans="2:33" x14ac:dyDescent="0.2">
      <c r="B536" s="9">
        <f>G505</f>
        <v>11</v>
      </c>
      <c r="C536" s="9" t="str">
        <f t="shared" si="2665"/>
        <v>11 - % of Revenue - Marketing</v>
      </c>
      <c r="D536" s="9" t="s">
        <v>56</v>
      </c>
      <c r="F536" s="16" t="str">
        <f>"% of Revenue - "&amp;F535</f>
        <v>% of Revenue - Marketing</v>
      </c>
      <c r="G536" s="148">
        <f>G535/G517</f>
        <v>-2.7965884906357034E-2</v>
      </c>
      <c r="H536" s="149">
        <f t="shared" ref="H536" si="2871">H535/H517</f>
        <v>-3.7209235934173378E-2</v>
      </c>
      <c r="I536" s="149">
        <f t="shared" ref="I536" si="2872">I535/I517</f>
        <v>-6.9625982712531717E-2</v>
      </c>
      <c r="J536" s="149">
        <f t="shared" ref="J536" si="2873">J535/J517</f>
        <v>-7.8052988085491548E-2</v>
      </c>
      <c r="K536" s="149">
        <f t="shared" ref="K536" si="2874">K535/K517</f>
        <v>-7.0094816673425389E-2</v>
      </c>
      <c r="L536" s="149">
        <f t="shared" ref="L536" si="2875">L535/L517</f>
        <v>-7.7383477198320907E-2</v>
      </c>
      <c r="M536" s="149">
        <f t="shared" ref="M536" si="2876">M535/M517</f>
        <v>-9.1027640985158004E-2</v>
      </c>
      <c r="N536" s="149">
        <f t="shared" ref="N536" si="2877">N535/N517</f>
        <v>-4.4086964927839235E-2</v>
      </c>
      <c r="O536" s="149">
        <f t="shared" ref="O536" si="2878">O535/O517</f>
        <v>-3.8479744626038599E-2</v>
      </c>
      <c r="P536" s="149">
        <f t="shared" ref="P536" si="2879">P535/P517</f>
        <v>-4.1231773004829823E-2</v>
      </c>
      <c r="Q536" s="149">
        <f t="shared" ref="Q536" si="2880">Q535/Q517</f>
        <v>-3.1672920227088779E-2</v>
      </c>
      <c r="R536" s="149">
        <f t="shared" ref="R536" si="2881">R535/R517</f>
        <v>-2.4934083448608139E-2</v>
      </c>
      <c r="S536" s="148">
        <f t="shared" ref="S536" si="2882">S535/S517</f>
        <v>-2.323266035217211E-2</v>
      </c>
      <c r="T536" s="149">
        <f t="shared" ref="T536" si="2883">T535/T517</f>
        <v>-3.5261892724410097E-2</v>
      </c>
      <c r="U536" s="149">
        <f t="shared" ref="U536" si="2884">U535/U517</f>
        <v>-6.0361884902322888E-2</v>
      </c>
      <c r="V536" s="149">
        <f t="shared" ref="V536" si="2885">V535/V517</f>
        <v>-0.12977296750380923</v>
      </c>
      <c r="W536" s="149">
        <f t="shared" ref="W536" si="2886">W535/W517</f>
        <v>-0.12298330933471978</v>
      </c>
      <c r="X536" s="149">
        <f t="shared" ref="X536" si="2887">X535/X517</f>
        <v>-6.4993940865030755E-2</v>
      </c>
      <c r="Y536" s="149">
        <f t="shared" ref="Y536" si="2888">Y535/Y517</f>
        <v>-6.6306651564128696E-2</v>
      </c>
      <c r="Z536" s="149">
        <f t="shared" ref="Z536" si="2889">Z535/Z517</f>
        <v>-4.0205081305558575E-2</v>
      </c>
      <c r="AA536" s="149">
        <f t="shared" ref="AA536" si="2890">AA535/AA517</f>
        <v>-5.7876237117191191E-2</v>
      </c>
      <c r="AB536" s="149">
        <f t="shared" ref="AB536" si="2891">AB535/AB517</f>
        <v>-6.1973150724012722E-2</v>
      </c>
      <c r="AC536" s="149">
        <f t="shared" ref="AC536" si="2892">AC535/AC517</f>
        <v>-4.0649444458927819E-2</v>
      </c>
      <c r="AD536" s="150">
        <f t="shared" ref="AD536" si="2893">AD535/AD517</f>
        <v>-2.7695188457161637E-2</v>
      </c>
      <c r="AE536" s="15"/>
      <c r="AF536" s="96">
        <f t="shared" ref="AF536" si="2894">AF535/AF517</f>
        <v>-4.5770202822411586E-2</v>
      </c>
      <c r="AG536" s="97">
        <f t="shared" ref="AG536" si="2895">AG535/AG517</f>
        <v>-5.3201773555921358E-2</v>
      </c>
    </row>
    <row r="537" spans="2:33" ht="3" customHeight="1" x14ac:dyDescent="0.2">
      <c r="B537" s="9">
        <f>G505</f>
        <v>11</v>
      </c>
      <c r="C537" s="9" t="str">
        <f t="shared" si="2665"/>
        <v xml:space="preserve">11 - </v>
      </c>
      <c r="D537" s="9" t="s">
        <v>56</v>
      </c>
      <c r="F537" s="16"/>
      <c r="G537" s="36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6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8"/>
      <c r="AE537" s="15"/>
      <c r="AF537" s="36"/>
      <c r="AG537" s="38"/>
    </row>
    <row r="538" spans="2:33" x14ac:dyDescent="0.2">
      <c r="B538" s="9">
        <f>G505</f>
        <v>11</v>
      </c>
      <c r="C538" s="9" t="str">
        <f t="shared" si="2665"/>
        <v>11 - Office Rent</v>
      </c>
      <c r="D538" s="9" t="s">
        <v>56</v>
      </c>
      <c r="F538" t="s">
        <v>162</v>
      </c>
      <c r="G538" s="144">
        <v>-26.73172072359905</v>
      </c>
      <c r="H538" s="70">
        <v>-26.73172072359905</v>
      </c>
      <c r="I538" s="70">
        <v>-26.73172072359905</v>
      </c>
      <c r="J538" s="70">
        <v>-26.73172072359905</v>
      </c>
      <c r="K538" s="70">
        <v>-26.73172072359905</v>
      </c>
      <c r="L538" s="70">
        <v>-26.73172072359905</v>
      </c>
      <c r="M538" s="70">
        <v>-27.533672345307025</v>
      </c>
      <c r="N538" s="70">
        <v>-27.533672345307025</v>
      </c>
      <c r="O538" s="70">
        <v>-27.533672345307025</v>
      </c>
      <c r="P538" s="70">
        <v>-27.533672345307025</v>
      </c>
      <c r="Q538" s="70">
        <v>-27.533672345307025</v>
      </c>
      <c r="R538" s="70">
        <v>-27.533672345307025</v>
      </c>
      <c r="S538" s="144">
        <v>-27.533643951671298</v>
      </c>
      <c r="T538" s="70">
        <v>-27.533643951671298</v>
      </c>
      <c r="U538" s="70">
        <v>-27.533643951671298</v>
      </c>
      <c r="V538" s="70">
        <v>-27.533643951671298</v>
      </c>
      <c r="W538" s="70">
        <v>-27.533643951671298</v>
      </c>
      <c r="X538" s="70">
        <v>-27.533643951671298</v>
      </c>
      <c r="Y538" s="70">
        <v>-28.35965327022144</v>
      </c>
      <c r="Z538" s="70">
        <v>-28.35965327022144</v>
      </c>
      <c r="AA538" s="70">
        <v>-28.35965327022144</v>
      </c>
      <c r="AB538" s="70">
        <v>-28.35965327022144</v>
      </c>
      <c r="AC538" s="70">
        <v>-28.35965327022144</v>
      </c>
      <c r="AD538" s="145">
        <v>-28.35965327022144</v>
      </c>
      <c r="AE538" s="15"/>
      <c r="AF538" s="144">
        <v>-325.59235841343644</v>
      </c>
      <c r="AG538" s="145">
        <v>-335.35978333135637</v>
      </c>
    </row>
    <row r="539" spans="2:33" x14ac:dyDescent="0.2">
      <c r="B539" s="9">
        <f>G505</f>
        <v>11</v>
      </c>
      <c r="C539" s="9" t="str">
        <f t="shared" si="2665"/>
        <v>11 - % YoY Growth</v>
      </c>
      <c r="D539" s="9" t="s">
        <v>56</v>
      </c>
      <c r="F539" s="16" t="s">
        <v>8</v>
      </c>
      <c r="G539" s="82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148">
        <f>S538/G538-1</f>
        <v>2.99989378298533E-2</v>
      </c>
      <c r="T539" s="149">
        <f t="shared" ref="T539" si="2896">T538/H538-1</f>
        <v>2.99989378298533E-2</v>
      </c>
      <c r="U539" s="149">
        <f t="shared" ref="U539" si="2897">U538/I538-1</f>
        <v>2.99989378298533E-2</v>
      </c>
      <c r="V539" s="149">
        <f t="shared" ref="V539" si="2898">V538/J538-1</f>
        <v>2.99989378298533E-2</v>
      </c>
      <c r="W539" s="149">
        <f t="shared" ref="W539" si="2899">W538/K538-1</f>
        <v>2.99989378298533E-2</v>
      </c>
      <c r="X539" s="149">
        <f t="shared" ref="X539" si="2900">X538/L538-1</f>
        <v>2.99989378298533E-2</v>
      </c>
      <c r="Y539" s="149">
        <f t="shared" ref="Y539" si="2901">Y538/M538-1</f>
        <v>2.99989378298533E-2</v>
      </c>
      <c r="Z539" s="149">
        <f t="shared" ref="Z539" si="2902">Z538/N538-1</f>
        <v>2.99989378298533E-2</v>
      </c>
      <c r="AA539" s="149">
        <f t="shared" ref="AA539" si="2903">AA538/O538-1</f>
        <v>2.99989378298533E-2</v>
      </c>
      <c r="AB539" s="149">
        <f t="shared" ref="AB539" si="2904">AB538/P538-1</f>
        <v>2.99989378298533E-2</v>
      </c>
      <c r="AC539" s="149">
        <f t="shared" ref="AC539" si="2905">AC538/Q538-1</f>
        <v>2.99989378298533E-2</v>
      </c>
      <c r="AD539" s="150">
        <f t="shared" ref="AD539" si="2906">AD538/R538-1</f>
        <v>2.99989378298533E-2</v>
      </c>
      <c r="AE539" s="15"/>
      <c r="AF539" s="11"/>
      <c r="AG539" s="97">
        <f>AG538/AF538-1</f>
        <v>2.9998937829853078E-2</v>
      </c>
    </row>
    <row r="540" spans="2:33" ht="6" customHeight="1" x14ac:dyDescent="0.2">
      <c r="B540" s="9">
        <f>G505</f>
        <v>11</v>
      </c>
      <c r="C540" s="9" t="str">
        <f t="shared" si="2665"/>
        <v xml:space="preserve">11 - </v>
      </c>
      <c r="D540" s="9" t="s">
        <v>56</v>
      </c>
      <c r="F540" s="16"/>
      <c r="G540" s="11"/>
      <c r="S540" s="11"/>
      <c r="AD540" s="15"/>
      <c r="AE540" s="15"/>
      <c r="AF540" s="11"/>
      <c r="AG540" s="15"/>
    </row>
    <row r="541" spans="2:33" x14ac:dyDescent="0.2">
      <c r="B541" s="9">
        <f>G505</f>
        <v>11</v>
      </c>
      <c r="C541" s="9" t="str">
        <f t="shared" si="2665"/>
        <v>11 - Office EBITDA</v>
      </c>
      <c r="D541" s="9" t="s">
        <v>56</v>
      </c>
      <c r="F541" s="8" t="s">
        <v>12</v>
      </c>
      <c r="G541" s="134">
        <f>G529+G532+G535+G538</f>
        <v>84.687946623178192</v>
      </c>
      <c r="H541" s="135">
        <f t="shared" ref="H541:AD541" si="2907">H529+H532+H535+H538</f>
        <v>-22.926544360002371</v>
      </c>
      <c r="I541" s="135">
        <f t="shared" si="2907"/>
        <v>-144.60733586610877</v>
      </c>
      <c r="J541" s="135">
        <f t="shared" si="2907"/>
        <v>-143.31324697500554</v>
      </c>
      <c r="K541" s="135">
        <f t="shared" si="2907"/>
        <v>-192.00934979061901</v>
      </c>
      <c r="L541" s="135">
        <f t="shared" si="2907"/>
        <v>-179.80235429274799</v>
      </c>
      <c r="M541" s="135">
        <f t="shared" si="2907"/>
        <v>-157.06886709444663</v>
      </c>
      <c r="N541" s="135">
        <f t="shared" si="2907"/>
        <v>0.50160647078354259</v>
      </c>
      <c r="O541" s="135">
        <f t="shared" si="2907"/>
        <v>1.3118959913443788</v>
      </c>
      <c r="P541" s="135">
        <f t="shared" si="2907"/>
        <v>7.8374920672502952</v>
      </c>
      <c r="Q541" s="135">
        <f t="shared" si="2907"/>
        <v>135.30011193611193</v>
      </c>
      <c r="R541" s="135">
        <f t="shared" si="2907"/>
        <v>190.2902641164076</v>
      </c>
      <c r="S541" s="134">
        <f t="shared" si="2907"/>
        <v>180.08721083586374</v>
      </c>
      <c r="T541" s="135">
        <f t="shared" si="2907"/>
        <v>71.08685175674006</v>
      </c>
      <c r="U541" s="135">
        <f t="shared" si="2907"/>
        <v>-33.531488141293913</v>
      </c>
      <c r="V541" s="135">
        <f t="shared" si="2907"/>
        <v>-195.92939293230239</v>
      </c>
      <c r="W541" s="135">
        <f t="shared" si="2907"/>
        <v>-153.44231134213334</v>
      </c>
      <c r="X541" s="135">
        <f t="shared" si="2907"/>
        <v>-31.425367264453758</v>
      </c>
      <c r="Y541" s="135">
        <f t="shared" si="2907"/>
        <v>-35.458810360420138</v>
      </c>
      <c r="Z541" s="135">
        <f t="shared" si="2907"/>
        <v>125.60063911679539</v>
      </c>
      <c r="AA541" s="135">
        <f t="shared" si="2907"/>
        <v>-26.785403134573656</v>
      </c>
      <c r="AB541" s="135">
        <f t="shared" si="2907"/>
        <v>-25.079727336238072</v>
      </c>
      <c r="AC541" s="135">
        <f t="shared" si="2907"/>
        <v>109.19446181864718</v>
      </c>
      <c r="AD541" s="136">
        <f t="shared" si="2907"/>
        <v>171.84968307167614</v>
      </c>
      <c r="AE541" s="15"/>
      <c r="AF541" s="94">
        <f>SUM(G541:R541)</f>
        <v>-419.7983811738543</v>
      </c>
      <c r="AG541" s="95">
        <f>SUM(S541:AD541)</f>
        <v>156.16634608830725</v>
      </c>
    </row>
    <row r="542" spans="2:33" x14ac:dyDescent="0.2">
      <c r="B542" s="9">
        <f>G505</f>
        <v>11</v>
      </c>
      <c r="C542" s="9" t="str">
        <f t="shared" si="2665"/>
        <v>11 - % of Revenue - Office EBITDA</v>
      </c>
      <c r="D542" s="9" t="s">
        <v>56</v>
      </c>
      <c r="F542" s="16" t="str">
        <f>"% of Revenue - "&amp;F541</f>
        <v>% of Revenue - Office EBITDA</v>
      </c>
      <c r="G542" s="148">
        <f>G541/G517</f>
        <v>0.25548210727244808</v>
      </c>
      <c r="H542" s="149">
        <f t="shared" ref="H542" si="2908">H541/H517</f>
        <v>-9.2058770523660488E-2</v>
      </c>
      <c r="I542" s="149">
        <f t="shared" ref="I542" si="2909">I541/I517</f>
        <v>-0.89302956031623626</v>
      </c>
      <c r="J542" s="149">
        <f t="shared" ref="J542" si="2910">J541/J517</f>
        <v>-0.93444805399577979</v>
      </c>
      <c r="K542" s="149">
        <f t="shared" ref="K542" si="2911">K541/K517</f>
        <v>-0.92684470422838272</v>
      </c>
      <c r="L542" s="149">
        <f t="shared" ref="L542" si="2912">L541/L517</f>
        <v>-0.92280417834950224</v>
      </c>
      <c r="M542" s="149">
        <f t="shared" ref="M542" si="2913">M541/M517</f>
        <v>-0.91644533713544007</v>
      </c>
      <c r="N542" s="149">
        <f t="shared" ref="N542" si="2914">N541/N517</f>
        <v>1.5087970407782747E-3</v>
      </c>
      <c r="O542" s="149">
        <f t="shared" ref="O542" si="2915">O541/O517</f>
        <v>4.2342929836849726E-3</v>
      </c>
      <c r="P542" s="149">
        <f t="shared" ref="P542" si="2916">P541/P517</f>
        <v>2.4639785819887777E-2</v>
      </c>
      <c r="Q542" s="149">
        <f t="shared" ref="Q542" si="2917">Q541/Q517</f>
        <v>0.30610669767887783</v>
      </c>
      <c r="R542" s="149">
        <f t="shared" ref="R542" si="2918">R541/R517</f>
        <v>0.42898059562740454</v>
      </c>
      <c r="S542" s="148">
        <f t="shared" ref="S542" si="2919">S541/S517</f>
        <v>0.39817671376679303</v>
      </c>
      <c r="T542" s="149">
        <f t="shared" ref="T542" si="2920">T541/T517</f>
        <v>0.19397873303845961</v>
      </c>
      <c r="U542" s="149">
        <f t="shared" ref="U542" si="2921">U541/U517</f>
        <v>-0.11093573899202212</v>
      </c>
      <c r="V542" s="149">
        <f t="shared" ref="V542" si="2922">V541/V517</f>
        <v>-1.1709813483044222</v>
      </c>
      <c r="W542" s="149">
        <f t="shared" ref="W542" si="2923">W541/W517</f>
        <v>-0.74438036800354446</v>
      </c>
      <c r="X542" s="149">
        <f t="shared" ref="X542" si="2924">X541/X517</f>
        <v>-9.6812322904118328E-2</v>
      </c>
      <c r="Y542" s="149">
        <f t="shared" ref="Y542" si="2925">Y541/Y517</f>
        <v>-0.10086671749061989</v>
      </c>
      <c r="Z542" s="149">
        <f t="shared" ref="Z542" si="2926">Z541/Z517</f>
        <v>0.26576048494628179</v>
      </c>
      <c r="AA542" s="149">
        <f t="shared" ref="AA542" si="2927">AA541/AA517</f>
        <v>-8.0408024580306325E-2</v>
      </c>
      <c r="AB542" s="149">
        <f t="shared" ref="AB542" si="2928">AB541/AB517</f>
        <v>-6.870033703791506E-2</v>
      </c>
      <c r="AC542" s="149">
        <f t="shared" ref="AC542" si="2929">AC541/AC517</f>
        <v>0.25882708138562588</v>
      </c>
      <c r="AD542" s="150">
        <f t="shared" ref="AD542" si="2930">AD541/AD517</f>
        <v>0.39892901806187475</v>
      </c>
      <c r="AE542" s="15"/>
      <c r="AF542" s="96">
        <f t="shared" ref="AF542" si="2931">AF541/AF517</f>
        <v>-0.12662942999116003</v>
      </c>
      <c r="AG542" s="97">
        <f t="shared" ref="AG542" si="2932">AG541/AG517</f>
        <v>3.7235207930147146E-2</v>
      </c>
    </row>
    <row r="543" spans="2:33" ht="6" customHeight="1" x14ac:dyDescent="0.2">
      <c r="B543" s="9">
        <f>G505</f>
        <v>11</v>
      </c>
      <c r="C543" s="9" t="str">
        <f t="shared" si="2665"/>
        <v xml:space="preserve">11 - </v>
      </c>
      <c r="D543" s="9" t="s">
        <v>56</v>
      </c>
      <c r="G543" s="11"/>
      <c r="S543" s="11"/>
      <c r="AD543" s="15"/>
      <c r="AE543" s="15"/>
      <c r="AF543" s="11"/>
      <c r="AG543" s="15"/>
    </row>
    <row r="544" spans="2:33" x14ac:dyDescent="0.2">
      <c r="B544" s="9">
        <f>G505</f>
        <v>11</v>
      </c>
      <c r="C544" s="9" t="str">
        <f t="shared" si="2665"/>
        <v>11 - Memo:</v>
      </c>
      <c r="D544" s="9" t="s">
        <v>56</v>
      </c>
      <c r="F544" s="6" t="s">
        <v>13</v>
      </c>
      <c r="G544" s="11"/>
      <c r="S544" s="11"/>
      <c r="AD544" s="15"/>
      <c r="AE544" s="15"/>
      <c r="AF544" s="11"/>
      <c r="AG544" s="15"/>
    </row>
    <row r="545" spans="2:34" s="24" customFormat="1" x14ac:dyDescent="0.2">
      <c r="B545" s="9">
        <f>G505</f>
        <v>11</v>
      </c>
      <c r="C545" s="9" t="str">
        <f t="shared" si="2665"/>
        <v>11 - Collections</v>
      </c>
      <c r="D545" s="9" t="s">
        <v>56</v>
      </c>
      <c r="E545" s="49"/>
      <c r="F545" s="24" t="s">
        <v>15</v>
      </c>
      <c r="G545" s="169">
        <f>G546*G515</f>
        <v>330.03909296539751</v>
      </c>
      <c r="H545" s="170">
        <f t="shared" ref="H545" si="2933">H546*H515</f>
        <v>248.62057438672184</v>
      </c>
      <c r="I545" s="170">
        <f t="shared" ref="I545" si="2934">I546*I515</f>
        <v>160.29091043509248</v>
      </c>
      <c r="J545" s="170">
        <f t="shared" ref="J545" si="2935">J546*J515</f>
        <v>154.40940794727581</v>
      </c>
      <c r="K545" s="170">
        <f t="shared" ref="K545" si="2936">K546*K515</f>
        <v>208.7299634554337</v>
      </c>
      <c r="L545" s="170">
        <f t="shared" ref="L545" si="2937">L546*L515</f>
        <v>189.66503423052183</v>
      </c>
      <c r="M545" s="170">
        <f t="shared" ref="M545" si="2938">M546*M515</f>
        <v>170.42482087325743</v>
      </c>
      <c r="N545" s="170">
        <f t="shared" ref="N545" si="2939">N546*N515</f>
        <v>330.48759708717381</v>
      </c>
      <c r="O545" s="170">
        <f t="shared" ref="O545" si="2940">O546*O515</f>
        <v>309.30047625337926</v>
      </c>
      <c r="P545" s="170">
        <f t="shared" ref="P545" si="2941">P546*P515</f>
        <v>317.67656715489795</v>
      </c>
      <c r="Q545" s="170">
        <f t="shared" ref="Q545" si="2942">Q546*Q515</f>
        <v>435.19092046866285</v>
      </c>
      <c r="R545" s="170">
        <f t="shared" ref="R545" si="2943">R546*R515</f>
        <v>438.91499298245799</v>
      </c>
      <c r="S545" s="169">
        <f t="shared" ref="S545" si="2944">S546*S515</f>
        <v>449.99144041912712</v>
      </c>
      <c r="T545" s="170">
        <f t="shared" ref="T545" si="2945">T546*T515</f>
        <v>365.259637008455</v>
      </c>
      <c r="U545" s="170">
        <f t="shared" ref="U545" si="2946">U546*U515</f>
        <v>297.01775226986973</v>
      </c>
      <c r="V545" s="170">
        <f t="shared" ref="V545" si="2947">V546*V515</f>
        <v>165.41233877662808</v>
      </c>
      <c r="W545" s="170">
        <f t="shared" ref="W545" si="2948">W546*W515</f>
        <v>208.03049042684273</v>
      </c>
      <c r="X545" s="170">
        <f t="shared" ref="X545" si="2949">X546*X515</f>
        <v>324.96324457613173</v>
      </c>
      <c r="Y545" s="170">
        <f t="shared" ref="Y545" si="2950">Y546*Y515</f>
        <v>350.24255837448152</v>
      </c>
      <c r="Z545" s="170">
        <f t="shared" ref="Z545" si="2951">Z546*Z515</f>
        <v>462.81520300153664</v>
      </c>
      <c r="AA545" s="170">
        <f t="shared" ref="AA545" si="2952">AA546*AA515</f>
        <v>331.66779645464374</v>
      </c>
      <c r="AB545" s="170">
        <f t="shared" ref="AB545" si="2953">AB546*AB515</f>
        <v>366.43928152477469</v>
      </c>
      <c r="AC545" s="170">
        <f t="shared" ref="AC545" si="2954">AC546*AC515</f>
        <v>423.87138289607935</v>
      </c>
      <c r="AD545" s="171">
        <f t="shared" ref="AD545" si="2955">AD546*AD515</f>
        <v>421.67813466749857</v>
      </c>
      <c r="AE545" s="26"/>
      <c r="AF545" s="68">
        <f>SUM(G545:R545)</f>
        <v>3293.7503582402724</v>
      </c>
      <c r="AG545" s="99">
        <f>SUM(S545:AD545)</f>
        <v>4167.3892603960694</v>
      </c>
    </row>
    <row r="546" spans="2:34" x14ac:dyDescent="0.2">
      <c r="B546" s="9">
        <f>G505</f>
        <v>11</v>
      </c>
      <c r="C546" s="9" t="str">
        <f t="shared" si="2665"/>
        <v>11 - Collections as a % of Production</v>
      </c>
      <c r="D546" s="9" t="s">
        <v>56</v>
      </c>
      <c r="F546" s="16" t="s">
        <v>17</v>
      </c>
      <c r="G546" s="140">
        <v>0.98381911327675997</v>
      </c>
      <c r="H546" s="141">
        <v>0.98644896158884299</v>
      </c>
      <c r="I546" s="141">
        <v>0.97812732005202618</v>
      </c>
      <c r="J546" s="141">
        <v>0.99484075857841481</v>
      </c>
      <c r="K546" s="141">
        <v>0.99558965879947559</v>
      </c>
      <c r="L546" s="141">
        <v>0.96186126581890063</v>
      </c>
      <c r="M546" s="141">
        <v>0.98256272568725533</v>
      </c>
      <c r="N546" s="141">
        <v>0.98227670044444459</v>
      </c>
      <c r="O546" s="141">
        <v>0.9864454468563747</v>
      </c>
      <c r="P546" s="141">
        <v>0.98686098382741394</v>
      </c>
      <c r="Q546" s="141">
        <v>0.97289391302692207</v>
      </c>
      <c r="R546" s="141">
        <v>0.97771545271607585</v>
      </c>
      <c r="S546" s="140">
        <v>0.98462786666002167</v>
      </c>
      <c r="T546" s="141">
        <v>0.98637351964706566</v>
      </c>
      <c r="U546" s="141">
        <v>0.97246939827512091</v>
      </c>
      <c r="V546" s="141">
        <v>0.97834757041125009</v>
      </c>
      <c r="W546" s="141">
        <v>0.99873818748295762</v>
      </c>
      <c r="X546" s="141">
        <v>0.99073933255664648</v>
      </c>
      <c r="Y546" s="141">
        <v>0.98597868704660807</v>
      </c>
      <c r="Z546" s="141">
        <v>0.96912781583470098</v>
      </c>
      <c r="AA546" s="141">
        <v>0.98532475711380219</v>
      </c>
      <c r="AB546" s="141">
        <v>0.99337440056819459</v>
      </c>
      <c r="AC546" s="141">
        <v>0.99430147492743182</v>
      </c>
      <c r="AD546" s="142">
        <v>0.9687302433712629</v>
      </c>
      <c r="AE546" s="15"/>
      <c r="AF546" s="96">
        <f t="shared" ref="AF546" si="2956">AF545/AF515</f>
        <v>0.98173789762982522</v>
      </c>
      <c r="AG546" s="97">
        <f t="shared" ref="AG546" si="2957">AG545/AG515</f>
        <v>0.98334357950683682</v>
      </c>
    </row>
    <row r="547" spans="2:34" ht="6" customHeight="1" x14ac:dyDescent="0.2">
      <c r="B547" s="9">
        <f>G505</f>
        <v>11</v>
      </c>
      <c r="C547" s="9" t="str">
        <f t="shared" si="2665"/>
        <v xml:space="preserve">11 - </v>
      </c>
      <c r="D547" s="9" t="s">
        <v>56</v>
      </c>
      <c r="F547" s="27"/>
      <c r="R547" s="15"/>
      <c r="AD547" s="15"/>
      <c r="AE547" s="15"/>
      <c r="AF547" s="11"/>
      <c r="AG547" s="15"/>
    </row>
    <row r="548" spans="2:34" s="24" customFormat="1" x14ac:dyDescent="0.2">
      <c r="B548" s="9">
        <f>G505</f>
        <v>11</v>
      </c>
      <c r="C548" s="9" t="str">
        <f t="shared" si="2665"/>
        <v>11 - Production per Vet Workday - YoY Change</v>
      </c>
      <c r="D548" s="9" t="s">
        <v>56</v>
      </c>
      <c r="E548" s="49"/>
      <c r="F548" s="24" t="s">
        <v>55</v>
      </c>
      <c r="G548" s="88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151">
        <f>S514/G514-1</f>
        <v>-2.2677023727253887E-2</v>
      </c>
      <c r="T548" s="152">
        <f t="shared" ref="T548" si="2958">T514/H514-1</f>
        <v>-6.5018133690557423E-2</v>
      </c>
      <c r="U548" s="152">
        <f t="shared" ref="U548" si="2959">U514/I514-1</f>
        <v>1.6603316721270245E-2</v>
      </c>
      <c r="V548" s="152">
        <f t="shared" ref="V548" si="2960">V514/J514-1</f>
        <v>3.9803218850863686E-2</v>
      </c>
      <c r="W548" s="152">
        <f t="shared" ref="W548" si="2961">W514/K514-1</f>
        <v>-4.7889156499406393E-2</v>
      </c>
      <c r="X548" s="152">
        <f t="shared" ref="X548" si="2962">X514/L514-1</f>
        <v>-8.908354934958107E-2</v>
      </c>
      <c r="Y548" s="152">
        <f t="shared" ref="Y548" si="2963">Y514/M514-1</f>
        <v>-2.0524275133030678E-2</v>
      </c>
      <c r="Z548" s="152">
        <f t="shared" ref="Z548" si="2964">Z514/N514-1</f>
        <v>-1.2590317149092645E-2</v>
      </c>
      <c r="AA548" s="152">
        <f t="shared" ref="AA548" si="2965">AA514/O514-1</f>
        <v>0.12465619646267623</v>
      </c>
      <c r="AB548" s="152">
        <f t="shared" ref="AB548" si="2966">AB514/P514-1</f>
        <v>5.0440109423945723E-2</v>
      </c>
      <c r="AC548" s="152">
        <f t="shared" ref="AC548" si="2967">AC514/Q514-1</f>
        <v>-3.6616923961412251E-3</v>
      </c>
      <c r="AD548" s="153">
        <f t="shared" ref="AD548" si="2968">AD514/R514-1</f>
        <v>-3.0360527559357475E-2</v>
      </c>
      <c r="AF548" s="43"/>
      <c r="AG548" s="104">
        <f>AG514/AF514-1</f>
        <v>-6.5102349177456054E-3</v>
      </c>
    </row>
    <row r="549" spans="2:34" s="24" customFormat="1" ht="6" customHeight="1" x14ac:dyDescent="0.2">
      <c r="D549" s="9" t="s">
        <v>56</v>
      </c>
      <c r="E549" s="49"/>
      <c r="G549" s="28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29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29"/>
      <c r="AE549" s="25"/>
      <c r="AF549" s="28"/>
      <c r="AG549" s="29"/>
    </row>
    <row r="550" spans="2:34" s="24" customFormat="1" ht="6" customHeight="1" x14ac:dyDescent="0.2">
      <c r="D550" s="9" t="s">
        <v>56</v>
      </c>
      <c r="E550" s="49"/>
    </row>
    <row r="551" spans="2:34" s="24" customFormat="1" ht="6" customHeight="1" x14ac:dyDescent="0.2">
      <c r="D551" s="9" t="s">
        <v>56</v>
      </c>
      <c r="E551" s="49"/>
    </row>
    <row r="552" spans="2:34" ht="15.75" thickBot="1" x14ac:dyDescent="0.4">
      <c r="B552" s="35" t="s">
        <v>52</v>
      </c>
      <c r="C552" s="35"/>
      <c r="D552" s="9" t="s">
        <v>56</v>
      </c>
      <c r="E552" s="48" t="s">
        <v>0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74">
        <f ca="1">AG$2</f>
        <v>45999</v>
      </c>
      <c r="AH552" s="1"/>
    </row>
    <row r="553" spans="2:34" x14ac:dyDescent="0.2">
      <c r="B553" s="9">
        <f>G554</f>
        <v>12</v>
      </c>
      <c r="C553" s="9"/>
      <c r="D553" s="9" t="s">
        <v>56</v>
      </c>
      <c r="F553" t="s">
        <v>159</v>
      </c>
      <c r="AG553" s="6" t="s">
        <v>16</v>
      </c>
    </row>
    <row r="554" spans="2:34" x14ac:dyDescent="0.2">
      <c r="B554" s="9">
        <f>G554</f>
        <v>12</v>
      </c>
      <c r="C554" s="9"/>
      <c r="D554" s="9" t="s">
        <v>56</v>
      </c>
      <c r="F554" s="40" t="s">
        <v>53</v>
      </c>
      <c r="G554" s="42">
        <v>12</v>
      </c>
    </row>
    <row r="555" spans="2:34" x14ac:dyDescent="0.2">
      <c r="B555" s="9">
        <f>G554</f>
        <v>12</v>
      </c>
      <c r="C555" s="9"/>
      <c r="D555" s="9" t="s">
        <v>56</v>
      </c>
      <c r="F555" s="39" t="s">
        <v>29</v>
      </c>
      <c r="G555" s="41"/>
      <c r="H555" s="11"/>
    </row>
    <row r="556" spans="2:34" x14ac:dyDescent="0.2">
      <c r="B556" s="9">
        <f>G554</f>
        <v>12</v>
      </c>
      <c r="C556" s="9"/>
      <c r="D556" s="9" t="s">
        <v>56</v>
      </c>
      <c r="G556" s="23"/>
    </row>
    <row r="557" spans="2:34" x14ac:dyDescent="0.2">
      <c r="B557" s="9">
        <f>G554</f>
        <v>12</v>
      </c>
      <c r="C557" s="9"/>
      <c r="D557" s="9" t="s">
        <v>56</v>
      </c>
      <c r="G557" s="20">
        <v>2023</v>
      </c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2"/>
      <c r="S557" s="20">
        <v>2024</v>
      </c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2"/>
      <c r="AF557" s="17" t="s">
        <v>14</v>
      </c>
      <c r="AG557" s="18"/>
    </row>
    <row r="558" spans="2:34" ht="15" customHeight="1" x14ac:dyDescent="0.35">
      <c r="B558" s="9">
        <f>G554</f>
        <v>12</v>
      </c>
      <c r="C558" s="9"/>
      <c r="D558" s="9" t="s">
        <v>56</v>
      </c>
      <c r="G558" s="165">
        <v>44957</v>
      </c>
      <c r="H558" s="166">
        <v>44985</v>
      </c>
      <c r="I558" s="166">
        <v>45016</v>
      </c>
      <c r="J558" s="166">
        <v>45046</v>
      </c>
      <c r="K558" s="166">
        <v>45077</v>
      </c>
      <c r="L558" s="166">
        <v>45107</v>
      </c>
      <c r="M558" s="166">
        <v>45138</v>
      </c>
      <c r="N558" s="166">
        <v>45169</v>
      </c>
      <c r="O558" s="166">
        <v>45199</v>
      </c>
      <c r="P558" s="166">
        <v>45230</v>
      </c>
      <c r="Q558" s="166">
        <v>45260</v>
      </c>
      <c r="R558" s="167">
        <v>45291</v>
      </c>
      <c r="S558" s="165">
        <v>45322</v>
      </c>
      <c r="T558" s="166">
        <v>45351</v>
      </c>
      <c r="U558" s="166">
        <v>45382</v>
      </c>
      <c r="V558" s="166">
        <v>45412</v>
      </c>
      <c r="W558" s="166">
        <v>45443</v>
      </c>
      <c r="X558" s="166">
        <v>45473</v>
      </c>
      <c r="Y558" s="166">
        <v>45504</v>
      </c>
      <c r="Z558" s="166">
        <v>45535</v>
      </c>
      <c r="AA558" s="166">
        <v>45565</v>
      </c>
      <c r="AB558" s="166">
        <v>45596</v>
      </c>
      <c r="AC558" s="166">
        <v>45626</v>
      </c>
      <c r="AD558" s="167">
        <v>45657</v>
      </c>
      <c r="AE558" s="168"/>
      <c r="AF558" s="13">
        <v>45291</v>
      </c>
      <c r="AG558" s="14">
        <v>45657</v>
      </c>
    </row>
    <row r="559" spans="2:34" ht="0.95" customHeight="1" x14ac:dyDescent="0.2">
      <c r="B559" s="9">
        <f>G554</f>
        <v>12</v>
      </c>
      <c r="C559" s="9"/>
      <c r="D559" s="9" t="s">
        <v>56</v>
      </c>
      <c r="G559" s="11"/>
      <c r="S559" s="11"/>
      <c r="AD559" s="15"/>
      <c r="AE559" s="15"/>
      <c r="AF559" s="11"/>
      <c r="AG559" s="15"/>
    </row>
    <row r="560" spans="2:34" x14ac:dyDescent="0.2">
      <c r="B560" s="9">
        <f>G554</f>
        <v>12</v>
      </c>
      <c r="C560" s="9" t="str">
        <f>B560&amp;" - "&amp;F560</f>
        <v>12 - Employed Vets</v>
      </c>
      <c r="D560" s="9" t="s">
        <v>56</v>
      </c>
      <c r="F560" s="7" t="s">
        <v>160</v>
      </c>
      <c r="G560" s="121">
        <v>1</v>
      </c>
      <c r="H560" s="122">
        <v>1</v>
      </c>
      <c r="I560" s="122">
        <v>1</v>
      </c>
      <c r="J560" s="122">
        <v>1</v>
      </c>
      <c r="K560" s="122">
        <v>1</v>
      </c>
      <c r="L560" s="122">
        <v>1</v>
      </c>
      <c r="M560" s="122">
        <v>1</v>
      </c>
      <c r="N560" s="122">
        <v>1</v>
      </c>
      <c r="O560" s="122">
        <v>1</v>
      </c>
      <c r="P560" s="122">
        <v>1</v>
      </c>
      <c r="Q560" s="122">
        <v>1</v>
      </c>
      <c r="R560" s="122">
        <v>1</v>
      </c>
      <c r="S560" s="121">
        <v>1</v>
      </c>
      <c r="T560" s="122">
        <v>1</v>
      </c>
      <c r="U560" s="122">
        <v>1</v>
      </c>
      <c r="V560" s="122">
        <v>1</v>
      </c>
      <c r="W560" s="122">
        <v>1</v>
      </c>
      <c r="X560" s="122">
        <v>1</v>
      </c>
      <c r="Y560" s="122">
        <v>1</v>
      </c>
      <c r="Z560" s="122">
        <v>1</v>
      </c>
      <c r="AA560" s="122">
        <v>1</v>
      </c>
      <c r="AB560" s="122">
        <v>1</v>
      </c>
      <c r="AC560" s="122">
        <v>1</v>
      </c>
      <c r="AD560" s="123">
        <v>1</v>
      </c>
      <c r="AE560" s="15"/>
      <c r="AF560" s="90">
        <f>AVERAGE(G560:R560)</f>
        <v>1</v>
      </c>
      <c r="AG560" s="91">
        <f>AVERAGE(S560:AD560)</f>
        <v>1</v>
      </c>
    </row>
    <row r="561" spans="2:33" x14ac:dyDescent="0.2">
      <c r="B561" s="9">
        <f>G554</f>
        <v>12</v>
      </c>
      <c r="C561" s="9" t="str">
        <f t="shared" ref="C561:C597" si="2969">B561&amp;" - "&amp;F561</f>
        <v>12 - Workdays in Month / Year</v>
      </c>
      <c r="D561" s="9" t="s">
        <v>56</v>
      </c>
      <c r="F561" s="7" t="s">
        <v>54</v>
      </c>
      <c r="G561" s="121">
        <v>22</v>
      </c>
      <c r="H561" s="124">
        <v>21</v>
      </c>
      <c r="I561" s="124">
        <v>24</v>
      </c>
      <c r="J561" s="122">
        <v>21</v>
      </c>
      <c r="K561" s="122">
        <v>23</v>
      </c>
      <c r="L561" s="122">
        <v>23</v>
      </c>
      <c r="M561" s="122">
        <v>22</v>
      </c>
      <c r="N561" s="122">
        <v>24</v>
      </c>
      <c r="O561" s="122">
        <v>22</v>
      </c>
      <c r="P561" s="122">
        <v>22</v>
      </c>
      <c r="Q561" s="122">
        <v>23</v>
      </c>
      <c r="R561" s="122">
        <v>22</v>
      </c>
      <c r="S561" s="121">
        <v>23</v>
      </c>
      <c r="T561" s="122">
        <v>22</v>
      </c>
      <c r="U561" s="122">
        <v>22</v>
      </c>
      <c r="V561" s="122">
        <v>22</v>
      </c>
      <c r="W561" s="122">
        <v>24</v>
      </c>
      <c r="X561" s="122">
        <v>21</v>
      </c>
      <c r="Y561" s="122">
        <v>23</v>
      </c>
      <c r="Z561" s="122">
        <v>23</v>
      </c>
      <c r="AA561" s="122">
        <v>21</v>
      </c>
      <c r="AB561" s="122">
        <v>24</v>
      </c>
      <c r="AC561" s="122">
        <v>22</v>
      </c>
      <c r="AD561" s="123">
        <v>22</v>
      </c>
      <c r="AE561" s="15"/>
      <c r="AF561" s="144">
        <v>269</v>
      </c>
      <c r="AG561" s="145">
        <v>269</v>
      </c>
    </row>
    <row r="562" spans="2:33" x14ac:dyDescent="0.2">
      <c r="B562" s="9">
        <f>G554</f>
        <v>12</v>
      </c>
      <c r="C562" s="9" t="str">
        <f t="shared" si="2969"/>
        <v>12 - Total Vet Days</v>
      </c>
      <c r="D562" s="9" t="s">
        <v>56</v>
      </c>
      <c r="F562" s="8" t="s">
        <v>51</v>
      </c>
      <c r="G562" s="125">
        <f>G560*G561</f>
        <v>22</v>
      </c>
      <c r="H562" s="126">
        <f t="shared" ref="H562" si="2970">H560*H561</f>
        <v>21</v>
      </c>
      <c r="I562" s="126">
        <f t="shared" ref="I562" si="2971">I560*I561</f>
        <v>24</v>
      </c>
      <c r="J562" s="127">
        <f t="shared" ref="J562" si="2972">J560*J561</f>
        <v>21</v>
      </c>
      <c r="K562" s="127">
        <f t="shared" ref="K562" si="2973">K560*K561</f>
        <v>23</v>
      </c>
      <c r="L562" s="127">
        <f t="shared" ref="L562" si="2974">L560*L561</f>
        <v>23</v>
      </c>
      <c r="M562" s="127">
        <f t="shared" ref="M562" si="2975">M560*M561</f>
        <v>22</v>
      </c>
      <c r="N562" s="127">
        <f t="shared" ref="N562" si="2976">N560*N561</f>
        <v>24</v>
      </c>
      <c r="O562" s="127">
        <f t="shared" ref="O562" si="2977">O560*O561</f>
        <v>22</v>
      </c>
      <c r="P562" s="127">
        <f t="shared" ref="P562" si="2978">P560*P561</f>
        <v>22</v>
      </c>
      <c r="Q562" s="127">
        <f t="shared" ref="Q562" si="2979">Q560*Q561</f>
        <v>23</v>
      </c>
      <c r="R562" s="127">
        <f t="shared" ref="R562" si="2980">R560*R561</f>
        <v>22</v>
      </c>
      <c r="S562" s="125">
        <f t="shared" ref="S562" si="2981">S560*S561</f>
        <v>23</v>
      </c>
      <c r="T562" s="127">
        <f t="shared" ref="T562" si="2982">T560*T561</f>
        <v>22</v>
      </c>
      <c r="U562" s="127">
        <f t="shared" ref="U562" si="2983">U560*U561</f>
        <v>22</v>
      </c>
      <c r="V562" s="127">
        <f t="shared" ref="V562" si="2984">V560*V561</f>
        <v>22</v>
      </c>
      <c r="W562" s="127">
        <f t="shared" ref="W562" si="2985">W560*W561</f>
        <v>24</v>
      </c>
      <c r="X562" s="127">
        <f t="shared" ref="X562" si="2986">X560*X561</f>
        <v>21</v>
      </c>
      <c r="Y562" s="127">
        <f t="shared" ref="Y562" si="2987">Y560*Y561</f>
        <v>23</v>
      </c>
      <c r="Z562" s="127">
        <f t="shared" ref="Z562" si="2988">Z560*Z561</f>
        <v>23</v>
      </c>
      <c r="AA562" s="127">
        <f t="shared" ref="AA562" si="2989">AA560*AA561</f>
        <v>21</v>
      </c>
      <c r="AB562" s="127">
        <f t="shared" ref="AB562" si="2990">AB560*AB561</f>
        <v>24</v>
      </c>
      <c r="AC562" s="127">
        <f t="shared" ref="AC562" si="2991">AC560*AC561</f>
        <v>22</v>
      </c>
      <c r="AD562" s="128">
        <f t="shared" ref="AD562" si="2992">AD560*AD561</f>
        <v>22</v>
      </c>
      <c r="AF562" s="119">
        <f>SUM(G562:R562)</f>
        <v>269</v>
      </c>
      <c r="AG562" s="120">
        <f>SUM(S562:AD562)</f>
        <v>269</v>
      </c>
    </row>
    <row r="563" spans="2:33" x14ac:dyDescent="0.2">
      <c r="B563" s="9">
        <f>G554</f>
        <v>12</v>
      </c>
      <c r="C563" s="9" t="str">
        <f t="shared" si="2969"/>
        <v>12 - Production per Vet Workday</v>
      </c>
      <c r="D563" s="9" t="s">
        <v>56</v>
      </c>
      <c r="F563" s="7" t="s">
        <v>50</v>
      </c>
      <c r="G563" s="129">
        <v>6.3941526456619089</v>
      </c>
      <c r="H563" s="130">
        <v>6.5122515936865941</v>
      </c>
      <c r="I563" s="130">
        <v>7.470317604510873</v>
      </c>
      <c r="J563" s="130">
        <v>8.2566529415585705</v>
      </c>
      <c r="K563" s="130">
        <v>9.4080905005843292</v>
      </c>
      <c r="L563" s="130">
        <v>9.3298075103525004</v>
      </c>
      <c r="M563" s="130">
        <v>8.4727017341405499</v>
      </c>
      <c r="N563" s="130">
        <v>7.5597807356555888</v>
      </c>
      <c r="O563" s="130">
        <v>7.394182013668301</v>
      </c>
      <c r="P563" s="130">
        <v>7.6601092290206996</v>
      </c>
      <c r="Q563" s="130">
        <v>6.3237882269915948</v>
      </c>
      <c r="R563" s="130">
        <v>4.9096379070274923</v>
      </c>
      <c r="S563" s="129">
        <v>6.0288673405964808</v>
      </c>
      <c r="T563" s="130">
        <v>6.6079524093672326</v>
      </c>
      <c r="U563" s="130">
        <v>7.2384544099130927</v>
      </c>
      <c r="V563" s="130">
        <v>8.4336143646121595</v>
      </c>
      <c r="W563" s="130">
        <v>8.9566273493624333</v>
      </c>
      <c r="X563" s="130">
        <v>8.49300103166361</v>
      </c>
      <c r="Y563" s="130">
        <v>8.2173222500642336</v>
      </c>
      <c r="Z563" s="130">
        <v>7.2922304587357099</v>
      </c>
      <c r="AA563" s="130">
        <v>7.2866245842198651</v>
      </c>
      <c r="AB563" s="130">
        <v>7.5799597791059554</v>
      </c>
      <c r="AC563" s="130">
        <v>6.3615052946262134</v>
      </c>
      <c r="AD563" s="131">
        <v>4.9722320354168783</v>
      </c>
      <c r="AE563" s="15"/>
      <c r="AF563" s="132">
        <v>7.4853731469364853</v>
      </c>
      <c r="AG563" s="133">
        <v>7.4441181608344165</v>
      </c>
    </row>
    <row r="564" spans="2:33" x14ac:dyDescent="0.2">
      <c r="B564" s="9">
        <f>G554</f>
        <v>12</v>
      </c>
      <c r="C564" s="9" t="str">
        <f t="shared" si="2969"/>
        <v>12 - Total Production</v>
      </c>
      <c r="D564" s="9" t="s">
        <v>56</v>
      </c>
      <c r="F564" s="8" t="s">
        <v>1</v>
      </c>
      <c r="G564" s="134">
        <f>G563*G562</f>
        <v>140.67135820456198</v>
      </c>
      <c r="H564" s="135">
        <f t="shared" ref="H564" si="2993">H563*H562</f>
        <v>136.75728346741849</v>
      </c>
      <c r="I564" s="135">
        <f t="shared" ref="I564" si="2994">I563*I562</f>
        <v>179.28762250826094</v>
      </c>
      <c r="J564" s="135">
        <f t="shared" ref="J564" si="2995">J563*J562</f>
        <v>173.38971177272998</v>
      </c>
      <c r="K564" s="135">
        <f t="shared" ref="K564" si="2996">K563*K562</f>
        <v>216.38608151343956</v>
      </c>
      <c r="L564" s="135">
        <f t="shared" ref="L564" si="2997">L563*L562</f>
        <v>214.58557273810752</v>
      </c>
      <c r="M564" s="135">
        <f t="shared" ref="M564" si="2998">M563*M562</f>
        <v>186.39943815109211</v>
      </c>
      <c r="N564" s="135">
        <f t="shared" ref="N564" si="2999">N563*N562</f>
        <v>181.43473765573412</v>
      </c>
      <c r="O564" s="135">
        <f t="shared" ref="O564" si="3000">O563*O562</f>
        <v>162.67200430070261</v>
      </c>
      <c r="P564" s="135">
        <f t="shared" ref="P564" si="3001">P563*P562</f>
        <v>168.52240303845539</v>
      </c>
      <c r="Q564" s="135">
        <f t="shared" ref="Q564" si="3002">Q563*Q562</f>
        <v>145.44712922080669</v>
      </c>
      <c r="R564" s="135">
        <f t="shared" ref="R564" si="3003">R563*R562</f>
        <v>108.01203395460483</v>
      </c>
      <c r="S564" s="134">
        <f t="shared" ref="S564" si="3004">S563*S562</f>
        <v>138.66394883371905</v>
      </c>
      <c r="T564" s="135">
        <f t="shared" ref="T564" si="3005">T563*T562</f>
        <v>145.37495300607912</v>
      </c>
      <c r="U564" s="135">
        <f t="shared" ref="U564" si="3006">U563*U562</f>
        <v>159.24599701808805</v>
      </c>
      <c r="V564" s="135">
        <f t="shared" ref="V564" si="3007">V563*V562</f>
        <v>185.53951602146751</v>
      </c>
      <c r="W564" s="135">
        <f t="shared" ref="W564" si="3008">W563*W562</f>
        <v>214.95905638469839</v>
      </c>
      <c r="X564" s="135">
        <f t="shared" ref="X564" si="3009">X563*X562</f>
        <v>178.3530216649358</v>
      </c>
      <c r="Y564" s="135">
        <f t="shared" ref="Y564" si="3010">Y563*Y562</f>
        <v>188.99841175147736</v>
      </c>
      <c r="Z564" s="135">
        <f t="shared" ref="Z564" si="3011">Z563*Z562</f>
        <v>167.72130055092131</v>
      </c>
      <c r="AA564" s="135">
        <f t="shared" ref="AA564" si="3012">AA563*AA562</f>
        <v>153.01911626861715</v>
      </c>
      <c r="AB564" s="135">
        <f t="shared" ref="AB564" si="3013">AB563*AB562</f>
        <v>181.91903469854293</v>
      </c>
      <c r="AC564" s="135">
        <f t="shared" ref="AC564" si="3014">AC563*AC562</f>
        <v>139.9531164817767</v>
      </c>
      <c r="AD564" s="136">
        <f t="shared" ref="AD564" si="3015">AD563*AD562</f>
        <v>109.38910477917132</v>
      </c>
      <c r="AE564" s="15"/>
      <c r="AF564" s="94">
        <f>SUM(G564:R564)</f>
        <v>2013.5653765259146</v>
      </c>
      <c r="AG564" s="95">
        <f>SUM(S564:AD564)</f>
        <v>1963.1365774594947</v>
      </c>
    </row>
    <row r="565" spans="2:33" x14ac:dyDescent="0.2">
      <c r="B565" s="9">
        <f>G554</f>
        <v>12</v>
      </c>
      <c r="C565" s="9" t="str">
        <f t="shared" si="2969"/>
        <v>12 - Revenue as a % of Production</v>
      </c>
      <c r="D565" s="9" t="s">
        <v>56</v>
      </c>
      <c r="F565" s="7" t="s">
        <v>2</v>
      </c>
      <c r="G565" s="137">
        <v>0.97750691325245376</v>
      </c>
      <c r="H565" s="138">
        <v>0.97750691325245376</v>
      </c>
      <c r="I565" s="138">
        <v>0.97750691325245376</v>
      </c>
      <c r="J565" s="138">
        <v>0.97750691325245376</v>
      </c>
      <c r="K565" s="138">
        <v>0.97750691325245376</v>
      </c>
      <c r="L565" s="138">
        <v>0.97750691325245376</v>
      </c>
      <c r="M565" s="138">
        <v>0.97750691325245376</v>
      </c>
      <c r="N565" s="138">
        <v>0.97750691325245376</v>
      </c>
      <c r="O565" s="138">
        <v>0.97750691325245376</v>
      </c>
      <c r="P565" s="138">
        <v>0.97750691325245376</v>
      </c>
      <c r="Q565" s="138">
        <v>0.97750691325245376</v>
      </c>
      <c r="R565" s="138">
        <v>0.97750691325245376</v>
      </c>
      <c r="S565" s="137">
        <v>0.98762147601489325</v>
      </c>
      <c r="T565" s="138">
        <v>0.98762147601489325</v>
      </c>
      <c r="U565" s="138">
        <v>0.98762147601489325</v>
      </c>
      <c r="V565" s="138">
        <v>0.98762147601489325</v>
      </c>
      <c r="W565" s="138">
        <v>0.98762147601489325</v>
      </c>
      <c r="X565" s="138">
        <v>0.98762147601489325</v>
      </c>
      <c r="Y565" s="138">
        <v>0.98762147601489325</v>
      </c>
      <c r="Z565" s="138">
        <v>0.98762147601489325</v>
      </c>
      <c r="AA565" s="138">
        <v>0.98762147601489325</v>
      </c>
      <c r="AB565" s="138">
        <v>0.98762147601489325</v>
      </c>
      <c r="AC565" s="138">
        <v>0.98762147601489325</v>
      </c>
      <c r="AD565" s="139">
        <v>0.98762147601489325</v>
      </c>
      <c r="AE565" s="15"/>
      <c r="AF565" s="161">
        <v>0.97750691325245354</v>
      </c>
      <c r="AG565" s="162">
        <v>0.98762147601489314</v>
      </c>
    </row>
    <row r="566" spans="2:33" x14ac:dyDescent="0.2">
      <c r="B566" s="9">
        <f>G554</f>
        <v>12</v>
      </c>
      <c r="C566" s="9" t="str">
        <f t="shared" si="2969"/>
        <v>12 - Total Revenue</v>
      </c>
      <c r="D566" s="9" t="s">
        <v>56</v>
      </c>
      <c r="F566" s="8" t="s">
        <v>3</v>
      </c>
      <c r="G566" s="134">
        <f>G565*G564</f>
        <v>137.50722514157161</v>
      </c>
      <c r="H566" s="135">
        <f t="shared" ref="H566" si="3016">H565*H564</f>
        <v>133.68119002702707</v>
      </c>
      <c r="I566" s="135">
        <f t="shared" ref="I566" si="3017">I565*I564</f>
        <v>175.25489046242129</v>
      </c>
      <c r="J566" s="135">
        <f t="shared" ref="J566" si="3018">J565*J564</f>
        <v>169.48964194469391</v>
      </c>
      <c r="K566" s="135">
        <f t="shared" ref="K566" si="3019">K565*K564</f>
        <v>211.51889061099615</v>
      </c>
      <c r="L566" s="135">
        <f t="shared" ref="L566" si="3020">L565*L564</f>
        <v>209.75888083573736</v>
      </c>
      <c r="M566" s="135">
        <f t="shared" ref="M566" si="3021">M565*M564</f>
        <v>182.20673941906571</v>
      </c>
      <c r="N566" s="135">
        <f t="shared" ref="N566" si="3022">N565*N564</f>
        <v>177.35371036262541</v>
      </c>
      <c r="O566" s="135">
        <f t="shared" ref="O566" si="3023">O565*O564</f>
        <v>159.01300879656969</v>
      </c>
      <c r="P566" s="135">
        <f t="shared" ref="P566" si="3024">P565*P564</f>
        <v>164.73181400800647</v>
      </c>
      <c r="Q566" s="135">
        <f t="shared" ref="Q566" si="3025">Q565*Q564</f>
        <v>142.17557432606151</v>
      </c>
      <c r="R566" s="135">
        <f t="shared" ref="R566" si="3026">R565*R564</f>
        <v>105.58250990508499</v>
      </c>
      <c r="S566" s="134">
        <f t="shared" ref="S566" si="3027">S565*S564</f>
        <v>136.94749381721124</v>
      </c>
      <c r="T566" s="135">
        <f t="shared" ref="T566" si="3028">T565*T564</f>
        <v>143.57542566345961</v>
      </c>
      <c r="U566" s="135">
        <f t="shared" ref="U566" si="3029">U565*U564</f>
        <v>157.27476662446742</v>
      </c>
      <c r="V566" s="135">
        <f t="shared" ref="V566" si="3030">V565*V564</f>
        <v>183.24281067221068</v>
      </c>
      <c r="W566" s="135">
        <f t="shared" ref="W566" si="3031">W565*W564</f>
        <v>212.29818054942447</v>
      </c>
      <c r="X566" s="135">
        <f t="shared" ref="X566" si="3032">X565*X564</f>
        <v>176.14527450844011</v>
      </c>
      <c r="Y566" s="135">
        <f t="shared" ref="Y566" si="3033">Y565*Y564</f>
        <v>186.65889037846463</v>
      </c>
      <c r="Z566" s="135">
        <f t="shared" ref="Z566" si="3034">Z565*Z564</f>
        <v>165.64515840923843</v>
      </c>
      <c r="AA566" s="135">
        <f t="shared" ref="AA566" si="3035">AA565*AA564</f>
        <v>151.12496546770623</v>
      </c>
      <c r="AB566" s="135">
        <f t="shared" ref="AB566" si="3036">AB565*AB564</f>
        <v>179.66714556417955</v>
      </c>
      <c r="AC566" s="135">
        <f t="shared" ref="AC566" si="3037">AC565*AC564</f>
        <v>138.22070347261661</v>
      </c>
      <c r="AD566" s="136">
        <f t="shared" ref="AD566" si="3038">AD565*AD564</f>
        <v>108.03502912195299</v>
      </c>
      <c r="AE566" s="15"/>
      <c r="AF566" s="94">
        <f>SUM(G566:R566)</f>
        <v>1968.2740758398611</v>
      </c>
      <c r="AG566" s="95">
        <f>SUM(S566:AD566)</f>
        <v>1938.8358442493718</v>
      </c>
    </row>
    <row r="567" spans="2:33" x14ac:dyDescent="0.2">
      <c r="B567" s="9">
        <f>G554</f>
        <v>12</v>
      </c>
      <c r="C567" s="9" t="str">
        <f t="shared" si="2969"/>
        <v>12 - % YoY Revenue Growth</v>
      </c>
      <c r="D567" s="9" t="s">
        <v>56</v>
      </c>
      <c r="F567" s="16" t="s">
        <v>174</v>
      </c>
      <c r="G567" s="82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148">
        <f>S566/G566-1</f>
        <v>-4.0705593744917445E-3</v>
      </c>
      <c r="T567" s="149">
        <f t="shared" ref="T567" si="3039">T566/H566-1</f>
        <v>7.4013671141259119E-2</v>
      </c>
      <c r="U567" s="149">
        <f t="shared" ref="U567" si="3040">U566/I566-1</f>
        <v>-0.10259413469439949</v>
      </c>
      <c r="V567" s="149">
        <f t="shared" ref="V567" si="3041">V566/J566-1</f>
        <v>8.1144597213820058E-2</v>
      </c>
      <c r="W567" s="149">
        <f t="shared" ref="W567" si="3042">W566/K566-1</f>
        <v>3.6842569293800143E-3</v>
      </c>
      <c r="X567" s="149">
        <f t="shared" ref="X567" si="3043">X566/L566-1</f>
        <v>-0.16024878752866789</v>
      </c>
      <c r="Y567" s="149">
        <f t="shared" ref="Y567" si="3044">Y566/M566-1</f>
        <v>2.4434611878758394E-2</v>
      </c>
      <c r="Z567" s="149">
        <f t="shared" ref="Z567" si="3045">Z566/N566-1</f>
        <v>-6.6018082900251351E-2</v>
      </c>
      <c r="AA567" s="149">
        <f t="shared" ref="AA567" si="3046">AA566/O566-1</f>
        <v>-4.9606276798113247E-2</v>
      </c>
      <c r="AB567" s="149">
        <f t="shared" ref="AB567" si="3047">AB566/P566-1</f>
        <v>9.0664524312511929E-2</v>
      </c>
      <c r="AC567" s="149">
        <f t="shared" ref="AC567" si="3048">AC566/Q566-1</f>
        <v>-2.7816809407605447E-2</v>
      </c>
      <c r="AD567" s="150">
        <f t="shared" ref="AD567" si="3049">AD566/R566-1</f>
        <v>2.3228461030834868E-2</v>
      </c>
      <c r="AE567" s="15"/>
      <c r="AF567" s="11"/>
      <c r="AG567" s="97">
        <f>AG566/AF566-1</f>
        <v>-1.4956368095194295E-2</v>
      </c>
    </row>
    <row r="568" spans="2:33" ht="6" customHeight="1" x14ac:dyDescent="0.2">
      <c r="B568" s="9">
        <f>G554</f>
        <v>12</v>
      </c>
      <c r="C568" s="9" t="str">
        <f t="shared" si="2969"/>
        <v xml:space="preserve">12 - </v>
      </c>
      <c r="D568" s="9" t="s">
        <v>56</v>
      </c>
      <c r="G568" s="11"/>
      <c r="S568" s="11"/>
      <c r="AD568" s="15"/>
      <c r="AE568" s="15"/>
      <c r="AF568" s="11"/>
      <c r="AG568" s="15"/>
    </row>
    <row r="569" spans="2:33" x14ac:dyDescent="0.2">
      <c r="B569" s="9">
        <f>G554</f>
        <v>12</v>
      </c>
      <c r="C569" s="9" t="str">
        <f t="shared" si="2969"/>
        <v>12 - Doctor Compensation</v>
      </c>
      <c r="D569" s="9" t="s">
        <v>56</v>
      </c>
      <c r="F569" t="s">
        <v>4</v>
      </c>
      <c r="G569" s="144">
        <v>-48.179644408632029</v>
      </c>
      <c r="H569" s="70">
        <v>-46.702021778615418</v>
      </c>
      <c r="I569" s="70">
        <v>-61.817587001515726</v>
      </c>
      <c r="J569" s="70">
        <v>-60.705348746345301</v>
      </c>
      <c r="K569" s="70">
        <v>-74.009218854054296</v>
      </c>
      <c r="L569" s="70">
        <v>-73.849335221199624</v>
      </c>
      <c r="M569" s="70">
        <v>-63.946706034459517</v>
      </c>
      <c r="N569" s="70">
        <v>-62.069478494935836</v>
      </c>
      <c r="O569" s="70">
        <v>-54.769632877061305</v>
      </c>
      <c r="P569" s="70">
        <v>-56.481990358890123</v>
      </c>
      <c r="Q569" s="70">
        <v>-48.185947994737973</v>
      </c>
      <c r="R569" s="70">
        <v>-36.692313548712534</v>
      </c>
      <c r="S569" s="144">
        <v>-46.903090300273952</v>
      </c>
      <c r="T569" s="70">
        <v>-49.410203916576464</v>
      </c>
      <c r="U569" s="70">
        <v>-53.61671336872579</v>
      </c>
      <c r="V569" s="70">
        <v>-60.911162825043874</v>
      </c>
      <c r="W569" s="70">
        <v>-79.502577888164879</v>
      </c>
      <c r="X569" s="70">
        <v>-66.130963868064484</v>
      </c>
      <c r="Y569" s="70">
        <v>-63.511706365955533</v>
      </c>
      <c r="Z569" s="70">
        <v>-57.274890380619411</v>
      </c>
      <c r="AA569" s="70">
        <v>-51.106705256941048</v>
      </c>
      <c r="AB569" s="70">
        <v>-61.400267517180325</v>
      </c>
      <c r="AC569" s="70">
        <v>-46.636653795577317</v>
      </c>
      <c r="AD569" s="145">
        <v>-35.987430169836664</v>
      </c>
      <c r="AE569" s="15"/>
      <c r="AF569" s="92">
        <f>SUM(G569:R569)</f>
        <v>-687.40922531915953</v>
      </c>
      <c r="AG569" s="93">
        <f>SUM(S569:AD569)</f>
        <v>-672.39236565295971</v>
      </c>
    </row>
    <row r="570" spans="2:33" x14ac:dyDescent="0.2">
      <c r="B570" s="9">
        <f>G554</f>
        <v>12</v>
      </c>
      <c r="C570" s="9" t="str">
        <f t="shared" si="2969"/>
        <v>12 - % of Revenue - Doctor Compensation</v>
      </c>
      <c r="D570" s="9" t="s">
        <v>56</v>
      </c>
      <c r="F570" s="16" t="str">
        <f>"% of Revenue - "&amp;F569</f>
        <v>% of Revenue - Doctor Compensation</v>
      </c>
      <c r="G570" s="148">
        <f>G569/G566</f>
        <v>-0.35037900269624606</v>
      </c>
      <c r="H570" s="149">
        <f t="shared" ref="H570" si="3050">H569/H566</f>
        <v>-0.34935372560023897</v>
      </c>
      <c r="I570" s="149">
        <f t="shared" ref="I570" si="3051">I569/I566</f>
        <v>-0.35272959766432793</v>
      </c>
      <c r="J570" s="149">
        <f t="shared" ref="J570" si="3052">J569/J566</f>
        <v>-0.35816553772739712</v>
      </c>
      <c r="K570" s="149">
        <f t="shared" ref="K570" si="3053">K569/K566</f>
        <v>-0.34989413305010408</v>
      </c>
      <c r="L570" s="149">
        <f t="shared" ref="L570" si="3054">L569/L566</f>
        <v>-0.35206774047879863</v>
      </c>
      <c r="M570" s="149">
        <f t="shared" ref="M570" si="3055">M569/M566</f>
        <v>-0.35095686492356098</v>
      </c>
      <c r="N570" s="149">
        <f t="shared" ref="N570" si="3056">N569/N566</f>
        <v>-0.3499756411525069</v>
      </c>
      <c r="O570" s="149">
        <f t="shared" ref="O570" si="3057">O569/O566</f>
        <v>-0.3444349194544819</v>
      </c>
      <c r="P570" s="149">
        <f t="shared" ref="P570" si="3058">P569/P566</f>
        <v>-0.3428723874560437</v>
      </c>
      <c r="Q570" s="149">
        <f t="shared" ref="Q570" si="3059">Q569/Q566</f>
        <v>-0.33891860977631544</v>
      </c>
      <c r="R570" s="149">
        <f t="shared" ref="R570" si="3060">R569/R566</f>
        <v>-0.34752264917454273</v>
      </c>
      <c r="S570" s="148">
        <f t="shared" ref="S570" si="3061">S569/S566</f>
        <v>-0.34248958482494901</v>
      </c>
      <c r="T570" s="149">
        <f t="shared" ref="T570" si="3062">T569/T566</f>
        <v>-0.34414109300566409</v>
      </c>
      <c r="U570" s="149">
        <f t="shared" ref="U570" si="3063">U569/U566</f>
        <v>-0.34091109794331481</v>
      </c>
      <c r="V570" s="149">
        <f t="shared" ref="V570" si="3064">V569/V566</f>
        <v>-0.3324068355074693</v>
      </c>
      <c r="W570" s="149">
        <f t="shared" ref="W570" si="3065">W569/W566</f>
        <v>-0.37448544157285479</v>
      </c>
      <c r="X570" s="149">
        <f t="shared" ref="X570" si="3066">X569/X566</f>
        <v>-0.37543422071703536</v>
      </c>
      <c r="Y570" s="149">
        <f t="shared" ref="Y570" si="3067">Y569/Y566</f>
        <v>-0.34025545869891799</v>
      </c>
      <c r="Z570" s="149">
        <f t="shared" ref="Z570" si="3068">Z569/Z566</f>
        <v>-0.34576857501091351</v>
      </c>
      <c r="AA570" s="149">
        <f t="shared" ref="AA570" si="3069">AA569/AA566</f>
        <v>-0.3381751327371651</v>
      </c>
      <c r="AB570" s="149">
        <f t="shared" ref="AB570" si="3070">AB569/AB566</f>
        <v>-0.34174454836678703</v>
      </c>
      <c r="AC570" s="149">
        <f t="shared" ref="AC570" si="3071">AC569/AC566</f>
        <v>-0.33740715120015774</v>
      </c>
      <c r="AD570" s="150">
        <f t="shared" ref="AD570" si="3072">AD569/AD566</f>
        <v>-0.33310890423524614</v>
      </c>
      <c r="AE570" s="15"/>
      <c r="AF570" s="96">
        <f t="shared" ref="AF570" si="3073">AF569/AF566</f>
        <v>-0.34924466757803663</v>
      </c>
      <c r="AG570" s="97">
        <f t="shared" ref="AG570" si="3074">AG569/AG566</f>
        <v>-0.34680211202371242</v>
      </c>
    </row>
    <row r="571" spans="2:33" ht="3" customHeight="1" x14ac:dyDescent="0.2">
      <c r="B571" s="9">
        <f>G554</f>
        <v>12</v>
      </c>
      <c r="C571" s="9" t="str">
        <f t="shared" si="2969"/>
        <v xml:space="preserve">12 - </v>
      </c>
      <c r="D571" s="9" t="s">
        <v>56</v>
      </c>
      <c r="F571" s="16"/>
      <c r="G571" s="36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6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8"/>
      <c r="AE571" s="15"/>
      <c r="AF571" s="36"/>
      <c r="AG571" s="38"/>
    </row>
    <row r="572" spans="2:33" x14ac:dyDescent="0.2">
      <c r="B572" s="9">
        <f>G554</f>
        <v>12</v>
      </c>
      <c r="C572" s="9" t="str">
        <f t="shared" si="2969"/>
        <v>12 - Administrative Staff Compensation</v>
      </c>
      <c r="D572" s="9" t="s">
        <v>56</v>
      </c>
      <c r="F572" t="s">
        <v>5</v>
      </c>
      <c r="G572" s="144">
        <v>-26.60602923327156</v>
      </c>
      <c r="H572" s="70">
        <v>-26.091841446017103</v>
      </c>
      <c r="I572" s="70">
        <v>-32.836196748256214</v>
      </c>
      <c r="J572" s="70">
        <v>-30.569789815561222</v>
      </c>
      <c r="K572" s="70">
        <v>-37.916978631132295</v>
      </c>
      <c r="L572" s="70">
        <v>-37.762563249638291</v>
      </c>
      <c r="M572" s="70">
        <v>-31.087411531845998</v>
      </c>
      <c r="N572" s="70">
        <v>-30.191567654213074</v>
      </c>
      <c r="O572" s="70">
        <v>-26.336448578326181</v>
      </c>
      <c r="P572" s="70">
        <v>-27.751581277990788</v>
      </c>
      <c r="Q572" s="70">
        <v>-23.072107271263782</v>
      </c>
      <c r="R572" s="70">
        <v>-17.689039946869276</v>
      </c>
      <c r="S572" s="144">
        <v>-21.755060977128174</v>
      </c>
      <c r="T572" s="70">
        <v>-22.30873883458068</v>
      </c>
      <c r="U572" s="70">
        <v>-24.871350281465205</v>
      </c>
      <c r="V572" s="70">
        <v>-30.483702149788186</v>
      </c>
      <c r="W572" s="70">
        <v>-38.274136229781597</v>
      </c>
      <c r="X572" s="70">
        <v>-32.601958746037667</v>
      </c>
      <c r="Y572" s="70">
        <v>-32.750804418142557</v>
      </c>
      <c r="Z572" s="70">
        <v>-28.78328079106085</v>
      </c>
      <c r="AA572" s="70">
        <v>-26.530952890731886</v>
      </c>
      <c r="AB572" s="70">
        <v>-30.407082214431366</v>
      </c>
      <c r="AC572" s="70">
        <v>-24.434490310653018</v>
      </c>
      <c r="AD572" s="145">
        <v>-19.992405726660355</v>
      </c>
      <c r="AE572" s="15"/>
      <c r="AF572" s="92">
        <f>SUM(G572:R572)</f>
        <v>-347.91155538438579</v>
      </c>
      <c r="AG572" s="93">
        <f>SUM(S572:AD572)</f>
        <v>-333.19396357046156</v>
      </c>
    </row>
    <row r="573" spans="2:33" x14ac:dyDescent="0.2">
      <c r="B573" s="9">
        <f>G554</f>
        <v>12</v>
      </c>
      <c r="C573" s="9" t="str">
        <f t="shared" si="2969"/>
        <v>12 - % of Revenue - Administrative Staff Compensation</v>
      </c>
      <c r="D573" s="9" t="s">
        <v>56</v>
      </c>
      <c r="F573" s="16" t="str">
        <f>"% of Revenue - "&amp;F572</f>
        <v>% of Revenue - Administrative Staff Compensation</v>
      </c>
      <c r="G573" s="148">
        <f>G572/G566</f>
        <v>-0.19348822729772286</v>
      </c>
      <c r="H573" s="149">
        <f t="shared" ref="H573" si="3075">H572/H566</f>
        <v>-0.19517960186277494</v>
      </c>
      <c r="I573" s="149">
        <f t="shared" ref="I573" si="3076">I572/I566</f>
        <v>-0.18736251331769288</v>
      </c>
      <c r="J573" s="149">
        <f t="shared" ref="J573" si="3077">J572/J566</f>
        <v>-0.18036376420888561</v>
      </c>
      <c r="K573" s="149">
        <f t="shared" ref="K573" si="3078">K572/K566</f>
        <v>-0.17926048364571517</v>
      </c>
      <c r="L573" s="149">
        <f t="shared" ref="L573" si="3079">L572/L566</f>
        <v>-0.18002843597935783</v>
      </c>
      <c r="M573" s="149">
        <f t="shared" ref="M573" si="3080">M572/M566</f>
        <v>-0.17061614532460637</v>
      </c>
      <c r="N573" s="149">
        <f t="shared" ref="N573" si="3081">N572/N566</f>
        <v>-0.17023363984030573</v>
      </c>
      <c r="O573" s="149">
        <f t="shared" ref="O573" si="3082">O572/O566</f>
        <v>-0.165624490585039</v>
      </c>
      <c r="P573" s="149">
        <f t="shared" ref="P573" si="3083">P572/P566</f>
        <v>-0.16846521994010202</v>
      </c>
      <c r="Q573" s="149">
        <f t="shared" ref="Q573" si="3084">Q572/Q566</f>
        <v>-0.16227898062399138</v>
      </c>
      <c r="R573" s="149">
        <f t="shared" ref="R573" si="3085">R572/R566</f>
        <v>-0.16753759654673023</v>
      </c>
      <c r="S573" s="148">
        <f t="shared" ref="S573" si="3086">S572/S566</f>
        <v>-0.15885694853361421</v>
      </c>
      <c r="T573" s="149">
        <f t="shared" ref="T573" si="3087">T572/T566</f>
        <v>-0.15537992474333526</v>
      </c>
      <c r="U573" s="149">
        <f t="shared" ref="U573" si="3088">U572/U566</f>
        <v>-0.1581394829906296</v>
      </c>
      <c r="V573" s="149">
        <f t="shared" ref="V573" si="3089">V572/V566</f>
        <v>-0.16635687936657004</v>
      </c>
      <c r="W573" s="149">
        <f t="shared" ref="W573" si="3090">W572/W566</f>
        <v>-0.1802848056951252</v>
      </c>
      <c r="X573" s="149">
        <f t="shared" ref="X573" si="3091">X572/X566</f>
        <v>-0.18508562796826844</v>
      </c>
      <c r="Y573" s="149">
        <f t="shared" ref="Y573" si="3092">Y572/Y566</f>
        <v>-0.17545804730617381</v>
      </c>
      <c r="Z573" s="149">
        <f t="shared" ref="Z573" si="3093">Z572/Z566</f>
        <v>-0.17376469718450605</v>
      </c>
      <c r="AA573" s="149">
        <f t="shared" ref="AA573" si="3094">AA572/AA566</f>
        <v>-0.17555638678641261</v>
      </c>
      <c r="AB573" s="149">
        <f t="shared" ref="AB573" si="3095">AB572/AB566</f>
        <v>-0.16924119386963568</v>
      </c>
      <c r="AC573" s="149">
        <f t="shared" ref="AC573" si="3096">AC572/AC566</f>
        <v>-0.17677880155988224</v>
      </c>
      <c r="AD573" s="150">
        <f t="shared" ref="AD573" si="3097">AD572/AD566</f>
        <v>-0.18505484646181158</v>
      </c>
      <c r="AE573" s="15"/>
      <c r="AF573" s="96">
        <f t="shared" ref="AF573" si="3098">AF572/AF566</f>
        <v>-0.17675971027354623</v>
      </c>
      <c r="AG573" s="97">
        <f t="shared" ref="AG573" si="3099">AG572/AG566</f>
        <v>-0.17185259110961967</v>
      </c>
    </row>
    <row r="574" spans="2:33" ht="3" customHeight="1" x14ac:dyDescent="0.2">
      <c r="B574" s="9">
        <f>G554</f>
        <v>12</v>
      </c>
      <c r="C574" s="9" t="str">
        <f t="shared" si="2969"/>
        <v xml:space="preserve">12 - </v>
      </c>
      <c r="D574" s="9" t="s">
        <v>56</v>
      </c>
      <c r="F574" s="16"/>
      <c r="G574" s="36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6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8"/>
      <c r="AE574" s="15"/>
      <c r="AF574" s="36"/>
      <c r="AG574" s="38"/>
    </row>
    <row r="575" spans="2:33" x14ac:dyDescent="0.2">
      <c r="B575" s="9">
        <f>G554</f>
        <v>12</v>
      </c>
      <c r="C575" s="9" t="str">
        <f t="shared" si="2969"/>
        <v>12 - Office Supplies</v>
      </c>
      <c r="D575" s="9" t="s">
        <v>56</v>
      </c>
      <c r="F575" t="s">
        <v>6</v>
      </c>
      <c r="G575" s="144">
        <v>-7.9917857888115478</v>
      </c>
      <c r="H575" s="70">
        <v>-8.1399355995767149</v>
      </c>
      <c r="I575" s="70">
        <v>-10.942825384189456</v>
      </c>
      <c r="J575" s="70">
        <v>-10.654181352454673</v>
      </c>
      <c r="K575" s="70">
        <v>-13.003035462389576</v>
      </c>
      <c r="L575" s="70">
        <v>-12.683315533745903</v>
      </c>
      <c r="M575" s="70">
        <v>-11.872222527469775</v>
      </c>
      <c r="N575" s="70">
        <v>-11.856502530610452</v>
      </c>
      <c r="O575" s="70">
        <v>-11.378299055229053</v>
      </c>
      <c r="P575" s="70">
        <v>-11.556762665991522</v>
      </c>
      <c r="Q575" s="70">
        <v>-10.099481043680493</v>
      </c>
      <c r="R575" s="70">
        <v>-7.1695024799478011</v>
      </c>
      <c r="S575" s="144">
        <v>-9.7435018466068808</v>
      </c>
      <c r="T575" s="70">
        <v>-9.7297255587614533</v>
      </c>
      <c r="U575" s="70">
        <v>-10.555921495230441</v>
      </c>
      <c r="V575" s="70">
        <v>-11.610612619961893</v>
      </c>
      <c r="W575" s="70">
        <v>-15.258015159637544</v>
      </c>
      <c r="X575" s="70">
        <v>-12.879844668894508</v>
      </c>
      <c r="Y575" s="70">
        <v>-12.797063066943226</v>
      </c>
      <c r="Z575" s="70">
        <v>-11.853421138887684</v>
      </c>
      <c r="AA575" s="70">
        <v>-10.849159477060043</v>
      </c>
      <c r="AB575" s="70">
        <v>-12.431672789756725</v>
      </c>
      <c r="AC575" s="70">
        <v>-9.6181607005213845</v>
      </c>
      <c r="AD575" s="145">
        <v>-7.6335366059304155</v>
      </c>
      <c r="AE575" s="15"/>
      <c r="AF575" s="92">
        <f>SUM(G575:R575)</f>
        <v>-127.34784942409698</v>
      </c>
      <c r="AG575" s="93">
        <f>SUM(S575:AD575)</f>
        <v>-134.96063512819219</v>
      </c>
    </row>
    <row r="576" spans="2:33" x14ac:dyDescent="0.2">
      <c r="B576" s="9">
        <f>G554</f>
        <v>12</v>
      </c>
      <c r="C576" s="9" t="str">
        <f t="shared" si="2969"/>
        <v>12 - % of Revenue - Office Supplies</v>
      </c>
      <c r="D576" s="9" t="s">
        <v>56</v>
      </c>
      <c r="F576" s="16" t="str">
        <f>"% of Revenue - "&amp;F575</f>
        <v>% of Revenue - Office Supplies</v>
      </c>
      <c r="G576" s="148">
        <f>G575/G566</f>
        <v>-5.8119024513683143E-2</v>
      </c>
      <c r="H576" s="149">
        <f t="shared" ref="H576" si="3100">H575/H566</f>
        <v>-6.0890657825016507E-2</v>
      </c>
      <c r="I576" s="149">
        <f t="shared" ref="I576" si="3101">I575/I566</f>
        <v>-6.243948659758429E-2</v>
      </c>
      <c r="J576" s="149">
        <f t="shared" ref="J576" si="3102">J575/J566</f>
        <v>-6.2860368516981319E-2</v>
      </c>
      <c r="K576" s="149">
        <f t="shared" ref="K576" si="3103">K575/K566</f>
        <v>-6.1474582363914836E-2</v>
      </c>
      <c r="L576" s="149">
        <f t="shared" ref="L576" si="3104">L575/L566</f>
        <v>-6.0466167073413381E-2</v>
      </c>
      <c r="M576" s="149">
        <f t="shared" ref="M576" si="3105">M575/M566</f>
        <v>-6.5157976951468854E-2</v>
      </c>
      <c r="N576" s="149">
        <f t="shared" ref="N576" si="3106">N575/N566</f>
        <v>-6.6852294808877194E-2</v>
      </c>
      <c r="O576" s="149">
        <f t="shared" ref="O576" si="3107">O575/O566</f>
        <v>-7.1555774847236978E-2</v>
      </c>
      <c r="P576" s="149">
        <f t="shared" ref="P576" si="3108">P575/P566</f>
        <v>-7.015501368442302E-2</v>
      </c>
      <c r="Q576" s="149">
        <f t="shared" ref="Q576" si="3109">Q575/Q566</f>
        <v>-7.1035275162797118E-2</v>
      </c>
      <c r="R576" s="149">
        <f t="shared" ref="R576" si="3110">R575/R566</f>
        <v>-6.7904262613125363E-2</v>
      </c>
      <c r="S576" s="148">
        <f t="shared" ref="S576" si="3111">S575/S566</f>
        <v>-7.1147719282923752E-2</v>
      </c>
      <c r="T576" s="149">
        <f t="shared" ref="T576" si="3112">T575/T566</f>
        <v>-6.776734607472383E-2</v>
      </c>
      <c r="U576" s="149">
        <f t="shared" ref="U576" si="3113">U575/U566</f>
        <v>-6.7117705667529781E-2</v>
      </c>
      <c r="V576" s="149">
        <f t="shared" ref="V576" si="3114">V575/V566</f>
        <v>-6.3361899860460272E-2</v>
      </c>
      <c r="W576" s="149">
        <f t="shared" ref="W576" si="3115">W575/W566</f>
        <v>-7.1870682641509379E-2</v>
      </c>
      <c r="X576" s="149">
        <f t="shared" ref="X576" si="3116">X575/X566</f>
        <v>-7.3120580184950476E-2</v>
      </c>
      <c r="Y576" s="149">
        <f t="shared" ref="Y576" si="3117">Y575/Y566</f>
        <v>-6.8558551060687437E-2</v>
      </c>
      <c r="Z576" s="149">
        <f t="shared" ref="Z576" si="3118">Z575/Z566</f>
        <v>-7.1559116201893105E-2</v>
      </c>
      <c r="AA576" s="149">
        <f t="shared" ref="AA576" si="3119">AA575/AA566</f>
        <v>-7.1789326425873629E-2</v>
      </c>
      <c r="AB576" s="149">
        <f t="shared" ref="AB576" si="3120">AB575/AB566</f>
        <v>-6.9192799555642531E-2</v>
      </c>
      <c r="AC576" s="149">
        <f t="shared" ref="AC576" si="3121">AC575/AC566</f>
        <v>-6.9585528498101387E-2</v>
      </c>
      <c r="AD576" s="150">
        <f t="shared" ref="AD576" si="3122">AD575/AD566</f>
        <v>-7.0657977028112467E-2</v>
      </c>
      <c r="AE576" s="15"/>
      <c r="AF576" s="96">
        <f t="shared" ref="AF576" si="3123">AF575/AF566</f>
        <v>-6.4700262523021718E-2</v>
      </c>
      <c r="AG576" s="97">
        <f t="shared" ref="AG576" si="3124">AG575/AG566</f>
        <v>-6.9609108748679413E-2</v>
      </c>
    </row>
    <row r="577" spans="2:33" ht="6" customHeight="1" x14ac:dyDescent="0.2">
      <c r="B577" s="9">
        <f>G554</f>
        <v>12</v>
      </c>
      <c r="C577" s="9" t="str">
        <f t="shared" si="2969"/>
        <v xml:space="preserve">12 - </v>
      </c>
      <c r="D577" s="9" t="s">
        <v>56</v>
      </c>
      <c r="F577" s="16"/>
      <c r="G577" s="11"/>
      <c r="S577" s="11"/>
      <c r="AD577" s="15"/>
      <c r="AE577" s="15"/>
      <c r="AF577" s="11"/>
      <c r="AG577" s="15"/>
    </row>
    <row r="578" spans="2:33" x14ac:dyDescent="0.2">
      <c r="B578" s="9">
        <f>G554</f>
        <v>12</v>
      </c>
      <c r="C578" s="9" t="str">
        <f t="shared" si="2969"/>
        <v>12 - Office Gross Profit</v>
      </c>
      <c r="D578" s="9" t="s">
        <v>56</v>
      </c>
      <c r="F578" s="8" t="s">
        <v>11</v>
      </c>
      <c r="G578" s="134">
        <f>G566+G569+G572+G575</f>
        <v>54.729765710856476</v>
      </c>
      <c r="H578" s="135">
        <f t="shared" ref="H578:AD578" si="3125">H566+H569+H572+H575</f>
        <v>52.747391202817838</v>
      </c>
      <c r="I578" s="135">
        <f t="shared" si="3125"/>
        <v>69.658281328459879</v>
      </c>
      <c r="J578" s="135">
        <f t="shared" si="3125"/>
        <v>67.560322030332728</v>
      </c>
      <c r="K578" s="135">
        <f t="shared" si="3125"/>
        <v>86.589657663419985</v>
      </c>
      <c r="L578" s="135">
        <f t="shared" si="3125"/>
        <v>85.463666831153546</v>
      </c>
      <c r="M578" s="135">
        <f t="shared" si="3125"/>
        <v>75.300399325290428</v>
      </c>
      <c r="N578" s="135">
        <f t="shared" si="3125"/>
        <v>73.23616168286604</v>
      </c>
      <c r="O578" s="135">
        <f t="shared" si="3125"/>
        <v>66.528628285953161</v>
      </c>
      <c r="P578" s="135">
        <f t="shared" si="3125"/>
        <v>68.941479705134014</v>
      </c>
      <c r="Q578" s="135">
        <f t="shared" si="3125"/>
        <v>60.818038016379269</v>
      </c>
      <c r="R578" s="135">
        <f t="shared" si="3125"/>
        <v>44.031653929555382</v>
      </c>
      <c r="S578" s="134">
        <f t="shared" si="3125"/>
        <v>58.545840693202216</v>
      </c>
      <c r="T578" s="135">
        <f t="shared" si="3125"/>
        <v>62.126757353541016</v>
      </c>
      <c r="U578" s="135">
        <f t="shared" si="3125"/>
        <v>68.230781479046001</v>
      </c>
      <c r="V578" s="135">
        <f t="shared" si="3125"/>
        <v>80.237333077416721</v>
      </c>
      <c r="W578" s="135">
        <f t="shared" si="3125"/>
        <v>79.263451271840438</v>
      </c>
      <c r="X578" s="135">
        <f t="shared" si="3125"/>
        <v>64.532507225443453</v>
      </c>
      <c r="Y578" s="135">
        <f t="shared" si="3125"/>
        <v>77.599316527423326</v>
      </c>
      <c r="Z578" s="135">
        <f t="shared" si="3125"/>
        <v>67.733566098670494</v>
      </c>
      <c r="AA578" s="135">
        <f t="shared" si="3125"/>
        <v>62.638147842973268</v>
      </c>
      <c r="AB578" s="135">
        <f t="shared" si="3125"/>
        <v>75.428123042811137</v>
      </c>
      <c r="AC578" s="135">
        <f t="shared" si="3125"/>
        <v>57.531398665864884</v>
      </c>
      <c r="AD578" s="136">
        <f t="shared" si="3125"/>
        <v>44.42165661952555</v>
      </c>
      <c r="AE578" s="15"/>
      <c r="AF578" s="98">
        <f>SUM(G578:R578)</f>
        <v>805.60544571221885</v>
      </c>
      <c r="AG578" s="95">
        <f>SUM(S578:AD578)</f>
        <v>798.28887989775853</v>
      </c>
    </row>
    <row r="579" spans="2:33" x14ac:dyDescent="0.2">
      <c r="B579" s="9">
        <f>G554</f>
        <v>12</v>
      </c>
      <c r="C579" s="9" t="str">
        <f t="shared" si="2969"/>
        <v>12 - % of Revenue - Office Gross Profit</v>
      </c>
      <c r="D579" s="9" t="s">
        <v>56</v>
      </c>
      <c r="F579" s="16" t="str">
        <f>"% of Revenue - "&amp;F578</f>
        <v>% of Revenue - Office Gross Profit</v>
      </c>
      <c r="G579" s="148">
        <f>G578/G566</f>
        <v>0.39801374549234797</v>
      </c>
      <c r="H579" s="149">
        <f t="shared" ref="H579" si="3126">H578/H566</f>
        <v>0.39457601471196962</v>
      </c>
      <c r="I579" s="149">
        <f t="shared" ref="I579" si="3127">I578/I566</f>
        <v>0.39746840242039483</v>
      </c>
      <c r="J579" s="149">
        <f t="shared" ref="J579" si="3128">J578/J566</f>
        <v>0.39861032954673598</v>
      </c>
      <c r="K579" s="149">
        <f t="shared" ref="K579" si="3129">K578/K566</f>
        <v>0.4093708009402659</v>
      </c>
      <c r="L579" s="149">
        <f t="shared" ref="L579" si="3130">L578/L566</f>
        <v>0.40743765646843022</v>
      </c>
      <c r="M579" s="149">
        <f t="shared" ref="M579" si="3131">M578/M566</f>
        <v>0.41326901280036382</v>
      </c>
      <c r="N579" s="149">
        <f t="shared" ref="N579" si="3132">N578/N566</f>
        <v>0.41293842419831012</v>
      </c>
      <c r="O579" s="149">
        <f t="shared" ref="O579" si="3133">O578/O566</f>
        <v>0.41838481511324216</v>
      </c>
      <c r="P579" s="149">
        <f t="shared" ref="P579" si="3134">P578/P566</f>
        <v>0.41850737891943113</v>
      </c>
      <c r="Q579" s="149">
        <f t="shared" ref="Q579" si="3135">Q578/Q566</f>
        <v>0.42776713443689612</v>
      </c>
      <c r="R579" s="149">
        <f t="shared" ref="R579" si="3136">R578/R566</f>
        <v>0.41703549166560172</v>
      </c>
      <c r="S579" s="148">
        <f t="shared" ref="S579" si="3137">S578/S566</f>
        <v>0.42750574735851288</v>
      </c>
      <c r="T579" s="149">
        <f t="shared" ref="T579" si="3138">T578/T566</f>
        <v>0.43271163617627684</v>
      </c>
      <c r="U579" s="149">
        <f t="shared" ref="U579" si="3139">U578/U566</f>
        <v>0.43383171339852594</v>
      </c>
      <c r="V579" s="149">
        <f t="shared" ref="V579" si="3140">V578/V566</f>
        <v>0.43787438526550038</v>
      </c>
      <c r="W579" s="149">
        <f t="shared" ref="W579" si="3141">W578/W566</f>
        <v>0.37335907009051056</v>
      </c>
      <c r="X579" s="149">
        <f t="shared" ref="X579" si="3142">X578/X566</f>
        <v>0.36635957112974576</v>
      </c>
      <c r="Y579" s="149">
        <f t="shared" ref="Y579" si="3143">Y578/Y566</f>
        <v>0.41572794293422083</v>
      </c>
      <c r="Z579" s="149">
        <f t="shared" ref="Z579" si="3144">Z578/Z566</f>
        <v>0.40890761160268735</v>
      </c>
      <c r="AA579" s="149">
        <f t="shared" ref="AA579" si="3145">AA578/AA566</f>
        <v>0.41447915405054875</v>
      </c>
      <c r="AB579" s="149">
        <f t="shared" ref="AB579" si="3146">AB578/AB566</f>
        <v>0.41982145820793476</v>
      </c>
      <c r="AC579" s="149">
        <f t="shared" ref="AC579" si="3147">AC578/AC566</f>
        <v>0.41622851874185862</v>
      </c>
      <c r="AD579" s="150">
        <f t="shared" ref="AD579" si="3148">AD578/AD566</f>
        <v>0.41117827227482978</v>
      </c>
      <c r="AE579" s="15"/>
      <c r="AF579" s="111">
        <f t="shared" ref="AF579" si="3149">AF578/AF566</f>
        <v>0.40929535962539548</v>
      </c>
      <c r="AG579" s="97">
        <f t="shared" ref="AG579" si="3150">AG578/AG566</f>
        <v>0.41173618811798857</v>
      </c>
    </row>
    <row r="580" spans="2:33" ht="6" customHeight="1" x14ac:dyDescent="0.2">
      <c r="B580" s="9">
        <f>G554</f>
        <v>12</v>
      </c>
      <c r="C580" s="9" t="str">
        <f t="shared" si="2969"/>
        <v xml:space="preserve">12 - </v>
      </c>
      <c r="D580" s="9" t="s">
        <v>56</v>
      </c>
      <c r="F580" s="16"/>
      <c r="G580" s="11"/>
      <c r="S580" s="11"/>
      <c r="AD580" s="15"/>
      <c r="AE580" s="15"/>
      <c r="AF580" s="11"/>
      <c r="AG580" s="15"/>
    </row>
    <row r="581" spans="2:33" x14ac:dyDescent="0.2">
      <c r="B581" s="9">
        <f>G554</f>
        <v>12</v>
      </c>
      <c r="C581" s="9" t="str">
        <f t="shared" si="2969"/>
        <v>12 - General and Administrative Expense</v>
      </c>
      <c r="D581" s="9" t="s">
        <v>56</v>
      </c>
      <c r="F581" t="s">
        <v>10</v>
      </c>
      <c r="G581" s="144">
        <v>-10.561950551672297</v>
      </c>
      <c r="H581" s="70">
        <v>-9.8172758314700577</v>
      </c>
      <c r="I581" s="70">
        <v>-13.562515022380214</v>
      </c>
      <c r="J581" s="70">
        <v>-12.400310096771653</v>
      </c>
      <c r="K581" s="70">
        <v>-15.968433412221103</v>
      </c>
      <c r="L581" s="70">
        <v>-16.241410389053861</v>
      </c>
      <c r="M581" s="70">
        <v>-14.092897573326875</v>
      </c>
      <c r="N581" s="70">
        <v>-14.447507468910571</v>
      </c>
      <c r="O581" s="70">
        <v>-12.334995470180406</v>
      </c>
      <c r="P581" s="70">
        <v>-12.304734400312185</v>
      </c>
      <c r="Q581" s="70">
        <v>-9.9720037416677059</v>
      </c>
      <c r="R581" s="70">
        <v>-7.886303250508135</v>
      </c>
      <c r="S581" s="144">
        <v>-9.7133156348012086</v>
      </c>
      <c r="T581" s="70">
        <v>-10.049152609012761</v>
      </c>
      <c r="U581" s="70">
        <v>-11.363142473576371</v>
      </c>
      <c r="V581" s="70">
        <v>-12.527139948274572</v>
      </c>
      <c r="W581" s="70">
        <v>-15.488753594146887</v>
      </c>
      <c r="X581" s="70">
        <v>-13.288916953556454</v>
      </c>
      <c r="Y581" s="70">
        <v>-12.818246581410909</v>
      </c>
      <c r="Z581" s="70">
        <v>-11.050612820601659</v>
      </c>
      <c r="AA581" s="70">
        <v>-10.198586999712646</v>
      </c>
      <c r="AB581" s="70">
        <v>-12.22687249476289</v>
      </c>
      <c r="AC581" s="70">
        <v>-8.8846763435239122</v>
      </c>
      <c r="AD581" s="145">
        <v>-6.9432857840252789</v>
      </c>
      <c r="AE581" s="15"/>
      <c r="AF581" s="144">
        <v>-149.59033720847509</v>
      </c>
      <c r="AG581" s="145">
        <v>-134.55270223740553</v>
      </c>
    </row>
    <row r="582" spans="2:33" x14ac:dyDescent="0.2">
      <c r="B582" s="9">
        <f>G554</f>
        <v>12</v>
      </c>
      <c r="C582" s="9" t="str">
        <f t="shared" si="2969"/>
        <v>12 - % of Revenue - General and Administrative Expense</v>
      </c>
      <c r="D582" s="9" t="s">
        <v>56</v>
      </c>
      <c r="F582" s="16" t="str">
        <f>"% of Revenue - "&amp;F581</f>
        <v>% of Revenue - General and Administrative Expense</v>
      </c>
      <c r="G582" s="148">
        <f>G581/G566</f>
        <v>-7.6810149727028237E-2</v>
      </c>
      <c r="H582" s="149">
        <f t="shared" ref="H582" si="3151">H581/H566</f>
        <v>-7.3437974553377666E-2</v>
      </c>
      <c r="I582" s="149">
        <f t="shared" ref="I582" si="3152">I581/I566</f>
        <v>-7.7387369827995364E-2</v>
      </c>
      <c r="J582" s="149">
        <f t="shared" ref="J582" si="3153">J581/J566</f>
        <v>-7.3162642592743174E-2</v>
      </c>
      <c r="K582" s="149">
        <f t="shared" ref="K582" si="3154">K581/K566</f>
        <v>-7.5494124265187298E-2</v>
      </c>
      <c r="L582" s="149">
        <f t="shared" ref="L582" si="3155">L581/L566</f>
        <v>-7.7428952349209684E-2</v>
      </c>
      <c r="M582" s="149">
        <f t="shared" ref="M582" si="3156">M581/M566</f>
        <v>-7.7345643845335307E-2</v>
      </c>
      <c r="N582" s="149">
        <f t="shared" ref="N582" si="3157">N581/N566</f>
        <v>-8.1461546191340148E-2</v>
      </c>
      <c r="O582" s="149">
        <f t="shared" ref="O582" si="3158">O581/O566</f>
        <v>-7.7572241186637442E-2</v>
      </c>
      <c r="P582" s="149">
        <f t="shared" ref="P582" si="3159">P581/P566</f>
        <v>-7.4695555769902083E-2</v>
      </c>
      <c r="Q582" s="149">
        <f t="shared" ref="Q582" si="3160">Q581/Q566</f>
        <v>-7.0138656298290664E-2</v>
      </c>
      <c r="R582" s="149">
        <f t="shared" ref="R582" si="3161">R581/R566</f>
        <v>-7.4693273133946594E-2</v>
      </c>
      <c r="S582" s="148">
        <f t="shared" ref="S582" si="3162">S581/S566</f>
        <v>-7.0927297492321559E-2</v>
      </c>
      <c r="T582" s="149">
        <f t="shared" ref="T582" si="3163">T581/T566</f>
        <v>-6.9992149161848538E-2</v>
      </c>
      <c r="U582" s="149">
        <f t="shared" ref="U582" si="3164">U581/U566</f>
        <v>-7.2250258051303917E-2</v>
      </c>
      <c r="V582" s="149">
        <f t="shared" ref="V582" si="3165">V581/V566</f>
        <v>-6.8363609477063922E-2</v>
      </c>
      <c r="W582" s="149">
        <f t="shared" ref="W582" si="3166">W581/W566</f>
        <v>-7.2957542801649206E-2</v>
      </c>
      <c r="X582" s="149">
        <f t="shared" ref="X582" si="3167">X581/X566</f>
        <v>-7.5442937601597176E-2</v>
      </c>
      <c r="Y582" s="149">
        <f t="shared" ref="Y582" si="3168">Y581/Y566</f>
        <v>-6.8672038901661583E-2</v>
      </c>
      <c r="Z582" s="149">
        <f t="shared" ref="Z582" si="3169">Z581/Z566</f>
        <v>-6.6712561518401367E-2</v>
      </c>
      <c r="AA582" s="149">
        <f t="shared" ref="AA582" si="3170">AA581/AA566</f>
        <v>-6.7484462068525486E-2</v>
      </c>
      <c r="AB582" s="149">
        <f t="shared" ref="AB582" si="3171">AB581/AB566</f>
        <v>-6.8052912269345789E-2</v>
      </c>
      <c r="AC582" s="149">
        <f t="shared" ref="AC582" si="3172">AC581/AC566</f>
        <v>-6.4278911337505143E-2</v>
      </c>
      <c r="AD582" s="150">
        <f t="shared" ref="AD582" si="3173">AD581/AD566</f>
        <v>-6.4268837991310224E-2</v>
      </c>
      <c r="AE582" s="15"/>
      <c r="AF582" s="96">
        <f t="shared" ref="AF582" si="3174">AF581/AF566</f>
        <v>-7.6000765871310383E-2</v>
      </c>
      <c r="AG582" s="97">
        <f t="shared" ref="AG582" si="3175">AG581/AG566</f>
        <v>-6.9398707805249052E-2</v>
      </c>
    </row>
    <row r="583" spans="2:33" ht="3" customHeight="1" x14ac:dyDescent="0.2">
      <c r="B583" s="9">
        <f>G554</f>
        <v>12</v>
      </c>
      <c r="C583" s="9" t="str">
        <f t="shared" si="2969"/>
        <v xml:space="preserve">12 - </v>
      </c>
      <c r="D583" s="9" t="s">
        <v>56</v>
      </c>
      <c r="F583" s="16"/>
      <c r="G583" s="36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6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8"/>
      <c r="AE583" s="15"/>
      <c r="AF583" s="36"/>
      <c r="AG583" s="38"/>
    </row>
    <row r="584" spans="2:33" x14ac:dyDescent="0.2">
      <c r="B584" s="9">
        <f>G554</f>
        <v>12</v>
      </c>
      <c r="C584" s="9" t="str">
        <f t="shared" si="2969"/>
        <v>12 - Marketing</v>
      </c>
      <c r="D584" s="9" t="s">
        <v>56</v>
      </c>
      <c r="F584" t="s">
        <v>7</v>
      </c>
      <c r="G584" s="144">
        <v>-6.9220701501168058</v>
      </c>
      <c r="H584" s="70">
        <v>-7.2273356317502042</v>
      </c>
      <c r="I584" s="70">
        <v>-10.148216722204078</v>
      </c>
      <c r="J584" s="70">
        <v>-9.0683783035254102</v>
      </c>
      <c r="K584" s="70">
        <v>-11.535581490905829</v>
      </c>
      <c r="L584" s="70">
        <v>-12.189240268030385</v>
      </c>
      <c r="M584" s="70">
        <v>-10.487500844921579</v>
      </c>
      <c r="N584" s="70">
        <v>-10.759560633724426</v>
      </c>
      <c r="O584" s="70">
        <v>-9.0777935263322078</v>
      </c>
      <c r="P584" s="70">
        <v>-9.8292010743690152</v>
      </c>
      <c r="Q584" s="70">
        <v>-8.5622322727831506</v>
      </c>
      <c r="R584" s="70">
        <v>-5.9934189675142946</v>
      </c>
      <c r="S584" s="144">
        <v>-7.4619601800595854</v>
      </c>
      <c r="T584" s="70">
        <v>-7.5889059064533271</v>
      </c>
      <c r="U584" s="70">
        <v>-8.4779708795746238</v>
      </c>
      <c r="V584" s="70">
        <v>-9.1723067914857275</v>
      </c>
      <c r="W584" s="70">
        <v>-11.409618196714447</v>
      </c>
      <c r="X584" s="70">
        <v>-9.8870888086548572</v>
      </c>
      <c r="Y584" s="70">
        <v>-8.9834799148385507</v>
      </c>
      <c r="Z584" s="70">
        <v>-8.4914965947312204</v>
      </c>
      <c r="AA584" s="70">
        <v>-7.2066020788479106</v>
      </c>
      <c r="AB584" s="70">
        <v>-8.5587336656875834</v>
      </c>
      <c r="AC584" s="70">
        <v>-6.8671123432620451</v>
      </c>
      <c r="AD584" s="145">
        <v>-5.16922061157881</v>
      </c>
      <c r="AE584" s="15"/>
      <c r="AF584" s="144">
        <v>-111.8005298861774</v>
      </c>
      <c r="AG584" s="145">
        <v>-99.274495971888683</v>
      </c>
    </row>
    <row r="585" spans="2:33" x14ac:dyDescent="0.2">
      <c r="B585" s="9">
        <f>G554</f>
        <v>12</v>
      </c>
      <c r="C585" s="9" t="str">
        <f t="shared" si="2969"/>
        <v>12 - % of Revenue - Marketing</v>
      </c>
      <c r="D585" s="9" t="s">
        <v>56</v>
      </c>
      <c r="F585" s="16" t="str">
        <f>"% of Revenue - "&amp;F584</f>
        <v>% of Revenue - Marketing</v>
      </c>
      <c r="G585" s="148">
        <f>G584/G566</f>
        <v>-5.0339683191120581E-2</v>
      </c>
      <c r="H585" s="149">
        <f t="shared" ref="H585" si="3176">H584/H566</f>
        <v>-5.4063968388439791E-2</v>
      </c>
      <c r="I585" s="149">
        <f t="shared" ref="I585" si="3177">I584/I566</f>
        <v>-5.7905469544543696E-2</v>
      </c>
      <c r="J585" s="149">
        <f t="shared" ref="J585" si="3178">J584/J566</f>
        <v>-5.3504026555702494E-2</v>
      </c>
      <c r="K585" s="149">
        <f t="shared" ref="K585" si="3179">K584/K566</f>
        <v>-5.4536885370304287E-2</v>
      </c>
      <c r="L585" s="149">
        <f t="shared" ref="L585" si="3180">L584/L566</f>
        <v>-5.8110723224042211E-2</v>
      </c>
      <c r="M585" s="149">
        <f t="shared" ref="M585" si="3181">M584/M566</f>
        <v>-5.7558248824160614E-2</v>
      </c>
      <c r="N585" s="149">
        <f t="shared" ref="N585" si="3182">N584/N566</f>
        <v>-6.0667242944762431E-2</v>
      </c>
      <c r="O585" s="149">
        <f t="shared" ref="O585" si="3183">O584/O566</f>
        <v>-5.708837028513631E-2</v>
      </c>
      <c r="P585" s="149">
        <f t="shared" ref="P585" si="3184">P584/P566</f>
        <v>-5.9667897992620213E-2</v>
      </c>
      <c r="Q585" s="149">
        <f t="shared" ref="Q585" si="3185">Q584/Q566</f>
        <v>-6.0222948374710025E-2</v>
      </c>
      <c r="R585" s="149">
        <f t="shared" ref="R585" si="3186">R584/R566</f>
        <v>-5.6765263232538894E-2</v>
      </c>
      <c r="S585" s="148">
        <f t="shared" ref="S585" si="3187">S584/S566</f>
        <v>-5.4487745427596747E-2</v>
      </c>
      <c r="T585" s="149">
        <f t="shared" ref="T585" si="3188">T584/T566</f>
        <v>-5.2856579539187307E-2</v>
      </c>
      <c r="U585" s="149">
        <f t="shared" ref="U585" si="3189">U584/U566</f>
        <v>-5.3905474231717578E-2</v>
      </c>
      <c r="V585" s="149">
        <f t="shared" ref="V585" si="3190">V584/V566</f>
        <v>-5.0055479709342481E-2</v>
      </c>
      <c r="W585" s="149">
        <f t="shared" ref="W585" si="3191">W584/W566</f>
        <v>-5.3743363071631273E-2</v>
      </c>
      <c r="X585" s="149">
        <f t="shared" ref="X585" si="3192">X584/X566</f>
        <v>-5.6130309690374983E-2</v>
      </c>
      <c r="Y585" s="149">
        <f t="shared" ref="Y585" si="3193">Y584/Y566</f>
        <v>-4.8127790198601764E-2</v>
      </c>
      <c r="Z585" s="149">
        <f t="shared" ref="Z585" si="3194">Z584/Z566</f>
        <v>-5.1263174102272033E-2</v>
      </c>
      <c r="AA585" s="149">
        <f t="shared" ref="AA585" si="3195">AA584/AA566</f>
        <v>-4.7686377009547663E-2</v>
      </c>
      <c r="AB585" s="149">
        <f t="shared" ref="AB585" si="3196">AB584/AB566</f>
        <v>-4.7636609569390011E-2</v>
      </c>
      <c r="AC585" s="149">
        <f t="shared" ref="AC585" si="3197">AC584/AC566</f>
        <v>-4.9682226835305557E-2</v>
      </c>
      <c r="AD585" s="150">
        <f t="shared" ref="AD585" si="3198">AD584/AD566</f>
        <v>-4.7847634730987555E-2</v>
      </c>
      <c r="AE585" s="15"/>
      <c r="AF585" s="96">
        <f t="shared" ref="AF585" si="3199">AF584/AF566</f>
        <v>-5.6801301840279636E-2</v>
      </c>
      <c r="AG585" s="97">
        <f t="shared" ref="AG585" si="3200">AG584/AG566</f>
        <v>-5.1203146602812687E-2</v>
      </c>
    </row>
    <row r="586" spans="2:33" ht="3" customHeight="1" x14ac:dyDescent="0.2">
      <c r="B586" s="9">
        <f>G554</f>
        <v>12</v>
      </c>
      <c r="C586" s="9" t="str">
        <f t="shared" si="2969"/>
        <v xml:space="preserve">12 - </v>
      </c>
      <c r="D586" s="9" t="s">
        <v>56</v>
      </c>
      <c r="F586" s="16"/>
      <c r="G586" s="36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6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8"/>
      <c r="AE586" s="15"/>
      <c r="AF586" s="36"/>
      <c r="AG586" s="38"/>
    </row>
    <row r="587" spans="2:33" x14ac:dyDescent="0.2">
      <c r="B587" s="9">
        <f>G554</f>
        <v>12</v>
      </c>
      <c r="C587" s="9" t="str">
        <f t="shared" si="2969"/>
        <v>12 - Office Rent</v>
      </c>
      <c r="D587" s="9" t="s">
        <v>56</v>
      </c>
      <c r="F587" t="s">
        <v>162</v>
      </c>
      <c r="G587" s="144">
        <v>-15.654327541602374</v>
      </c>
      <c r="H587" s="70">
        <v>-15.654327541602374</v>
      </c>
      <c r="I587" s="70">
        <v>-15.654327541602374</v>
      </c>
      <c r="J587" s="70">
        <v>-15.654327541602374</v>
      </c>
      <c r="K587" s="70">
        <v>-15.654327541602374</v>
      </c>
      <c r="L587" s="70">
        <v>-15.654327541602374</v>
      </c>
      <c r="M587" s="70">
        <v>-15.654327541602374</v>
      </c>
      <c r="N587" s="70">
        <v>-16.123957367850444</v>
      </c>
      <c r="O587" s="70">
        <v>-16.123957367850444</v>
      </c>
      <c r="P587" s="70">
        <v>-16.123957367850444</v>
      </c>
      <c r="Q587" s="70">
        <v>-16.123957367850444</v>
      </c>
      <c r="R587" s="70">
        <v>-16.123957367850444</v>
      </c>
      <c r="S587" s="144">
        <v>-16.124221210728056</v>
      </c>
      <c r="T587" s="70">
        <v>-16.124221210728056</v>
      </c>
      <c r="U587" s="70">
        <v>-16.124221210728056</v>
      </c>
      <c r="V587" s="70">
        <v>-16.124221210728056</v>
      </c>
      <c r="W587" s="70">
        <v>-16.124221210728056</v>
      </c>
      <c r="X587" s="70">
        <v>-16.124221210728056</v>
      </c>
      <c r="Y587" s="70">
        <v>-16.124221210728056</v>
      </c>
      <c r="Z587" s="70">
        <v>-16.6079478470499</v>
      </c>
      <c r="AA587" s="70">
        <v>-16.6079478470499</v>
      </c>
      <c r="AB587" s="70">
        <v>-16.6079478470499</v>
      </c>
      <c r="AC587" s="70">
        <v>-16.6079478470499</v>
      </c>
      <c r="AD587" s="145">
        <v>-16.6079478470499</v>
      </c>
      <c r="AE587" s="15"/>
      <c r="AF587" s="144">
        <v>-190.20007963046879</v>
      </c>
      <c r="AG587" s="145">
        <v>-195.90928771034589</v>
      </c>
    </row>
    <row r="588" spans="2:33" x14ac:dyDescent="0.2">
      <c r="B588" s="9">
        <f>G554</f>
        <v>12</v>
      </c>
      <c r="C588" s="9" t="str">
        <f t="shared" si="2969"/>
        <v>12 - % YoY Growth</v>
      </c>
      <c r="D588" s="9" t="s">
        <v>56</v>
      </c>
      <c r="F588" s="16" t="s">
        <v>8</v>
      </c>
      <c r="G588" s="82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148">
        <f>S587/G587-1</f>
        <v>3.0016854309257823E-2</v>
      </c>
      <c r="T588" s="149">
        <f t="shared" ref="T588" si="3201">T587/H587-1</f>
        <v>3.0016854309257823E-2</v>
      </c>
      <c r="U588" s="149">
        <f t="shared" ref="U588" si="3202">U587/I587-1</f>
        <v>3.0016854309257823E-2</v>
      </c>
      <c r="V588" s="149">
        <f t="shared" ref="V588" si="3203">V587/J587-1</f>
        <v>3.0016854309257823E-2</v>
      </c>
      <c r="W588" s="149">
        <f t="shared" ref="W588" si="3204">W587/K587-1</f>
        <v>3.0016854309257823E-2</v>
      </c>
      <c r="X588" s="149">
        <f t="shared" ref="X588" si="3205">X587/L587-1</f>
        <v>3.0016854309257823E-2</v>
      </c>
      <c r="Y588" s="149">
        <f t="shared" ref="Y588" si="3206">Y587/M587-1</f>
        <v>3.0016854309257823E-2</v>
      </c>
      <c r="Z588" s="149">
        <f t="shared" ref="Z588" si="3207">Z587/N587-1</f>
        <v>3.0016854309258045E-2</v>
      </c>
      <c r="AA588" s="149">
        <f t="shared" ref="AA588" si="3208">AA587/O587-1</f>
        <v>3.0016854309258045E-2</v>
      </c>
      <c r="AB588" s="149">
        <f t="shared" ref="AB588" si="3209">AB587/P587-1</f>
        <v>3.0016854309258045E-2</v>
      </c>
      <c r="AC588" s="149">
        <f t="shared" ref="AC588" si="3210">AC587/Q587-1</f>
        <v>3.0016854309258045E-2</v>
      </c>
      <c r="AD588" s="150">
        <f t="shared" ref="AD588" si="3211">AD587/R587-1</f>
        <v>3.0016854309258045E-2</v>
      </c>
      <c r="AE588" s="15"/>
      <c r="AF588" s="11"/>
      <c r="AG588" s="97">
        <f>AG587/AF587-1</f>
        <v>3.0016854309258267E-2</v>
      </c>
    </row>
    <row r="589" spans="2:33" ht="6" customHeight="1" x14ac:dyDescent="0.2">
      <c r="B589" s="9">
        <f>G554</f>
        <v>12</v>
      </c>
      <c r="C589" s="9" t="str">
        <f t="shared" si="2969"/>
        <v xml:space="preserve">12 - </v>
      </c>
      <c r="D589" s="9" t="s">
        <v>56</v>
      </c>
      <c r="F589" s="16"/>
      <c r="G589" s="11"/>
      <c r="S589" s="11"/>
      <c r="AD589" s="15"/>
      <c r="AE589" s="15"/>
      <c r="AF589" s="11"/>
      <c r="AG589" s="15"/>
    </row>
    <row r="590" spans="2:33" x14ac:dyDescent="0.2">
      <c r="B590" s="9">
        <f>G554</f>
        <v>12</v>
      </c>
      <c r="C590" s="9" t="str">
        <f t="shared" si="2969"/>
        <v>12 - Office EBITDA</v>
      </c>
      <c r="D590" s="9" t="s">
        <v>56</v>
      </c>
      <c r="F590" s="8" t="s">
        <v>12</v>
      </c>
      <c r="G590" s="134">
        <f>G578+G581+G584+G587</f>
        <v>21.591417467465003</v>
      </c>
      <c r="H590" s="135">
        <f t="shared" ref="H590:AD590" si="3212">H578+H581+H584+H587</f>
        <v>20.0484521979952</v>
      </c>
      <c r="I590" s="135">
        <f t="shared" si="3212"/>
        <v>30.293222042273218</v>
      </c>
      <c r="J590" s="135">
        <f t="shared" si="3212"/>
        <v>30.437306088433285</v>
      </c>
      <c r="K590" s="135">
        <f t="shared" si="3212"/>
        <v>43.431315218690685</v>
      </c>
      <c r="L590" s="135">
        <f t="shared" si="3212"/>
        <v>41.378688632466918</v>
      </c>
      <c r="M590" s="135">
        <f t="shared" si="3212"/>
        <v>35.065673365439608</v>
      </c>
      <c r="N590" s="135">
        <f t="shared" si="3212"/>
        <v>31.905136212380597</v>
      </c>
      <c r="O590" s="135">
        <f t="shared" si="3212"/>
        <v>28.991881921590107</v>
      </c>
      <c r="P590" s="135">
        <f t="shared" si="3212"/>
        <v>30.683586862602368</v>
      </c>
      <c r="Q590" s="135">
        <f t="shared" si="3212"/>
        <v>26.15984463407797</v>
      </c>
      <c r="R590" s="135">
        <f t="shared" si="3212"/>
        <v>14.027974343682509</v>
      </c>
      <c r="S590" s="134">
        <f t="shared" si="3212"/>
        <v>25.246343667613363</v>
      </c>
      <c r="T590" s="135">
        <f t="shared" si="3212"/>
        <v>28.364477627346876</v>
      </c>
      <c r="U590" s="135">
        <f t="shared" si="3212"/>
        <v>32.265446915166947</v>
      </c>
      <c r="V590" s="135">
        <f t="shared" si="3212"/>
        <v>42.413665126928379</v>
      </c>
      <c r="W590" s="135">
        <f t="shared" si="3212"/>
        <v>36.240858270251053</v>
      </c>
      <c r="X590" s="135">
        <f t="shared" si="3212"/>
        <v>25.232280252504086</v>
      </c>
      <c r="Y590" s="135">
        <f t="shared" si="3212"/>
        <v>39.673368820445816</v>
      </c>
      <c r="Z590" s="135">
        <f t="shared" si="3212"/>
        <v>31.58350883628772</v>
      </c>
      <c r="AA590" s="135">
        <f t="shared" si="3212"/>
        <v>28.625010917362815</v>
      </c>
      <c r="AB590" s="135">
        <f t="shared" si="3212"/>
        <v>38.034569035310767</v>
      </c>
      <c r="AC590" s="135">
        <f t="shared" si="3212"/>
        <v>25.171662132029027</v>
      </c>
      <c r="AD590" s="136">
        <f t="shared" si="3212"/>
        <v>15.701202376871564</v>
      </c>
      <c r="AE590" s="15"/>
      <c r="AF590" s="94">
        <f>SUM(G590:R590)</f>
        <v>354.01449898709745</v>
      </c>
      <c r="AG590" s="95">
        <f>SUM(S590:AD590)</f>
        <v>368.55239397811846</v>
      </c>
    </row>
    <row r="591" spans="2:33" x14ac:dyDescent="0.2">
      <c r="B591" s="9">
        <f>G554</f>
        <v>12</v>
      </c>
      <c r="C591" s="9" t="str">
        <f t="shared" si="2969"/>
        <v>12 - % of Revenue - Office EBITDA</v>
      </c>
      <c r="D591" s="9" t="s">
        <v>56</v>
      </c>
      <c r="F591" s="16" t="str">
        <f>"% of Revenue - "&amp;F590</f>
        <v>% of Revenue - Office EBITDA</v>
      </c>
      <c r="G591" s="148">
        <f>G590/G566</f>
        <v>0.15702023981092916</v>
      </c>
      <c r="H591" s="149">
        <f t="shared" ref="H591" si="3213">H590/H566</f>
        <v>0.14997212542723395</v>
      </c>
      <c r="I591" s="149">
        <f t="shared" ref="I591" si="3214">I590/I566</f>
        <v>0.1728523635622527</v>
      </c>
      <c r="J591" s="149">
        <f t="shared" ref="J591" si="3215">J590/J566</f>
        <v>0.17958210153258372</v>
      </c>
      <c r="K591" s="149">
        <f t="shared" ref="K591" si="3216">K590/K566</f>
        <v>0.20533066854328913</v>
      </c>
      <c r="L591" s="149">
        <f t="shared" ref="L591" si="3217">L590/L566</f>
        <v>0.197267874750298</v>
      </c>
      <c r="M591" s="149">
        <f t="shared" ref="M591" si="3218">M590/M566</f>
        <v>0.19244992516325338</v>
      </c>
      <c r="N591" s="149">
        <f t="shared" ref="N591" si="3219">N590/N566</f>
        <v>0.17989551020469724</v>
      </c>
      <c r="O591" s="149">
        <f t="shared" ref="O591" si="3220">O590/O566</f>
        <v>0.18232396293236816</v>
      </c>
      <c r="P591" s="149">
        <f t="shared" ref="P591" si="3221">P590/P566</f>
        <v>0.186263880158031</v>
      </c>
      <c r="Q591" s="149">
        <f t="shared" ref="Q591" si="3222">Q590/Q566</f>
        <v>0.1839967572354145</v>
      </c>
      <c r="R591" s="149">
        <f t="shared" ref="R591" si="3223">R590/R566</f>
        <v>0.13286267163276541</v>
      </c>
      <c r="S591" s="148">
        <f t="shared" ref="S591" si="3224">S590/S566</f>
        <v>0.18435053438298454</v>
      </c>
      <c r="T591" s="149">
        <f t="shared" ref="T591" si="3225">T590/T566</f>
        <v>0.19755802565985861</v>
      </c>
      <c r="U591" s="149">
        <f t="shared" ref="U591" si="3226">U590/U566</f>
        <v>0.20515336062910028</v>
      </c>
      <c r="V591" s="149">
        <f t="shared" ref="V591" si="3227">V590/V566</f>
        <v>0.2314615507770125</v>
      </c>
      <c r="W591" s="149">
        <f t="shared" ref="W591" si="3228">W590/W566</f>
        <v>0.17070734274057489</v>
      </c>
      <c r="X591" s="149">
        <f t="shared" ref="X591" si="3229">X590/X566</f>
        <v>0.14324698929856938</v>
      </c>
      <c r="Y591" s="149">
        <f t="shared" ref="Y591" si="3230">Y590/Y566</f>
        <v>0.21254475873077966</v>
      </c>
      <c r="Z591" s="149">
        <f t="shared" ref="Z591" si="3231">Z590/Z566</f>
        <v>0.19066967691418038</v>
      </c>
      <c r="AA591" s="149">
        <f t="shared" ref="AA591" si="3232">AA590/AA566</f>
        <v>0.18941285332157556</v>
      </c>
      <c r="AB591" s="149">
        <f t="shared" ref="AB591" si="3233">AB590/AB566</f>
        <v>0.21169462516854146</v>
      </c>
      <c r="AC591" s="149">
        <f t="shared" ref="AC591" si="3234">AC590/AC566</f>
        <v>0.1821120968105612</v>
      </c>
      <c r="AD591" s="150">
        <f t="shared" ref="AD591" si="3235">AD590/AD566</f>
        <v>0.1453343652006388</v>
      </c>
      <c r="AE591" s="15"/>
      <c r="AF591" s="96">
        <f t="shared" ref="AF591" si="3236">AF590/AF566</f>
        <v>0.17986036768585681</v>
      </c>
      <c r="AG591" s="97">
        <f t="shared" ref="AG591" si="3237">AG590/AG566</f>
        <v>0.19008952979245389</v>
      </c>
    </row>
    <row r="592" spans="2:33" ht="6" customHeight="1" x14ac:dyDescent="0.2">
      <c r="B592" s="9">
        <f>G554</f>
        <v>12</v>
      </c>
      <c r="C592" s="9" t="str">
        <f t="shared" si="2969"/>
        <v xml:space="preserve">12 - </v>
      </c>
      <c r="D592" s="9" t="s">
        <v>56</v>
      </c>
      <c r="G592" s="11"/>
      <c r="S592" s="11"/>
      <c r="AD592" s="15"/>
      <c r="AE592" s="15"/>
      <c r="AF592" s="11"/>
      <c r="AG592" s="15"/>
    </row>
    <row r="593" spans="2:34" x14ac:dyDescent="0.2">
      <c r="B593" s="9">
        <f>G554</f>
        <v>12</v>
      </c>
      <c r="C593" s="9" t="str">
        <f t="shared" si="2969"/>
        <v>12 - Memo:</v>
      </c>
      <c r="D593" s="9" t="s">
        <v>56</v>
      </c>
      <c r="F593" s="6" t="s">
        <v>13</v>
      </c>
      <c r="G593" s="11"/>
      <c r="S593" s="11"/>
      <c r="AD593" s="15"/>
      <c r="AE593" s="15"/>
      <c r="AF593" s="11"/>
      <c r="AG593" s="15"/>
    </row>
    <row r="594" spans="2:34" s="24" customFormat="1" x14ac:dyDescent="0.2">
      <c r="B594" s="9">
        <f>G554</f>
        <v>12</v>
      </c>
      <c r="C594" s="9" t="str">
        <f t="shared" si="2969"/>
        <v>12 - Collections</v>
      </c>
      <c r="D594" s="9" t="s">
        <v>56</v>
      </c>
      <c r="E594" s="49"/>
      <c r="F594" s="24" t="s">
        <v>15</v>
      </c>
      <c r="G594" s="169">
        <f>G595*G564</f>
        <v>135.96776391151172</v>
      </c>
      <c r="H594" s="170">
        <f t="shared" ref="H594" si="3238">H595*H564</f>
        <v>136.18048379395651</v>
      </c>
      <c r="I594" s="170">
        <f t="shared" ref="I594" si="3239">I595*I564</f>
        <v>174.1573848541874</v>
      </c>
      <c r="J594" s="170">
        <f t="shared" ref="J594" si="3240">J595*J564</f>
        <v>173.13044266460631</v>
      </c>
      <c r="K594" s="170">
        <f t="shared" ref="K594" si="3241">K595*K564</f>
        <v>216.12745347588495</v>
      </c>
      <c r="L594" s="170">
        <f t="shared" ref="L594" si="3242">L595*L564</f>
        <v>211.5626215841551</v>
      </c>
      <c r="M594" s="170">
        <f t="shared" ref="M594" si="3243">M595*M564</f>
        <v>183.1520232914566</v>
      </c>
      <c r="N594" s="170">
        <f t="shared" ref="N594" si="3244">N595*N564</f>
        <v>179.26828850315744</v>
      </c>
      <c r="O594" s="170">
        <f t="shared" ref="O594" si="3245">O595*O564</f>
        <v>158.19842567577135</v>
      </c>
      <c r="P594" s="170">
        <f t="shared" ref="P594" si="3246">P595*P564</f>
        <v>162.69448881374745</v>
      </c>
      <c r="Q594" s="170">
        <f t="shared" ref="Q594" si="3247">Q595*Q564</f>
        <v>140.05881537579663</v>
      </c>
      <c r="R594" s="170">
        <f t="shared" ref="R594" si="3248">R595*R564</f>
        <v>106.96985013393883</v>
      </c>
      <c r="S594" s="169">
        <f t="shared" ref="S594" si="3249">S595*S564</f>
        <v>137.42195166448124</v>
      </c>
      <c r="T594" s="170">
        <f t="shared" ref="T594" si="3250">T595*T564</f>
        <v>143.78578756245571</v>
      </c>
      <c r="U594" s="170">
        <f t="shared" ref="U594" si="3251">U595*U564</f>
        <v>155.60021899737424</v>
      </c>
      <c r="V594" s="170">
        <f t="shared" ref="V594" si="3252">V595*V564</f>
        <v>179.90846343293532</v>
      </c>
      <c r="W594" s="170">
        <f t="shared" ref="W594" si="3253">W595*W564</f>
        <v>206.90876257309614</v>
      </c>
      <c r="X594" s="170">
        <f t="shared" ref="X594" si="3254">X595*X564</f>
        <v>173.99543170947615</v>
      </c>
      <c r="Y594" s="170">
        <f t="shared" ref="Y594" si="3255">Y595*Y564</f>
        <v>184.3880245992363</v>
      </c>
      <c r="Z594" s="170">
        <f t="shared" ref="Z594" si="3256">Z595*Z564</f>
        <v>165.53374271734648</v>
      </c>
      <c r="AA594" s="170">
        <f t="shared" ref="AA594" si="3257">AA595*AA564</f>
        <v>152.61381399458844</v>
      </c>
      <c r="AB594" s="170">
        <f t="shared" ref="AB594" si="3258">AB595*AB564</f>
        <v>181.65096275065329</v>
      </c>
      <c r="AC594" s="170">
        <f t="shared" ref="AC594" si="3259">AC595*AC564</f>
        <v>139.84606198984198</v>
      </c>
      <c r="AD594" s="171">
        <f t="shared" ref="AD594" si="3260">AD595*AD564</f>
        <v>105.90569035740914</v>
      </c>
      <c r="AE594" s="26"/>
      <c r="AF594" s="68">
        <f>SUM(G594:R594)</f>
        <v>1977.4680420781704</v>
      </c>
      <c r="AG594" s="99">
        <f>SUM(S594:AD594)</f>
        <v>1927.5589123488942</v>
      </c>
    </row>
    <row r="595" spans="2:34" x14ac:dyDescent="0.2">
      <c r="B595" s="9">
        <f>G554</f>
        <v>12</v>
      </c>
      <c r="C595" s="9" t="str">
        <f t="shared" si="2969"/>
        <v>12 - Collections as a % of Production</v>
      </c>
      <c r="D595" s="9" t="s">
        <v>56</v>
      </c>
      <c r="F595" s="16" t="s">
        <v>17</v>
      </c>
      <c r="G595" s="140">
        <v>0.96656324106709512</v>
      </c>
      <c r="H595" s="141">
        <v>0.99578231112202953</v>
      </c>
      <c r="I595" s="141">
        <v>0.97138543318104875</v>
      </c>
      <c r="J595" s="141">
        <v>0.99850470304452954</v>
      </c>
      <c r="K595" s="141">
        <v>0.99880478432001851</v>
      </c>
      <c r="L595" s="141">
        <v>0.98591260765866207</v>
      </c>
      <c r="M595" s="141">
        <v>0.98257819394818546</v>
      </c>
      <c r="N595" s="141">
        <v>0.98805934750660895</v>
      </c>
      <c r="O595" s="141">
        <v>0.97249939444612887</v>
      </c>
      <c r="P595" s="141">
        <v>0.96541756989200977</v>
      </c>
      <c r="Q595" s="141">
        <v>0.96295345343784722</v>
      </c>
      <c r="R595" s="141">
        <v>0.99035122492828898</v>
      </c>
      <c r="S595" s="140">
        <v>0.99104311409213386</v>
      </c>
      <c r="T595" s="141">
        <v>0.98906850588246131</v>
      </c>
      <c r="U595" s="141">
        <v>0.9771059989639822</v>
      </c>
      <c r="V595" s="141">
        <v>0.96965038656304003</v>
      </c>
      <c r="W595" s="141">
        <v>0.96254964109446428</v>
      </c>
      <c r="X595" s="141">
        <v>0.97556761351850796</v>
      </c>
      <c r="Y595" s="141">
        <v>0.97560621219238886</v>
      </c>
      <c r="Z595" s="141">
        <v>0.98695718536411736</v>
      </c>
      <c r="AA595" s="141">
        <v>0.99735129646600995</v>
      </c>
      <c r="AB595" s="141">
        <v>0.99852642166701322</v>
      </c>
      <c r="AC595" s="141">
        <v>0.99923506889574221</v>
      </c>
      <c r="AD595" s="142">
        <v>0.9681557461431437</v>
      </c>
      <c r="AE595" s="15"/>
      <c r="AF595" s="96">
        <f t="shared" ref="AF595" si="3261">AF594/AF564</f>
        <v>0.98207292652696265</v>
      </c>
      <c r="AG595" s="97">
        <f t="shared" ref="AG595" si="3262">AG594/AG564</f>
        <v>0.98187713197385296</v>
      </c>
    </row>
    <row r="596" spans="2:34" ht="6" customHeight="1" x14ac:dyDescent="0.2">
      <c r="B596" s="9">
        <f>G554</f>
        <v>12</v>
      </c>
      <c r="C596" s="9" t="str">
        <f t="shared" si="2969"/>
        <v xml:space="preserve">12 - </v>
      </c>
      <c r="D596" s="9" t="s">
        <v>56</v>
      </c>
      <c r="F596" s="27"/>
      <c r="R596" s="15"/>
      <c r="AD596" s="15"/>
      <c r="AE596" s="15"/>
      <c r="AF596" s="11"/>
      <c r="AG596" s="15"/>
    </row>
    <row r="597" spans="2:34" s="24" customFormat="1" x14ac:dyDescent="0.2">
      <c r="B597" s="9">
        <f>G554</f>
        <v>12</v>
      </c>
      <c r="C597" s="9" t="str">
        <f t="shared" si="2969"/>
        <v>12 - Production per Vet Workday - YoY Change</v>
      </c>
      <c r="D597" s="9" t="s">
        <v>56</v>
      </c>
      <c r="E597" s="49"/>
      <c r="F597" s="24" t="s">
        <v>55</v>
      </c>
      <c r="G597" s="88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151">
        <f>S563/G563-1</f>
        <v>-5.712802388495597E-2</v>
      </c>
      <c r="T597" s="152">
        <f t="shared" ref="T597" si="3263">T563/H563-1</f>
        <v>1.4695503437462065E-2</v>
      </c>
      <c r="U597" s="152">
        <f t="shared" ref="U597" si="3264">U563/I563-1</f>
        <v>-3.1037929961340915E-2</v>
      </c>
      <c r="V597" s="152">
        <f t="shared" ref="V597" si="3265">V563/J563-1</f>
        <v>2.1432585856053343E-2</v>
      </c>
      <c r="W597" s="152">
        <f t="shared" ref="W597" si="3266">W563/K563-1</f>
        <v>-4.7986693069529407E-2</v>
      </c>
      <c r="X597" s="152">
        <f t="shared" ref="X597" si="3267">X563/L563-1</f>
        <v>-8.9691719551593829E-2</v>
      </c>
      <c r="Y597" s="152">
        <f t="shared" ref="Y597" si="3268">Y563/M563-1</f>
        <v>-3.0141446269407846E-2</v>
      </c>
      <c r="Z597" s="152">
        <f t="shared" ref="Z597" si="3269">Z563/N563-1</f>
        <v>-3.5391274730757982E-2</v>
      </c>
      <c r="AA597" s="152">
        <f t="shared" ref="AA597" si="3270">AA563/O563-1</f>
        <v>-1.4546224213795922E-2</v>
      </c>
      <c r="AB597" s="152">
        <f t="shared" ref="AB597" si="3271">AB563/P563-1</f>
        <v>-1.0463225460427328E-2</v>
      </c>
      <c r="AC597" s="152">
        <f t="shared" ref="AC597" si="3272">AC563/Q563-1</f>
        <v>5.964315419930033E-3</v>
      </c>
      <c r="AD597" s="153">
        <f t="shared" ref="AD597" si="3273">AD563/R563-1</f>
        <v>1.2749235193045605E-2</v>
      </c>
      <c r="AF597" s="43"/>
      <c r="AG597" s="104">
        <f>AG563/AF563-1</f>
        <v>-5.5114134315338292E-3</v>
      </c>
    </row>
    <row r="598" spans="2:34" s="24" customFormat="1" ht="6" customHeight="1" x14ac:dyDescent="0.2">
      <c r="D598" s="9" t="s">
        <v>56</v>
      </c>
      <c r="E598" s="49"/>
      <c r="G598" s="28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29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29"/>
      <c r="AE598" s="25"/>
      <c r="AF598" s="28"/>
      <c r="AG598" s="29"/>
    </row>
    <row r="599" spans="2:34" s="24" customFormat="1" ht="6" customHeight="1" x14ac:dyDescent="0.2">
      <c r="D599" s="9" t="s">
        <v>56</v>
      </c>
      <c r="E599" s="49"/>
    </row>
    <row r="600" spans="2:34" x14ac:dyDescent="0.2">
      <c r="D600" s="9" t="s">
        <v>56</v>
      </c>
      <c r="F600" s="16"/>
    </row>
    <row r="601" spans="2:34" ht="15.75" thickBot="1" x14ac:dyDescent="0.4">
      <c r="B601" s="35" t="s">
        <v>52</v>
      </c>
      <c r="C601" s="35"/>
      <c r="D601" s="9" t="s">
        <v>56</v>
      </c>
      <c r="E601" s="48" t="s">
        <v>0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74">
        <f ca="1">AG$2</f>
        <v>45999</v>
      </c>
      <c r="AH601" s="1"/>
    </row>
    <row r="602" spans="2:34" x14ac:dyDescent="0.2">
      <c r="B602" s="9">
        <f>G603</f>
        <v>13</v>
      </c>
      <c r="C602" s="9"/>
      <c r="D602" s="9" t="s">
        <v>56</v>
      </c>
      <c r="F602" t="s">
        <v>159</v>
      </c>
      <c r="AG602" s="6" t="s">
        <v>16</v>
      </c>
    </row>
    <row r="603" spans="2:34" x14ac:dyDescent="0.2">
      <c r="B603" s="9">
        <f>G603</f>
        <v>13</v>
      </c>
      <c r="C603" s="9"/>
      <c r="D603" s="9" t="s">
        <v>56</v>
      </c>
      <c r="F603" s="40" t="s">
        <v>53</v>
      </c>
      <c r="G603" s="42">
        <v>13</v>
      </c>
    </row>
    <row r="604" spans="2:34" x14ac:dyDescent="0.2">
      <c r="B604" s="9">
        <f>G603</f>
        <v>13</v>
      </c>
      <c r="C604" s="9"/>
      <c r="D604" s="9" t="s">
        <v>56</v>
      </c>
      <c r="F604" s="39" t="s">
        <v>30</v>
      </c>
      <c r="G604" s="41"/>
      <c r="H604" s="11"/>
    </row>
    <row r="605" spans="2:34" x14ac:dyDescent="0.2">
      <c r="B605" s="9">
        <f>G603</f>
        <v>13</v>
      </c>
      <c r="C605" s="9"/>
      <c r="D605" s="9" t="s">
        <v>56</v>
      </c>
      <c r="G605" s="23"/>
    </row>
    <row r="606" spans="2:34" x14ac:dyDescent="0.2">
      <c r="B606" s="9">
        <f>G603</f>
        <v>13</v>
      </c>
      <c r="C606" s="9"/>
      <c r="D606" s="9" t="s">
        <v>56</v>
      </c>
      <c r="G606" s="20">
        <v>2023</v>
      </c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2"/>
      <c r="S606" s="20">
        <v>2024</v>
      </c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2"/>
      <c r="AF606" s="17" t="s">
        <v>14</v>
      </c>
      <c r="AG606" s="18"/>
    </row>
    <row r="607" spans="2:34" ht="15" customHeight="1" x14ac:dyDescent="0.35">
      <c r="B607" s="9">
        <f>G603</f>
        <v>13</v>
      </c>
      <c r="C607" s="9"/>
      <c r="D607" s="9" t="s">
        <v>56</v>
      </c>
      <c r="G607" s="165">
        <v>44957</v>
      </c>
      <c r="H607" s="166">
        <v>44985</v>
      </c>
      <c r="I607" s="166">
        <v>45016</v>
      </c>
      <c r="J607" s="166">
        <v>45046</v>
      </c>
      <c r="K607" s="166">
        <v>45077</v>
      </c>
      <c r="L607" s="166">
        <v>45107</v>
      </c>
      <c r="M607" s="166">
        <v>45138</v>
      </c>
      <c r="N607" s="166">
        <v>45169</v>
      </c>
      <c r="O607" s="166">
        <v>45199</v>
      </c>
      <c r="P607" s="166">
        <v>45230</v>
      </c>
      <c r="Q607" s="166">
        <v>45260</v>
      </c>
      <c r="R607" s="167">
        <v>45291</v>
      </c>
      <c r="S607" s="165">
        <v>45322</v>
      </c>
      <c r="T607" s="166">
        <v>45351</v>
      </c>
      <c r="U607" s="166">
        <v>45382</v>
      </c>
      <c r="V607" s="166">
        <v>45412</v>
      </c>
      <c r="W607" s="166">
        <v>45443</v>
      </c>
      <c r="X607" s="166">
        <v>45473</v>
      </c>
      <c r="Y607" s="166">
        <v>45504</v>
      </c>
      <c r="Z607" s="166">
        <v>45535</v>
      </c>
      <c r="AA607" s="166">
        <v>45565</v>
      </c>
      <c r="AB607" s="166">
        <v>45596</v>
      </c>
      <c r="AC607" s="166">
        <v>45626</v>
      </c>
      <c r="AD607" s="167">
        <v>45657</v>
      </c>
      <c r="AE607" s="168"/>
      <c r="AF607" s="13">
        <v>45291</v>
      </c>
      <c r="AG607" s="14">
        <v>45657</v>
      </c>
    </row>
    <row r="608" spans="2:34" ht="0.95" customHeight="1" x14ac:dyDescent="0.2">
      <c r="B608" s="9">
        <f>G603</f>
        <v>13</v>
      </c>
      <c r="C608" s="9"/>
      <c r="D608" s="9" t="s">
        <v>56</v>
      </c>
      <c r="G608" s="11"/>
      <c r="S608" s="11"/>
      <c r="AD608" s="15"/>
      <c r="AE608" s="15"/>
      <c r="AF608" s="11"/>
      <c r="AG608" s="15"/>
    </row>
    <row r="609" spans="2:33" x14ac:dyDescent="0.2">
      <c r="B609" s="9">
        <f>G603</f>
        <v>13</v>
      </c>
      <c r="C609" s="9" t="str">
        <f>B609&amp;" - "&amp;F609</f>
        <v>13 - Employed Vets</v>
      </c>
      <c r="D609" s="9" t="s">
        <v>56</v>
      </c>
      <c r="F609" s="7" t="s">
        <v>160</v>
      </c>
      <c r="G609" s="121">
        <v>1</v>
      </c>
      <c r="H609" s="154">
        <f>MAX(MIN(IF(H612/G612&gt;1.1,G609-1,IF(H612/G612&lt;0.9,G609+1,G609)),5),1)</f>
        <v>1</v>
      </c>
      <c r="I609" s="154">
        <f t="shared" ref="I609:AD609" si="3274">MAX(MIN(IF(I612/H612&gt;1.1,H609-1,IF(I612/H612&lt;0.9,H609+1,H609)),5),1)</f>
        <v>1</v>
      </c>
      <c r="J609" s="154">
        <f t="shared" si="3274"/>
        <v>1</v>
      </c>
      <c r="K609" s="154">
        <f t="shared" si="3274"/>
        <v>1</v>
      </c>
      <c r="L609" s="154">
        <f t="shared" si="3274"/>
        <v>1</v>
      </c>
      <c r="M609" s="154">
        <f t="shared" si="3274"/>
        <v>1</v>
      </c>
      <c r="N609" s="154">
        <f t="shared" si="3274"/>
        <v>2</v>
      </c>
      <c r="O609" s="154">
        <f t="shared" si="3274"/>
        <v>2</v>
      </c>
      <c r="P609" s="154">
        <f t="shared" si="3274"/>
        <v>2</v>
      </c>
      <c r="Q609" s="154">
        <f t="shared" si="3274"/>
        <v>3</v>
      </c>
      <c r="R609" s="154">
        <f t="shared" si="3274"/>
        <v>4</v>
      </c>
      <c r="S609" s="155">
        <f t="shared" si="3274"/>
        <v>3</v>
      </c>
      <c r="T609" s="154">
        <f t="shared" si="3274"/>
        <v>3</v>
      </c>
      <c r="U609" s="154">
        <f t="shared" si="3274"/>
        <v>3</v>
      </c>
      <c r="V609" s="154">
        <f t="shared" si="3274"/>
        <v>3</v>
      </c>
      <c r="W609" s="154">
        <f t="shared" si="3274"/>
        <v>2</v>
      </c>
      <c r="X609" s="154">
        <f t="shared" si="3274"/>
        <v>3</v>
      </c>
      <c r="Y609" s="154">
        <f t="shared" si="3274"/>
        <v>3</v>
      </c>
      <c r="Z609" s="154">
        <f t="shared" si="3274"/>
        <v>4</v>
      </c>
      <c r="AA609" s="154">
        <f t="shared" si="3274"/>
        <v>4</v>
      </c>
      <c r="AB609" s="154">
        <f t="shared" si="3274"/>
        <v>4</v>
      </c>
      <c r="AC609" s="154">
        <f t="shared" si="3274"/>
        <v>5</v>
      </c>
      <c r="AD609" s="156">
        <f t="shared" si="3274"/>
        <v>5</v>
      </c>
      <c r="AE609" s="15"/>
      <c r="AF609" s="90">
        <f>AVERAGE(G609:R609)</f>
        <v>1.6666666666666667</v>
      </c>
      <c r="AG609" s="91">
        <f>AVERAGE(S609:AD609)</f>
        <v>3.5</v>
      </c>
    </row>
    <row r="610" spans="2:33" x14ac:dyDescent="0.2">
      <c r="B610" s="9">
        <f>G603</f>
        <v>13</v>
      </c>
      <c r="C610" s="9" t="str">
        <f t="shared" ref="C610:C646" si="3275">B610&amp;" - "&amp;F610</f>
        <v>13 - Workdays in Month / Year</v>
      </c>
      <c r="D610" s="9" t="s">
        <v>56</v>
      </c>
      <c r="F610" s="7" t="s">
        <v>54</v>
      </c>
      <c r="G610" s="121">
        <v>22</v>
      </c>
      <c r="H610" s="124">
        <v>21</v>
      </c>
      <c r="I610" s="124">
        <v>24</v>
      </c>
      <c r="J610" s="122">
        <v>21</v>
      </c>
      <c r="K610" s="122">
        <v>23</v>
      </c>
      <c r="L610" s="122">
        <v>23</v>
      </c>
      <c r="M610" s="122">
        <v>22</v>
      </c>
      <c r="N610" s="122">
        <v>24</v>
      </c>
      <c r="O610" s="122">
        <v>22</v>
      </c>
      <c r="P610" s="122">
        <v>22</v>
      </c>
      <c r="Q610" s="122">
        <v>23</v>
      </c>
      <c r="R610" s="122">
        <v>22</v>
      </c>
      <c r="S610" s="121">
        <v>23</v>
      </c>
      <c r="T610" s="122">
        <v>22</v>
      </c>
      <c r="U610" s="122">
        <v>22</v>
      </c>
      <c r="V610" s="122">
        <v>22</v>
      </c>
      <c r="W610" s="122">
        <v>24</v>
      </c>
      <c r="X610" s="122">
        <v>21</v>
      </c>
      <c r="Y610" s="122">
        <v>23</v>
      </c>
      <c r="Z610" s="122">
        <v>23</v>
      </c>
      <c r="AA610" s="122">
        <v>21</v>
      </c>
      <c r="AB610" s="122">
        <v>24</v>
      </c>
      <c r="AC610" s="122">
        <v>22</v>
      </c>
      <c r="AD610" s="123">
        <v>22</v>
      </c>
      <c r="AE610" s="15"/>
      <c r="AF610" s="144">
        <v>269</v>
      </c>
      <c r="AG610" s="145">
        <v>269</v>
      </c>
    </row>
    <row r="611" spans="2:33" x14ac:dyDescent="0.2">
      <c r="B611" s="9">
        <f>G603</f>
        <v>13</v>
      </c>
      <c r="C611" s="9" t="str">
        <f t="shared" si="3275"/>
        <v>13 - Total Vet Days</v>
      </c>
      <c r="D611" s="9" t="s">
        <v>56</v>
      </c>
      <c r="F611" s="8" t="s">
        <v>51</v>
      </c>
      <c r="G611" s="125">
        <f>G609*G610</f>
        <v>22</v>
      </c>
      <c r="H611" s="126">
        <f t="shared" ref="H611" si="3276">H609*H610</f>
        <v>21</v>
      </c>
      <c r="I611" s="126">
        <f t="shared" ref="I611" si="3277">I609*I610</f>
        <v>24</v>
      </c>
      <c r="J611" s="127">
        <f t="shared" ref="J611" si="3278">J609*J610</f>
        <v>21</v>
      </c>
      <c r="K611" s="127">
        <f t="shared" ref="K611" si="3279">K609*K610</f>
        <v>23</v>
      </c>
      <c r="L611" s="127">
        <f t="shared" ref="L611" si="3280">L609*L610</f>
        <v>23</v>
      </c>
      <c r="M611" s="127">
        <f t="shared" ref="M611" si="3281">M609*M610</f>
        <v>22</v>
      </c>
      <c r="N611" s="127">
        <f t="shared" ref="N611" si="3282">N609*N610</f>
        <v>48</v>
      </c>
      <c r="O611" s="127">
        <f t="shared" ref="O611" si="3283">O609*O610</f>
        <v>44</v>
      </c>
      <c r="P611" s="127">
        <f t="shared" ref="P611" si="3284">P609*P610</f>
        <v>44</v>
      </c>
      <c r="Q611" s="127">
        <f t="shared" ref="Q611" si="3285">Q609*Q610</f>
        <v>69</v>
      </c>
      <c r="R611" s="127">
        <f t="shared" ref="R611" si="3286">R609*R610</f>
        <v>88</v>
      </c>
      <c r="S611" s="125">
        <f t="shared" ref="S611" si="3287">S609*S610</f>
        <v>69</v>
      </c>
      <c r="T611" s="127">
        <f t="shared" ref="T611" si="3288">T609*T610</f>
        <v>66</v>
      </c>
      <c r="U611" s="127">
        <f t="shared" ref="U611" si="3289">U609*U610</f>
        <v>66</v>
      </c>
      <c r="V611" s="127">
        <f t="shared" ref="V611" si="3290">V609*V610</f>
        <v>66</v>
      </c>
      <c r="W611" s="127">
        <f t="shared" ref="W611" si="3291">W609*W610</f>
        <v>48</v>
      </c>
      <c r="X611" s="127">
        <f t="shared" ref="X611" si="3292">X609*X610</f>
        <v>63</v>
      </c>
      <c r="Y611" s="127">
        <f t="shared" ref="Y611" si="3293">Y609*Y610</f>
        <v>69</v>
      </c>
      <c r="Z611" s="127">
        <f t="shared" ref="Z611" si="3294">Z609*Z610</f>
        <v>92</v>
      </c>
      <c r="AA611" s="127">
        <f t="shared" ref="AA611" si="3295">AA609*AA610</f>
        <v>84</v>
      </c>
      <c r="AB611" s="127">
        <f t="shared" ref="AB611" si="3296">AB609*AB610</f>
        <v>96</v>
      </c>
      <c r="AC611" s="127">
        <f t="shared" ref="AC611" si="3297">AC609*AC610</f>
        <v>110</v>
      </c>
      <c r="AD611" s="128">
        <f t="shared" ref="AD611" si="3298">AD609*AD610</f>
        <v>110</v>
      </c>
      <c r="AF611" s="119">
        <f>SUM(G611:R611)</f>
        <v>449</v>
      </c>
      <c r="AG611" s="120">
        <f>SUM(S611:AD611)</f>
        <v>939</v>
      </c>
    </row>
    <row r="612" spans="2:33" x14ac:dyDescent="0.2">
      <c r="B612" s="9">
        <f>G603</f>
        <v>13</v>
      </c>
      <c r="C612" s="9" t="str">
        <f t="shared" si="3275"/>
        <v>13 - Production per Vet Workday</v>
      </c>
      <c r="D612" s="9" t="s">
        <v>56</v>
      </c>
      <c r="F612" s="7" t="s">
        <v>50</v>
      </c>
      <c r="G612" s="129">
        <v>6.7853493862863825</v>
      </c>
      <c r="H612" s="130">
        <v>6.8613528947586335</v>
      </c>
      <c r="I612" s="130">
        <v>7.7101942545636692</v>
      </c>
      <c r="J612" s="130">
        <v>7.7846174629672067</v>
      </c>
      <c r="K612" s="130">
        <v>8.3378312944902806</v>
      </c>
      <c r="L612" s="130">
        <v>7.8598026827498133</v>
      </c>
      <c r="M612" s="130">
        <v>7.417988476698504</v>
      </c>
      <c r="N612" s="130">
        <v>6.3420001429783177</v>
      </c>
      <c r="O612" s="130">
        <v>6.2918044144767613</v>
      </c>
      <c r="P612" s="130">
        <v>6.5058313890094492</v>
      </c>
      <c r="Q612" s="130">
        <v>5.2445252756473657</v>
      </c>
      <c r="R612" s="130">
        <v>4.4163193062491279</v>
      </c>
      <c r="S612" s="129">
        <v>6.472289769793715</v>
      </c>
      <c r="T612" s="130">
        <v>6.8923658936021841</v>
      </c>
      <c r="U612" s="130">
        <v>7.516153208627137</v>
      </c>
      <c r="V612" s="130">
        <v>7.6754884367587985</v>
      </c>
      <c r="W612" s="130">
        <v>8.5406990427063203</v>
      </c>
      <c r="X612" s="130">
        <v>7.6593884878399239</v>
      </c>
      <c r="Y612" s="130">
        <v>7.6775038967521176</v>
      </c>
      <c r="Z612" s="130">
        <v>6.0672100563421951</v>
      </c>
      <c r="AA612" s="130">
        <v>6.3880265168471402</v>
      </c>
      <c r="AB612" s="130">
        <v>6.4501073045946873</v>
      </c>
      <c r="AC612" s="130">
        <v>5.4247393554556185</v>
      </c>
      <c r="AD612" s="131">
        <v>4.3457114558297949</v>
      </c>
      <c r="AE612" s="15"/>
      <c r="AF612" s="132">
        <v>6.799881603232369</v>
      </c>
      <c r="AG612" s="133">
        <v>6.7678967909520242</v>
      </c>
    </row>
    <row r="613" spans="2:33" x14ac:dyDescent="0.2">
      <c r="B613" s="9">
        <f>G603</f>
        <v>13</v>
      </c>
      <c r="C613" s="9" t="str">
        <f t="shared" si="3275"/>
        <v>13 - Total Production</v>
      </c>
      <c r="D613" s="9" t="s">
        <v>56</v>
      </c>
      <c r="F613" s="8" t="s">
        <v>1</v>
      </c>
      <c r="G613" s="134">
        <f>G612*G611</f>
        <v>149.27768649830043</v>
      </c>
      <c r="H613" s="135">
        <f t="shared" ref="H613" si="3299">H612*H611</f>
        <v>144.08841078993132</v>
      </c>
      <c r="I613" s="135">
        <f t="shared" ref="I613" si="3300">I612*I611</f>
        <v>185.04466210952808</v>
      </c>
      <c r="J613" s="135">
        <f t="shared" ref="J613" si="3301">J612*J611</f>
        <v>163.47696672231135</v>
      </c>
      <c r="K613" s="135">
        <f t="shared" ref="K613" si="3302">K612*K611</f>
        <v>191.77011977327646</v>
      </c>
      <c r="L613" s="135">
        <f t="shared" ref="L613" si="3303">L612*L611</f>
        <v>180.7754617032457</v>
      </c>
      <c r="M613" s="135">
        <f t="shared" ref="M613" si="3304">M612*M611</f>
        <v>163.1957464873671</v>
      </c>
      <c r="N613" s="135">
        <f t="shared" ref="N613" si="3305">N612*N611</f>
        <v>304.41600686295925</v>
      </c>
      <c r="O613" s="135">
        <f t="shared" ref="O613" si="3306">O612*O611</f>
        <v>276.83939423697751</v>
      </c>
      <c r="P613" s="135">
        <f t="shared" ref="P613" si="3307">P612*P611</f>
        <v>286.25658111641576</v>
      </c>
      <c r="Q613" s="135">
        <f t="shared" ref="Q613" si="3308">Q612*Q611</f>
        <v>361.87224401966824</v>
      </c>
      <c r="R613" s="135">
        <f t="shared" ref="R613" si="3309">R612*R611</f>
        <v>388.63609894992328</v>
      </c>
      <c r="S613" s="134">
        <f t="shared" ref="S613" si="3310">S612*S611</f>
        <v>446.58799411576632</v>
      </c>
      <c r="T613" s="135">
        <f t="shared" ref="T613" si="3311">T612*T611</f>
        <v>454.89614897774413</v>
      </c>
      <c r="U613" s="135">
        <f t="shared" ref="U613" si="3312">U612*U611</f>
        <v>496.06611176939106</v>
      </c>
      <c r="V613" s="135">
        <f t="shared" ref="V613" si="3313">V612*V611</f>
        <v>506.5822368260807</v>
      </c>
      <c r="W613" s="135">
        <f t="shared" ref="W613" si="3314">W612*W611</f>
        <v>409.95355404990335</v>
      </c>
      <c r="X613" s="135">
        <f t="shared" ref="X613" si="3315">X612*X611</f>
        <v>482.54147473391521</v>
      </c>
      <c r="Y613" s="135">
        <f t="shared" ref="Y613" si="3316">Y612*Y611</f>
        <v>529.7477688758961</v>
      </c>
      <c r="Z613" s="135">
        <f t="shared" ref="Z613" si="3317">Z612*Z611</f>
        <v>558.183325183482</v>
      </c>
      <c r="AA613" s="135">
        <f t="shared" ref="AA613" si="3318">AA612*AA611</f>
        <v>536.59422741515982</v>
      </c>
      <c r="AB613" s="135">
        <f t="shared" ref="AB613" si="3319">AB612*AB611</f>
        <v>619.21030124108995</v>
      </c>
      <c r="AC613" s="135">
        <f t="shared" ref="AC613" si="3320">AC612*AC611</f>
        <v>596.72132910011806</v>
      </c>
      <c r="AD613" s="136">
        <f t="shared" ref="AD613" si="3321">AD612*AD611</f>
        <v>478.02826014127743</v>
      </c>
      <c r="AE613" s="15"/>
      <c r="AF613" s="94">
        <f>SUM(G613:R613)</f>
        <v>2795.6493792699048</v>
      </c>
      <c r="AG613" s="95">
        <f>SUM(S613:AD613)</f>
        <v>6115.1127324298232</v>
      </c>
    </row>
    <row r="614" spans="2:33" x14ac:dyDescent="0.2">
      <c r="B614" s="9">
        <f>G603</f>
        <v>13</v>
      </c>
      <c r="C614" s="9" t="str">
        <f t="shared" si="3275"/>
        <v>13 - Revenue as a % of Production</v>
      </c>
      <c r="D614" s="9" t="s">
        <v>56</v>
      </c>
      <c r="F614" s="7" t="s">
        <v>2</v>
      </c>
      <c r="G614" s="137">
        <v>0.98965539518469814</v>
      </c>
      <c r="H614" s="138">
        <v>0.98965539518469814</v>
      </c>
      <c r="I614" s="138">
        <v>0.98965539518469814</v>
      </c>
      <c r="J614" s="138">
        <v>0.98965539518469814</v>
      </c>
      <c r="K614" s="138">
        <v>0.98965539518469814</v>
      </c>
      <c r="L614" s="138">
        <v>0.98965539518469814</v>
      </c>
      <c r="M614" s="138">
        <v>0.98965539518469814</v>
      </c>
      <c r="N614" s="138">
        <v>0.98965539518469814</v>
      </c>
      <c r="O614" s="138">
        <v>0.98965539518469814</v>
      </c>
      <c r="P614" s="138">
        <v>0.98965539518469814</v>
      </c>
      <c r="Q614" s="138">
        <v>0.98965539518469814</v>
      </c>
      <c r="R614" s="138">
        <v>0.98965539518469814</v>
      </c>
      <c r="S614" s="137">
        <v>0.9818541151438942</v>
      </c>
      <c r="T614" s="138">
        <v>0.9818541151438942</v>
      </c>
      <c r="U614" s="138">
        <v>0.9818541151438942</v>
      </c>
      <c r="V614" s="138">
        <v>0.9818541151438942</v>
      </c>
      <c r="W614" s="138">
        <v>0.9818541151438942</v>
      </c>
      <c r="X614" s="138">
        <v>0.9818541151438942</v>
      </c>
      <c r="Y614" s="138">
        <v>0.9818541151438942</v>
      </c>
      <c r="Z614" s="138">
        <v>0.9818541151438942</v>
      </c>
      <c r="AA614" s="138">
        <v>0.9818541151438942</v>
      </c>
      <c r="AB614" s="138">
        <v>0.9818541151438942</v>
      </c>
      <c r="AC614" s="138">
        <v>0.9818541151438942</v>
      </c>
      <c r="AD614" s="139">
        <v>0.9818541151438942</v>
      </c>
      <c r="AE614" s="15"/>
      <c r="AF614" s="161">
        <v>0.98965539518469803</v>
      </c>
      <c r="AG614" s="162">
        <v>0.98185411514389442</v>
      </c>
    </row>
    <row r="615" spans="2:33" x14ac:dyDescent="0.2">
      <c r="B615" s="9">
        <f>G603</f>
        <v>13</v>
      </c>
      <c r="C615" s="9" t="str">
        <f t="shared" si="3275"/>
        <v>13 - Total Revenue</v>
      </c>
      <c r="D615" s="9" t="s">
        <v>56</v>
      </c>
      <c r="F615" s="8" t="s">
        <v>3</v>
      </c>
      <c r="G615" s="134">
        <f>G614*G613</f>
        <v>147.73346782373298</v>
      </c>
      <c r="H615" s="135">
        <f t="shared" ref="H615" si="3322">H614*H613</f>
        <v>142.5978731218446</v>
      </c>
      <c r="I615" s="135">
        <f t="shared" ref="I615" si="3323">I614*I613</f>
        <v>183.13044820682396</v>
      </c>
      <c r="J615" s="135">
        <f t="shared" ref="J615" si="3324">J614*J613</f>
        <v>161.7858621051648</v>
      </c>
      <c r="K615" s="135">
        <f t="shared" ref="K615" si="3325">K614*K613</f>
        <v>189.78633366883881</v>
      </c>
      <c r="L615" s="135">
        <f t="shared" ref="L615" si="3326">L614*L613</f>
        <v>178.90541099162189</v>
      </c>
      <c r="M615" s="135">
        <f t="shared" ref="M615" si="3327">M614*M613</f>
        <v>161.50755098241711</v>
      </c>
      <c r="N615" s="135">
        <f t="shared" ref="N615" si="3328">N614*N613</f>
        <v>301.26694357250972</v>
      </c>
      <c r="O615" s="135">
        <f t="shared" ref="O615" si="3329">O614*O613</f>
        <v>273.97560010628843</v>
      </c>
      <c r="P615" s="135">
        <f t="shared" ref="P615" si="3330">P614*P613</f>
        <v>283.29536990898703</v>
      </c>
      <c r="Q615" s="135">
        <f t="shared" ref="Q615" si="3331">Q614*Q613</f>
        <v>358.12881866165827</v>
      </c>
      <c r="R615" s="135">
        <f t="shared" ref="R615" si="3332">R614*R613</f>
        <v>384.6158120893258</v>
      </c>
      <c r="S615" s="134">
        <f t="shared" ref="S615" si="3333">S614*S613</f>
        <v>438.48425979642235</v>
      </c>
      <c r="T615" s="135">
        <f t="shared" ref="T615" si="3334">T614*T613</f>
        <v>446.64165583690806</v>
      </c>
      <c r="U615" s="135">
        <f t="shared" ref="U615" si="3335">U614*U613</f>
        <v>487.0645532242076</v>
      </c>
      <c r="V615" s="135">
        <f t="shared" ref="V615" si="3336">V614*V613</f>
        <v>497.38985388648615</v>
      </c>
      <c r="W615" s="135">
        <f t="shared" ref="W615" si="3337">W614*W613</f>
        <v>402.51458406176243</v>
      </c>
      <c r="X615" s="135">
        <f t="shared" ref="X615" si="3338">X614*X613</f>
        <v>473.78533269509808</v>
      </c>
      <c r="Y615" s="135">
        <f t="shared" ref="Y615" si="3339">Y614*Y613</f>
        <v>520.13502685909509</v>
      </c>
      <c r="Z615" s="135">
        <f t="shared" ref="Z615" si="3340">Z614*Z613</f>
        <v>548.05459483610423</v>
      </c>
      <c r="AA615" s="135">
        <f t="shared" ref="AA615" si="3341">AA614*AA613</f>
        <v>526.85725035003327</v>
      </c>
      <c r="AB615" s="135">
        <f t="shared" ref="AB615" si="3342">AB614*AB613</f>
        <v>607.97418241305456</v>
      </c>
      <c r="AC615" s="135">
        <f t="shared" ref="AC615" si="3343">AC614*AC613</f>
        <v>585.89329257108488</v>
      </c>
      <c r="AD615" s="136">
        <f t="shared" ref="AD615" si="3344">AD614*AD613</f>
        <v>469.35401437478924</v>
      </c>
      <c r="AE615" s="15"/>
      <c r="AF615" s="94">
        <f>SUM(G615:R615)</f>
        <v>2766.7294912392135</v>
      </c>
      <c r="AG615" s="95">
        <f>SUM(S615:AD615)</f>
        <v>6004.1486009050459</v>
      </c>
    </row>
    <row r="616" spans="2:33" x14ac:dyDescent="0.2">
      <c r="B616" s="9">
        <f>G603</f>
        <v>13</v>
      </c>
      <c r="C616" s="9" t="str">
        <f t="shared" si="3275"/>
        <v>13 - % YoY Revenue Growth</v>
      </c>
      <c r="D616" s="9" t="s">
        <v>56</v>
      </c>
      <c r="F616" s="16" t="s">
        <v>174</v>
      </c>
      <c r="G616" s="82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148">
        <f>S615/G615-1</f>
        <v>1.9680766738623938</v>
      </c>
      <c r="T616" s="149">
        <f t="shared" ref="T616" si="3345">T615/H615-1</f>
        <v>2.1321761402098143</v>
      </c>
      <c r="U616" s="149">
        <f t="shared" ref="U616" si="3346">U615/I615-1</f>
        <v>1.659659046288831</v>
      </c>
      <c r="V616" s="149">
        <f t="shared" ref="V616" si="3347">V615/J615-1</f>
        <v>2.0743715638339926</v>
      </c>
      <c r="W616" s="149">
        <f t="shared" ref="W616" si="3348">W615/K615-1</f>
        <v>1.1208828701233911</v>
      </c>
      <c r="X616" s="149">
        <f t="shared" ref="X616" si="3349">X615/L615-1</f>
        <v>1.64824484664293</v>
      </c>
      <c r="Y616" s="149">
        <f t="shared" ref="Y616" si="3350">Y615/M615-1</f>
        <v>2.2204997456479343</v>
      </c>
      <c r="Z616" s="149">
        <f t="shared" ref="Z616" si="3351">Z615/N615-1</f>
        <v>0.8191660470183546</v>
      </c>
      <c r="AA616" s="149">
        <f t="shared" ref="AA616" si="3352">AA615/O615-1</f>
        <v>0.92300792532488218</v>
      </c>
      <c r="AB616" s="149">
        <f t="shared" ref="AB616" si="3353">AB615/P615-1</f>
        <v>1.1460787820442513</v>
      </c>
      <c r="AC616" s="149">
        <f t="shared" ref="AC616" si="3354">AC615/Q615-1</f>
        <v>0.63598476872258303</v>
      </c>
      <c r="AD616" s="150">
        <f t="shared" ref="AD616" si="3355">AD615/R615-1</f>
        <v>0.22031908107247355</v>
      </c>
      <c r="AE616" s="15"/>
      <c r="AF616" s="11"/>
      <c r="AG616" s="97">
        <f>AG615/AF615-1</f>
        <v>1.1701249146029804</v>
      </c>
    </row>
    <row r="617" spans="2:33" ht="6" customHeight="1" x14ac:dyDescent="0.2">
      <c r="B617" s="9">
        <f>G603</f>
        <v>13</v>
      </c>
      <c r="C617" s="9" t="str">
        <f t="shared" si="3275"/>
        <v xml:space="preserve">13 - </v>
      </c>
      <c r="D617" s="9" t="s">
        <v>56</v>
      </c>
      <c r="G617" s="11"/>
      <c r="S617" s="11"/>
      <c r="AD617" s="15"/>
      <c r="AE617" s="15"/>
      <c r="AF617" s="11"/>
      <c r="AG617" s="15"/>
    </row>
    <row r="618" spans="2:33" x14ac:dyDescent="0.2">
      <c r="B618" s="9">
        <f>G603</f>
        <v>13</v>
      </c>
      <c r="C618" s="9" t="str">
        <f t="shared" si="3275"/>
        <v>13 - Doctor Compensation</v>
      </c>
      <c r="D618" s="9" t="s">
        <v>56</v>
      </c>
      <c r="F618" t="s">
        <v>4</v>
      </c>
      <c r="G618" s="144">
        <v>-53.757738217763766</v>
      </c>
      <c r="H618" s="70">
        <v>-52.385905536819585</v>
      </c>
      <c r="I618" s="70">
        <v>-67.441605438881922</v>
      </c>
      <c r="J618" s="70">
        <v>-58.225696661119088</v>
      </c>
      <c r="K618" s="70">
        <v>-66.492758753127561</v>
      </c>
      <c r="L618" s="70">
        <v>-63.790197980292206</v>
      </c>
      <c r="M618" s="70">
        <v>-58.599895630943202</v>
      </c>
      <c r="N618" s="70">
        <v>-54.975816440255912</v>
      </c>
      <c r="O618" s="70">
        <v>-48.727048781690492</v>
      </c>
      <c r="P618" s="70">
        <v>-50.742775349987767</v>
      </c>
      <c r="Q618" s="70">
        <v>-43.272619118370962</v>
      </c>
      <c r="R618" s="70">
        <v>-35.693255536012884</v>
      </c>
      <c r="S618" s="144">
        <v>-144.27753816214846</v>
      </c>
      <c r="T618" s="70">
        <v>-145.9704295316406</v>
      </c>
      <c r="U618" s="70">
        <v>-158.31416287520901</v>
      </c>
      <c r="V618" s="70">
        <v>-160.03415115348798</v>
      </c>
      <c r="W618" s="70">
        <v>-190.33432229268683</v>
      </c>
      <c r="X618" s="70">
        <v>-151.4046026770383</v>
      </c>
      <c r="Y618" s="70">
        <v>-169.13187870809315</v>
      </c>
      <c r="Z618" s="70">
        <v>-132.20511897591601</v>
      </c>
      <c r="AA618" s="70">
        <v>-124.32368640911821</v>
      </c>
      <c r="AB618" s="70">
        <v>-144.99689871834832</v>
      </c>
      <c r="AC618" s="70">
        <v>-113.75092745763108</v>
      </c>
      <c r="AD618" s="145">
        <v>-91.21961259685763</v>
      </c>
      <c r="AE618" s="15"/>
      <c r="AF618" s="92">
        <f>SUM(G618:R618)</f>
        <v>-654.10531344526532</v>
      </c>
      <c r="AG618" s="93">
        <f>SUM(S618:AD618)</f>
        <v>-1725.9633295581757</v>
      </c>
    </row>
    <row r="619" spans="2:33" x14ac:dyDescent="0.2">
      <c r="B619" s="9">
        <f>G603</f>
        <v>13</v>
      </c>
      <c r="C619" s="9" t="str">
        <f t="shared" si="3275"/>
        <v>13 - % of Revenue - Doctor Compensation</v>
      </c>
      <c r="D619" s="9" t="s">
        <v>56</v>
      </c>
      <c r="F619" s="16" t="str">
        <f>"% of Revenue - "&amp;F618</f>
        <v>% of Revenue - Doctor Compensation</v>
      </c>
      <c r="G619" s="148">
        <f>G618/G615</f>
        <v>-0.36388327580521151</v>
      </c>
      <c r="H619" s="149">
        <f t="shared" ref="H619" si="3356">H618/H615</f>
        <v>-0.36736807071489608</v>
      </c>
      <c r="I619" s="149">
        <f t="shared" ref="I619" si="3357">I618/I615</f>
        <v>-0.36827084790790598</v>
      </c>
      <c r="J619" s="149">
        <f t="shared" ref="J619" si="3358">J618/J615</f>
        <v>-0.35989360197166642</v>
      </c>
      <c r="K619" s="149">
        <f t="shared" ref="K619" si="3359">K618/K615</f>
        <v>-0.35035588426062242</v>
      </c>
      <c r="L619" s="149">
        <f t="shared" ref="L619" si="3360">L618/L615</f>
        <v>-0.35655823726471575</v>
      </c>
      <c r="M619" s="149">
        <f t="shared" ref="M619" si="3361">M618/M615</f>
        <v>-0.36283068670469043</v>
      </c>
      <c r="N619" s="149">
        <f t="shared" ref="N619" si="3362">N618/N615</f>
        <v>-0.18248207316852269</v>
      </c>
      <c r="O619" s="149">
        <f t="shared" ref="O619" si="3363">O618/O615</f>
        <v>-0.177851782285674</v>
      </c>
      <c r="P619" s="149">
        <f t="shared" ref="P619" si="3364">P618/P615</f>
        <v>-0.17911614780816806</v>
      </c>
      <c r="Q619" s="149">
        <f t="shared" ref="Q619" si="3365">Q618/Q615</f>
        <v>-0.12082975974980865</v>
      </c>
      <c r="R619" s="149">
        <f t="shared" ref="R619" si="3366">R618/R615</f>
        <v>-9.2802361250096596E-2</v>
      </c>
      <c r="S619" s="148">
        <f t="shared" ref="S619" si="3367">S618/S615</f>
        <v>-0.3290369835148314</v>
      </c>
      <c r="T619" s="149">
        <f t="shared" ref="T619" si="3368">T618/T615</f>
        <v>-0.326817769063936</v>
      </c>
      <c r="U619" s="149">
        <f t="shared" ref="U619" si="3369">U618/U615</f>
        <v>-0.3250373319660016</v>
      </c>
      <c r="V619" s="149">
        <f t="shared" ref="V619" si="3370">V618/V615</f>
        <v>-0.32174792047529549</v>
      </c>
      <c r="W619" s="149">
        <f t="shared" ref="W619" si="3371">W618/W615</f>
        <v>-0.47286317025343272</v>
      </c>
      <c r="X619" s="149">
        <f t="shared" ref="X619" si="3372">X618/X615</f>
        <v>-0.31956371847938547</v>
      </c>
      <c r="Y619" s="149">
        <f t="shared" ref="Y619" si="3373">Y618/Y615</f>
        <v>-0.3251691771835068</v>
      </c>
      <c r="Z619" s="149">
        <f t="shared" ref="Z619" si="3374">Z618/Z615</f>
        <v>-0.24122618480272381</v>
      </c>
      <c r="AA619" s="149">
        <f t="shared" ref="AA619" si="3375">AA618/AA615</f>
        <v>-0.23597224167745642</v>
      </c>
      <c r="AB619" s="149">
        <f t="shared" ref="AB619" si="3376">AB618/AB615</f>
        <v>-0.23849186842581774</v>
      </c>
      <c r="AC619" s="149">
        <f t="shared" ref="AC619" si="3377">AC618/AC615</f>
        <v>-0.19414956426358129</v>
      </c>
      <c r="AD619" s="150">
        <f t="shared" ref="AD619" si="3378">AD618/AD615</f>
        <v>-0.19435140598161968</v>
      </c>
      <c r="AE619" s="15"/>
      <c r="AF619" s="96">
        <f t="shared" ref="AF619" si="3379">AF618/AF615</f>
        <v>-0.2364182387604119</v>
      </c>
      <c r="AG619" s="97">
        <f t="shared" ref="AG619" si="3380">AG618/AG615</f>
        <v>-0.28746179421642054</v>
      </c>
    </row>
    <row r="620" spans="2:33" ht="3" customHeight="1" x14ac:dyDescent="0.2">
      <c r="B620" s="9">
        <f>G603</f>
        <v>13</v>
      </c>
      <c r="C620" s="9" t="str">
        <f t="shared" si="3275"/>
        <v xml:space="preserve">13 - </v>
      </c>
      <c r="D620" s="9" t="s">
        <v>56</v>
      </c>
      <c r="F620" s="16"/>
      <c r="G620" s="36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6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8"/>
      <c r="AE620" s="15"/>
      <c r="AF620" s="36"/>
      <c r="AG620" s="38"/>
    </row>
    <row r="621" spans="2:33" x14ac:dyDescent="0.2">
      <c r="B621" s="9">
        <f>G603</f>
        <v>13</v>
      </c>
      <c r="C621" s="9" t="str">
        <f t="shared" si="3275"/>
        <v>13 - Administrative Staff Compensation</v>
      </c>
      <c r="D621" s="9" t="s">
        <v>56</v>
      </c>
      <c r="F621" t="s">
        <v>5</v>
      </c>
      <c r="G621" s="144">
        <v>-26.434623192051205</v>
      </c>
      <c r="H621" s="70">
        <v>-25.675966330949699</v>
      </c>
      <c r="I621" s="70">
        <v>-31.973208914218141</v>
      </c>
      <c r="J621" s="70">
        <v>-28.236603507090756</v>
      </c>
      <c r="K621" s="70">
        <v>-32.629582144005347</v>
      </c>
      <c r="L621" s="70">
        <v>-32.374803647182816</v>
      </c>
      <c r="M621" s="70">
        <v>-28.165748715884032</v>
      </c>
      <c r="N621" s="70">
        <v>-26.14054860389998</v>
      </c>
      <c r="O621" s="70">
        <v>-24.045878460572329</v>
      </c>
      <c r="P621" s="70">
        <v>-24.42351595538446</v>
      </c>
      <c r="Q621" s="70">
        <v>-20.700395397104103</v>
      </c>
      <c r="R621" s="70">
        <v>-17.60326271948362</v>
      </c>
      <c r="S621" s="144">
        <v>-65.429876155956109</v>
      </c>
      <c r="T621" s="70">
        <v>-69.749811984602744</v>
      </c>
      <c r="U621" s="70">
        <v>-77.330604379756267</v>
      </c>
      <c r="V621" s="70">
        <v>-80.184270472647782</v>
      </c>
      <c r="W621" s="70">
        <v>-92.539093467327504</v>
      </c>
      <c r="X621" s="70">
        <v>-74.200088911406539</v>
      </c>
      <c r="Y621" s="70">
        <v>-85.339202196177737</v>
      </c>
      <c r="Z621" s="70">
        <v>-69.971561756656115</v>
      </c>
      <c r="AA621" s="70">
        <v>-66.716681557196779</v>
      </c>
      <c r="AB621" s="70">
        <v>-75.246347560793879</v>
      </c>
      <c r="AC621" s="70">
        <v>-59.576789845765497</v>
      </c>
      <c r="AD621" s="145">
        <v>-46.508289965886064</v>
      </c>
      <c r="AE621" s="15"/>
      <c r="AF621" s="92">
        <f>SUM(G621:R621)</f>
        <v>-318.40413758782654</v>
      </c>
      <c r="AG621" s="93">
        <f>SUM(S621:AD621)</f>
        <v>-862.79261825417314</v>
      </c>
    </row>
    <row r="622" spans="2:33" x14ac:dyDescent="0.2">
      <c r="B622" s="9">
        <f>G603</f>
        <v>13</v>
      </c>
      <c r="C622" s="9" t="str">
        <f t="shared" si="3275"/>
        <v>13 - % of Revenue - Administrative Staff Compensation</v>
      </c>
      <c r="D622" s="9" t="s">
        <v>56</v>
      </c>
      <c r="F622" s="16" t="str">
        <f>"% of Revenue - "&amp;F621</f>
        <v>% of Revenue - Administrative Staff Compensation</v>
      </c>
      <c r="G622" s="148">
        <f>G621/G615</f>
        <v>-0.17893456087818549</v>
      </c>
      <c r="H622" s="149">
        <f t="shared" ref="H622" si="3381">H621/H615</f>
        <v>-0.18005855044563349</v>
      </c>
      <c r="I622" s="149">
        <f t="shared" ref="I622" si="3382">I621/I615</f>
        <v>-0.17459253350435872</v>
      </c>
      <c r="J622" s="149">
        <f t="shared" ref="J622" si="3383">J621/J615</f>
        <v>-0.17453072314029683</v>
      </c>
      <c r="K622" s="149">
        <f t="shared" ref="K622" si="3384">K621/K615</f>
        <v>-0.17192798613698509</v>
      </c>
      <c r="L622" s="149">
        <f t="shared" ref="L622" si="3385">L621/L615</f>
        <v>-0.18096044981389031</v>
      </c>
      <c r="M622" s="149">
        <f t="shared" ref="M622" si="3386">M621/M615</f>
        <v>-0.17439276705366152</v>
      </c>
      <c r="N622" s="149">
        <f t="shared" ref="N622" si="3387">N621/N615</f>
        <v>-8.6768725084530901E-2</v>
      </c>
      <c r="O622" s="149">
        <f t="shared" ref="O622" si="3388">O621/O615</f>
        <v>-8.7766496181571521E-2</v>
      </c>
      <c r="P622" s="149">
        <f t="shared" ref="P622" si="3389">P621/P615</f>
        <v>-8.6212195996111365E-2</v>
      </c>
      <c r="Q622" s="149">
        <f t="shared" ref="Q622" si="3390">Q621/Q615</f>
        <v>-5.7801534862405961E-2</v>
      </c>
      <c r="R622" s="149">
        <f t="shared" ref="R622" si="3391">R621/R615</f>
        <v>-4.5768432202145964E-2</v>
      </c>
      <c r="S622" s="148">
        <f t="shared" ref="S622" si="3392">S621/S615</f>
        <v>-0.14921830075801037</v>
      </c>
      <c r="T622" s="149">
        <f t="shared" ref="T622" si="3393">T621/T615</f>
        <v>-0.15616503985484059</v>
      </c>
      <c r="U622" s="149">
        <f t="shared" ref="U622" si="3394">U621/U615</f>
        <v>-0.15876869681411432</v>
      </c>
      <c r="V622" s="149">
        <f t="shared" ref="V622" si="3395">V621/V615</f>
        <v>-0.1612101048023134</v>
      </c>
      <c r="W622" s="149">
        <f t="shared" ref="W622" si="3396">W621/W615</f>
        <v>-0.22990246100779338</v>
      </c>
      <c r="X622" s="149">
        <f t="shared" ref="X622" si="3397">X621/X615</f>
        <v>-0.15661119876658908</v>
      </c>
      <c r="Y622" s="149">
        <f t="shared" ref="Y622" si="3398">Y621/Y615</f>
        <v>-0.16407124648287949</v>
      </c>
      <c r="Z622" s="149">
        <f t="shared" ref="Z622" si="3399">Z621/Z615</f>
        <v>-0.12767261221043338</v>
      </c>
      <c r="AA622" s="149">
        <f t="shared" ref="AA622" si="3400">AA621/AA615</f>
        <v>-0.12663141963572025</v>
      </c>
      <c r="AB622" s="149">
        <f t="shared" ref="AB622" si="3401">AB621/AB615</f>
        <v>-0.12376569554670973</v>
      </c>
      <c r="AC622" s="149">
        <f t="shared" ref="AC622" si="3402">AC621/AC615</f>
        <v>-0.10168539322975301</v>
      </c>
      <c r="AD622" s="150">
        <f t="shared" ref="AD622" si="3403">AD621/AD615</f>
        <v>-9.9090001451970527E-2</v>
      </c>
      <c r="AE622" s="15"/>
      <c r="AF622" s="96">
        <f t="shared" ref="AF622" si="3404">AF621/AF615</f>
        <v>-0.11508321959051149</v>
      </c>
      <c r="AG622" s="97">
        <f t="shared" ref="AG622" si="3405">AG621/AG615</f>
        <v>-0.14369941112452123</v>
      </c>
    </row>
    <row r="623" spans="2:33" ht="3" customHeight="1" x14ac:dyDescent="0.2">
      <c r="B623" s="9">
        <f>G603</f>
        <v>13</v>
      </c>
      <c r="C623" s="9" t="str">
        <f t="shared" si="3275"/>
        <v xml:space="preserve">13 - </v>
      </c>
      <c r="D623" s="9" t="s">
        <v>56</v>
      </c>
      <c r="F623" s="16"/>
      <c r="G623" s="36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6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8"/>
      <c r="AE623" s="15"/>
      <c r="AF623" s="36"/>
      <c r="AG623" s="38"/>
    </row>
    <row r="624" spans="2:33" x14ac:dyDescent="0.2">
      <c r="B624" s="9">
        <f>G603</f>
        <v>13</v>
      </c>
      <c r="C624" s="9" t="str">
        <f t="shared" si="3275"/>
        <v>13 - Office Supplies</v>
      </c>
      <c r="D624" s="9" t="s">
        <v>56</v>
      </c>
      <c r="F624" t="s">
        <v>6</v>
      </c>
      <c r="G624" s="144">
        <v>-7.8096774236121869</v>
      </c>
      <c r="H624" s="70">
        <v>-7.4515652819123419</v>
      </c>
      <c r="I624" s="70">
        <v>-9.6006447131459822</v>
      </c>
      <c r="J624" s="70">
        <v>-9.0086540738040242</v>
      </c>
      <c r="K624" s="70">
        <v>-9.8891139829977863</v>
      </c>
      <c r="L624" s="70">
        <v>-9.53844723812208</v>
      </c>
      <c r="M624" s="70">
        <v>-8.9561760829613046</v>
      </c>
      <c r="N624" s="70">
        <v>-8.6528830734602771</v>
      </c>
      <c r="O624" s="70">
        <v>-8.2295645761975003</v>
      </c>
      <c r="P624" s="70">
        <v>-7.8096307304047672</v>
      </c>
      <c r="Q624" s="70">
        <v>-6.1520807545214922</v>
      </c>
      <c r="R624" s="70">
        <v>-5.0363025502176955</v>
      </c>
      <c r="S624" s="144">
        <v>-7.7222230897439283</v>
      </c>
      <c r="T624" s="70">
        <v>-7.4947489355832726</v>
      </c>
      <c r="U624" s="70">
        <v>-8.8671256027521945</v>
      </c>
      <c r="V624" s="70">
        <v>-9.2757486660991884</v>
      </c>
      <c r="W624" s="70">
        <v>-11.89554006447328</v>
      </c>
      <c r="X624" s="70">
        <v>-8.8585948999451904</v>
      </c>
      <c r="Y624" s="70">
        <v>-10.540715290260801</v>
      </c>
      <c r="Z624" s="70">
        <v>-8.4825442379198215</v>
      </c>
      <c r="AA624" s="70">
        <v>-7.7118666071952715</v>
      </c>
      <c r="AB624" s="70">
        <v>-8.8895896685138371</v>
      </c>
      <c r="AC624" s="70">
        <v>-6.8732280861263941</v>
      </c>
      <c r="AD624" s="145">
        <v>-5.5954988672115524</v>
      </c>
      <c r="AE624" s="15"/>
      <c r="AF624" s="92">
        <f>SUM(G624:R624)</f>
        <v>-98.13474048135744</v>
      </c>
      <c r="AG624" s="93">
        <f>SUM(S624:AD624)</f>
        <v>-102.20742401582473</v>
      </c>
    </row>
    <row r="625" spans="2:33" x14ac:dyDescent="0.2">
      <c r="B625" s="9">
        <f>G603</f>
        <v>13</v>
      </c>
      <c r="C625" s="9" t="str">
        <f t="shared" si="3275"/>
        <v>13 - % of Revenue - Office Supplies</v>
      </c>
      <c r="D625" s="9" t="s">
        <v>56</v>
      </c>
      <c r="F625" s="16" t="str">
        <f>"% of Revenue - "&amp;F624</f>
        <v>% of Revenue - Office Supplies</v>
      </c>
      <c r="G625" s="148">
        <f>G624/G615</f>
        <v>-5.2863291836689585E-2</v>
      </c>
      <c r="H625" s="149">
        <f t="shared" ref="H625" si="3406">H624/H615</f>
        <v>-5.2255795397069177E-2</v>
      </c>
      <c r="I625" s="149">
        <f t="shared" ref="I625" si="3407">I624/I615</f>
        <v>-5.2425169092051811E-2</v>
      </c>
      <c r="J625" s="149">
        <f t="shared" ref="J625" si="3408">J624/J615</f>
        <v>-5.5682579161015794E-2</v>
      </c>
      <c r="K625" s="149">
        <f t="shared" ref="K625" si="3409">K624/K615</f>
        <v>-5.2106565271730569E-2</v>
      </c>
      <c r="L625" s="149">
        <f t="shared" ref="L625" si="3410">L624/L615</f>
        <v>-5.3315588305871665E-2</v>
      </c>
      <c r="M625" s="149">
        <f t="shared" ref="M625" si="3411">M624/M615</f>
        <v>-5.5453605905623191E-2</v>
      </c>
      <c r="N625" s="149">
        <f t="shared" ref="N625" si="3412">N624/N615</f>
        <v>-2.8721647887590688E-2</v>
      </c>
      <c r="O625" s="149">
        <f t="shared" ref="O625" si="3413">O624/O615</f>
        <v>-3.0037582080319754E-2</v>
      </c>
      <c r="P625" s="149">
        <f t="shared" ref="P625" si="3414">P624/P615</f>
        <v>-2.756709625333351E-2</v>
      </c>
      <c r="Q625" s="149">
        <f t="shared" ref="Q625" si="3415">Q624/Q615</f>
        <v>-1.7178401831810308E-2</v>
      </c>
      <c r="R625" s="149">
        <f t="shared" ref="R625" si="3416">R624/R615</f>
        <v>-1.3094372077058627E-2</v>
      </c>
      <c r="S625" s="148">
        <f t="shared" ref="S625" si="3417">S624/S615</f>
        <v>-1.7611175127082487E-2</v>
      </c>
      <c r="T625" s="149">
        <f t="shared" ref="T625" si="3418">T624/T615</f>
        <v>-1.6780228260482699E-2</v>
      </c>
      <c r="U625" s="149">
        <f t="shared" ref="U625" si="3419">U624/U615</f>
        <v>-1.8205236952791436E-2</v>
      </c>
      <c r="V625" s="149">
        <f t="shared" ref="V625" si="3420">V624/V615</f>
        <v>-1.86488497777361E-2</v>
      </c>
      <c r="W625" s="149">
        <f t="shared" ref="W625" si="3421">W624/W615</f>
        <v>-2.9553065989400301E-2</v>
      </c>
      <c r="X625" s="149">
        <f t="shared" ref="X625" si="3422">X624/X615</f>
        <v>-1.8697486580164124E-2</v>
      </c>
      <c r="Y625" s="149">
        <f t="shared" ref="Y625" si="3423">Y624/Y615</f>
        <v>-2.0265344085577775E-2</v>
      </c>
      <c r="Z625" s="149">
        <f t="shared" ref="Z625" si="3424">Z624/Z615</f>
        <v>-1.5477553363924496E-2</v>
      </c>
      <c r="AA625" s="149">
        <f t="shared" ref="AA625" si="3425">AA624/AA615</f>
        <v>-1.4637487862360561E-2</v>
      </c>
      <c r="AB625" s="149">
        <f t="shared" ref="AB625" si="3426">AB624/AB615</f>
        <v>-1.4621656520398584E-2</v>
      </c>
      <c r="AC625" s="149">
        <f t="shared" ref="AC625" si="3427">AC624/AC615</f>
        <v>-1.1731194354460857E-2</v>
      </c>
      <c r="AD625" s="150">
        <f t="shared" ref="AD625" si="3428">AD624/AD615</f>
        <v>-1.1921702373559389E-2</v>
      </c>
      <c r="AE625" s="15"/>
      <c r="AF625" s="96">
        <f t="shared" ref="AF625" si="3429">AF624/AF615</f>
        <v>-3.5469582693970943E-2</v>
      </c>
      <c r="AG625" s="97">
        <f t="shared" ref="AG625" si="3430">AG624/AG615</f>
        <v>-1.7022800535019787E-2</v>
      </c>
    </row>
    <row r="626" spans="2:33" ht="6" customHeight="1" x14ac:dyDescent="0.2">
      <c r="B626" s="9">
        <f>G603</f>
        <v>13</v>
      </c>
      <c r="C626" s="9" t="str">
        <f t="shared" si="3275"/>
        <v xml:space="preserve">13 - </v>
      </c>
      <c r="D626" s="9" t="s">
        <v>56</v>
      </c>
      <c r="F626" s="16"/>
      <c r="G626" s="11"/>
      <c r="S626" s="11"/>
      <c r="AD626" s="15"/>
      <c r="AE626" s="15"/>
      <c r="AF626" s="11"/>
      <c r="AG626" s="15"/>
    </row>
    <row r="627" spans="2:33" x14ac:dyDescent="0.2">
      <c r="B627" s="9">
        <f>G603</f>
        <v>13</v>
      </c>
      <c r="C627" s="9" t="str">
        <f t="shared" si="3275"/>
        <v>13 - Office Gross Profit</v>
      </c>
      <c r="D627" s="9" t="s">
        <v>56</v>
      </c>
      <c r="F627" s="8" t="s">
        <v>11</v>
      </c>
      <c r="G627" s="134">
        <f>G615+G618+G621+G624</f>
        <v>59.731428990305815</v>
      </c>
      <c r="H627" s="135">
        <f t="shared" ref="H627:AD627" si="3431">H615+H618+H621+H624</f>
        <v>57.084435972162957</v>
      </c>
      <c r="I627" s="135">
        <f t="shared" si="3431"/>
        <v>74.114989140577904</v>
      </c>
      <c r="J627" s="135">
        <f t="shared" si="3431"/>
        <v>66.314907863150921</v>
      </c>
      <c r="K627" s="135">
        <f t="shared" si="3431"/>
        <v>80.774878788708108</v>
      </c>
      <c r="L627" s="135">
        <f t="shared" si="3431"/>
        <v>73.201962126024796</v>
      </c>
      <c r="M627" s="135">
        <f t="shared" si="3431"/>
        <v>65.785730552628578</v>
      </c>
      <c r="N627" s="135">
        <f t="shared" si="3431"/>
        <v>211.49769545489352</v>
      </c>
      <c r="O627" s="135">
        <f t="shared" si="3431"/>
        <v>192.9731082878281</v>
      </c>
      <c r="P627" s="135">
        <f t="shared" si="3431"/>
        <v>200.31944787321004</v>
      </c>
      <c r="Q627" s="135">
        <f t="shared" si="3431"/>
        <v>288.00372339166171</v>
      </c>
      <c r="R627" s="135">
        <f t="shared" si="3431"/>
        <v>326.28299128361164</v>
      </c>
      <c r="S627" s="134">
        <f t="shared" si="3431"/>
        <v>221.05462238857388</v>
      </c>
      <c r="T627" s="135">
        <f t="shared" si="3431"/>
        <v>223.42666538508146</v>
      </c>
      <c r="U627" s="135">
        <f t="shared" si="3431"/>
        <v>242.55266036649016</v>
      </c>
      <c r="V627" s="135">
        <f t="shared" si="3431"/>
        <v>247.89568359425121</v>
      </c>
      <c r="W627" s="135">
        <f t="shared" si="3431"/>
        <v>107.74562823727481</v>
      </c>
      <c r="X627" s="135">
        <f t="shared" si="3431"/>
        <v>239.32204620670808</v>
      </c>
      <c r="Y627" s="135">
        <f t="shared" si="3431"/>
        <v>255.12323066456341</v>
      </c>
      <c r="Z627" s="135">
        <f t="shared" si="3431"/>
        <v>337.39536986561234</v>
      </c>
      <c r="AA627" s="135">
        <f t="shared" si="3431"/>
        <v>328.10501577652303</v>
      </c>
      <c r="AB627" s="135">
        <f t="shared" si="3431"/>
        <v>378.84134646539849</v>
      </c>
      <c r="AC627" s="135">
        <f t="shared" si="3431"/>
        <v>405.6923471815619</v>
      </c>
      <c r="AD627" s="136">
        <f t="shared" si="3431"/>
        <v>326.03061294483399</v>
      </c>
      <c r="AE627" s="15"/>
      <c r="AF627" s="98">
        <f>SUM(G627:R627)</f>
        <v>1696.0852997247641</v>
      </c>
      <c r="AG627" s="95">
        <f>SUM(S627:AD627)</f>
        <v>3313.1852290768725</v>
      </c>
    </row>
    <row r="628" spans="2:33" x14ac:dyDescent="0.2">
      <c r="B628" s="9">
        <f>G603</f>
        <v>13</v>
      </c>
      <c r="C628" s="9" t="str">
        <f t="shared" si="3275"/>
        <v>13 - % of Revenue - Office Gross Profit</v>
      </c>
      <c r="D628" s="9" t="s">
        <v>56</v>
      </c>
      <c r="F628" s="16" t="str">
        <f>"% of Revenue - "&amp;F627</f>
        <v>% of Revenue - Office Gross Profit</v>
      </c>
      <c r="G628" s="148">
        <f>G627/G615</f>
        <v>0.40431887147991341</v>
      </c>
      <c r="H628" s="149">
        <f t="shared" ref="H628" si="3432">H627/H615</f>
        <v>0.40031758344240115</v>
      </c>
      <c r="I628" s="149">
        <f t="shared" ref="I628" si="3433">I627/I615</f>
        <v>0.40471144949568344</v>
      </c>
      <c r="J628" s="149">
        <f t="shared" ref="J628" si="3434">J627/J615</f>
        <v>0.40989309572702093</v>
      </c>
      <c r="K628" s="149">
        <f t="shared" ref="K628" si="3435">K627/K615</f>
        <v>0.42560956433066188</v>
      </c>
      <c r="L628" s="149">
        <f t="shared" ref="L628" si="3436">L627/L615</f>
        <v>0.40916572461552225</v>
      </c>
      <c r="M628" s="149">
        <f t="shared" ref="M628" si="3437">M627/M615</f>
        <v>0.40732294033602484</v>
      </c>
      <c r="N628" s="149">
        <f t="shared" ref="N628" si="3438">N627/N615</f>
        <v>0.70202755385935567</v>
      </c>
      <c r="O628" s="149">
        <f t="shared" ref="O628" si="3439">O627/O615</f>
        <v>0.70434413945243468</v>
      </c>
      <c r="P628" s="149">
        <f t="shared" ref="P628" si="3440">P627/P615</f>
        <v>0.70710455994238708</v>
      </c>
      <c r="Q628" s="149">
        <f t="shared" ref="Q628" si="3441">Q627/Q615</f>
        <v>0.80419030355597509</v>
      </c>
      <c r="R628" s="149">
        <f t="shared" ref="R628" si="3442">R627/R615</f>
        <v>0.84833483447069891</v>
      </c>
      <c r="S628" s="148">
        <f t="shared" ref="S628" si="3443">S627/S615</f>
        <v>0.50413354060007576</v>
      </c>
      <c r="T628" s="149">
        <f t="shared" ref="T628" si="3444">T627/T615</f>
        <v>0.5002369628207407</v>
      </c>
      <c r="U628" s="149">
        <f t="shared" ref="U628" si="3445">U627/U615</f>
        <v>0.49798873426709273</v>
      </c>
      <c r="V628" s="149">
        <f t="shared" ref="V628" si="3446">V627/V615</f>
        <v>0.49839312494465504</v>
      </c>
      <c r="W628" s="149">
        <f t="shared" ref="W628" si="3447">W627/W615</f>
        <v>0.26768130274937357</v>
      </c>
      <c r="X628" s="149">
        <f t="shared" ref="X628" si="3448">X627/X615</f>
        <v>0.50512759617386138</v>
      </c>
      <c r="Y628" s="149">
        <f t="shared" ref="Y628" si="3449">Y627/Y615</f>
        <v>0.49049423224803596</v>
      </c>
      <c r="Z628" s="149">
        <f t="shared" ref="Z628" si="3450">Z627/Z615</f>
        <v>0.61562364962291838</v>
      </c>
      <c r="AA628" s="149">
        <f t="shared" ref="AA628" si="3451">AA627/AA615</f>
        <v>0.62275885082446281</v>
      </c>
      <c r="AB628" s="149">
        <f t="shared" ref="AB628" si="3452">AB627/AB615</f>
        <v>0.6231207795070739</v>
      </c>
      <c r="AC628" s="149">
        <f t="shared" ref="AC628" si="3453">AC627/AC615</f>
        <v>0.69243384815220477</v>
      </c>
      <c r="AD628" s="150">
        <f t="shared" ref="AD628" si="3454">AD627/AD615</f>
        <v>0.69463689019285035</v>
      </c>
      <c r="AE628" s="15"/>
      <c r="AF628" s="111">
        <f t="shared" ref="AF628" si="3455">AF627/AF615</f>
        <v>0.61302895895510567</v>
      </c>
      <c r="AG628" s="97">
        <f t="shared" ref="AG628" si="3456">AG627/AG615</f>
        <v>0.55181599412403848</v>
      </c>
    </row>
    <row r="629" spans="2:33" ht="6" customHeight="1" x14ac:dyDescent="0.2">
      <c r="B629" s="9">
        <f>G603</f>
        <v>13</v>
      </c>
      <c r="C629" s="9" t="str">
        <f t="shared" si="3275"/>
        <v xml:space="preserve">13 - </v>
      </c>
      <c r="D629" s="9" t="s">
        <v>56</v>
      </c>
      <c r="F629" s="16"/>
      <c r="G629" s="11"/>
      <c r="S629" s="11"/>
      <c r="AD629" s="15"/>
      <c r="AE629" s="15"/>
      <c r="AF629" s="11"/>
      <c r="AG629" s="15"/>
    </row>
    <row r="630" spans="2:33" x14ac:dyDescent="0.2">
      <c r="B630" s="9">
        <f>G603</f>
        <v>13</v>
      </c>
      <c r="C630" s="9" t="str">
        <f t="shared" si="3275"/>
        <v>13 - General and Administrative Expense</v>
      </c>
      <c r="D630" s="9" t="s">
        <v>56</v>
      </c>
      <c r="F630" t="s">
        <v>10</v>
      </c>
      <c r="G630" s="144">
        <v>-9.3908457448624336</v>
      </c>
      <c r="H630" s="70">
        <v>-9.4409286416921248</v>
      </c>
      <c r="I630" s="70">
        <v>-12.809053460436344</v>
      </c>
      <c r="J630" s="70">
        <v>-12.082929864456858</v>
      </c>
      <c r="K630" s="70">
        <v>-13.98034056316704</v>
      </c>
      <c r="L630" s="70">
        <v>-12.425998715747449</v>
      </c>
      <c r="M630" s="70">
        <v>-10.830404400795919</v>
      </c>
      <c r="N630" s="70">
        <v>-10.661323021806343</v>
      </c>
      <c r="O630" s="70">
        <v>-10.13690241224756</v>
      </c>
      <c r="P630" s="70">
        <v>-11.043233581295139</v>
      </c>
      <c r="Q630" s="70">
        <v>-9.266772959283692</v>
      </c>
      <c r="R630" s="70">
        <v>-7.8076237134009414</v>
      </c>
      <c r="S630" s="144">
        <v>-11.718629808180419</v>
      </c>
      <c r="T630" s="70">
        <v>-11.984055693154362</v>
      </c>
      <c r="U630" s="70">
        <v>-12.491090577757401</v>
      </c>
      <c r="V630" s="70">
        <v>-12.216418012203722</v>
      </c>
      <c r="W630" s="70">
        <v>-15.203775030975791</v>
      </c>
      <c r="X630" s="70">
        <v>-11.348393371971378</v>
      </c>
      <c r="Y630" s="70">
        <v>-12.945056908971385</v>
      </c>
      <c r="Z630" s="70">
        <v>-10.241166061885687</v>
      </c>
      <c r="AA630" s="70">
        <v>-9.5780338167595982</v>
      </c>
      <c r="AB630" s="70">
        <v>-11.49938318204816</v>
      </c>
      <c r="AC630" s="70">
        <v>-8.4513130622451325</v>
      </c>
      <c r="AD630" s="145">
        <v>-6.6072792095688797</v>
      </c>
      <c r="AE630" s="15"/>
      <c r="AF630" s="144">
        <v>-129.87635707919185</v>
      </c>
      <c r="AG630" s="145">
        <v>-134.28459473572192</v>
      </c>
    </row>
    <row r="631" spans="2:33" x14ac:dyDescent="0.2">
      <c r="B631" s="9">
        <f>G603</f>
        <v>13</v>
      </c>
      <c r="C631" s="9" t="str">
        <f t="shared" si="3275"/>
        <v>13 - % of Revenue - General and Administrative Expense</v>
      </c>
      <c r="D631" s="9" t="s">
        <v>56</v>
      </c>
      <c r="F631" s="16" t="str">
        <f>"% of Revenue - "&amp;F630</f>
        <v>% of Revenue - General and Administrative Expense</v>
      </c>
      <c r="G631" s="148">
        <f>G630/G615</f>
        <v>-6.3566136253344077E-2</v>
      </c>
      <c r="H631" s="149">
        <f t="shared" ref="H631" si="3457">H630/H615</f>
        <v>-6.6206658171017743E-2</v>
      </c>
      <c r="I631" s="149">
        <f t="shared" ref="I631" si="3458">I630/I615</f>
        <v>-6.9944968659553811E-2</v>
      </c>
      <c r="J631" s="149">
        <f t="shared" ref="J631" si="3459">J630/J615</f>
        <v>-7.46847079666495E-2</v>
      </c>
      <c r="K631" s="149">
        <f t="shared" ref="K631" si="3460">K630/K615</f>
        <v>-7.3663578893734039E-2</v>
      </c>
      <c r="L631" s="149">
        <f t="shared" ref="L631" si="3461">L630/L615</f>
        <v>-6.9455689723824821E-2</v>
      </c>
      <c r="M631" s="149">
        <f t="shared" ref="M631" si="3462">M630/M615</f>
        <v>-6.7058192232603384E-2</v>
      </c>
      <c r="N631" s="149">
        <f t="shared" ref="N631" si="3463">N630/N615</f>
        <v>-3.5388293502703352E-2</v>
      </c>
      <c r="O631" s="149">
        <f t="shared" ref="O631" si="3464">O630/O615</f>
        <v>-3.6999289018127761E-2</v>
      </c>
      <c r="P631" s="149">
        <f t="shared" ref="P631" si="3465">P630/P615</f>
        <v>-3.8981341575906964E-2</v>
      </c>
      <c r="Q631" s="149">
        <f t="shared" ref="Q631" si="3466">Q630/Q615</f>
        <v>-2.5875529911035904E-2</v>
      </c>
      <c r="R631" s="149">
        <f t="shared" ref="R631" si="3467">R630/R615</f>
        <v>-2.0299799092991126E-2</v>
      </c>
      <c r="S631" s="148">
        <f t="shared" ref="S631" si="3468">S630/S615</f>
        <v>-2.67253146409887E-2</v>
      </c>
      <c r="T631" s="149">
        <f t="shared" ref="T631" si="3469">T630/T615</f>
        <v>-2.6831477844803532E-2</v>
      </c>
      <c r="U631" s="149">
        <f t="shared" ref="U631" si="3470">U630/U615</f>
        <v>-2.5645657223607173E-2</v>
      </c>
      <c r="V631" s="149">
        <f t="shared" ref="V631" si="3471">V630/V615</f>
        <v>-2.4561051892690478E-2</v>
      </c>
      <c r="W631" s="149">
        <f t="shared" ref="W631" si="3472">W630/W615</f>
        <v>-3.7771985495668153E-2</v>
      </c>
      <c r="X631" s="149">
        <f t="shared" ref="X631" si="3473">X630/X615</f>
        <v>-2.3952605935301449E-2</v>
      </c>
      <c r="Y631" s="149">
        <f t="shared" ref="Y631" si="3474">Y630/Y615</f>
        <v>-2.4887877648121184E-2</v>
      </c>
      <c r="Z631" s="149">
        <f t="shared" ref="Z631" si="3475">Z630/Z615</f>
        <v>-1.8686397593196548E-2</v>
      </c>
      <c r="AA631" s="149">
        <f t="shared" ref="AA631" si="3476">AA630/AA615</f>
        <v>-1.8179561561307445E-2</v>
      </c>
      <c r="AB631" s="149">
        <f t="shared" ref="AB631" si="3477">AB630/AB615</f>
        <v>-1.891426233990235E-2</v>
      </c>
      <c r="AC631" s="149">
        <f t="shared" ref="AC631" si="3478">AC630/AC615</f>
        <v>-1.442466259539873E-2</v>
      </c>
      <c r="AD631" s="150">
        <f t="shared" ref="AD631" si="3479">AD630/AD615</f>
        <v>-1.4077389363272444E-2</v>
      </c>
      <c r="AE631" s="15"/>
      <c r="AF631" s="96">
        <f t="shared" ref="AF631" si="3480">AF630/AF615</f>
        <v>-4.6942195646680458E-2</v>
      </c>
      <c r="AG631" s="97">
        <f t="shared" ref="AG631" si="3481">AG630/AG615</f>
        <v>-2.2365301670828116E-2</v>
      </c>
    </row>
    <row r="632" spans="2:33" ht="3" customHeight="1" x14ac:dyDescent="0.2">
      <c r="B632" s="9">
        <f>G603</f>
        <v>13</v>
      </c>
      <c r="C632" s="9" t="str">
        <f t="shared" si="3275"/>
        <v xml:space="preserve">13 - </v>
      </c>
      <c r="D632" s="9" t="s">
        <v>56</v>
      </c>
      <c r="F632" s="16"/>
      <c r="G632" s="36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6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8"/>
      <c r="AE632" s="15"/>
      <c r="AF632" s="36"/>
      <c r="AG632" s="38"/>
    </row>
    <row r="633" spans="2:33" x14ac:dyDescent="0.2">
      <c r="B633" s="9">
        <f>G603</f>
        <v>13</v>
      </c>
      <c r="C633" s="9" t="str">
        <f t="shared" si="3275"/>
        <v>13 - Marketing</v>
      </c>
      <c r="D633" s="9" t="s">
        <v>56</v>
      </c>
      <c r="F633" t="s">
        <v>7</v>
      </c>
      <c r="G633" s="144">
        <v>-5.4884030831445845</v>
      </c>
      <c r="H633" s="70">
        <v>-4.7371635579198319</v>
      </c>
      <c r="I633" s="70">
        <v>-6.0241051593011408</v>
      </c>
      <c r="J633" s="70">
        <v>-4.5725436114872693</v>
      </c>
      <c r="K633" s="70">
        <v>-4.4890805905756901</v>
      </c>
      <c r="L633" s="70">
        <v>-3.5681666899429016</v>
      </c>
      <c r="M633" s="70">
        <v>-2.752680321718989</v>
      </c>
      <c r="N633" s="70">
        <v>-2.3157118746578798</v>
      </c>
      <c r="O633" s="70">
        <v>-2.7631053066940821</v>
      </c>
      <c r="P633" s="70">
        <v>-2.2049082605355572</v>
      </c>
      <c r="Q633" s="70">
        <v>-1.4013416056248931</v>
      </c>
      <c r="R633" s="70">
        <v>-0.96153953022331451</v>
      </c>
      <c r="S633" s="144">
        <v>-1.461614199321408</v>
      </c>
      <c r="T633" s="70">
        <v>-1.6188666942966059</v>
      </c>
      <c r="U633" s="70">
        <v>-1.6235485107473586</v>
      </c>
      <c r="V633" s="70">
        <v>-2.0139174440333649</v>
      </c>
      <c r="W633" s="70">
        <v>-2.0125729203088123</v>
      </c>
      <c r="X633" s="70">
        <v>-1.5792844423169936</v>
      </c>
      <c r="Y633" s="70">
        <v>-1.7337834228636506</v>
      </c>
      <c r="Z633" s="70">
        <v>-1.842344662380591</v>
      </c>
      <c r="AA633" s="70">
        <v>-1.3171431258750832</v>
      </c>
      <c r="AB633" s="70">
        <v>-1.5199354560326364</v>
      </c>
      <c r="AC633" s="70">
        <v>-1.7009208139043865</v>
      </c>
      <c r="AD633" s="145">
        <v>-1.6937603592797059</v>
      </c>
      <c r="AE633" s="15"/>
      <c r="AF633" s="144">
        <v>-41.278749591826134</v>
      </c>
      <c r="AG633" s="145">
        <v>-20.117692051360596</v>
      </c>
    </row>
    <row r="634" spans="2:33" x14ac:dyDescent="0.2">
      <c r="B634" s="9">
        <f>G603</f>
        <v>13</v>
      </c>
      <c r="C634" s="9" t="str">
        <f t="shared" si="3275"/>
        <v>13 - % of Revenue - Marketing</v>
      </c>
      <c r="D634" s="9" t="s">
        <v>56</v>
      </c>
      <c r="F634" s="16" t="str">
        <f>"% of Revenue - "&amp;F633</f>
        <v>% of Revenue - Marketing</v>
      </c>
      <c r="G634" s="148">
        <f>G633/G615</f>
        <v>-3.7150709070831733E-2</v>
      </c>
      <c r="H634" s="149">
        <f t="shared" ref="H634" si="3482">H633/H615</f>
        <v>-3.322043628148718E-2</v>
      </c>
      <c r="I634" s="149">
        <f t="shared" ref="I634" si="3483">I633/I615</f>
        <v>-3.2895158714937638E-2</v>
      </c>
      <c r="J634" s="149">
        <f t="shared" ref="J634" si="3484">J633/J615</f>
        <v>-2.8262936896890307E-2</v>
      </c>
      <c r="K634" s="149">
        <f t="shared" ref="K634" si="3485">K633/K615</f>
        <v>-2.3653339541343153E-2</v>
      </c>
      <c r="L634" s="149">
        <f t="shared" ref="L634" si="3486">L633/L615</f>
        <v>-1.9944431362727191E-2</v>
      </c>
      <c r="M634" s="149">
        <f t="shared" ref="M634" si="3487">M633/M615</f>
        <v>-1.7043663314656204E-2</v>
      </c>
      <c r="N634" s="149">
        <f t="shared" ref="N634" si="3488">N633/N615</f>
        <v>-7.6865780466901044E-3</v>
      </c>
      <c r="O634" s="149">
        <f t="shared" ref="O634" si="3489">O633/O615</f>
        <v>-1.0085224033169886E-2</v>
      </c>
      <c r="P634" s="149">
        <f t="shared" ref="P634" si="3490">P633/P615</f>
        <v>-7.7830719974135753E-3</v>
      </c>
      <c r="Q634" s="149">
        <f t="shared" ref="Q634" si="3491">Q633/Q615</f>
        <v>-3.9129540338634647E-3</v>
      </c>
      <c r="R634" s="149">
        <f t="shared" ref="R634" si="3492">R633/R615</f>
        <v>-2.5000000000000001E-3</v>
      </c>
      <c r="S634" s="148">
        <f t="shared" ref="S634" si="3493">S633/S615</f>
        <v>-3.3333333333333335E-3</v>
      </c>
      <c r="T634" s="149">
        <f t="shared" ref="T634" si="3494">T633/T615</f>
        <v>-3.6245313735083808E-3</v>
      </c>
      <c r="U634" s="149">
        <f t="shared" ref="U634" si="3495">U633/U615</f>
        <v>-3.3333333333333331E-3</v>
      </c>
      <c r="V634" s="149">
        <f t="shared" ref="V634" si="3496">V633/V615</f>
        <v>-4.0489717035783754E-3</v>
      </c>
      <c r="W634" s="149">
        <f t="shared" ref="W634" si="3497">W633/W615</f>
        <v>-5.0000000000000001E-3</v>
      </c>
      <c r="X634" s="149">
        <f t="shared" ref="X634" si="3498">X633/X615</f>
        <v>-3.3333333333333335E-3</v>
      </c>
      <c r="Y634" s="149">
        <f t="shared" ref="Y634" si="3499">Y633/Y615</f>
        <v>-3.333333333333334E-3</v>
      </c>
      <c r="Z634" s="149">
        <f t="shared" ref="Z634" si="3500">Z633/Z615</f>
        <v>-3.361607912313087E-3</v>
      </c>
      <c r="AA634" s="149">
        <f t="shared" ref="AA634" si="3501">AA633/AA615</f>
        <v>-2.5000000000000001E-3</v>
      </c>
      <c r="AB634" s="149">
        <f t="shared" ref="AB634" si="3502">AB633/AB615</f>
        <v>-2.5000000000000001E-3</v>
      </c>
      <c r="AC634" s="149">
        <f t="shared" ref="AC634" si="3503">AC633/AC615</f>
        <v>-2.9031238887207746E-3</v>
      </c>
      <c r="AD634" s="150">
        <f t="shared" ref="AD634" si="3504">AD633/AD615</f>
        <v>-3.6087053852855767E-3</v>
      </c>
      <c r="AE634" s="15"/>
      <c r="AF634" s="96">
        <f t="shared" ref="AF634" si="3505">AF633/AF615</f>
        <v>-1.4919691181423542E-2</v>
      </c>
      <c r="AG634" s="97">
        <f t="shared" ref="AG634" si="3506">AG633/AG615</f>
        <v>-3.3506319361129937E-3</v>
      </c>
    </row>
    <row r="635" spans="2:33" ht="3" customHeight="1" x14ac:dyDescent="0.2">
      <c r="B635" s="9">
        <f>G603</f>
        <v>13</v>
      </c>
      <c r="C635" s="9" t="str">
        <f t="shared" si="3275"/>
        <v xml:space="preserve">13 - </v>
      </c>
      <c r="D635" s="9" t="s">
        <v>56</v>
      </c>
      <c r="F635" s="16"/>
      <c r="G635" s="36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6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8"/>
      <c r="AE635" s="15"/>
      <c r="AF635" s="36"/>
      <c r="AG635" s="38"/>
    </row>
    <row r="636" spans="2:33" x14ac:dyDescent="0.2">
      <c r="B636" s="9">
        <f>G603</f>
        <v>13</v>
      </c>
      <c r="C636" s="9" t="str">
        <f t="shared" si="3275"/>
        <v>13 - Office Rent</v>
      </c>
      <c r="D636" s="9" t="s">
        <v>56</v>
      </c>
      <c r="F636" t="s">
        <v>162</v>
      </c>
      <c r="G636" s="144">
        <v>-16.903003177134881</v>
      </c>
      <c r="H636" s="70">
        <v>-16.903003177134881</v>
      </c>
      <c r="I636" s="70">
        <v>-16.903003177134881</v>
      </c>
      <c r="J636" s="70">
        <v>-16.903003177134881</v>
      </c>
      <c r="K636" s="70">
        <v>-16.903003177134881</v>
      </c>
      <c r="L636" s="70">
        <v>-16.903003177134881</v>
      </c>
      <c r="M636" s="70">
        <v>-16.903003177134881</v>
      </c>
      <c r="N636" s="70">
        <v>-16.903003177134881</v>
      </c>
      <c r="O636" s="70">
        <v>-16.903003177134881</v>
      </c>
      <c r="P636" s="70">
        <v>-17.410093272448925</v>
      </c>
      <c r="Q636" s="70">
        <v>-17.410093272448925</v>
      </c>
      <c r="R636" s="70">
        <v>-17.410093272448925</v>
      </c>
      <c r="S636" s="144">
        <v>-17.410526704721242</v>
      </c>
      <c r="T636" s="70">
        <v>-17.410526704721242</v>
      </c>
      <c r="U636" s="70">
        <v>-17.410526704721242</v>
      </c>
      <c r="V636" s="70">
        <v>-17.410526704721242</v>
      </c>
      <c r="W636" s="70">
        <v>-17.410526704721242</v>
      </c>
      <c r="X636" s="70">
        <v>-17.410526704721242</v>
      </c>
      <c r="Y636" s="70">
        <v>-17.410526704721242</v>
      </c>
      <c r="Z636" s="70">
        <v>-17.410526704721242</v>
      </c>
      <c r="AA636" s="70">
        <v>-17.410526704721242</v>
      </c>
      <c r="AB636" s="70">
        <v>-17.93284250586288</v>
      </c>
      <c r="AC636" s="70">
        <v>-17.93284250586288</v>
      </c>
      <c r="AD636" s="145">
        <v>-17.93284250586288</v>
      </c>
      <c r="AE636" s="15"/>
      <c r="AF636" s="144">
        <v>-204.35730841156072</v>
      </c>
      <c r="AG636" s="145">
        <v>-210.49326786007978</v>
      </c>
    </row>
    <row r="637" spans="2:33" x14ac:dyDescent="0.2">
      <c r="B637" s="9">
        <f>G603</f>
        <v>13</v>
      </c>
      <c r="C637" s="9" t="str">
        <f t="shared" si="3275"/>
        <v>13 - % YoY Growth</v>
      </c>
      <c r="D637" s="9" t="s">
        <v>56</v>
      </c>
      <c r="F637" s="16" t="s">
        <v>8</v>
      </c>
      <c r="G637" s="82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148">
        <f>S636/G636-1</f>
        <v>3.002564232330629E-2</v>
      </c>
      <c r="T637" s="149">
        <f t="shared" ref="T637" si="3507">T636/H636-1</f>
        <v>3.002564232330629E-2</v>
      </c>
      <c r="U637" s="149">
        <f t="shared" ref="U637" si="3508">U636/I636-1</f>
        <v>3.002564232330629E-2</v>
      </c>
      <c r="V637" s="149">
        <f t="shared" ref="V637" si="3509">V636/J636-1</f>
        <v>3.002564232330629E-2</v>
      </c>
      <c r="W637" s="149">
        <f t="shared" ref="W637" si="3510">W636/K636-1</f>
        <v>3.002564232330629E-2</v>
      </c>
      <c r="X637" s="149">
        <f t="shared" ref="X637" si="3511">X636/L636-1</f>
        <v>3.002564232330629E-2</v>
      </c>
      <c r="Y637" s="149">
        <f t="shared" ref="Y637" si="3512">Y636/M636-1</f>
        <v>3.002564232330629E-2</v>
      </c>
      <c r="Z637" s="149">
        <f t="shared" ref="Z637" si="3513">Z636/N636-1</f>
        <v>3.002564232330629E-2</v>
      </c>
      <c r="AA637" s="149">
        <f t="shared" ref="AA637" si="3514">AA636/O636-1</f>
        <v>3.002564232330629E-2</v>
      </c>
      <c r="AB637" s="149">
        <f t="shared" ref="AB637" si="3515">AB636/P636-1</f>
        <v>3.002564232330629E-2</v>
      </c>
      <c r="AC637" s="149">
        <f t="shared" ref="AC637" si="3516">AC636/Q636-1</f>
        <v>3.002564232330629E-2</v>
      </c>
      <c r="AD637" s="150">
        <f t="shared" ref="AD637" si="3517">AD636/R636-1</f>
        <v>3.002564232330629E-2</v>
      </c>
      <c r="AE637" s="15"/>
      <c r="AF637" s="11"/>
      <c r="AG637" s="97">
        <f>AG636/AF636-1</f>
        <v>3.0025642323306068E-2</v>
      </c>
    </row>
    <row r="638" spans="2:33" ht="6" customHeight="1" x14ac:dyDescent="0.2">
      <c r="B638" s="9">
        <f>G603</f>
        <v>13</v>
      </c>
      <c r="C638" s="9" t="str">
        <f t="shared" si="3275"/>
        <v xml:space="preserve">13 - </v>
      </c>
      <c r="D638" s="9" t="s">
        <v>56</v>
      </c>
      <c r="F638" s="16"/>
      <c r="G638" s="11"/>
      <c r="S638" s="11"/>
      <c r="AD638" s="15"/>
      <c r="AE638" s="15"/>
      <c r="AF638" s="11"/>
      <c r="AG638" s="15"/>
    </row>
    <row r="639" spans="2:33" x14ac:dyDescent="0.2">
      <c r="B639" s="9">
        <f>G603</f>
        <v>13</v>
      </c>
      <c r="C639" s="9" t="str">
        <f t="shared" si="3275"/>
        <v>13 - Office EBITDA</v>
      </c>
      <c r="D639" s="9" t="s">
        <v>56</v>
      </c>
      <c r="F639" s="8" t="s">
        <v>12</v>
      </c>
      <c r="G639" s="134">
        <f>G627+G630+G633+G636</f>
        <v>27.94917698516392</v>
      </c>
      <c r="H639" s="135">
        <f t="shared" ref="H639:AD639" si="3518">H627+H630+H633+H636</f>
        <v>26.003340595416116</v>
      </c>
      <c r="I639" s="135">
        <f t="shared" si="3518"/>
        <v>38.378827343705538</v>
      </c>
      <c r="J639" s="135">
        <f t="shared" si="3518"/>
        <v>32.756431210071909</v>
      </c>
      <c r="K639" s="135">
        <f t="shared" si="3518"/>
        <v>45.402454457830487</v>
      </c>
      <c r="L639" s="135">
        <f t="shared" si="3518"/>
        <v>40.304793543199565</v>
      </c>
      <c r="M639" s="135">
        <f t="shared" si="3518"/>
        <v>35.29964265297879</v>
      </c>
      <c r="N639" s="135">
        <f t="shared" si="3518"/>
        <v>181.61765738129441</v>
      </c>
      <c r="O639" s="135">
        <f t="shared" si="3518"/>
        <v>163.17009739175157</v>
      </c>
      <c r="P639" s="135">
        <f t="shared" si="3518"/>
        <v>169.66121275893042</v>
      </c>
      <c r="Q639" s="135">
        <f t="shared" si="3518"/>
        <v>259.92551555430418</v>
      </c>
      <c r="R639" s="135">
        <f t="shared" si="3518"/>
        <v>300.10373476753847</v>
      </c>
      <c r="S639" s="134">
        <f t="shared" si="3518"/>
        <v>190.4638516763508</v>
      </c>
      <c r="T639" s="135">
        <f t="shared" si="3518"/>
        <v>192.41321629290925</v>
      </c>
      <c r="U639" s="135">
        <f t="shared" si="3518"/>
        <v>211.02749457326416</v>
      </c>
      <c r="V639" s="135">
        <f t="shared" si="3518"/>
        <v>216.2548214332929</v>
      </c>
      <c r="W639" s="135">
        <f t="shared" si="3518"/>
        <v>73.118753581268976</v>
      </c>
      <c r="X639" s="135">
        <f t="shared" si="3518"/>
        <v>208.98384168769846</v>
      </c>
      <c r="Y639" s="135">
        <f t="shared" si="3518"/>
        <v>223.03386362800714</v>
      </c>
      <c r="Z639" s="135">
        <f t="shared" si="3518"/>
        <v>307.90133243662484</v>
      </c>
      <c r="AA639" s="135">
        <f t="shared" si="3518"/>
        <v>299.79931212916711</v>
      </c>
      <c r="AB639" s="135">
        <f t="shared" si="3518"/>
        <v>347.88918532145482</v>
      </c>
      <c r="AC639" s="135">
        <f t="shared" si="3518"/>
        <v>377.60727079954955</v>
      </c>
      <c r="AD639" s="136">
        <f t="shared" si="3518"/>
        <v>299.79673087012253</v>
      </c>
      <c r="AE639" s="15"/>
      <c r="AF639" s="94">
        <f>SUM(G639:R639)</f>
        <v>1320.5728846421855</v>
      </c>
      <c r="AG639" s="95">
        <f>SUM(S639:AD639)</f>
        <v>2948.2896744297109</v>
      </c>
    </row>
    <row r="640" spans="2:33" x14ac:dyDescent="0.2">
      <c r="B640" s="9">
        <f>G603</f>
        <v>13</v>
      </c>
      <c r="C640" s="9" t="str">
        <f t="shared" si="3275"/>
        <v>13 - % of Revenue - Office EBITDA</v>
      </c>
      <c r="D640" s="9" t="s">
        <v>56</v>
      </c>
      <c r="F640" s="16" t="str">
        <f>"% of Revenue - "&amp;F639</f>
        <v>% of Revenue - Office EBITDA</v>
      </c>
      <c r="G640" s="148">
        <f>G639/G615</f>
        <v>0.18918649509068086</v>
      </c>
      <c r="H640" s="149">
        <f t="shared" ref="H640" si="3519">H639/H615</f>
        <v>0.18235433689250907</v>
      </c>
      <c r="I640" s="149">
        <f t="shared" ref="I640" si="3520">I639/I615</f>
        <v>0.20957097915449449</v>
      </c>
      <c r="J640" s="149">
        <f t="shared" ref="J640" si="3521">J639/J615</f>
        <v>0.20246782248982562</v>
      </c>
      <c r="K640" s="149">
        <f t="shared" ref="K640" si="3522">K639/K615</f>
        <v>0.23922931425111965</v>
      </c>
      <c r="L640" s="149">
        <f t="shared" ref="L640" si="3523">L639/L615</f>
        <v>0.22528549203627515</v>
      </c>
      <c r="M640" s="149">
        <f t="shared" ref="M640" si="3524">M639/M615</f>
        <v>0.21856341971789148</v>
      </c>
      <c r="N640" s="149">
        <f t="shared" ref="N640" si="3525">N639/N615</f>
        <v>0.6028462838558396</v>
      </c>
      <c r="O640" s="149">
        <f t="shared" ref="O640" si="3526">O639/O615</f>
        <v>0.59556433977496526</v>
      </c>
      <c r="P640" s="149">
        <f t="shared" ref="P640" si="3527">P639/P615</f>
        <v>0.59888452399852732</v>
      </c>
      <c r="Q640" s="149">
        <f t="shared" ref="Q640" si="3528">Q639/Q615</f>
        <v>0.7257877668869438</v>
      </c>
      <c r="R640" s="149">
        <f t="shared" ref="R640" si="3529">R639/R615</f>
        <v>0.78026884317964629</v>
      </c>
      <c r="S640" s="148">
        <f t="shared" ref="S640" si="3530">S639/S615</f>
        <v>0.43436873142214627</v>
      </c>
      <c r="T640" s="149">
        <f t="shared" ref="T640" si="3531">T639/T615</f>
        <v>0.4307999797564096</v>
      </c>
      <c r="U640" s="149">
        <f t="shared" ref="U640" si="3532">U639/U615</f>
        <v>0.43326391373860274</v>
      </c>
      <c r="V640" s="149">
        <f t="shared" ref="V640" si="3533">V639/V615</f>
        <v>0.43477931796060798</v>
      </c>
      <c r="W640" s="149">
        <f t="shared" ref="W640" si="3534">W639/W615</f>
        <v>0.18165491755212906</v>
      </c>
      <c r="X640" s="149">
        <f t="shared" ref="X640" si="3535">X639/X615</f>
        <v>0.44109394543496527</v>
      </c>
      <c r="Y640" s="149">
        <f t="shared" ref="Y640" si="3536">Y639/Y615</f>
        <v>0.42879993100027691</v>
      </c>
      <c r="Z640" s="149">
        <f t="shared" ref="Z640" si="3537">Z639/Z615</f>
        <v>0.56180777487816291</v>
      </c>
      <c r="AA640" s="149">
        <f t="shared" ref="AA640" si="3538">AA639/AA615</f>
        <v>0.56903328544873688</v>
      </c>
      <c r="AB640" s="149">
        <f t="shared" ref="AB640" si="3539">AB639/AB615</f>
        <v>0.57221045791891978</v>
      </c>
      <c r="AC640" s="149">
        <f t="shared" ref="AC640" si="3540">AC639/AC615</f>
        <v>0.64449836785550063</v>
      </c>
      <c r="AD640" s="150">
        <f t="shared" ref="AD640" si="3541">AD639/AD615</f>
        <v>0.63874329757139015</v>
      </c>
      <c r="AE640" s="15"/>
      <c r="AF640" s="96">
        <f t="shared" ref="AF640" si="3542">AF639/AF615</f>
        <v>0.47730466199306787</v>
      </c>
      <c r="AG640" s="97">
        <f t="shared" ref="AG640" si="3543">AG639/AG615</f>
        <v>0.49104208946215877</v>
      </c>
    </row>
    <row r="641" spans="2:34" ht="6" customHeight="1" x14ac:dyDescent="0.2">
      <c r="B641" s="9">
        <f>G603</f>
        <v>13</v>
      </c>
      <c r="C641" s="9" t="str">
        <f t="shared" si="3275"/>
        <v xml:space="preserve">13 - </v>
      </c>
      <c r="D641" s="9" t="s">
        <v>56</v>
      </c>
      <c r="G641" s="11"/>
      <c r="S641" s="11"/>
      <c r="AD641" s="15"/>
      <c r="AE641" s="15"/>
      <c r="AF641" s="11"/>
      <c r="AG641" s="15"/>
    </row>
    <row r="642" spans="2:34" x14ac:dyDescent="0.2">
      <c r="B642" s="9">
        <f>G603</f>
        <v>13</v>
      </c>
      <c r="C642" s="9" t="str">
        <f t="shared" si="3275"/>
        <v>13 - Memo:</v>
      </c>
      <c r="D642" s="9" t="s">
        <v>56</v>
      </c>
      <c r="F642" s="6" t="s">
        <v>13</v>
      </c>
      <c r="G642" s="11"/>
      <c r="S642" s="11"/>
      <c r="AD642" s="15"/>
      <c r="AE642" s="15"/>
      <c r="AF642" s="11"/>
      <c r="AG642" s="15"/>
    </row>
    <row r="643" spans="2:34" s="24" customFormat="1" x14ac:dyDescent="0.2">
      <c r="B643" s="9">
        <f>G603</f>
        <v>13</v>
      </c>
      <c r="C643" s="9" t="str">
        <f t="shared" si="3275"/>
        <v>13 - Collections</v>
      </c>
      <c r="D643" s="9" t="s">
        <v>56</v>
      </c>
      <c r="E643" s="49"/>
      <c r="F643" s="24" t="s">
        <v>15</v>
      </c>
      <c r="G643" s="169">
        <f>G644*G613</f>
        <v>144.65866685411996</v>
      </c>
      <c r="H643" s="170">
        <f t="shared" ref="H643" si="3544">H644*H613</f>
        <v>141.79793539001736</v>
      </c>
      <c r="I643" s="170">
        <f t="shared" ref="I643" si="3545">I644*I613</f>
        <v>184.43190982056964</v>
      </c>
      <c r="J643" s="170">
        <f t="shared" ref="J643" si="3546">J644*J613</f>
        <v>161.53953301776042</v>
      </c>
      <c r="K643" s="170">
        <f t="shared" ref="K643" si="3547">K644*K613</f>
        <v>188.56510370693624</v>
      </c>
      <c r="L643" s="170">
        <f t="shared" ref="L643" si="3548">L644*L613</f>
        <v>176.83248818442695</v>
      </c>
      <c r="M643" s="170">
        <f t="shared" ref="M643" si="3549">M644*M613</f>
        <v>157.17508490445408</v>
      </c>
      <c r="N643" s="170">
        <f t="shared" ref="N643" si="3550">N644*N613</f>
        <v>299.0534570478037</v>
      </c>
      <c r="O643" s="170">
        <f t="shared" ref="O643" si="3551">O644*O613</f>
        <v>271.49878747677866</v>
      </c>
      <c r="P643" s="170">
        <f t="shared" ref="P643" si="3552">P644*P613</f>
        <v>282.32058542139879</v>
      </c>
      <c r="Q643" s="170">
        <f t="shared" ref="Q643" si="3553">Q644*Q613</f>
        <v>359.47833554787877</v>
      </c>
      <c r="R643" s="170">
        <f t="shared" ref="R643" si="3554">R644*R613</f>
        <v>380.98793195355091</v>
      </c>
      <c r="S643" s="169">
        <f t="shared" ref="S643" si="3555">S644*S613</f>
        <v>442.37393014428784</v>
      </c>
      <c r="T643" s="170">
        <f t="shared" ref="T643" si="3556">T644*T613</f>
        <v>438.33868027487063</v>
      </c>
      <c r="U643" s="170">
        <f t="shared" ref="U643" si="3557">U644*U613</f>
        <v>492.16366758787564</v>
      </c>
      <c r="V643" s="170">
        <f t="shared" ref="V643" si="3558">V644*V613</f>
        <v>496.86627430137105</v>
      </c>
      <c r="W643" s="170">
        <f t="shared" ref="W643" si="3559">W644*W613</f>
        <v>398.84789814967149</v>
      </c>
      <c r="X643" s="170">
        <f t="shared" ref="X643" si="3560">X644*X613</f>
        <v>467.7030348291799</v>
      </c>
      <c r="Y643" s="170">
        <f t="shared" ref="Y643" si="3561">Y644*Y613</f>
        <v>528.07702143793972</v>
      </c>
      <c r="Z643" s="170">
        <f t="shared" ref="Z643" si="3562">Z644*Z613</f>
        <v>557.37928600834709</v>
      </c>
      <c r="AA643" s="170">
        <f t="shared" ref="AA643" si="3563">AA644*AA613</f>
        <v>532.81102231761372</v>
      </c>
      <c r="AB643" s="170">
        <f t="shared" ref="AB643" si="3564">AB644*AB613</f>
        <v>618.65958326423925</v>
      </c>
      <c r="AC643" s="170">
        <f t="shared" ref="AC643" si="3565">AC644*AC613</f>
        <v>589.68414871734501</v>
      </c>
      <c r="AD643" s="171">
        <f t="shared" ref="AD643" si="3566">AD644*AD613</f>
        <v>462.49743330198237</v>
      </c>
      <c r="AE643" s="26"/>
      <c r="AF643" s="68">
        <f>SUM(G643:R643)</f>
        <v>2748.3398193256953</v>
      </c>
      <c r="AG643" s="99">
        <f>SUM(S643:AD643)</f>
        <v>6025.4019803347255</v>
      </c>
    </row>
    <row r="644" spans="2:34" x14ac:dyDescent="0.2">
      <c r="B644" s="9">
        <f>G603</f>
        <v>13</v>
      </c>
      <c r="C644" s="9" t="str">
        <f t="shared" si="3275"/>
        <v>13 - Collections as a % of Production</v>
      </c>
      <c r="D644" s="9" t="s">
        <v>56</v>
      </c>
      <c r="F644" s="16" t="s">
        <v>17</v>
      </c>
      <c r="G644" s="140">
        <v>0.96905753463540545</v>
      </c>
      <c r="H644" s="141">
        <v>0.98410368059889786</v>
      </c>
      <c r="I644" s="141">
        <v>0.99668862488670029</v>
      </c>
      <c r="J644" s="141">
        <v>0.98814858298758423</v>
      </c>
      <c r="K644" s="141">
        <v>0.98328719786935836</v>
      </c>
      <c r="L644" s="141">
        <v>0.97818855788463488</v>
      </c>
      <c r="M644" s="141">
        <v>0.96310772975091563</v>
      </c>
      <c r="N644" s="141">
        <v>0.98238413981440331</v>
      </c>
      <c r="O644" s="141">
        <v>0.98070864598256113</v>
      </c>
      <c r="P644" s="141">
        <v>0.98625011281953279</v>
      </c>
      <c r="Q644" s="141">
        <v>0.99338465850489666</v>
      </c>
      <c r="R644" s="141">
        <v>0.9803204925712321</v>
      </c>
      <c r="S644" s="140">
        <v>0.99056386641154059</v>
      </c>
      <c r="T644" s="141">
        <v>0.96360165118987728</v>
      </c>
      <c r="U644" s="141">
        <v>0.99213321755119288</v>
      </c>
      <c r="V644" s="141">
        <v>0.98082056215475766</v>
      </c>
      <c r="W644" s="141">
        <v>0.97290996555458586</v>
      </c>
      <c r="X644" s="141">
        <v>0.96924939993413506</v>
      </c>
      <c r="Y644" s="141">
        <v>0.99684614539953298</v>
      </c>
      <c r="Z644" s="141">
        <v>0.99855954282605874</v>
      </c>
      <c r="AA644" s="141">
        <v>0.99294959784459436</v>
      </c>
      <c r="AB644" s="141">
        <v>0.99911061237878807</v>
      </c>
      <c r="AC644" s="141">
        <v>0.98820692333323257</v>
      </c>
      <c r="AD644" s="142">
        <v>0.9675106512851247</v>
      </c>
      <c r="AE644" s="15"/>
      <c r="AF644" s="96">
        <f t="shared" ref="AF644" si="3567">AF643/AF613</f>
        <v>0.98307743442542694</v>
      </c>
      <c r="AG644" s="97">
        <f t="shared" ref="AG644" si="3568">AG643/AG613</f>
        <v>0.98532966504127695</v>
      </c>
    </row>
    <row r="645" spans="2:34" ht="6" customHeight="1" x14ac:dyDescent="0.2">
      <c r="B645" s="9">
        <f>G603</f>
        <v>13</v>
      </c>
      <c r="C645" s="9" t="str">
        <f t="shared" si="3275"/>
        <v xml:space="preserve">13 - </v>
      </c>
      <c r="D645" s="9" t="s">
        <v>56</v>
      </c>
      <c r="F645" s="27"/>
      <c r="R645" s="15"/>
      <c r="AD645" s="15"/>
      <c r="AE645" s="15"/>
      <c r="AF645" s="11"/>
      <c r="AG645" s="15"/>
    </row>
    <row r="646" spans="2:34" s="24" customFormat="1" x14ac:dyDescent="0.2">
      <c r="B646" s="9">
        <f>G603</f>
        <v>13</v>
      </c>
      <c r="C646" s="9" t="str">
        <f t="shared" si="3275"/>
        <v>13 - Production per Vet Workday - YoY Change</v>
      </c>
      <c r="D646" s="9" t="s">
        <v>56</v>
      </c>
      <c r="E646" s="49"/>
      <c r="F646" s="24" t="s">
        <v>55</v>
      </c>
      <c r="G646" s="88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151">
        <f>S612/G612-1</f>
        <v>-4.6137582410329614E-2</v>
      </c>
      <c r="T646" s="152">
        <f t="shared" ref="T646" si="3569">T612/H612-1</f>
        <v>4.5199539098537134E-3</v>
      </c>
      <c r="U646" s="152">
        <f t="shared" ref="U646" si="3570">U612/I612-1</f>
        <v>-2.5166816753245724E-2</v>
      </c>
      <c r="V646" s="152">
        <f t="shared" ref="V646" si="3571">V612/J612-1</f>
        <v>-1.4018547054823749E-2</v>
      </c>
      <c r="W646" s="152">
        <f t="shared" ref="W646" si="3572">W612/K612-1</f>
        <v>2.433099700039465E-2</v>
      </c>
      <c r="X646" s="152">
        <f t="shared" ref="X646" si="3573">X612/L612-1</f>
        <v>-2.5498629291260122E-2</v>
      </c>
      <c r="Y646" s="152">
        <f t="shared" ref="Y646" si="3574">Y612/M612-1</f>
        <v>3.4984608141251039E-2</v>
      </c>
      <c r="Z646" s="152">
        <f t="shared" ref="Z646" si="3575">Z612/N612-1</f>
        <v>-4.3328615648229318E-2</v>
      </c>
      <c r="AA646" s="152">
        <f t="shared" ref="AA646" si="3576">AA612/O612-1</f>
        <v>1.5293244359119385E-2</v>
      </c>
      <c r="AB646" s="152">
        <f t="shared" ref="AB646" si="3577">AB612/P612-1</f>
        <v>-8.5652518614144357E-3</v>
      </c>
      <c r="AC646" s="152">
        <f t="shared" ref="AC646" si="3578">AC612/Q612-1</f>
        <v>3.4362324583516735E-2</v>
      </c>
      <c r="AD646" s="153">
        <f t="shared" ref="AD646" si="3579">AD612/R612-1</f>
        <v>-1.5987940527629529E-2</v>
      </c>
      <c r="AF646" s="43"/>
      <c r="AG646" s="104">
        <f>AG612/AF612-1</f>
        <v>-4.7037307627739722E-3</v>
      </c>
    </row>
    <row r="647" spans="2:34" s="24" customFormat="1" ht="6" customHeight="1" x14ac:dyDescent="0.2">
      <c r="D647" s="9" t="s">
        <v>56</v>
      </c>
      <c r="E647" s="49"/>
      <c r="G647" s="28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29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29"/>
      <c r="AE647" s="25"/>
      <c r="AF647" s="28"/>
      <c r="AG647" s="29"/>
    </row>
    <row r="648" spans="2:34" s="24" customFormat="1" ht="6" customHeight="1" x14ac:dyDescent="0.2">
      <c r="D648" s="9" t="s">
        <v>56</v>
      </c>
      <c r="E648" s="49"/>
    </row>
    <row r="649" spans="2:34" x14ac:dyDescent="0.2">
      <c r="D649" s="9" t="s">
        <v>56</v>
      </c>
      <c r="F649" s="16"/>
    </row>
    <row r="650" spans="2:34" ht="15.75" thickBot="1" x14ac:dyDescent="0.4">
      <c r="B650" s="35" t="s">
        <v>52</v>
      </c>
      <c r="C650" s="35"/>
      <c r="D650" s="9" t="s">
        <v>56</v>
      </c>
      <c r="E650" s="48" t="s">
        <v>0</v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74">
        <f ca="1">AG$2</f>
        <v>45999</v>
      </c>
      <c r="AH650" s="1"/>
    </row>
    <row r="651" spans="2:34" x14ac:dyDescent="0.2">
      <c r="B651" s="9">
        <f>G652</f>
        <v>14</v>
      </c>
      <c r="C651" s="9"/>
      <c r="D651" s="9" t="s">
        <v>56</v>
      </c>
      <c r="F651" t="s">
        <v>159</v>
      </c>
      <c r="AG651" s="6" t="s">
        <v>16</v>
      </c>
    </row>
    <row r="652" spans="2:34" x14ac:dyDescent="0.2">
      <c r="B652" s="9">
        <f>G652</f>
        <v>14</v>
      </c>
      <c r="C652" s="9"/>
      <c r="D652" s="9" t="s">
        <v>56</v>
      </c>
      <c r="F652" s="40" t="s">
        <v>53</v>
      </c>
      <c r="G652" s="42">
        <v>14</v>
      </c>
    </row>
    <row r="653" spans="2:34" x14ac:dyDescent="0.2">
      <c r="B653" s="9">
        <f>G652</f>
        <v>14</v>
      </c>
      <c r="C653" s="9"/>
      <c r="D653" s="9" t="s">
        <v>56</v>
      </c>
      <c r="F653" s="39" t="s">
        <v>31</v>
      </c>
      <c r="G653" s="41"/>
      <c r="H653" s="11"/>
    </row>
    <row r="654" spans="2:34" x14ac:dyDescent="0.2">
      <c r="B654" s="9">
        <f>G652</f>
        <v>14</v>
      </c>
      <c r="C654" s="9"/>
      <c r="D654" s="9" t="s">
        <v>56</v>
      </c>
      <c r="G654" s="23"/>
    </row>
    <row r="655" spans="2:34" x14ac:dyDescent="0.2">
      <c r="B655" s="9">
        <f>G652</f>
        <v>14</v>
      </c>
      <c r="C655" s="9"/>
      <c r="D655" s="9" t="s">
        <v>56</v>
      </c>
      <c r="G655" s="20">
        <v>2023</v>
      </c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2"/>
      <c r="S655" s="20">
        <v>2024</v>
      </c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2"/>
      <c r="AF655" s="17" t="s">
        <v>14</v>
      </c>
      <c r="AG655" s="18"/>
    </row>
    <row r="656" spans="2:34" ht="15" customHeight="1" x14ac:dyDescent="0.35">
      <c r="B656" s="9">
        <f>G652</f>
        <v>14</v>
      </c>
      <c r="C656" s="9"/>
      <c r="D656" s="9" t="s">
        <v>56</v>
      </c>
      <c r="G656" s="165">
        <v>44957</v>
      </c>
      <c r="H656" s="166">
        <v>44985</v>
      </c>
      <c r="I656" s="166">
        <v>45016</v>
      </c>
      <c r="J656" s="166">
        <v>45046</v>
      </c>
      <c r="K656" s="166">
        <v>45077</v>
      </c>
      <c r="L656" s="166">
        <v>45107</v>
      </c>
      <c r="M656" s="166">
        <v>45138</v>
      </c>
      <c r="N656" s="166">
        <v>45169</v>
      </c>
      <c r="O656" s="166">
        <v>45199</v>
      </c>
      <c r="P656" s="166">
        <v>45230</v>
      </c>
      <c r="Q656" s="166">
        <v>45260</v>
      </c>
      <c r="R656" s="167">
        <v>45291</v>
      </c>
      <c r="S656" s="165">
        <v>45322</v>
      </c>
      <c r="T656" s="166">
        <v>45351</v>
      </c>
      <c r="U656" s="166">
        <v>45382</v>
      </c>
      <c r="V656" s="166">
        <v>45412</v>
      </c>
      <c r="W656" s="166">
        <v>45443</v>
      </c>
      <c r="X656" s="166">
        <v>45473</v>
      </c>
      <c r="Y656" s="166">
        <v>45504</v>
      </c>
      <c r="Z656" s="166">
        <v>45535</v>
      </c>
      <c r="AA656" s="166">
        <v>45565</v>
      </c>
      <c r="AB656" s="166">
        <v>45596</v>
      </c>
      <c r="AC656" s="166">
        <v>45626</v>
      </c>
      <c r="AD656" s="167">
        <v>45657</v>
      </c>
      <c r="AE656" s="168"/>
      <c r="AF656" s="13">
        <v>45291</v>
      </c>
      <c r="AG656" s="14">
        <v>45657</v>
      </c>
    </row>
    <row r="657" spans="2:33" ht="0.95" customHeight="1" x14ac:dyDescent="0.2">
      <c r="B657" s="9">
        <f>G652</f>
        <v>14</v>
      </c>
      <c r="C657" s="9"/>
      <c r="D657" s="9" t="s">
        <v>56</v>
      </c>
      <c r="G657" s="11"/>
      <c r="S657" s="11"/>
      <c r="AD657" s="15"/>
      <c r="AE657" s="15"/>
      <c r="AF657" s="11"/>
      <c r="AG657" s="15"/>
    </row>
    <row r="658" spans="2:33" x14ac:dyDescent="0.2">
      <c r="B658" s="9">
        <f>G652</f>
        <v>14</v>
      </c>
      <c r="C658" s="9" t="str">
        <f>B658&amp;" - "&amp;F658</f>
        <v>14 - Employed Vets</v>
      </c>
      <c r="D658" s="9" t="s">
        <v>56</v>
      </c>
      <c r="F658" s="7" t="s">
        <v>160</v>
      </c>
      <c r="G658" s="121">
        <v>4</v>
      </c>
      <c r="H658" s="154">
        <f>MAX(MIN(IF(H661/G661&gt;1.1,G658-1,IF(H661/G661&lt;0.9,G658+1,G658)),5),1)</f>
        <v>4</v>
      </c>
      <c r="I658" s="154">
        <f t="shared" ref="I658:AD658" si="3580">MAX(MIN(IF(I661/H661&gt;1.1,H658-1,IF(I661/H661&lt;0.9,H658+1,H658)),5),1)</f>
        <v>4</v>
      </c>
      <c r="J658" s="154">
        <f t="shared" si="3580"/>
        <v>4</v>
      </c>
      <c r="K658" s="154">
        <f t="shared" si="3580"/>
        <v>4</v>
      </c>
      <c r="L658" s="154">
        <f t="shared" si="3580"/>
        <v>5</v>
      </c>
      <c r="M658" s="154">
        <f t="shared" si="3580"/>
        <v>5</v>
      </c>
      <c r="N658" s="154">
        <f t="shared" si="3580"/>
        <v>5</v>
      </c>
      <c r="O658" s="154">
        <f t="shared" si="3580"/>
        <v>5</v>
      </c>
      <c r="P658" s="154">
        <f t="shared" si="3580"/>
        <v>5</v>
      </c>
      <c r="Q658" s="154">
        <f t="shared" si="3580"/>
        <v>5</v>
      </c>
      <c r="R658" s="154">
        <f t="shared" si="3580"/>
        <v>5</v>
      </c>
      <c r="S658" s="155">
        <f t="shared" si="3580"/>
        <v>4</v>
      </c>
      <c r="T658" s="154">
        <f t="shared" si="3580"/>
        <v>4</v>
      </c>
      <c r="U658" s="154">
        <f t="shared" si="3580"/>
        <v>4</v>
      </c>
      <c r="V658" s="154">
        <f t="shared" si="3580"/>
        <v>3</v>
      </c>
      <c r="W658" s="154">
        <f t="shared" si="3580"/>
        <v>3</v>
      </c>
      <c r="X658" s="154">
        <f t="shared" si="3580"/>
        <v>4</v>
      </c>
      <c r="Y658" s="154">
        <f t="shared" si="3580"/>
        <v>4</v>
      </c>
      <c r="Z658" s="154">
        <f t="shared" si="3580"/>
        <v>5</v>
      </c>
      <c r="AA658" s="154">
        <f t="shared" si="3580"/>
        <v>5</v>
      </c>
      <c r="AB658" s="154">
        <f t="shared" si="3580"/>
        <v>5</v>
      </c>
      <c r="AC658" s="154">
        <f t="shared" si="3580"/>
        <v>5</v>
      </c>
      <c r="AD658" s="156">
        <f t="shared" si="3580"/>
        <v>5</v>
      </c>
      <c r="AE658" s="15"/>
      <c r="AF658" s="90">
        <f>AVERAGE(G658:R658)</f>
        <v>4.583333333333333</v>
      </c>
      <c r="AG658" s="91">
        <f>AVERAGE(S658:AD658)</f>
        <v>4.25</v>
      </c>
    </row>
    <row r="659" spans="2:33" x14ac:dyDescent="0.2">
      <c r="B659" s="9">
        <f>G652</f>
        <v>14</v>
      </c>
      <c r="C659" s="9" t="str">
        <f t="shared" ref="C659:C695" si="3581">B659&amp;" - "&amp;F659</f>
        <v>14 - Workdays in Month / Year</v>
      </c>
      <c r="D659" s="9" t="s">
        <v>56</v>
      </c>
      <c r="F659" s="7" t="s">
        <v>54</v>
      </c>
      <c r="G659" s="121">
        <v>22</v>
      </c>
      <c r="H659" s="124">
        <v>21</v>
      </c>
      <c r="I659" s="124">
        <v>24</v>
      </c>
      <c r="J659" s="122">
        <v>21</v>
      </c>
      <c r="K659" s="122">
        <v>23</v>
      </c>
      <c r="L659" s="122">
        <v>23</v>
      </c>
      <c r="M659" s="122">
        <v>22</v>
      </c>
      <c r="N659" s="122">
        <v>24</v>
      </c>
      <c r="O659" s="122">
        <v>22</v>
      </c>
      <c r="P659" s="122">
        <v>22</v>
      </c>
      <c r="Q659" s="122">
        <v>23</v>
      </c>
      <c r="R659" s="122">
        <v>22</v>
      </c>
      <c r="S659" s="121">
        <v>23</v>
      </c>
      <c r="T659" s="122">
        <v>22</v>
      </c>
      <c r="U659" s="122">
        <v>22</v>
      </c>
      <c r="V659" s="122">
        <v>22</v>
      </c>
      <c r="W659" s="122">
        <v>24</v>
      </c>
      <c r="X659" s="122">
        <v>21</v>
      </c>
      <c r="Y659" s="122">
        <v>23</v>
      </c>
      <c r="Z659" s="122">
        <v>23</v>
      </c>
      <c r="AA659" s="122">
        <v>21</v>
      </c>
      <c r="AB659" s="122">
        <v>24</v>
      </c>
      <c r="AC659" s="122">
        <v>22</v>
      </c>
      <c r="AD659" s="123">
        <v>22</v>
      </c>
      <c r="AE659" s="15"/>
      <c r="AF659" s="144">
        <v>269</v>
      </c>
      <c r="AG659" s="145">
        <v>269</v>
      </c>
    </row>
    <row r="660" spans="2:33" x14ac:dyDescent="0.2">
      <c r="B660" s="9">
        <f>G652</f>
        <v>14</v>
      </c>
      <c r="C660" s="9" t="str">
        <f t="shared" si="3581"/>
        <v>14 - Total Vet Days</v>
      </c>
      <c r="D660" s="9" t="s">
        <v>56</v>
      </c>
      <c r="F660" s="8" t="s">
        <v>51</v>
      </c>
      <c r="G660" s="125">
        <f>G658*G659</f>
        <v>88</v>
      </c>
      <c r="H660" s="126">
        <f t="shared" ref="H660" si="3582">H658*H659</f>
        <v>84</v>
      </c>
      <c r="I660" s="126">
        <f t="shared" ref="I660" si="3583">I658*I659</f>
        <v>96</v>
      </c>
      <c r="J660" s="127">
        <f t="shared" ref="J660" si="3584">J658*J659</f>
        <v>84</v>
      </c>
      <c r="K660" s="127">
        <f t="shared" ref="K660" si="3585">K658*K659</f>
        <v>92</v>
      </c>
      <c r="L660" s="127">
        <f t="shared" ref="L660" si="3586">L658*L659</f>
        <v>115</v>
      </c>
      <c r="M660" s="127">
        <f t="shared" ref="M660" si="3587">M658*M659</f>
        <v>110</v>
      </c>
      <c r="N660" s="127">
        <f t="shared" ref="N660" si="3588">N658*N659</f>
        <v>120</v>
      </c>
      <c r="O660" s="127">
        <f t="shared" ref="O660" si="3589">O658*O659</f>
        <v>110</v>
      </c>
      <c r="P660" s="127">
        <f t="shared" ref="P660" si="3590">P658*P659</f>
        <v>110</v>
      </c>
      <c r="Q660" s="127">
        <f t="shared" ref="Q660" si="3591">Q658*Q659</f>
        <v>115</v>
      </c>
      <c r="R660" s="127">
        <f t="shared" ref="R660" si="3592">R658*R659</f>
        <v>110</v>
      </c>
      <c r="S660" s="125">
        <f t="shared" ref="S660" si="3593">S658*S659</f>
        <v>92</v>
      </c>
      <c r="T660" s="127">
        <f t="shared" ref="T660" si="3594">T658*T659</f>
        <v>88</v>
      </c>
      <c r="U660" s="127">
        <f t="shared" ref="U660" si="3595">U658*U659</f>
        <v>88</v>
      </c>
      <c r="V660" s="127">
        <f t="shared" ref="V660" si="3596">V658*V659</f>
        <v>66</v>
      </c>
      <c r="W660" s="127">
        <f t="shared" ref="W660" si="3597">W658*W659</f>
        <v>72</v>
      </c>
      <c r="X660" s="127">
        <f t="shared" ref="X660" si="3598">X658*X659</f>
        <v>84</v>
      </c>
      <c r="Y660" s="127">
        <f t="shared" ref="Y660" si="3599">Y658*Y659</f>
        <v>92</v>
      </c>
      <c r="Z660" s="127">
        <f t="shared" ref="Z660" si="3600">Z658*Z659</f>
        <v>115</v>
      </c>
      <c r="AA660" s="127">
        <f t="shared" ref="AA660" si="3601">AA658*AA659</f>
        <v>105</v>
      </c>
      <c r="AB660" s="127">
        <f t="shared" ref="AB660" si="3602">AB658*AB659</f>
        <v>120</v>
      </c>
      <c r="AC660" s="127">
        <f t="shared" ref="AC660" si="3603">AC658*AC659</f>
        <v>110</v>
      </c>
      <c r="AD660" s="128">
        <f t="shared" ref="AD660" si="3604">AD658*AD659</f>
        <v>110</v>
      </c>
      <c r="AF660" s="119">
        <f>SUM(G660:R660)</f>
        <v>1234</v>
      </c>
      <c r="AG660" s="120">
        <f>SUM(S660:AD660)</f>
        <v>1142</v>
      </c>
    </row>
    <row r="661" spans="2:33" x14ac:dyDescent="0.2">
      <c r="B661" s="9">
        <f>G652</f>
        <v>14</v>
      </c>
      <c r="C661" s="9" t="str">
        <f t="shared" si="3581"/>
        <v>14 - Production per Vet Workday</v>
      </c>
      <c r="D661" s="9" t="s">
        <v>56</v>
      </c>
      <c r="F661" s="7" t="s">
        <v>50</v>
      </c>
      <c r="G661" s="129">
        <v>4.2874428604809829</v>
      </c>
      <c r="H661" s="130">
        <v>4.5533557276949139</v>
      </c>
      <c r="I661" s="130">
        <v>4.9904487486102305</v>
      </c>
      <c r="J661" s="130">
        <v>5.2857594110648431</v>
      </c>
      <c r="K661" s="130">
        <v>5.5890707671924744</v>
      </c>
      <c r="L661" s="130">
        <v>4.8776401385497135</v>
      </c>
      <c r="M661" s="130">
        <v>4.5927163196441487</v>
      </c>
      <c r="N661" s="130">
        <v>4.1834102049583466</v>
      </c>
      <c r="O661" s="130">
        <v>4.234991986003763</v>
      </c>
      <c r="P661" s="130">
        <v>4.4122144888570531</v>
      </c>
      <c r="Q661" s="130">
        <v>3.9231538334698497</v>
      </c>
      <c r="R661" s="130">
        <v>3.3392944541963097</v>
      </c>
      <c r="S661" s="129">
        <v>4.73713429249021</v>
      </c>
      <c r="T661" s="130">
        <v>4.8160244060927386</v>
      </c>
      <c r="U661" s="130">
        <v>5.1871467867651893</v>
      </c>
      <c r="V661" s="130">
        <v>5.9249640237352228</v>
      </c>
      <c r="W661" s="130">
        <v>5.7445991864455763</v>
      </c>
      <c r="X661" s="130">
        <v>4.9005212008164412</v>
      </c>
      <c r="Y661" s="130">
        <v>4.7825475742776886</v>
      </c>
      <c r="Z661" s="130">
        <v>4.1464776145075799</v>
      </c>
      <c r="AA661" s="130">
        <v>4.090287359072069</v>
      </c>
      <c r="AB661" s="130">
        <v>4.0705877219749302</v>
      </c>
      <c r="AC661" s="130">
        <v>3.6258351223385863</v>
      </c>
      <c r="AD661" s="131">
        <v>2.6331003298836642</v>
      </c>
      <c r="AE661" s="15"/>
      <c r="AF661" s="132">
        <v>4.5235220974107326</v>
      </c>
      <c r="AG661" s="133">
        <v>4.5606270942119913</v>
      </c>
    </row>
    <row r="662" spans="2:33" x14ac:dyDescent="0.2">
      <c r="B662" s="9">
        <f>G652</f>
        <v>14</v>
      </c>
      <c r="C662" s="9" t="str">
        <f t="shared" si="3581"/>
        <v>14 - Total Production</v>
      </c>
      <c r="D662" s="9" t="s">
        <v>56</v>
      </c>
      <c r="F662" s="8" t="s">
        <v>1</v>
      </c>
      <c r="G662" s="134">
        <f>G661*G660</f>
        <v>377.29497172232652</v>
      </c>
      <c r="H662" s="135">
        <f t="shared" ref="H662" si="3605">H661*H660</f>
        <v>382.48188112637274</v>
      </c>
      <c r="I662" s="135">
        <f t="shared" ref="I662" si="3606">I661*I660</f>
        <v>479.08307986658212</v>
      </c>
      <c r="J662" s="135">
        <f t="shared" ref="J662" si="3607">J661*J660</f>
        <v>444.0037905294468</v>
      </c>
      <c r="K662" s="135">
        <f t="shared" ref="K662" si="3608">K661*K660</f>
        <v>514.19451058170762</v>
      </c>
      <c r="L662" s="135">
        <f t="shared" ref="L662" si="3609">L661*L660</f>
        <v>560.92861593321709</v>
      </c>
      <c r="M662" s="135">
        <f t="shared" ref="M662" si="3610">M661*M660</f>
        <v>505.19879516085638</v>
      </c>
      <c r="N662" s="135">
        <f t="shared" ref="N662" si="3611">N661*N660</f>
        <v>502.00922459500157</v>
      </c>
      <c r="O662" s="135">
        <f t="shared" ref="O662" si="3612">O661*O660</f>
        <v>465.84911846041393</v>
      </c>
      <c r="P662" s="135">
        <f t="shared" ref="P662" si="3613">P661*P660</f>
        <v>485.34359377427586</v>
      </c>
      <c r="Q662" s="135">
        <f t="shared" ref="Q662" si="3614">Q661*Q660</f>
        <v>451.16269084903274</v>
      </c>
      <c r="R662" s="135">
        <f t="shared" ref="R662" si="3615">R661*R660</f>
        <v>367.32238996159407</v>
      </c>
      <c r="S662" s="134">
        <f t="shared" ref="S662" si="3616">S661*S660</f>
        <v>435.81635490909935</v>
      </c>
      <c r="T662" s="135">
        <f t="shared" ref="T662" si="3617">T661*T660</f>
        <v>423.81014773616101</v>
      </c>
      <c r="U662" s="135">
        <f t="shared" ref="U662" si="3618">U661*U660</f>
        <v>456.46891723533668</v>
      </c>
      <c r="V662" s="135">
        <f t="shared" ref="V662" si="3619">V661*V660</f>
        <v>391.04762556652469</v>
      </c>
      <c r="W662" s="135">
        <f t="shared" ref="W662" si="3620">W661*W660</f>
        <v>413.6111414240815</v>
      </c>
      <c r="X662" s="135">
        <f t="shared" ref="X662" si="3621">X661*X660</f>
        <v>411.64378086858108</v>
      </c>
      <c r="Y662" s="135">
        <f t="shared" ref="Y662" si="3622">Y661*Y660</f>
        <v>439.99437683354734</v>
      </c>
      <c r="Z662" s="135">
        <f t="shared" ref="Z662" si="3623">Z661*Z660</f>
        <v>476.84492566837167</v>
      </c>
      <c r="AA662" s="135">
        <f t="shared" ref="AA662" si="3624">AA661*AA660</f>
        <v>429.48017270256724</v>
      </c>
      <c r="AB662" s="135">
        <f t="shared" ref="AB662" si="3625">AB661*AB660</f>
        <v>488.47052663699162</v>
      </c>
      <c r="AC662" s="135">
        <f t="shared" ref="AC662" si="3626">AC661*AC660</f>
        <v>398.84186345724447</v>
      </c>
      <c r="AD662" s="136">
        <f t="shared" ref="AD662" si="3627">AD661*AD660</f>
        <v>289.64103628720306</v>
      </c>
      <c r="AE662" s="15"/>
      <c r="AF662" s="94">
        <f>SUM(G662:R662)</f>
        <v>5534.8726625608269</v>
      </c>
      <c r="AG662" s="95">
        <f>SUM(S662:AD662)</f>
        <v>5055.6708693257096</v>
      </c>
    </row>
    <row r="663" spans="2:33" x14ac:dyDescent="0.2">
      <c r="B663" s="9">
        <f>G652</f>
        <v>14</v>
      </c>
      <c r="C663" s="9" t="str">
        <f t="shared" si="3581"/>
        <v>14 - Revenue as a % of Production</v>
      </c>
      <c r="D663" s="9" t="s">
        <v>56</v>
      </c>
      <c r="F663" s="7" t="s">
        <v>2</v>
      </c>
      <c r="G663" s="137">
        <v>0.98364295538393298</v>
      </c>
      <c r="H663" s="138">
        <v>0.98364295538393298</v>
      </c>
      <c r="I663" s="138">
        <v>0.98364295538393298</v>
      </c>
      <c r="J663" s="138">
        <v>0.98364295538393298</v>
      </c>
      <c r="K663" s="138">
        <v>0.98364295538393298</v>
      </c>
      <c r="L663" s="138">
        <v>0.98364295538393298</v>
      </c>
      <c r="M663" s="138">
        <v>0.98364295538393298</v>
      </c>
      <c r="N663" s="138">
        <v>0.98364295538393298</v>
      </c>
      <c r="O663" s="138">
        <v>0.98364295538393298</v>
      </c>
      <c r="P663" s="138">
        <v>0.98364295538393298</v>
      </c>
      <c r="Q663" s="138">
        <v>0.98364295538393298</v>
      </c>
      <c r="R663" s="138">
        <v>0.98364295538393298</v>
      </c>
      <c r="S663" s="137">
        <v>0.9785631729931672</v>
      </c>
      <c r="T663" s="138">
        <v>0.9785631729931672</v>
      </c>
      <c r="U663" s="138">
        <v>0.9785631729931672</v>
      </c>
      <c r="V663" s="138">
        <v>0.9785631729931672</v>
      </c>
      <c r="W663" s="138">
        <v>0.9785631729931672</v>
      </c>
      <c r="X663" s="138">
        <v>0.9785631729931672</v>
      </c>
      <c r="Y663" s="138">
        <v>0.9785631729931672</v>
      </c>
      <c r="Z663" s="138">
        <v>0.9785631729931672</v>
      </c>
      <c r="AA663" s="138">
        <v>0.9785631729931672</v>
      </c>
      <c r="AB663" s="138">
        <v>0.9785631729931672</v>
      </c>
      <c r="AC663" s="138">
        <v>0.9785631729931672</v>
      </c>
      <c r="AD663" s="139">
        <v>0.9785631729931672</v>
      </c>
      <c r="AE663" s="15"/>
      <c r="AF663" s="161">
        <v>0.98364295538393309</v>
      </c>
      <c r="AG663" s="162">
        <v>0.97856317299316731</v>
      </c>
    </row>
    <row r="664" spans="2:33" x14ac:dyDescent="0.2">
      <c r="B664" s="9">
        <f>G652</f>
        <v>14</v>
      </c>
      <c r="C664" s="9" t="str">
        <f t="shared" si="3581"/>
        <v>14 - Total Revenue</v>
      </c>
      <c r="D664" s="9" t="s">
        <v>56</v>
      </c>
      <c r="F664" s="8" t="s">
        <v>3</v>
      </c>
      <c r="G664" s="134">
        <f>G663*G662</f>
        <v>371.12354103644668</v>
      </c>
      <c r="H664" s="135">
        <f t="shared" ref="H664" si="3628">H663*H662</f>
        <v>376.2256079319514</v>
      </c>
      <c r="I664" s="135">
        <f t="shared" ref="I664" si="3629">I663*I662</f>
        <v>471.24669655440164</v>
      </c>
      <c r="J664" s="135">
        <f t="shared" ref="J664" si="3630">J663*J662</f>
        <v>436.74120071805379</v>
      </c>
      <c r="K664" s="135">
        <f t="shared" ref="K664" si="3631">K663*K662</f>
        <v>505.78380803078591</v>
      </c>
      <c r="L664" s="135">
        <f t="shared" ref="L664" si="3632">L663*L662</f>
        <v>551.75348153596872</v>
      </c>
      <c r="M664" s="135">
        <f t="shared" ref="M664" si="3633">M663*M662</f>
        <v>496.93523592842695</v>
      </c>
      <c r="N664" s="135">
        <f t="shared" ref="N664" si="3634">N663*N662</f>
        <v>493.79783731062395</v>
      </c>
      <c r="O664" s="135">
        <f t="shared" ref="O664" si="3635">O663*O662</f>
        <v>458.22920364540147</v>
      </c>
      <c r="P664" s="135">
        <f t="shared" ref="P664" si="3636">P663*P662</f>
        <v>477.4048069567877</v>
      </c>
      <c r="Q664" s="135">
        <f t="shared" ref="Q664" si="3637">Q663*Q662</f>
        <v>443.78300258571028</v>
      </c>
      <c r="R664" s="135">
        <f t="shared" ref="R664" si="3638">R663*R662</f>
        <v>361.31408124051188</v>
      </c>
      <c r="S664" s="134">
        <f t="shared" ref="S664" si="3639">S663*S662</f>
        <v>426.47383510216451</v>
      </c>
      <c r="T664" s="135">
        <f t="shared" ref="T664" si="3640">T663*T662</f>
        <v>414.72500291540069</v>
      </c>
      <c r="U664" s="135">
        <f t="shared" ref="U664" si="3641">U663*U662</f>
        <v>446.6836720225665</v>
      </c>
      <c r="V664" s="135">
        <f t="shared" ref="V664" si="3642">V663*V662</f>
        <v>382.66480526582239</v>
      </c>
      <c r="W664" s="135">
        <f t="shared" ref="W664" si="3643">W663*W662</f>
        <v>404.74463093727479</v>
      </c>
      <c r="X664" s="135">
        <f t="shared" ref="X664" si="3644">X663*X662</f>
        <v>402.81944434966272</v>
      </c>
      <c r="Y664" s="135">
        <f t="shared" ref="Y664" si="3645">Y663*Y662</f>
        <v>430.56229349338736</v>
      </c>
      <c r="Z664" s="135">
        <f t="shared" ref="Z664" si="3646">Z663*Z662</f>
        <v>466.62288348773274</v>
      </c>
      <c r="AA664" s="135">
        <f t="shared" ref="AA664" si="3647">AA663*AA662</f>
        <v>420.27348053747761</v>
      </c>
      <c r="AB664" s="135">
        <f t="shared" ref="AB664" si="3648">AB663*AB662</f>
        <v>477.99926845953792</v>
      </c>
      <c r="AC664" s="135">
        <f t="shared" ref="AC664" si="3649">AC663*AC662</f>
        <v>390.29195942722868</v>
      </c>
      <c r="AD664" s="136">
        <f t="shared" ref="AD664" si="3650">AD663*AD662</f>
        <v>283.4320514982345</v>
      </c>
      <c r="AE664" s="15"/>
      <c r="AF664" s="94">
        <f>SUM(G664:R664)</f>
        <v>5444.3385034750709</v>
      </c>
      <c r="AG664" s="95">
        <f>SUM(S664:AD664)</f>
        <v>4947.2933274964907</v>
      </c>
    </row>
    <row r="665" spans="2:33" x14ac:dyDescent="0.2">
      <c r="B665" s="9">
        <f>G652</f>
        <v>14</v>
      </c>
      <c r="C665" s="9" t="str">
        <f t="shared" si="3581"/>
        <v>14 - % YoY Revenue Growth</v>
      </c>
      <c r="D665" s="9" t="s">
        <v>56</v>
      </c>
      <c r="F665" s="16" t="s">
        <v>174</v>
      </c>
      <c r="G665" s="82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148">
        <f>S664/G664-1</f>
        <v>0.14914250362868264</v>
      </c>
      <c r="T665" s="149">
        <f t="shared" ref="T665" si="3651">T664/H664-1</f>
        <v>0.10233060741153155</v>
      </c>
      <c r="U665" s="149">
        <f t="shared" ref="U665" si="3652">U664/I664-1</f>
        <v>-5.2123494363847556E-2</v>
      </c>
      <c r="V665" s="149">
        <f t="shared" ref="V665" si="3653">V664/J664-1</f>
        <v>-0.12381793923569262</v>
      </c>
      <c r="W665" s="149">
        <f t="shared" ref="W665" si="3654">W664/K664-1</f>
        <v>-0.19976752021164168</v>
      </c>
      <c r="X665" s="149">
        <f t="shared" ref="X665" si="3655">X664/L664-1</f>
        <v>-0.2699285861716797</v>
      </c>
      <c r="Y665" s="149">
        <f t="shared" ref="Y665" si="3656">Y664/M664-1</f>
        <v>-0.13356457267723154</v>
      </c>
      <c r="Z665" s="149">
        <f t="shared" ref="Z665" si="3657">Z664/N664-1</f>
        <v>-5.5032549293642985E-2</v>
      </c>
      <c r="AA665" s="149">
        <f t="shared" ref="AA665" si="3658">AA664/O664-1</f>
        <v>-8.283130539470307E-2</v>
      </c>
      <c r="AB665" s="149">
        <f t="shared" ref="AB665" si="3659">AB664/P664-1</f>
        <v>1.2451937937945079E-3</v>
      </c>
      <c r="AC665" s="149">
        <f t="shared" ref="AC665" si="3660">AC664/Q664-1</f>
        <v>-0.12053423147532694</v>
      </c>
      <c r="AD665" s="150">
        <f t="shared" ref="AD665" si="3661">AD664/R664-1</f>
        <v>-0.21555215748825063</v>
      </c>
      <c r="AE665" s="15"/>
      <c r="AF665" s="11"/>
      <c r="AG665" s="97">
        <f>AG664/AF664-1</f>
        <v>-9.1295788397676048E-2</v>
      </c>
    </row>
    <row r="666" spans="2:33" ht="6" customHeight="1" x14ac:dyDescent="0.2">
      <c r="B666" s="9">
        <f>G652</f>
        <v>14</v>
      </c>
      <c r="C666" s="9" t="str">
        <f t="shared" si="3581"/>
        <v xml:space="preserve">14 - </v>
      </c>
      <c r="D666" s="9" t="s">
        <v>56</v>
      </c>
      <c r="G666" s="11"/>
      <c r="S666" s="11"/>
      <c r="AD666" s="15"/>
      <c r="AE666" s="15"/>
      <c r="AF666" s="11"/>
      <c r="AG666" s="15"/>
    </row>
    <row r="667" spans="2:33" x14ac:dyDescent="0.2">
      <c r="B667" s="9">
        <f>G652</f>
        <v>14</v>
      </c>
      <c r="C667" s="9" t="str">
        <f t="shared" si="3581"/>
        <v>14 - Doctor Compensation</v>
      </c>
      <c r="D667" s="9" t="s">
        <v>56</v>
      </c>
      <c r="F667" t="s">
        <v>4</v>
      </c>
      <c r="G667" s="144">
        <v>-137.30860677775593</v>
      </c>
      <c r="H667" s="70">
        <v>-142.46883366114847</v>
      </c>
      <c r="I667" s="70">
        <v>-175.54842448279302</v>
      </c>
      <c r="J667" s="70">
        <v>-165.26564205373955</v>
      </c>
      <c r="K667" s="70">
        <v>-195.02598410759887</v>
      </c>
      <c r="L667" s="70">
        <v>-174.37829399832773</v>
      </c>
      <c r="M667" s="70">
        <v>-159.24087700613097</v>
      </c>
      <c r="N667" s="70">
        <v>-155.09885462188953</v>
      </c>
      <c r="O667" s="70">
        <v>-145.53558946550945</v>
      </c>
      <c r="P667" s="70">
        <v>-154.79009317998472</v>
      </c>
      <c r="Q667" s="70">
        <v>-142.14636474858702</v>
      </c>
      <c r="R667" s="70">
        <v>-118.33552606630788</v>
      </c>
      <c r="S667" s="144">
        <v>-166.49517671148922</v>
      </c>
      <c r="T667" s="70">
        <v>-158.55531170980751</v>
      </c>
      <c r="U667" s="70">
        <v>-171.24542296337742</v>
      </c>
      <c r="V667" s="70">
        <v>-191.86374116746998</v>
      </c>
      <c r="W667" s="70">
        <v>-199.69429040798408</v>
      </c>
      <c r="X667" s="70">
        <v>-147.45350418790682</v>
      </c>
      <c r="Y667" s="70">
        <v>-160.60280701983308</v>
      </c>
      <c r="Z667" s="70">
        <v>-140.73543682351345</v>
      </c>
      <c r="AA667" s="70">
        <v>-126.52586458438111</v>
      </c>
      <c r="AB667" s="70">
        <v>-146.48916540780257</v>
      </c>
      <c r="AC667" s="70">
        <v>-120.89270223731883</v>
      </c>
      <c r="AD667" s="145">
        <v>-89.625497198427936</v>
      </c>
      <c r="AE667" s="15"/>
      <c r="AF667" s="92">
        <f>SUM(G667:R667)</f>
        <v>-1865.1430901697734</v>
      </c>
      <c r="AG667" s="93">
        <f>SUM(S667:AD667)</f>
        <v>-1820.1789204193121</v>
      </c>
    </row>
    <row r="668" spans="2:33" x14ac:dyDescent="0.2">
      <c r="B668" s="9">
        <f>G652</f>
        <v>14</v>
      </c>
      <c r="C668" s="9" t="str">
        <f t="shared" si="3581"/>
        <v>14 - % of Revenue - Doctor Compensation</v>
      </c>
      <c r="D668" s="9" t="s">
        <v>56</v>
      </c>
      <c r="F668" s="16" t="str">
        <f>"% of Revenue - "&amp;F667</f>
        <v>% of Revenue - Doctor Compensation</v>
      </c>
      <c r="G668" s="148">
        <f>G667/G664</f>
        <v>-0.36998085972743872</v>
      </c>
      <c r="H668" s="149">
        <f t="shared" ref="H668" si="3662">H667/H664</f>
        <v>-0.37867925696040622</v>
      </c>
      <c r="I668" s="149">
        <f t="shared" ref="I668" si="3663">I667/I664</f>
        <v>-0.37251916197258134</v>
      </c>
      <c r="J668" s="149">
        <f t="shared" ref="J668" si="3664">J667/J664</f>
        <v>-0.37840634632597853</v>
      </c>
      <c r="K668" s="149">
        <f t="shared" ref="K668" si="3665">K667/K664</f>
        <v>-0.38559159271411092</v>
      </c>
      <c r="L668" s="149">
        <f t="shared" ref="L668" si="3666">L667/L664</f>
        <v>-0.31604384899012194</v>
      </c>
      <c r="M668" s="149">
        <f t="shared" ref="M668" si="3667">M667/M664</f>
        <v>-0.32044593639776886</v>
      </c>
      <c r="N668" s="149">
        <f t="shared" ref="N668" si="3668">N667/N664</f>
        <v>-0.31409383132701829</v>
      </c>
      <c r="O668" s="149">
        <f t="shared" ref="O668" si="3669">O667/O664</f>
        <v>-0.31760435238023693</v>
      </c>
      <c r="P668" s="149">
        <f t="shared" ref="P668" si="3670">P667/P664</f>
        <v>-0.32423237245283026</v>
      </c>
      <c r="Q668" s="149">
        <f t="shared" ref="Q668" si="3671">Q667/Q664</f>
        <v>-0.32030601424653143</v>
      </c>
      <c r="R668" s="149">
        <f t="shared" ref="R668" si="3672">R667/R664</f>
        <v>-0.32751429354765943</v>
      </c>
      <c r="S668" s="148">
        <f t="shared" ref="S668" si="3673">S667/S664</f>
        <v>-0.39039951107810456</v>
      </c>
      <c r="T668" s="149">
        <f t="shared" ref="T668" si="3674">T667/T664</f>
        <v>-0.38231433020726519</v>
      </c>
      <c r="U668" s="149">
        <f t="shared" ref="U668" si="3675">U667/U664</f>
        <v>-0.38337067972058331</v>
      </c>
      <c r="V668" s="149">
        <f t="shared" ref="V668" si="3676">V667/V664</f>
        <v>-0.50138852208838403</v>
      </c>
      <c r="W668" s="149">
        <f t="shared" ref="W668" si="3677">W667/W664</f>
        <v>-0.49338342041881628</v>
      </c>
      <c r="X668" s="149">
        <f t="shared" ref="X668" si="3678">X667/X664</f>
        <v>-0.36605359114668634</v>
      </c>
      <c r="Y668" s="149">
        <f t="shared" ref="Y668" si="3679">Y667/Y664</f>
        <v>-0.3730071338035077</v>
      </c>
      <c r="Z668" s="149">
        <f t="shared" ref="Z668" si="3680">Z667/Z664</f>
        <v>-0.30160423289059141</v>
      </c>
      <c r="AA668" s="149">
        <f t="shared" ref="AA668" si="3681">AA667/AA664</f>
        <v>-0.3010560276669616</v>
      </c>
      <c r="AB668" s="149">
        <f t="shared" ref="AB668" si="3682">AB667/AB664</f>
        <v>-0.30646315815481778</v>
      </c>
      <c r="AC668" s="149">
        <f t="shared" ref="AC668" si="3683">AC667/AC664</f>
        <v>-0.30974940507289572</v>
      </c>
      <c r="AD668" s="150">
        <f t="shared" ref="AD668" si="3684">AD667/AD664</f>
        <v>-0.31621510949331083</v>
      </c>
      <c r="AE668" s="15"/>
      <c r="AF668" s="96">
        <f t="shared" ref="AF668" si="3685">AF667/AF664</f>
        <v>-0.3425839684617828</v>
      </c>
      <c r="AG668" s="97">
        <f t="shared" ref="AG668" si="3686">AG667/AG664</f>
        <v>-0.36791408956953608</v>
      </c>
    </row>
    <row r="669" spans="2:33" ht="3" customHeight="1" x14ac:dyDescent="0.2">
      <c r="B669" s="9">
        <f>G652</f>
        <v>14</v>
      </c>
      <c r="C669" s="9" t="str">
        <f t="shared" si="3581"/>
        <v xml:space="preserve">14 - </v>
      </c>
      <c r="D669" s="9" t="s">
        <v>56</v>
      </c>
      <c r="F669" s="16"/>
      <c r="G669" s="36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6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8"/>
      <c r="AE669" s="15"/>
      <c r="AF669" s="36"/>
      <c r="AG669" s="38"/>
    </row>
    <row r="670" spans="2:33" x14ac:dyDescent="0.2">
      <c r="B670" s="9">
        <f>G652</f>
        <v>14</v>
      </c>
      <c r="C670" s="9" t="str">
        <f t="shared" si="3581"/>
        <v>14 - Administrative Staff Compensation</v>
      </c>
      <c r="D670" s="9" t="s">
        <v>56</v>
      </c>
      <c r="F670" t="s">
        <v>5</v>
      </c>
      <c r="G670" s="144">
        <v>-70.935071437316765</v>
      </c>
      <c r="H670" s="70">
        <v>-69.681731730011577</v>
      </c>
      <c r="I670" s="70">
        <v>-83.573899415537227</v>
      </c>
      <c r="J670" s="70">
        <v>-77.522772864595268</v>
      </c>
      <c r="K670" s="70">
        <v>-76.454594209164313</v>
      </c>
      <c r="L670" s="70">
        <v>-67.759412892189772</v>
      </c>
      <c r="M670" s="70">
        <v>-63.690841450720718</v>
      </c>
      <c r="N670" s="70">
        <v>-74.814865285334562</v>
      </c>
      <c r="O670" s="70">
        <v>-68.024242105901919</v>
      </c>
      <c r="P670" s="70">
        <v>-73.943934079866025</v>
      </c>
      <c r="Q670" s="70">
        <v>-68.859477203683483</v>
      </c>
      <c r="R670" s="70">
        <v>-68.394778842401706</v>
      </c>
      <c r="S670" s="144">
        <v>-99.1796303323421</v>
      </c>
      <c r="T670" s="70">
        <v>-92.885110673098112</v>
      </c>
      <c r="U670" s="70">
        <v>-103.64793627465457</v>
      </c>
      <c r="V670" s="70">
        <v>-118.84885618289589</v>
      </c>
      <c r="W670" s="70">
        <v>-128.44533963677566</v>
      </c>
      <c r="X670" s="70">
        <v>-98.350208681041252</v>
      </c>
      <c r="Y670" s="70">
        <v>-104.85319899814495</v>
      </c>
      <c r="Z670" s="70">
        <v>-88.522220401200101</v>
      </c>
      <c r="AA670" s="70">
        <v>-82.766798378018279</v>
      </c>
      <c r="AB670" s="70">
        <v>-96.472503799353333</v>
      </c>
      <c r="AC670" s="70">
        <v>-76.727676062391907</v>
      </c>
      <c r="AD670" s="145">
        <v>-55.546216938045305</v>
      </c>
      <c r="AE670" s="15"/>
      <c r="AF670" s="92">
        <f>SUM(G670:R670)</f>
        <v>-863.65562151672339</v>
      </c>
      <c r="AG670" s="93">
        <f>SUM(S670:AD670)</f>
        <v>-1146.2456963579616</v>
      </c>
    </row>
    <row r="671" spans="2:33" x14ac:dyDescent="0.2">
      <c r="B671" s="9">
        <f>G652</f>
        <v>14</v>
      </c>
      <c r="C671" s="9" t="str">
        <f t="shared" si="3581"/>
        <v>14 - % of Revenue - Administrative Staff Compensation</v>
      </c>
      <c r="D671" s="9" t="s">
        <v>56</v>
      </c>
      <c r="F671" s="16" t="str">
        <f>"% of Revenue - "&amp;F670</f>
        <v>% of Revenue - Administrative Staff Compensation</v>
      </c>
      <c r="G671" s="148">
        <f>G670/G664</f>
        <v>-0.19113600619140053</v>
      </c>
      <c r="H671" s="149">
        <f t="shared" ref="H671" si="3687">H670/H664</f>
        <v>-0.18521262312004833</v>
      </c>
      <c r="I671" s="149">
        <f t="shared" ref="I671" si="3688">I670/I664</f>
        <v>-0.17734638784017298</v>
      </c>
      <c r="J671" s="149">
        <f t="shared" ref="J671" si="3689">J670/J664</f>
        <v>-0.17750276991760505</v>
      </c>
      <c r="K671" s="149">
        <f t="shared" ref="K671" si="3690">K670/K664</f>
        <v>-0.15116062039793629</v>
      </c>
      <c r="L671" s="149">
        <f t="shared" ref="L671" si="3691">L670/L664</f>
        <v>-0.12280740432042483</v>
      </c>
      <c r="M671" s="149">
        <f t="shared" ref="M671" si="3692">M670/M664</f>
        <v>-0.12816728789965307</v>
      </c>
      <c r="N671" s="149">
        <f t="shared" ref="N671" si="3693">N670/N664</f>
        <v>-0.15150909872914695</v>
      </c>
      <c r="O671" s="149">
        <f t="shared" ref="O671" si="3694">O670/O664</f>
        <v>-0.14845025494826855</v>
      </c>
      <c r="P671" s="149">
        <f t="shared" ref="P671" si="3695">P670/P664</f>
        <v>-0.15488728433888405</v>
      </c>
      <c r="Q671" s="149">
        <f t="shared" ref="Q671" si="3696">Q670/Q664</f>
        <v>-0.15516474673989855</v>
      </c>
      <c r="R671" s="149">
        <f t="shared" ref="R671" si="3697">R670/R664</f>
        <v>-0.18929452903573421</v>
      </c>
      <c r="S671" s="148">
        <f t="shared" ref="S671" si="3698">S670/S664</f>
        <v>-0.23255736265410748</v>
      </c>
      <c r="T671" s="149">
        <f t="shared" ref="T671" si="3699">T670/T664</f>
        <v>-0.223967954717323</v>
      </c>
      <c r="U671" s="149">
        <f t="shared" ref="U671" si="3700">U670/U664</f>
        <v>-0.23203878441614106</v>
      </c>
      <c r="V671" s="149">
        <f t="shared" ref="V671" si="3701">V670/V664</f>
        <v>-0.31058214538527051</v>
      </c>
      <c r="W671" s="149">
        <f t="shared" ref="W671" si="3702">W670/W664</f>
        <v>-0.31734908833585351</v>
      </c>
      <c r="X671" s="149">
        <f t="shared" ref="X671" si="3703">X670/X664</f>
        <v>-0.24415457113750821</v>
      </c>
      <c r="Y671" s="149">
        <f t="shared" ref="Y671" si="3704">Y670/Y664</f>
        <v>-0.24352619953645638</v>
      </c>
      <c r="Z671" s="149">
        <f t="shared" ref="Z671" si="3705">Z670/Z664</f>
        <v>-0.18970827092650999</v>
      </c>
      <c r="AA671" s="149">
        <f t="shared" ref="AA671" si="3706">AA670/AA664</f>
        <v>-0.19693557221876054</v>
      </c>
      <c r="AB671" s="149">
        <f t="shared" ref="AB671" si="3707">AB670/AB664</f>
        <v>-0.20182563063382516</v>
      </c>
      <c r="AC671" s="149">
        <f t="shared" ref="AC671" si="3708">AC670/AC664</f>
        <v>-0.19659046057467666</v>
      </c>
      <c r="AD671" s="150">
        <f t="shared" ref="AD671" si="3709">AD670/AD664</f>
        <v>-0.19597718975121381</v>
      </c>
      <c r="AE671" s="15"/>
      <c r="AF671" s="96">
        <f t="shared" ref="AF671" si="3710">AF670/AF664</f>
        <v>-0.15863371114148395</v>
      </c>
      <c r="AG671" s="97">
        <f t="shared" ref="AG671" si="3711">AG670/AG664</f>
        <v>-0.2316914766276863</v>
      </c>
    </row>
    <row r="672" spans="2:33" ht="3" customHeight="1" x14ac:dyDescent="0.2">
      <c r="B672" s="9">
        <f>G652</f>
        <v>14</v>
      </c>
      <c r="C672" s="9" t="str">
        <f t="shared" si="3581"/>
        <v xml:space="preserve">14 - </v>
      </c>
      <c r="D672" s="9" t="s">
        <v>56</v>
      </c>
      <c r="F672" s="16"/>
      <c r="G672" s="36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6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8"/>
      <c r="AE672" s="15"/>
      <c r="AF672" s="36"/>
      <c r="AG672" s="38"/>
    </row>
    <row r="673" spans="2:33" x14ac:dyDescent="0.2">
      <c r="B673" s="9">
        <f>G652</f>
        <v>14</v>
      </c>
      <c r="C673" s="9" t="str">
        <f t="shared" si="3581"/>
        <v>14 - Office Supplies</v>
      </c>
      <c r="D673" s="9" t="s">
        <v>56</v>
      </c>
      <c r="F673" t="s">
        <v>6</v>
      </c>
      <c r="G673" s="144">
        <v>-24.344794314501168</v>
      </c>
      <c r="H673" s="70">
        <v>-23.329906943973278</v>
      </c>
      <c r="I673" s="70">
        <v>-27.955997988449266</v>
      </c>
      <c r="J673" s="70">
        <v>-25.569108106120265</v>
      </c>
      <c r="K673" s="70">
        <v>-27.980630271867863</v>
      </c>
      <c r="L673" s="70">
        <v>-23.044983794094787</v>
      </c>
      <c r="M673" s="70">
        <v>-20.359132230252285</v>
      </c>
      <c r="N673" s="70">
        <v>-20.922194651076143</v>
      </c>
      <c r="O673" s="70">
        <v>-18.448066212016034</v>
      </c>
      <c r="P673" s="70">
        <v>-18.212664834158961</v>
      </c>
      <c r="Q673" s="70">
        <v>-17.736269598883414</v>
      </c>
      <c r="R673" s="70">
        <v>-13.826339935310591</v>
      </c>
      <c r="S673" s="144">
        <v>-19.760082528310221</v>
      </c>
      <c r="T673" s="70">
        <v>-21.085315560068516</v>
      </c>
      <c r="U673" s="70">
        <v>-22.469815219438352</v>
      </c>
      <c r="V673" s="70">
        <v>-27.043613829436271</v>
      </c>
      <c r="W673" s="70">
        <v>-30.752851137425861</v>
      </c>
      <c r="X673" s="70">
        <v>-22.375068649479779</v>
      </c>
      <c r="Y673" s="70">
        <v>-23.586398924139829</v>
      </c>
      <c r="Z673" s="70">
        <v>-19.742247402746631</v>
      </c>
      <c r="AA673" s="70">
        <v>-16.47107853699444</v>
      </c>
      <c r="AB673" s="70">
        <v>-18.441611193535124</v>
      </c>
      <c r="AC673" s="70">
        <v>-14.093767642892685</v>
      </c>
      <c r="AD673" s="145">
        <v>-10.249839186283381</v>
      </c>
      <c r="AE673" s="15"/>
      <c r="AF673" s="92">
        <f>SUM(G673:R673)</f>
        <v>-261.7300888807041</v>
      </c>
      <c r="AG673" s="93">
        <f>SUM(S673:AD673)</f>
        <v>-246.07168981075114</v>
      </c>
    </row>
    <row r="674" spans="2:33" x14ac:dyDescent="0.2">
      <c r="B674" s="9">
        <f>G652</f>
        <v>14</v>
      </c>
      <c r="C674" s="9" t="str">
        <f t="shared" si="3581"/>
        <v>14 - % of Revenue - Office Supplies</v>
      </c>
      <c r="D674" s="9" t="s">
        <v>56</v>
      </c>
      <c r="F674" s="16" t="str">
        <f>"% of Revenue - "&amp;F673</f>
        <v>% of Revenue - Office Supplies</v>
      </c>
      <c r="G674" s="148">
        <f>G673/G664</f>
        <v>-6.5597548046973278E-2</v>
      </c>
      <c r="H674" s="149">
        <f t="shared" ref="H674" si="3712">H673/H664</f>
        <v>-6.2010417292469359E-2</v>
      </c>
      <c r="I674" s="149">
        <f t="shared" ref="I674" si="3713">I673/I664</f>
        <v>-5.9323488510061036E-2</v>
      </c>
      <c r="J674" s="149">
        <f t="shared" ref="J674" si="3714">J673/J664</f>
        <v>-5.8545216398365095E-2</v>
      </c>
      <c r="K674" s="149">
        <f t="shared" ref="K674" si="3715">K673/K664</f>
        <v>-5.5321324699593284E-2</v>
      </c>
      <c r="L674" s="149">
        <f t="shared" ref="L674" si="3716">L673/L664</f>
        <v>-4.1766811747054627E-2</v>
      </c>
      <c r="M674" s="149">
        <f t="shared" ref="M674" si="3717">M673/M664</f>
        <v>-4.096938747403412E-2</v>
      </c>
      <c r="N674" s="149">
        <f t="shared" ref="N674" si="3718">N673/N664</f>
        <v>-4.2369960073184804E-2</v>
      </c>
      <c r="O674" s="149">
        <f t="shared" ref="O674" si="3719">O673/O664</f>
        <v>-4.0259472912800173E-2</v>
      </c>
      <c r="P674" s="149">
        <f t="shared" ref="P674" si="3720">P673/P664</f>
        <v>-3.8149311797372583E-2</v>
      </c>
      <c r="Q674" s="149">
        <f t="shared" ref="Q674" si="3721">Q673/Q664</f>
        <v>-3.9966085892300281E-2</v>
      </c>
      <c r="R674" s="149">
        <f t="shared" ref="R674" si="3722">R673/R664</f>
        <v>-3.8266817301556996E-2</v>
      </c>
      <c r="S674" s="148">
        <f t="shared" ref="S674" si="3723">S673/S664</f>
        <v>-4.6333633864259378E-2</v>
      </c>
      <c r="T674" s="149">
        <f t="shared" ref="T674" si="3724">T673/T664</f>
        <v>-5.0841679213562356E-2</v>
      </c>
      <c r="U674" s="149">
        <f t="shared" ref="U674" si="3725">U673/U664</f>
        <v>-5.030364131667471E-2</v>
      </c>
      <c r="V674" s="149">
        <f t="shared" ref="V674" si="3726">V673/V664</f>
        <v>-7.0671808479094711E-2</v>
      </c>
      <c r="W674" s="149">
        <f t="shared" ref="W674" si="3727">W673/W664</f>
        <v>-7.5980874820280889E-2</v>
      </c>
      <c r="X674" s="149">
        <f t="shared" ref="X674" si="3728">X673/X664</f>
        <v>-5.5546148437803221E-2</v>
      </c>
      <c r="Y674" s="149">
        <f t="shared" ref="Y674" si="3729">Y673/Y664</f>
        <v>-5.4780456348767735E-2</v>
      </c>
      <c r="Z674" s="149">
        <f t="shared" ref="Z674" si="3730">Z673/Z664</f>
        <v>-4.2308785319710204E-2</v>
      </c>
      <c r="AA674" s="149">
        <f t="shared" ref="AA674" si="3731">AA673/AA664</f>
        <v>-3.9191334451866858E-2</v>
      </c>
      <c r="AB674" s="149">
        <f t="shared" ref="AB674" si="3732">AB673/AB664</f>
        <v>-3.8580835600371184E-2</v>
      </c>
      <c r="AC674" s="149">
        <f t="shared" ref="AC674" si="3733">AC673/AC664</f>
        <v>-3.6110832679145978E-2</v>
      </c>
      <c r="AD674" s="150">
        <f t="shared" ref="AD674" si="3734">AD673/AD664</f>
        <v>-3.6163303098934202E-2</v>
      </c>
      <c r="AE674" s="15"/>
      <c r="AF674" s="96">
        <f t="shared" ref="AF674" si="3735">AF673/AF664</f>
        <v>-4.8073808914277504E-2</v>
      </c>
      <c r="AG674" s="97">
        <f t="shared" ref="AG674" si="3736">AG673/AG664</f>
        <v>-4.9738649706317757E-2</v>
      </c>
    </row>
    <row r="675" spans="2:33" ht="6" customHeight="1" x14ac:dyDescent="0.2">
      <c r="B675" s="9">
        <f>G652</f>
        <v>14</v>
      </c>
      <c r="C675" s="9" t="str">
        <f t="shared" si="3581"/>
        <v xml:space="preserve">14 - </v>
      </c>
      <c r="D675" s="9" t="s">
        <v>56</v>
      </c>
      <c r="F675" s="16"/>
      <c r="G675" s="11"/>
      <c r="S675" s="11"/>
      <c r="AD675" s="15"/>
      <c r="AE675" s="15"/>
      <c r="AF675" s="11"/>
      <c r="AG675" s="15"/>
    </row>
    <row r="676" spans="2:33" x14ac:dyDescent="0.2">
      <c r="B676" s="9">
        <f>G652</f>
        <v>14</v>
      </c>
      <c r="C676" s="9" t="str">
        <f t="shared" si="3581"/>
        <v>14 - Office Gross Profit</v>
      </c>
      <c r="D676" s="9" t="s">
        <v>56</v>
      </c>
      <c r="F676" s="8" t="s">
        <v>11</v>
      </c>
      <c r="G676" s="134">
        <f>G664+G667+G670+G673</f>
        <v>138.53506850687282</v>
      </c>
      <c r="H676" s="135">
        <f t="shared" ref="H676:AD676" si="3737">H664+H667+H670+H673</f>
        <v>140.74513559681807</v>
      </c>
      <c r="I676" s="135">
        <f t="shared" si="3737"/>
        <v>184.16837466762209</v>
      </c>
      <c r="J676" s="135">
        <f t="shared" si="3737"/>
        <v>168.38367769359871</v>
      </c>
      <c r="K676" s="135">
        <f t="shared" si="3737"/>
        <v>206.32259944215488</v>
      </c>
      <c r="L676" s="135">
        <f t="shared" si="3737"/>
        <v>286.57079085135643</v>
      </c>
      <c r="M676" s="135">
        <f t="shared" si="3737"/>
        <v>253.64438524132299</v>
      </c>
      <c r="N676" s="135">
        <f t="shared" si="3737"/>
        <v>242.96192275232369</v>
      </c>
      <c r="O676" s="135">
        <f t="shared" si="3737"/>
        <v>226.22130586197409</v>
      </c>
      <c r="P676" s="135">
        <f t="shared" si="3737"/>
        <v>230.45811486277799</v>
      </c>
      <c r="Q676" s="135">
        <f t="shared" si="3737"/>
        <v>215.04089103455638</v>
      </c>
      <c r="R676" s="135">
        <f t="shared" si="3737"/>
        <v>160.75743639649173</v>
      </c>
      <c r="S676" s="134">
        <f t="shared" si="3737"/>
        <v>141.03894553002294</v>
      </c>
      <c r="T676" s="135">
        <f t="shared" si="3737"/>
        <v>142.19926497242653</v>
      </c>
      <c r="U676" s="135">
        <f t="shared" si="3737"/>
        <v>149.32049756509613</v>
      </c>
      <c r="V676" s="135">
        <f t="shared" si="3737"/>
        <v>44.908594086020258</v>
      </c>
      <c r="W676" s="135">
        <f t="shared" si="3737"/>
        <v>45.852149755089187</v>
      </c>
      <c r="X676" s="135">
        <f t="shared" si="3737"/>
        <v>134.64066283123486</v>
      </c>
      <c r="Y676" s="135">
        <f t="shared" si="3737"/>
        <v>141.51988855126956</v>
      </c>
      <c r="Z676" s="135">
        <f t="shared" si="3737"/>
        <v>217.62297886027253</v>
      </c>
      <c r="AA676" s="135">
        <f t="shared" si="3737"/>
        <v>194.50973903808378</v>
      </c>
      <c r="AB676" s="135">
        <f t="shared" si="3737"/>
        <v>216.59598805884687</v>
      </c>
      <c r="AC676" s="135">
        <f t="shared" si="3737"/>
        <v>178.57781348462527</v>
      </c>
      <c r="AD676" s="136">
        <f t="shared" si="3737"/>
        <v>128.01049817547789</v>
      </c>
      <c r="AE676" s="15"/>
      <c r="AF676" s="98">
        <f>SUM(G676:R676)</f>
        <v>2453.8097029078699</v>
      </c>
      <c r="AG676" s="95">
        <f>SUM(S676:AD676)</f>
        <v>1734.7970209084656</v>
      </c>
    </row>
    <row r="677" spans="2:33" x14ac:dyDescent="0.2">
      <c r="B677" s="9">
        <f>G652</f>
        <v>14</v>
      </c>
      <c r="C677" s="9" t="str">
        <f t="shared" si="3581"/>
        <v>14 - % of Revenue - Office Gross Profit</v>
      </c>
      <c r="D677" s="9" t="s">
        <v>56</v>
      </c>
      <c r="F677" s="16" t="str">
        <f>"% of Revenue - "&amp;F676</f>
        <v>% of Revenue - Office Gross Profit</v>
      </c>
      <c r="G677" s="148">
        <f>G676/G664</f>
        <v>0.37328558603418743</v>
      </c>
      <c r="H677" s="149">
        <f t="shared" ref="H677" si="3738">H676/H664</f>
        <v>0.37409770262707609</v>
      </c>
      <c r="I677" s="149">
        <f t="shared" ref="I677" si="3739">I676/I664</f>
        <v>0.3908109616771846</v>
      </c>
      <c r="J677" s="149">
        <f t="shared" ref="J677" si="3740">J676/J664</f>
        <v>0.38554566735805135</v>
      </c>
      <c r="K677" s="149">
        <f t="shared" ref="K677" si="3741">K676/K664</f>
        <v>0.40792646218835954</v>
      </c>
      <c r="L677" s="149">
        <f t="shared" ref="L677" si="3742">L676/L664</f>
        <v>0.51938193494239859</v>
      </c>
      <c r="M677" s="149">
        <f t="shared" ref="M677" si="3743">M676/M664</f>
        <v>0.51041738822854399</v>
      </c>
      <c r="N677" s="149">
        <f t="shared" ref="N677" si="3744">N676/N664</f>
        <v>0.4920271098706499</v>
      </c>
      <c r="O677" s="149">
        <f t="shared" ref="O677" si="3745">O676/O664</f>
        <v>0.49368591975869436</v>
      </c>
      <c r="P677" s="149">
        <f t="shared" ref="P677" si="3746">P676/P664</f>
        <v>0.48273103141091311</v>
      </c>
      <c r="Q677" s="149">
        <f t="shared" ref="Q677" si="3747">Q676/Q664</f>
        <v>0.48456315312126974</v>
      </c>
      <c r="R677" s="149">
        <f t="shared" ref="R677" si="3748">R676/R664</f>
        <v>0.44492436011504943</v>
      </c>
      <c r="S677" s="148">
        <f t="shared" ref="S677" si="3749">S676/S664</f>
        <v>0.33070949240352848</v>
      </c>
      <c r="T677" s="149">
        <f t="shared" ref="T677" si="3750">T676/T664</f>
        <v>0.34287603586184939</v>
      </c>
      <c r="U677" s="149">
        <f t="shared" ref="U677" si="3751">U676/U664</f>
        <v>0.33428689454660088</v>
      </c>
      <c r="V677" s="149">
        <f t="shared" ref="V677" si="3752">V676/V664</f>
        <v>0.11735752404725069</v>
      </c>
      <c r="W677" s="149">
        <f t="shared" ref="W677" si="3753">W676/W664</f>
        <v>0.11328661642504929</v>
      </c>
      <c r="X677" s="149">
        <f t="shared" ref="X677" si="3754">X676/X664</f>
        <v>0.33424568927800219</v>
      </c>
      <c r="Y677" s="149">
        <f t="shared" ref="Y677" si="3755">Y676/Y664</f>
        <v>0.32868621031126832</v>
      </c>
      <c r="Z677" s="149">
        <f t="shared" ref="Z677" si="3756">Z676/Z664</f>
        <v>0.46637871086318833</v>
      </c>
      <c r="AA677" s="149">
        <f t="shared" ref="AA677" si="3757">AA676/AA664</f>
        <v>0.46281706566241099</v>
      </c>
      <c r="AB677" s="149">
        <f t="shared" ref="AB677" si="3758">AB676/AB664</f>
        <v>0.45313037561098585</v>
      </c>
      <c r="AC677" s="149">
        <f t="shared" ref="AC677" si="3759">AC676/AC664</f>
        <v>0.45754930167328167</v>
      </c>
      <c r="AD677" s="150">
        <f t="shared" ref="AD677" si="3760">AD676/AD664</f>
        <v>0.45164439765654124</v>
      </c>
      <c r="AE677" s="15"/>
      <c r="AF677" s="111">
        <f t="shared" ref="AF677" si="3761">AF676/AF664</f>
        <v>0.45070851148245572</v>
      </c>
      <c r="AG677" s="97">
        <f t="shared" ref="AG677" si="3762">AG676/AG664</f>
        <v>0.35065578409645981</v>
      </c>
    </row>
    <row r="678" spans="2:33" ht="6" customHeight="1" x14ac:dyDescent="0.2">
      <c r="B678" s="9">
        <f>G652</f>
        <v>14</v>
      </c>
      <c r="C678" s="9" t="str">
        <f t="shared" si="3581"/>
        <v xml:space="preserve">14 - </v>
      </c>
      <c r="D678" s="9" t="s">
        <v>56</v>
      </c>
      <c r="F678" s="16"/>
      <c r="G678" s="11"/>
      <c r="S678" s="11"/>
      <c r="AD678" s="15"/>
      <c r="AE678" s="15"/>
      <c r="AF678" s="11"/>
      <c r="AG678" s="15"/>
    </row>
    <row r="679" spans="2:33" x14ac:dyDescent="0.2">
      <c r="B679" s="9">
        <f>G652</f>
        <v>14</v>
      </c>
      <c r="C679" s="9" t="str">
        <f t="shared" si="3581"/>
        <v>14 - General and Administrative Expense</v>
      </c>
      <c r="D679" s="9" t="s">
        <v>56</v>
      </c>
      <c r="F679" t="s">
        <v>10</v>
      </c>
      <c r="G679" s="144">
        <v>-27.745357866611691</v>
      </c>
      <c r="H679" s="70">
        <v>-29.016868682326642</v>
      </c>
      <c r="I679" s="70">
        <v>-36.668238768629095</v>
      </c>
      <c r="J679" s="70">
        <v>-32.21434356347276</v>
      </c>
      <c r="K679" s="70">
        <v>-39.763210871909493</v>
      </c>
      <c r="L679" s="70">
        <v>-36.037927838545109</v>
      </c>
      <c r="M679" s="70">
        <v>-33.801326256059987</v>
      </c>
      <c r="N679" s="70">
        <v>-34.440255637331866</v>
      </c>
      <c r="O679" s="70">
        <v>-31.04517873564475</v>
      </c>
      <c r="P679" s="70">
        <v>-33.033070271873243</v>
      </c>
      <c r="Q679" s="70">
        <v>-29.995335986157436</v>
      </c>
      <c r="R679" s="70">
        <v>-23.778303862638655</v>
      </c>
      <c r="S679" s="144">
        <v>-33.190531922875444</v>
      </c>
      <c r="T679" s="70">
        <v>-30.603978001833454</v>
      </c>
      <c r="U679" s="70">
        <v>-32.832184710748081</v>
      </c>
      <c r="V679" s="70">
        <v>-36.620386392321741</v>
      </c>
      <c r="W679" s="70">
        <v>-36.073139210465548</v>
      </c>
      <c r="X679" s="70">
        <v>-27.621824235465908</v>
      </c>
      <c r="Y679" s="70">
        <v>-31.464631724495511</v>
      </c>
      <c r="Z679" s="70">
        <v>-27.482248102650765</v>
      </c>
      <c r="AA679" s="70">
        <v>-23.236852070582287</v>
      </c>
      <c r="AB679" s="70">
        <v>-26.140224225101942</v>
      </c>
      <c r="AC679" s="70">
        <v>-21.083476825646855</v>
      </c>
      <c r="AD679" s="145">
        <v>-14.625318707052452</v>
      </c>
      <c r="AE679" s="15"/>
      <c r="AF679" s="144">
        <v>-387.5394183412007</v>
      </c>
      <c r="AG679" s="145">
        <v>-340.97479612923996</v>
      </c>
    </row>
    <row r="680" spans="2:33" x14ac:dyDescent="0.2">
      <c r="B680" s="9">
        <f>G652</f>
        <v>14</v>
      </c>
      <c r="C680" s="9" t="str">
        <f t="shared" si="3581"/>
        <v>14 - % of Revenue - General and Administrative Expense</v>
      </c>
      <c r="D680" s="9" t="s">
        <v>56</v>
      </c>
      <c r="F680" s="16" t="str">
        <f>"% of Revenue - "&amp;F679</f>
        <v>% of Revenue - General and Administrative Expense</v>
      </c>
      <c r="G680" s="148">
        <f>G679/G664</f>
        <v>-7.4760436347224124E-2</v>
      </c>
      <c r="H680" s="149">
        <f t="shared" ref="H680" si="3763">H679/H664</f>
        <v>-7.7126245716838543E-2</v>
      </c>
      <c r="I680" s="149">
        <f t="shared" ref="I680" si="3764">I679/I664</f>
        <v>-7.7811131699670258E-2</v>
      </c>
      <c r="J680" s="149">
        <f t="shared" ref="J680" si="3765">J679/J664</f>
        <v>-7.376071575227755E-2</v>
      </c>
      <c r="K680" s="149">
        <f t="shared" ref="K680" si="3766">K679/K664</f>
        <v>-7.8617010352156624E-2</v>
      </c>
      <c r="L680" s="149">
        <f t="shared" ref="L680" si="3767">L679/L664</f>
        <v>-6.5315270396161154E-2</v>
      </c>
      <c r="M680" s="149">
        <f t="shared" ref="M680" si="3768">M679/M664</f>
        <v>-6.8019580444741004E-2</v>
      </c>
      <c r="N680" s="149">
        <f t="shared" ref="N680" si="3769">N679/N664</f>
        <v>-6.9745659124195794E-2</v>
      </c>
      <c r="O680" s="149">
        <f t="shared" ref="O680" si="3770">O679/O664</f>
        <v>-6.7750327758832496E-2</v>
      </c>
      <c r="P680" s="149">
        <f t="shared" ref="P680" si="3771">P679/P664</f>
        <v>-6.9192998877498177E-2</v>
      </c>
      <c r="Q680" s="149">
        <f t="shared" ref="Q680" si="3772">Q679/Q664</f>
        <v>-6.7590096536796207E-2</v>
      </c>
      <c r="R680" s="149">
        <f t="shared" ref="R680" si="3773">R679/R664</f>
        <v>-6.5810620446897061E-2</v>
      </c>
      <c r="S680" s="148">
        <f t="shared" ref="S680" si="3774">S679/S664</f>
        <v>-7.7825482341547264E-2</v>
      </c>
      <c r="T680" s="149">
        <f t="shared" ref="T680" si="3775">T679/T664</f>
        <v>-7.379342404411611E-2</v>
      </c>
      <c r="U680" s="149">
        <f t="shared" ref="U680" si="3776">U679/U664</f>
        <v>-7.3502092794404617E-2</v>
      </c>
      <c r="V680" s="149">
        <f t="shared" ref="V680" si="3777">V679/V664</f>
        <v>-9.5698339351806813E-2</v>
      </c>
      <c r="W680" s="149">
        <f t="shared" ref="W680" si="3778">W679/W664</f>
        <v>-8.9125676916158955E-2</v>
      </c>
      <c r="X680" s="149">
        <f t="shared" ref="X680" si="3779">X679/X664</f>
        <v>-6.8571228680532878E-2</v>
      </c>
      <c r="Y680" s="149">
        <f t="shared" ref="Y680" si="3780">Y679/Y664</f>
        <v>-7.3078001023279923E-2</v>
      </c>
      <c r="Z680" s="149">
        <f t="shared" ref="Z680" si="3781">Z679/Z664</f>
        <v>-5.8896057341288229E-2</v>
      </c>
      <c r="AA680" s="149">
        <f t="shared" ref="AA680" si="3782">AA679/AA664</f>
        <v>-5.5289836610354852E-2</v>
      </c>
      <c r="AB680" s="149">
        <f t="shared" ref="AB680" si="3783">AB679/AB664</f>
        <v>-5.4686745252445261E-2</v>
      </c>
      <c r="AC680" s="149">
        <f t="shared" ref="AC680" si="3784">AC679/AC664</f>
        <v>-5.4019757046975356E-2</v>
      </c>
      <c r="AD680" s="150">
        <f t="shared" ref="AD680" si="3785">AD679/AD664</f>
        <v>-5.160079331092713E-2</v>
      </c>
      <c r="AE680" s="15"/>
      <c r="AF680" s="96">
        <f t="shared" ref="AF680" si="3786">AF679/AF664</f>
        <v>-7.1182094591259876E-2</v>
      </c>
      <c r="AG680" s="97">
        <f t="shared" ref="AG680" si="3787">AG679/AG664</f>
        <v>-6.8921483639173164E-2</v>
      </c>
    </row>
    <row r="681" spans="2:33" ht="3" customHeight="1" x14ac:dyDescent="0.2">
      <c r="B681" s="9">
        <f>G652</f>
        <v>14</v>
      </c>
      <c r="C681" s="9" t="str">
        <f t="shared" si="3581"/>
        <v xml:space="preserve">14 - </v>
      </c>
      <c r="D681" s="9" t="s">
        <v>56</v>
      </c>
      <c r="F681" s="16"/>
      <c r="G681" s="36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6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8"/>
      <c r="AE681" s="15"/>
      <c r="AF681" s="36"/>
      <c r="AG681" s="38"/>
    </row>
    <row r="682" spans="2:33" x14ac:dyDescent="0.2">
      <c r="B682" s="9">
        <f>G652</f>
        <v>14</v>
      </c>
      <c r="C682" s="9" t="str">
        <f t="shared" si="3581"/>
        <v>14 - Marketing</v>
      </c>
      <c r="D682" s="9" t="s">
        <v>56</v>
      </c>
      <c r="F682" t="s">
        <v>7</v>
      </c>
      <c r="G682" s="144">
        <v>-14.068654597842437</v>
      </c>
      <c r="H682" s="70">
        <v>-13.690642692341065</v>
      </c>
      <c r="I682" s="70">
        <v>-17.927761259815824</v>
      </c>
      <c r="J682" s="70">
        <v>-18.137457428916992</v>
      </c>
      <c r="K682" s="70">
        <v>-21.099986764034831</v>
      </c>
      <c r="L682" s="70">
        <v>-16.366052944647134</v>
      </c>
      <c r="M682" s="70">
        <v>-15.537792233493654</v>
      </c>
      <c r="N682" s="70">
        <v>-15.024705953910757</v>
      </c>
      <c r="O682" s="70">
        <v>-13.229179833962553</v>
      </c>
      <c r="P682" s="70">
        <v>-13.98271655258759</v>
      </c>
      <c r="Q682" s="70">
        <v>-13.255039953335418</v>
      </c>
      <c r="R682" s="70">
        <v>-9.864133000617219</v>
      </c>
      <c r="S682" s="144">
        <v>-13.383190582604799</v>
      </c>
      <c r="T682" s="70">
        <v>-12.539981364639305</v>
      </c>
      <c r="U682" s="70">
        <v>-13.761459825680438</v>
      </c>
      <c r="V682" s="70">
        <v>-15.920291932163465</v>
      </c>
      <c r="W682" s="70">
        <v>-17.292889394024026</v>
      </c>
      <c r="X682" s="70">
        <v>-12.810882195742849</v>
      </c>
      <c r="Y682" s="70">
        <v>-14.036680943374455</v>
      </c>
      <c r="Z682" s="70">
        <v>-10.335718922903805</v>
      </c>
      <c r="AA682" s="70">
        <v>-8.6120821616789875</v>
      </c>
      <c r="AB682" s="70">
        <v>-10.709497266144535</v>
      </c>
      <c r="AC682" s="70">
        <v>-10.262830582450707</v>
      </c>
      <c r="AD682" s="145">
        <v>-8.2493740826003474</v>
      </c>
      <c r="AE682" s="15"/>
      <c r="AF682" s="144">
        <v>-182.18412321550548</v>
      </c>
      <c r="AG682" s="145">
        <v>-147.9148792540077</v>
      </c>
    </row>
    <row r="683" spans="2:33" x14ac:dyDescent="0.2">
      <c r="B683" s="9">
        <f>G652</f>
        <v>14</v>
      </c>
      <c r="C683" s="9" t="str">
        <f t="shared" si="3581"/>
        <v>14 - % of Revenue - Marketing</v>
      </c>
      <c r="D683" s="9" t="s">
        <v>56</v>
      </c>
      <c r="F683" s="16" t="str">
        <f>"% of Revenue - "&amp;F682</f>
        <v>% of Revenue - Marketing</v>
      </c>
      <c r="G683" s="148">
        <f>G682/G664</f>
        <v>-3.7908278624828075E-2</v>
      </c>
      <c r="H683" s="149">
        <f t="shared" ref="H683" si="3788">H682/H664</f>
        <v>-3.6389449318977023E-2</v>
      </c>
      <c r="I683" s="149">
        <f t="shared" ref="I683" si="3789">I682/I664</f>
        <v>-3.8043261397687503E-2</v>
      </c>
      <c r="J683" s="149">
        <f t="shared" ref="J683" si="3790">J682/J664</f>
        <v>-4.1529073508743582E-2</v>
      </c>
      <c r="K683" s="149">
        <f t="shared" ref="K683" si="3791">K682/K664</f>
        <v>-4.1717402631344269E-2</v>
      </c>
      <c r="L683" s="149">
        <f t="shared" ref="L683" si="3792">L682/L664</f>
        <v>-2.9661893385950901E-2</v>
      </c>
      <c r="M683" s="149">
        <f t="shared" ref="M683" si="3793">M682/M664</f>
        <v>-3.1267237881540656E-2</v>
      </c>
      <c r="N683" s="149">
        <f t="shared" ref="N683" si="3794">N682/N664</f>
        <v>-3.042683628535103E-2</v>
      </c>
      <c r="O683" s="149">
        <f t="shared" ref="O683" si="3795">O682/O664</f>
        <v>-2.8870224177592774E-2</v>
      </c>
      <c r="P683" s="149">
        <f t="shared" ref="P683" si="3796">P682/P664</f>
        <v>-2.9289015001169094E-2</v>
      </c>
      <c r="Q683" s="149">
        <f t="shared" ref="Q683" si="3797">Q682/Q664</f>
        <v>-2.9868291205622274E-2</v>
      </c>
      <c r="R683" s="149">
        <f t="shared" ref="R683" si="3798">R682/R664</f>
        <v>-2.7300715673051978E-2</v>
      </c>
      <c r="S683" s="148">
        <f t="shared" ref="S683" si="3799">S682/S664</f>
        <v>-3.1381035554968503E-2</v>
      </c>
      <c r="T683" s="149">
        <f t="shared" ref="T683" si="3800">T682/T664</f>
        <v>-3.0236858825695934E-2</v>
      </c>
      <c r="U683" s="149">
        <f t="shared" ref="U683" si="3801">U682/U664</f>
        <v>-3.0808065500511978E-2</v>
      </c>
      <c r="V683" s="149">
        <f t="shared" ref="V683" si="3802">V682/V664</f>
        <v>-4.1603752718006703E-2</v>
      </c>
      <c r="W683" s="149">
        <f t="shared" ref="W683" si="3803">W682/W664</f>
        <v>-4.2725432463374638E-2</v>
      </c>
      <c r="X683" s="149">
        <f t="shared" ref="X683" si="3804">X682/X664</f>
        <v>-3.1803038248130126E-2</v>
      </c>
      <c r="Y683" s="149">
        <f t="shared" ref="Y683" si="3805">Y682/Y664</f>
        <v>-3.2600813298087915E-2</v>
      </c>
      <c r="Z683" s="149">
        <f t="shared" ref="Z683" si="3806">Z682/Z664</f>
        <v>-2.215004726225675E-2</v>
      </c>
      <c r="AA683" s="149">
        <f t="shared" ref="AA683" si="3807">AA682/AA664</f>
        <v>-2.0491614533149231E-2</v>
      </c>
      <c r="AB683" s="149">
        <f t="shared" ref="AB683" si="3808">AB682/AB664</f>
        <v>-2.2404840284919979E-2</v>
      </c>
      <c r="AC683" s="149">
        <f t="shared" ref="AC683" si="3809">AC682/AC664</f>
        <v>-2.6295265209951752E-2</v>
      </c>
      <c r="AD683" s="150">
        <f t="shared" ref="AD683" si="3810">AD682/AD664</f>
        <v>-2.9105297156739287E-2</v>
      </c>
      <c r="AE683" s="15"/>
      <c r="AF683" s="96">
        <f t="shared" ref="AF683" si="3811">AF682/AF664</f>
        <v>-3.3463041120462854E-2</v>
      </c>
      <c r="AG683" s="97">
        <f t="shared" ref="AG683" si="3812">AG682/AG664</f>
        <v>-2.9898142168347634E-2</v>
      </c>
    </row>
    <row r="684" spans="2:33" ht="3" customHeight="1" x14ac:dyDescent="0.2">
      <c r="B684" s="9">
        <f>G652</f>
        <v>14</v>
      </c>
      <c r="C684" s="9" t="str">
        <f t="shared" si="3581"/>
        <v xml:space="preserve">14 - </v>
      </c>
      <c r="D684" s="9" t="s">
        <v>56</v>
      </c>
      <c r="F684" s="16"/>
      <c r="G684" s="36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6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8"/>
      <c r="AE684" s="15"/>
      <c r="AF684" s="36"/>
      <c r="AG684" s="38"/>
    </row>
    <row r="685" spans="2:33" x14ac:dyDescent="0.2">
      <c r="B685" s="9">
        <f>G652</f>
        <v>14</v>
      </c>
      <c r="C685" s="9" t="str">
        <f t="shared" si="3581"/>
        <v>14 - Office Rent</v>
      </c>
      <c r="D685" s="9" t="s">
        <v>56</v>
      </c>
      <c r="F685" t="s">
        <v>162</v>
      </c>
      <c r="G685" s="144">
        <v>-30.201815424758102</v>
      </c>
      <c r="H685" s="70">
        <v>-30.201815424758102</v>
      </c>
      <c r="I685" s="70">
        <v>-30.201815424758102</v>
      </c>
      <c r="J685" s="70">
        <v>-30.201815424758102</v>
      </c>
      <c r="K685" s="70">
        <v>-30.201815424758102</v>
      </c>
      <c r="L685" s="70">
        <v>-30.201815424758102</v>
      </c>
      <c r="M685" s="70">
        <v>-30.201815424758102</v>
      </c>
      <c r="N685" s="70">
        <v>-30.201815424758102</v>
      </c>
      <c r="O685" s="70">
        <v>-30.201815424758102</v>
      </c>
      <c r="P685" s="70">
        <v>-30.201815424758102</v>
      </c>
      <c r="Q685" s="70">
        <v>-30.201815424758102</v>
      </c>
      <c r="R685" s="70">
        <v>-31.107869887500847</v>
      </c>
      <c r="S685" s="144">
        <v>-31.10803983660815</v>
      </c>
      <c r="T685" s="70">
        <v>-31.10803983660815</v>
      </c>
      <c r="U685" s="70">
        <v>-31.10803983660815</v>
      </c>
      <c r="V685" s="70">
        <v>-31.10803983660815</v>
      </c>
      <c r="W685" s="70">
        <v>-31.10803983660815</v>
      </c>
      <c r="X685" s="70">
        <v>-31.10803983660815</v>
      </c>
      <c r="Y685" s="70">
        <v>-31.10803983660815</v>
      </c>
      <c r="Z685" s="70">
        <v>-31.10803983660815</v>
      </c>
      <c r="AA685" s="70">
        <v>-31.10803983660815</v>
      </c>
      <c r="AB685" s="70">
        <v>-31.10803983660815</v>
      </c>
      <c r="AC685" s="70">
        <v>-31.10803983660815</v>
      </c>
      <c r="AD685" s="145">
        <v>-32.04128103170639</v>
      </c>
      <c r="AE685" s="15"/>
      <c r="AF685" s="144">
        <v>-363.32783955983996</v>
      </c>
      <c r="AG685" s="145">
        <v>-374.22971923439604</v>
      </c>
    </row>
    <row r="686" spans="2:33" x14ac:dyDescent="0.2">
      <c r="B686" s="9">
        <f>G652</f>
        <v>14</v>
      </c>
      <c r="C686" s="9" t="str">
        <f t="shared" si="3581"/>
        <v>14 - % YoY Growth</v>
      </c>
      <c r="D686" s="9" t="s">
        <v>56</v>
      </c>
      <c r="F686" s="16" t="s">
        <v>8</v>
      </c>
      <c r="G686" s="82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148">
        <f>S685/G685-1</f>
        <v>3.0005627115619271E-2</v>
      </c>
      <c r="T686" s="149">
        <f t="shared" ref="T686" si="3813">T685/H685-1</f>
        <v>3.0005627115619271E-2</v>
      </c>
      <c r="U686" s="149">
        <f t="shared" ref="U686" si="3814">U685/I685-1</f>
        <v>3.0005627115619271E-2</v>
      </c>
      <c r="V686" s="149">
        <f t="shared" ref="V686" si="3815">V685/J685-1</f>
        <v>3.0005627115619271E-2</v>
      </c>
      <c r="W686" s="149">
        <f t="shared" ref="W686" si="3816">W685/K685-1</f>
        <v>3.0005627115619271E-2</v>
      </c>
      <c r="X686" s="149">
        <f t="shared" ref="X686" si="3817">X685/L685-1</f>
        <v>3.0005627115619271E-2</v>
      </c>
      <c r="Y686" s="149">
        <f t="shared" ref="Y686" si="3818">Y685/M685-1</f>
        <v>3.0005627115619271E-2</v>
      </c>
      <c r="Z686" s="149">
        <f t="shared" ref="Z686" si="3819">Z685/N685-1</f>
        <v>3.0005627115619271E-2</v>
      </c>
      <c r="AA686" s="149">
        <f t="shared" ref="AA686" si="3820">AA685/O685-1</f>
        <v>3.0005627115619271E-2</v>
      </c>
      <c r="AB686" s="149">
        <f t="shared" ref="AB686" si="3821">AB685/P685-1</f>
        <v>3.0005627115619271E-2</v>
      </c>
      <c r="AC686" s="149">
        <f t="shared" ref="AC686" si="3822">AC685/Q685-1</f>
        <v>3.0005627115619271E-2</v>
      </c>
      <c r="AD686" s="150">
        <f t="shared" ref="AD686" si="3823">AD685/R685-1</f>
        <v>3.0005627115619049E-2</v>
      </c>
      <c r="AE686" s="15"/>
      <c r="AF686" s="11"/>
      <c r="AG686" s="97">
        <f>AG685/AF685-1</f>
        <v>3.0005627115619271E-2</v>
      </c>
    </row>
    <row r="687" spans="2:33" ht="6" customHeight="1" x14ac:dyDescent="0.2">
      <c r="B687" s="9">
        <f>G652</f>
        <v>14</v>
      </c>
      <c r="C687" s="9" t="str">
        <f t="shared" si="3581"/>
        <v xml:space="preserve">14 - </v>
      </c>
      <c r="D687" s="9" t="s">
        <v>56</v>
      </c>
      <c r="F687" s="16"/>
      <c r="G687" s="11"/>
      <c r="S687" s="11"/>
      <c r="AD687" s="15"/>
      <c r="AE687" s="15"/>
      <c r="AF687" s="11"/>
      <c r="AG687" s="15"/>
    </row>
    <row r="688" spans="2:33" x14ac:dyDescent="0.2">
      <c r="B688" s="9">
        <f>G652</f>
        <v>14</v>
      </c>
      <c r="C688" s="9" t="str">
        <f t="shared" si="3581"/>
        <v>14 - Office EBITDA</v>
      </c>
      <c r="D688" s="9" t="s">
        <v>56</v>
      </c>
      <c r="F688" s="8" t="s">
        <v>12</v>
      </c>
      <c r="G688" s="134">
        <f>G676+G679+G682+G685</f>
        <v>66.519240617660586</v>
      </c>
      <c r="H688" s="135">
        <f t="shared" ref="H688:AD688" si="3824">H676+H679+H682+H685</f>
        <v>67.835808797392247</v>
      </c>
      <c r="I688" s="135">
        <f t="shared" si="3824"/>
        <v>99.370559214419046</v>
      </c>
      <c r="J688" s="135">
        <f t="shared" si="3824"/>
        <v>87.830061276450863</v>
      </c>
      <c r="K688" s="135">
        <f t="shared" si="3824"/>
        <v>115.25758638145246</v>
      </c>
      <c r="L688" s="135">
        <f t="shared" si="3824"/>
        <v>203.9649946434061</v>
      </c>
      <c r="M688" s="135">
        <f t="shared" si="3824"/>
        <v>174.10345132701124</v>
      </c>
      <c r="N688" s="135">
        <f t="shared" si="3824"/>
        <v>163.29514573632295</v>
      </c>
      <c r="O688" s="135">
        <f t="shared" si="3824"/>
        <v>151.74513186760868</v>
      </c>
      <c r="P688" s="135">
        <f t="shared" si="3824"/>
        <v>153.24051261355905</v>
      </c>
      <c r="Q688" s="135">
        <f t="shared" si="3824"/>
        <v>141.5886996703054</v>
      </c>
      <c r="R688" s="135">
        <f t="shared" si="3824"/>
        <v>96.007129645735006</v>
      </c>
      <c r="S688" s="134">
        <f t="shared" si="3824"/>
        <v>63.357183187934559</v>
      </c>
      <c r="T688" s="135">
        <f t="shared" si="3824"/>
        <v>67.94726576934562</v>
      </c>
      <c r="U688" s="135">
        <f t="shared" si="3824"/>
        <v>71.618813192059463</v>
      </c>
      <c r="V688" s="135">
        <f t="shared" si="3824"/>
        <v>-38.740124075073098</v>
      </c>
      <c r="W688" s="135">
        <f t="shared" si="3824"/>
        <v>-38.621918686008541</v>
      </c>
      <c r="X688" s="135">
        <f t="shared" si="3824"/>
        <v>63.099916563417956</v>
      </c>
      <c r="Y688" s="135">
        <f t="shared" si="3824"/>
        <v>64.910536046791435</v>
      </c>
      <c r="Z688" s="135">
        <f t="shared" si="3824"/>
        <v>148.6969719981098</v>
      </c>
      <c r="AA688" s="135">
        <f t="shared" si="3824"/>
        <v>131.55276496921437</v>
      </c>
      <c r="AB688" s="135">
        <f t="shared" si="3824"/>
        <v>148.63822673099224</v>
      </c>
      <c r="AC688" s="135">
        <f t="shared" si="3824"/>
        <v>116.12346623991954</v>
      </c>
      <c r="AD688" s="136">
        <f t="shared" si="3824"/>
        <v>73.09452435411869</v>
      </c>
      <c r="AE688" s="15"/>
      <c r="AF688" s="94">
        <f>SUM(G688:R688)</f>
        <v>1520.7583217913236</v>
      </c>
      <c r="AG688" s="95">
        <f>SUM(S688:AD688)</f>
        <v>871.67762629082199</v>
      </c>
    </row>
    <row r="689" spans="2:34" x14ac:dyDescent="0.2">
      <c r="B689" s="9">
        <f>G652</f>
        <v>14</v>
      </c>
      <c r="C689" s="9" t="str">
        <f t="shared" si="3581"/>
        <v>14 - % of Revenue - Office EBITDA</v>
      </c>
      <c r="D689" s="9" t="s">
        <v>56</v>
      </c>
      <c r="F689" s="16" t="str">
        <f>"% of Revenue - "&amp;F688</f>
        <v>% of Revenue - Office EBITDA</v>
      </c>
      <c r="G689" s="148">
        <f>G688/G664</f>
        <v>0.17923745939664867</v>
      </c>
      <c r="H689" s="149">
        <f t="shared" ref="H689" si="3825">H688/H664</f>
        <v>0.18030619757723093</v>
      </c>
      <c r="I689" s="149">
        <f t="shared" ref="I689" si="3826">I688/I664</f>
        <v>0.21086738632012356</v>
      </c>
      <c r="J689" s="149">
        <f t="shared" ref="J689" si="3827">J688/J664</f>
        <v>0.20110321886748475</v>
      </c>
      <c r="K689" s="149">
        <f t="shared" ref="K689" si="3828">K688/K664</f>
        <v>0.22787915419869864</v>
      </c>
      <c r="L689" s="149">
        <f t="shared" ref="L689" si="3829">L688/L664</f>
        <v>0.36966689195256064</v>
      </c>
      <c r="M689" s="149">
        <f t="shared" ref="M689" si="3830">M688/M664</f>
        <v>0.35035440986939226</v>
      </c>
      <c r="N689" s="149">
        <f t="shared" ref="N689" si="3831">N688/N664</f>
        <v>0.33069230644200248</v>
      </c>
      <c r="O689" s="149">
        <f t="shared" ref="O689" si="3832">O688/O664</f>
        <v>0.33115552361223127</v>
      </c>
      <c r="P689" s="149">
        <f t="shared" ref="P689" si="3833">P688/P664</f>
        <v>0.32098653046748565</v>
      </c>
      <c r="Q689" s="149">
        <f t="shared" ref="Q689" si="3834">Q688/Q664</f>
        <v>0.31904939766808577</v>
      </c>
      <c r="R689" s="149">
        <f t="shared" ref="R689" si="3835">R688/R664</f>
        <v>0.26571654588193871</v>
      </c>
      <c r="S689" s="148">
        <f t="shared" ref="S689" si="3836">S688/S664</f>
        <v>0.14856053988108542</v>
      </c>
      <c r="T689" s="149">
        <f t="shared" ref="T689" si="3837">T688/T664</f>
        <v>0.16383691673204018</v>
      </c>
      <c r="U689" s="149">
        <f t="shared" ref="U689" si="3838">U688/U664</f>
        <v>0.16033452234278506</v>
      </c>
      <c r="V689" s="149">
        <f t="shared" ref="V689" si="3839">V688/V664</f>
        <v>-0.10123775048547209</v>
      </c>
      <c r="W689" s="149">
        <f t="shared" ref="W689" si="3840">W688/W664</f>
        <v>-9.5422930247576199E-2</v>
      </c>
      <c r="X689" s="149">
        <f t="shared" ref="X689" si="3841">X688/X664</f>
        <v>0.15664565712633477</v>
      </c>
      <c r="Y689" s="149">
        <f t="shared" ref="Y689" si="3842">Y688/Y664</f>
        <v>0.15075759542280573</v>
      </c>
      <c r="Z689" s="149">
        <f t="shared" ref="Z689" si="3843">Z688/Z664</f>
        <v>0.31866626618627669</v>
      </c>
      <c r="AA689" s="149">
        <f t="shared" ref="AA689" si="3844">AA688/AA664</f>
        <v>0.31301704975763567</v>
      </c>
      <c r="AB689" s="149">
        <f t="shared" ref="AB689" si="3845">AB688/AB664</f>
        <v>0.31095910922628178</v>
      </c>
      <c r="AC689" s="149">
        <f t="shared" ref="AC689" si="3846">AC688/AC664</f>
        <v>0.29752974263250526</v>
      </c>
      <c r="AD689" s="150">
        <f t="shared" ref="AD689" si="3847">AD688/AD664</f>
        <v>0.25789082063139213</v>
      </c>
      <c r="AE689" s="15"/>
      <c r="AF689" s="96">
        <f t="shared" ref="AF689" si="3848">AF688/AF664</f>
        <v>0.27932839238791596</v>
      </c>
      <c r="AG689" s="97">
        <f t="shared" ref="AG689" si="3849">AG688/AG664</f>
        <v>0.17619283284581841</v>
      </c>
    </row>
    <row r="690" spans="2:34" ht="6" customHeight="1" x14ac:dyDescent="0.2">
      <c r="B690" s="9">
        <f>G652</f>
        <v>14</v>
      </c>
      <c r="C690" s="9" t="str">
        <f t="shared" si="3581"/>
        <v xml:space="preserve">14 - </v>
      </c>
      <c r="D690" s="9" t="s">
        <v>56</v>
      </c>
      <c r="G690" s="11"/>
      <c r="S690" s="11"/>
      <c r="AD690" s="15"/>
      <c r="AE690" s="15"/>
      <c r="AF690" s="11"/>
      <c r="AG690" s="15"/>
    </row>
    <row r="691" spans="2:34" x14ac:dyDescent="0.2">
      <c r="B691" s="9">
        <f>G652</f>
        <v>14</v>
      </c>
      <c r="C691" s="9" t="str">
        <f t="shared" si="3581"/>
        <v>14 - Memo:</v>
      </c>
      <c r="D691" s="9" t="s">
        <v>56</v>
      </c>
      <c r="F691" s="6" t="s">
        <v>13</v>
      </c>
      <c r="G691" s="11"/>
      <c r="S691" s="11"/>
      <c r="AD691" s="15"/>
      <c r="AE691" s="15"/>
      <c r="AF691" s="11"/>
      <c r="AG691" s="15"/>
    </row>
    <row r="692" spans="2:34" s="24" customFormat="1" x14ac:dyDescent="0.2">
      <c r="B692" s="9">
        <f>G652</f>
        <v>14</v>
      </c>
      <c r="C692" s="9" t="str">
        <f t="shared" si="3581"/>
        <v>14 - Collections</v>
      </c>
      <c r="D692" s="9" t="s">
        <v>56</v>
      </c>
      <c r="E692" s="49"/>
      <c r="F692" s="24" t="s">
        <v>15</v>
      </c>
      <c r="G692" s="169">
        <f>G693*G662</f>
        <v>364.58410145578114</v>
      </c>
      <c r="H692" s="170">
        <f t="shared" ref="H692" si="3850">H693*H662</f>
        <v>368.19255867573588</v>
      </c>
      <c r="I692" s="170">
        <f t="shared" ref="I692" si="3851">I693*I662</f>
        <v>472.31367718046539</v>
      </c>
      <c r="J692" s="170">
        <f t="shared" ref="J692" si="3852">J693*J662</f>
        <v>429.80052303326295</v>
      </c>
      <c r="K692" s="170">
        <f t="shared" ref="K692" si="3853">K693*K662</f>
        <v>509.01903774091022</v>
      </c>
      <c r="L692" s="170">
        <f t="shared" ref="L692" si="3854">L693*L662</f>
        <v>542.95752267083844</v>
      </c>
      <c r="M692" s="170">
        <f t="shared" ref="M692" si="3855">M693*M662</f>
        <v>487.79166509670347</v>
      </c>
      <c r="N692" s="170">
        <f t="shared" ref="N692" si="3856">N693*N662</f>
        <v>481.98320544257751</v>
      </c>
      <c r="O692" s="170">
        <f t="shared" ref="O692" si="3857">O693*O662</f>
        <v>464.67909027887612</v>
      </c>
      <c r="P692" s="170">
        <f t="shared" ref="P692" si="3858">P693*P662</f>
        <v>467.05275408435023</v>
      </c>
      <c r="Q692" s="170">
        <f t="shared" ref="Q692" si="3859">Q693*Q662</f>
        <v>446.54636921676695</v>
      </c>
      <c r="R692" s="170">
        <f t="shared" ref="R692" si="3860">R693*R662</f>
        <v>361.52318724568431</v>
      </c>
      <c r="S692" s="169">
        <f t="shared" ref="S692" si="3861">S693*S662</f>
        <v>425.79219039872777</v>
      </c>
      <c r="T692" s="170">
        <f t="shared" ref="T692" si="3862">T693*T662</f>
        <v>408.26930766595751</v>
      </c>
      <c r="U692" s="170">
        <f t="shared" ref="U692" si="3863">U693*U662</f>
        <v>449.95751019363473</v>
      </c>
      <c r="V692" s="170">
        <f t="shared" ref="V692" si="3864">V693*V662</f>
        <v>380.07516047005237</v>
      </c>
      <c r="W692" s="170">
        <f t="shared" ref="W692" si="3865">W693*W662</f>
        <v>407.56998697451127</v>
      </c>
      <c r="X692" s="170">
        <f t="shared" ref="X692" si="3866">X693*X662</f>
        <v>399.25520072217114</v>
      </c>
      <c r="Y692" s="170">
        <f t="shared" ref="Y692" si="3867">Y693*Y662</f>
        <v>422.52604381569944</v>
      </c>
      <c r="Z692" s="170">
        <f t="shared" ref="Z692" si="3868">Z693*Z662</f>
        <v>462.9474086640796</v>
      </c>
      <c r="AA692" s="170">
        <f t="shared" ref="AA692" si="3869">AA693*AA662</f>
        <v>413.19144138839459</v>
      </c>
      <c r="AB692" s="170">
        <f t="shared" ref="AB692" si="3870">AB693*AB662</f>
        <v>473.93695088859164</v>
      </c>
      <c r="AC692" s="170">
        <f t="shared" ref="AC692" si="3871">AC693*AC662</f>
        <v>396.11466591537277</v>
      </c>
      <c r="AD692" s="171">
        <f t="shared" ref="AD692" si="3872">AD693*AD662</f>
        <v>287.25947387378153</v>
      </c>
      <c r="AE692" s="26"/>
      <c r="AF692" s="68">
        <f>SUM(G692:R692)</f>
        <v>5396.4436921219531</v>
      </c>
      <c r="AG692" s="99">
        <f>SUM(S692:AD692)</f>
        <v>4926.8953409709748</v>
      </c>
    </row>
    <row r="693" spans="2:34" x14ac:dyDescent="0.2">
      <c r="B693" s="9">
        <f>G652</f>
        <v>14</v>
      </c>
      <c r="C693" s="9" t="str">
        <f t="shared" si="3581"/>
        <v>14 - Collections as a % of Production</v>
      </c>
      <c r="D693" s="9" t="s">
        <v>56</v>
      </c>
      <c r="F693" s="16" t="s">
        <v>17</v>
      </c>
      <c r="G693" s="140">
        <v>0.96631052301460285</v>
      </c>
      <c r="H693" s="141">
        <v>0.96264052454313342</v>
      </c>
      <c r="I693" s="141">
        <v>0.98587008606523541</v>
      </c>
      <c r="J693" s="141">
        <v>0.96801093189036214</v>
      </c>
      <c r="K693" s="141">
        <v>0.98993479561860276</v>
      </c>
      <c r="L693" s="141">
        <v>0.96796188899637403</v>
      </c>
      <c r="M693" s="141">
        <v>0.96554399925160062</v>
      </c>
      <c r="N693" s="141">
        <v>0.96010826460693</v>
      </c>
      <c r="O693" s="141">
        <v>0.99748839670362655</v>
      </c>
      <c r="P693" s="141">
        <v>0.96231362703752432</v>
      </c>
      <c r="Q693" s="141">
        <v>0.98976794463305806</v>
      </c>
      <c r="R693" s="141">
        <v>0.98421222644087636</v>
      </c>
      <c r="S693" s="140">
        <v>0.97699910891948427</v>
      </c>
      <c r="T693" s="141">
        <v>0.96333065606565349</v>
      </c>
      <c r="U693" s="141">
        <v>0.98573526740629103</v>
      </c>
      <c r="V693" s="141">
        <v>0.97194084715237405</v>
      </c>
      <c r="W693" s="141">
        <v>0.98539412060136911</v>
      </c>
      <c r="X693" s="141">
        <v>0.96990460995118244</v>
      </c>
      <c r="Y693" s="141">
        <v>0.96029873576212477</v>
      </c>
      <c r="Z693" s="141">
        <v>0.97085526917411868</v>
      </c>
      <c r="AA693" s="141">
        <v>0.96207337998475362</v>
      </c>
      <c r="AB693" s="141">
        <v>0.97024677036614604</v>
      </c>
      <c r="AC693" s="141">
        <v>0.99316220840452463</v>
      </c>
      <c r="AD693" s="142">
        <v>0.99177753800376534</v>
      </c>
      <c r="AE693" s="15"/>
      <c r="AF693" s="96">
        <f t="shared" ref="AF693" si="3873">AF692/AF662</f>
        <v>0.97498967385912239</v>
      </c>
      <c r="AG693" s="97">
        <f t="shared" ref="AG693" si="3874">AG692/AG662</f>
        <v>0.97452849845585177</v>
      </c>
    </row>
    <row r="694" spans="2:34" ht="6" customHeight="1" x14ac:dyDescent="0.2">
      <c r="B694" s="9">
        <f>G652</f>
        <v>14</v>
      </c>
      <c r="C694" s="9" t="str">
        <f t="shared" si="3581"/>
        <v xml:space="preserve">14 - </v>
      </c>
      <c r="D694" s="9" t="s">
        <v>56</v>
      </c>
      <c r="F694" s="27"/>
      <c r="R694" s="15"/>
      <c r="AD694" s="15"/>
      <c r="AE694" s="15"/>
      <c r="AF694" s="11"/>
      <c r="AG694" s="15"/>
    </row>
    <row r="695" spans="2:34" s="24" customFormat="1" x14ac:dyDescent="0.2">
      <c r="B695" s="9">
        <f>G652</f>
        <v>14</v>
      </c>
      <c r="C695" s="9" t="str">
        <f t="shared" si="3581"/>
        <v>14 - Production per Vet Workday - YoY Change</v>
      </c>
      <c r="D695" s="9" t="s">
        <v>56</v>
      </c>
      <c r="E695" s="49"/>
      <c r="F695" s="24" t="s">
        <v>55</v>
      </c>
      <c r="G695" s="88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151">
        <f>S661/G661-1</f>
        <v>0.1048856968227394</v>
      </c>
      <c r="T695" s="152">
        <f t="shared" ref="T695" si="3875">T661/H661-1</f>
        <v>5.7686834525181752E-2</v>
      </c>
      <c r="U695" s="152">
        <f t="shared" ref="U695" si="3876">U661/I661-1</f>
        <v>3.941489995458558E-2</v>
      </c>
      <c r="V695" s="152">
        <f t="shared" ref="V695" si="3877">V661/J661-1</f>
        <v>0.12092956999372939</v>
      </c>
      <c r="W695" s="152">
        <f t="shared" ref="W695" si="3878">W661/K661-1</f>
        <v>2.7827241008656634E-2</v>
      </c>
      <c r="X695" s="152">
        <f t="shared" ref="X695" si="3879">X661/L661-1</f>
        <v>4.6910107381417099E-3</v>
      </c>
      <c r="Y695" s="152">
        <f t="shared" ref="Y695" si="3880">Y661/M661-1</f>
        <v>4.1333111261757205E-2</v>
      </c>
      <c r="Z695" s="152">
        <f t="shared" ref="Z695" si="3881">Z661/N661-1</f>
        <v>-8.8283454505591052E-3</v>
      </c>
      <c r="AA695" s="152">
        <f t="shared" ref="AA695" si="3882">AA661/O661-1</f>
        <v>-3.4168807735629469E-2</v>
      </c>
      <c r="AB695" s="152">
        <f t="shared" ref="AB695" si="3883">AB661/P661-1</f>
        <v>-7.742750669644316E-2</v>
      </c>
      <c r="AC695" s="152">
        <f t="shared" ref="AC695" si="3884">AC661/Q661-1</f>
        <v>-7.5785636697375813E-2</v>
      </c>
      <c r="AD695" s="153">
        <f t="shared" ref="AD695" si="3885">AD661/R661-1</f>
        <v>-0.21148003987046116</v>
      </c>
      <c r="AF695" s="43"/>
      <c r="AG695" s="104">
        <f>AG661/AF661-1</f>
        <v>8.2026783559867589E-3</v>
      </c>
    </row>
    <row r="696" spans="2:34" s="24" customFormat="1" ht="6" customHeight="1" x14ac:dyDescent="0.2">
      <c r="D696" s="9" t="s">
        <v>56</v>
      </c>
      <c r="E696" s="49"/>
      <c r="G696" s="28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29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29"/>
      <c r="AE696" s="25"/>
      <c r="AF696" s="28"/>
      <c r="AG696" s="29"/>
    </row>
    <row r="697" spans="2:34" s="24" customFormat="1" ht="6" customHeight="1" x14ac:dyDescent="0.2">
      <c r="D697" s="9" t="s">
        <v>56</v>
      </c>
      <c r="E697" s="49"/>
    </row>
    <row r="698" spans="2:34" x14ac:dyDescent="0.2">
      <c r="D698" s="9" t="s">
        <v>56</v>
      </c>
      <c r="F698" s="16"/>
    </row>
    <row r="699" spans="2:34" ht="15.75" thickBot="1" x14ac:dyDescent="0.4">
      <c r="B699" s="35" t="s">
        <v>52</v>
      </c>
      <c r="C699" s="35"/>
      <c r="D699" s="9" t="s">
        <v>56</v>
      </c>
      <c r="E699" s="48" t="s">
        <v>0</v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74">
        <f ca="1">AG$2</f>
        <v>45999</v>
      </c>
      <c r="AH699" s="1"/>
    </row>
    <row r="700" spans="2:34" x14ac:dyDescent="0.2">
      <c r="B700" s="9">
        <f>G701</f>
        <v>15</v>
      </c>
      <c r="C700" s="9"/>
      <c r="D700" s="9" t="s">
        <v>56</v>
      </c>
      <c r="F700" t="s">
        <v>159</v>
      </c>
      <c r="AG700" s="6" t="s">
        <v>16</v>
      </c>
    </row>
    <row r="701" spans="2:34" x14ac:dyDescent="0.2">
      <c r="B701" s="9">
        <f>G701</f>
        <v>15</v>
      </c>
      <c r="C701" s="9"/>
      <c r="D701" s="9" t="s">
        <v>56</v>
      </c>
      <c r="F701" s="40" t="s">
        <v>53</v>
      </c>
      <c r="G701" s="42">
        <v>15</v>
      </c>
    </row>
    <row r="702" spans="2:34" x14ac:dyDescent="0.2">
      <c r="B702" s="9">
        <f>G701</f>
        <v>15</v>
      </c>
      <c r="C702" s="9"/>
      <c r="D702" s="9" t="s">
        <v>56</v>
      </c>
      <c r="F702" s="39" t="s">
        <v>32</v>
      </c>
      <c r="G702" s="41"/>
      <c r="H702" s="11"/>
    </row>
    <row r="703" spans="2:34" x14ac:dyDescent="0.2">
      <c r="B703" s="9">
        <f>G701</f>
        <v>15</v>
      </c>
      <c r="C703" s="9"/>
      <c r="D703" s="9" t="s">
        <v>56</v>
      </c>
      <c r="G703" s="23"/>
    </row>
    <row r="704" spans="2:34" x14ac:dyDescent="0.2">
      <c r="B704" s="9">
        <f>G701</f>
        <v>15</v>
      </c>
      <c r="C704" s="9"/>
      <c r="D704" s="9" t="s">
        <v>56</v>
      </c>
      <c r="G704" s="20">
        <v>2023</v>
      </c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2"/>
      <c r="S704" s="20">
        <v>2024</v>
      </c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2"/>
      <c r="AF704" s="17" t="s">
        <v>14</v>
      </c>
      <c r="AG704" s="18"/>
    </row>
    <row r="705" spans="2:33" ht="15" customHeight="1" x14ac:dyDescent="0.35">
      <c r="B705" s="9">
        <f>G701</f>
        <v>15</v>
      </c>
      <c r="C705" s="9"/>
      <c r="D705" s="9" t="s">
        <v>56</v>
      </c>
      <c r="G705" s="165">
        <v>44957</v>
      </c>
      <c r="H705" s="166">
        <v>44985</v>
      </c>
      <c r="I705" s="166">
        <v>45016</v>
      </c>
      <c r="J705" s="166">
        <v>45046</v>
      </c>
      <c r="K705" s="166">
        <v>45077</v>
      </c>
      <c r="L705" s="166">
        <v>45107</v>
      </c>
      <c r="M705" s="166">
        <v>45138</v>
      </c>
      <c r="N705" s="166">
        <v>45169</v>
      </c>
      <c r="O705" s="166">
        <v>45199</v>
      </c>
      <c r="P705" s="166">
        <v>45230</v>
      </c>
      <c r="Q705" s="166">
        <v>45260</v>
      </c>
      <c r="R705" s="167">
        <v>45291</v>
      </c>
      <c r="S705" s="165">
        <v>45322</v>
      </c>
      <c r="T705" s="166">
        <v>45351</v>
      </c>
      <c r="U705" s="166">
        <v>45382</v>
      </c>
      <c r="V705" s="166">
        <v>45412</v>
      </c>
      <c r="W705" s="166">
        <v>45443</v>
      </c>
      <c r="X705" s="166">
        <v>45473</v>
      </c>
      <c r="Y705" s="166">
        <v>45504</v>
      </c>
      <c r="Z705" s="166">
        <v>45535</v>
      </c>
      <c r="AA705" s="166">
        <v>45565</v>
      </c>
      <c r="AB705" s="166">
        <v>45596</v>
      </c>
      <c r="AC705" s="166">
        <v>45626</v>
      </c>
      <c r="AD705" s="167">
        <v>45657</v>
      </c>
      <c r="AE705" s="168"/>
      <c r="AF705" s="13">
        <v>45291</v>
      </c>
      <c r="AG705" s="14">
        <v>45657</v>
      </c>
    </row>
    <row r="706" spans="2:33" ht="0.95" customHeight="1" x14ac:dyDescent="0.2">
      <c r="B706" s="9">
        <f>G701</f>
        <v>15</v>
      </c>
      <c r="C706" s="9"/>
      <c r="D706" s="9" t="s">
        <v>56</v>
      </c>
      <c r="G706" s="11"/>
      <c r="S706" s="11"/>
      <c r="AD706" s="15"/>
      <c r="AE706" s="15"/>
      <c r="AF706" s="11"/>
      <c r="AG706" s="15"/>
    </row>
    <row r="707" spans="2:33" x14ac:dyDescent="0.2">
      <c r="B707" s="9">
        <f>G701</f>
        <v>15</v>
      </c>
      <c r="C707" s="9" t="str">
        <f>B707&amp;" - "&amp;F707</f>
        <v>15 - Employed Vets</v>
      </c>
      <c r="D707" s="9" t="s">
        <v>56</v>
      </c>
      <c r="F707" s="7" t="s">
        <v>160</v>
      </c>
      <c r="G707" s="121">
        <v>1</v>
      </c>
      <c r="H707" s="154">
        <f>MAX(MIN(IF(H710/G710&gt;1.1,G707-1,IF(H710/G710&lt;0.9,G707+1,G707)),5),1)</f>
        <v>1</v>
      </c>
      <c r="I707" s="154">
        <f t="shared" ref="I707:AD707" si="3886">MAX(MIN(IF(I710/H710&gt;1.1,H707-1,IF(I710/H710&lt;0.9,H707+1,H707)),5),1)</f>
        <v>1</v>
      </c>
      <c r="J707" s="154">
        <f t="shared" si="3886"/>
        <v>1</v>
      </c>
      <c r="K707" s="154">
        <f t="shared" si="3886"/>
        <v>1</v>
      </c>
      <c r="L707" s="154">
        <f t="shared" si="3886"/>
        <v>1</v>
      </c>
      <c r="M707" s="154">
        <f t="shared" si="3886"/>
        <v>1</v>
      </c>
      <c r="N707" s="154">
        <f t="shared" si="3886"/>
        <v>2</v>
      </c>
      <c r="O707" s="154">
        <f t="shared" si="3886"/>
        <v>2</v>
      </c>
      <c r="P707" s="154">
        <f t="shared" si="3886"/>
        <v>2</v>
      </c>
      <c r="Q707" s="154">
        <f t="shared" si="3886"/>
        <v>3</v>
      </c>
      <c r="R707" s="154">
        <f t="shared" si="3886"/>
        <v>4</v>
      </c>
      <c r="S707" s="155">
        <f t="shared" si="3886"/>
        <v>3</v>
      </c>
      <c r="T707" s="154">
        <f t="shared" si="3886"/>
        <v>3</v>
      </c>
      <c r="U707" s="154">
        <f t="shared" si="3886"/>
        <v>3</v>
      </c>
      <c r="V707" s="154">
        <f t="shared" si="3886"/>
        <v>3</v>
      </c>
      <c r="W707" s="154">
        <f t="shared" si="3886"/>
        <v>3</v>
      </c>
      <c r="X707" s="154">
        <f t="shared" si="3886"/>
        <v>3</v>
      </c>
      <c r="Y707" s="154">
        <f t="shared" si="3886"/>
        <v>3</v>
      </c>
      <c r="Z707" s="154">
        <f t="shared" si="3886"/>
        <v>4</v>
      </c>
      <c r="AA707" s="154">
        <f t="shared" si="3886"/>
        <v>4</v>
      </c>
      <c r="AB707" s="154">
        <f t="shared" si="3886"/>
        <v>4</v>
      </c>
      <c r="AC707" s="154">
        <f t="shared" si="3886"/>
        <v>4</v>
      </c>
      <c r="AD707" s="156">
        <f t="shared" si="3886"/>
        <v>5</v>
      </c>
      <c r="AE707" s="15"/>
      <c r="AF707" s="90">
        <f>AVERAGE(G707:R707)</f>
        <v>1.6666666666666667</v>
      </c>
      <c r="AG707" s="91">
        <f>AVERAGE(S707:AD707)</f>
        <v>3.5</v>
      </c>
    </row>
    <row r="708" spans="2:33" x14ac:dyDescent="0.2">
      <c r="B708" s="9">
        <f>G701</f>
        <v>15</v>
      </c>
      <c r="C708" s="9" t="str">
        <f t="shared" ref="C708:C744" si="3887">B708&amp;" - "&amp;F708</f>
        <v>15 - Workdays in Month / Year</v>
      </c>
      <c r="D708" s="9" t="s">
        <v>56</v>
      </c>
      <c r="F708" s="7" t="s">
        <v>54</v>
      </c>
      <c r="G708" s="121">
        <v>22</v>
      </c>
      <c r="H708" s="124">
        <v>21</v>
      </c>
      <c r="I708" s="124">
        <v>24</v>
      </c>
      <c r="J708" s="122">
        <v>21</v>
      </c>
      <c r="K708" s="122">
        <v>23</v>
      </c>
      <c r="L708" s="122">
        <v>23</v>
      </c>
      <c r="M708" s="122">
        <v>22</v>
      </c>
      <c r="N708" s="122">
        <v>24</v>
      </c>
      <c r="O708" s="122">
        <v>22</v>
      </c>
      <c r="P708" s="122">
        <v>22</v>
      </c>
      <c r="Q708" s="122">
        <v>23</v>
      </c>
      <c r="R708" s="122">
        <v>22</v>
      </c>
      <c r="S708" s="121">
        <v>23</v>
      </c>
      <c r="T708" s="122">
        <v>22</v>
      </c>
      <c r="U708" s="122">
        <v>22</v>
      </c>
      <c r="V708" s="122">
        <v>22</v>
      </c>
      <c r="W708" s="122">
        <v>24</v>
      </c>
      <c r="X708" s="122">
        <v>21</v>
      </c>
      <c r="Y708" s="122">
        <v>23</v>
      </c>
      <c r="Z708" s="122">
        <v>23</v>
      </c>
      <c r="AA708" s="122">
        <v>21</v>
      </c>
      <c r="AB708" s="122">
        <v>24</v>
      </c>
      <c r="AC708" s="122">
        <v>22</v>
      </c>
      <c r="AD708" s="123">
        <v>22</v>
      </c>
      <c r="AE708" s="15"/>
      <c r="AF708" s="144">
        <v>269</v>
      </c>
      <c r="AG708" s="145">
        <v>269</v>
      </c>
    </row>
    <row r="709" spans="2:33" x14ac:dyDescent="0.2">
      <c r="B709" s="9">
        <f>G701</f>
        <v>15</v>
      </c>
      <c r="C709" s="9" t="str">
        <f t="shared" si="3887"/>
        <v>15 - Total Vet Days</v>
      </c>
      <c r="D709" s="9" t="s">
        <v>56</v>
      </c>
      <c r="F709" s="8" t="s">
        <v>51</v>
      </c>
      <c r="G709" s="125">
        <f>G707*G708</f>
        <v>22</v>
      </c>
      <c r="H709" s="126">
        <f t="shared" ref="H709" si="3888">H707*H708</f>
        <v>21</v>
      </c>
      <c r="I709" s="126">
        <f t="shared" ref="I709" si="3889">I707*I708</f>
        <v>24</v>
      </c>
      <c r="J709" s="127">
        <f t="shared" ref="J709" si="3890">J707*J708</f>
        <v>21</v>
      </c>
      <c r="K709" s="127">
        <f t="shared" ref="K709" si="3891">K707*K708</f>
        <v>23</v>
      </c>
      <c r="L709" s="127">
        <f t="shared" ref="L709" si="3892">L707*L708</f>
        <v>23</v>
      </c>
      <c r="M709" s="127">
        <f t="shared" ref="M709" si="3893">M707*M708</f>
        <v>22</v>
      </c>
      <c r="N709" s="127">
        <f t="shared" ref="N709" si="3894">N707*N708</f>
        <v>48</v>
      </c>
      <c r="O709" s="127">
        <f t="shared" ref="O709" si="3895">O707*O708</f>
        <v>44</v>
      </c>
      <c r="P709" s="127">
        <f t="shared" ref="P709" si="3896">P707*P708</f>
        <v>44</v>
      </c>
      <c r="Q709" s="127">
        <f t="shared" ref="Q709" si="3897">Q707*Q708</f>
        <v>69</v>
      </c>
      <c r="R709" s="127">
        <f t="shared" ref="R709" si="3898">R707*R708</f>
        <v>88</v>
      </c>
      <c r="S709" s="125">
        <f t="shared" ref="S709" si="3899">S707*S708</f>
        <v>69</v>
      </c>
      <c r="T709" s="127">
        <f t="shared" ref="T709" si="3900">T707*T708</f>
        <v>66</v>
      </c>
      <c r="U709" s="127">
        <f t="shared" ref="U709" si="3901">U707*U708</f>
        <v>66</v>
      </c>
      <c r="V709" s="127">
        <f t="shared" ref="V709" si="3902">V707*V708</f>
        <v>66</v>
      </c>
      <c r="W709" s="127">
        <f t="shared" ref="W709" si="3903">W707*W708</f>
        <v>72</v>
      </c>
      <c r="X709" s="127">
        <f t="shared" ref="X709" si="3904">X707*X708</f>
        <v>63</v>
      </c>
      <c r="Y709" s="127">
        <f t="shared" ref="Y709" si="3905">Y707*Y708</f>
        <v>69</v>
      </c>
      <c r="Z709" s="127">
        <f t="shared" ref="Z709" si="3906">Z707*Z708</f>
        <v>92</v>
      </c>
      <c r="AA709" s="127">
        <f t="shared" ref="AA709" si="3907">AA707*AA708</f>
        <v>84</v>
      </c>
      <c r="AB709" s="127">
        <f t="shared" ref="AB709" si="3908">AB707*AB708</f>
        <v>96</v>
      </c>
      <c r="AC709" s="127">
        <f t="shared" ref="AC709" si="3909">AC707*AC708</f>
        <v>88</v>
      </c>
      <c r="AD709" s="128">
        <f t="shared" ref="AD709" si="3910">AD707*AD708</f>
        <v>110</v>
      </c>
      <c r="AF709" s="119">
        <f>SUM(G709:R709)</f>
        <v>449</v>
      </c>
      <c r="AG709" s="120">
        <f>SUM(S709:AD709)</f>
        <v>941</v>
      </c>
    </row>
    <row r="710" spans="2:33" x14ac:dyDescent="0.2">
      <c r="B710" s="9">
        <f>G701</f>
        <v>15</v>
      </c>
      <c r="C710" s="9" t="str">
        <f t="shared" si="3887"/>
        <v>15 - Production per Vet Workday</v>
      </c>
      <c r="D710" s="9" t="s">
        <v>56</v>
      </c>
      <c r="F710" s="7" t="s">
        <v>50</v>
      </c>
      <c r="G710" s="129">
        <v>6.2919765872751867</v>
      </c>
      <c r="H710" s="130">
        <v>6.4857011222073213</v>
      </c>
      <c r="I710" s="130">
        <v>7.1620789716870714</v>
      </c>
      <c r="J710" s="130">
        <v>7.4678388245932101</v>
      </c>
      <c r="K710" s="130">
        <v>8.2235739102766594</v>
      </c>
      <c r="L710" s="130">
        <v>8.2259673241026547</v>
      </c>
      <c r="M710" s="130">
        <v>7.4815487065076169</v>
      </c>
      <c r="N710" s="130">
        <v>6.6594580260724827</v>
      </c>
      <c r="O710" s="130">
        <v>6.4902819013678599</v>
      </c>
      <c r="P710" s="130">
        <v>6.7308821708229063</v>
      </c>
      <c r="Q710" s="130">
        <v>5.9483849722991486</v>
      </c>
      <c r="R710" s="130">
        <v>4.833380032896673</v>
      </c>
      <c r="S710" s="129">
        <v>6.1914831263868848</v>
      </c>
      <c r="T710" s="130">
        <v>6.3075912551052156</v>
      </c>
      <c r="U710" s="130">
        <v>6.3717754527163519</v>
      </c>
      <c r="V710" s="130">
        <v>6.9818678951008453</v>
      </c>
      <c r="W710" s="130">
        <v>6.9971505161304153</v>
      </c>
      <c r="X710" s="130">
        <v>7.1507022499949739</v>
      </c>
      <c r="Y710" s="130">
        <v>7.2146460293325037</v>
      </c>
      <c r="Z710" s="130">
        <v>5.5135781989714587</v>
      </c>
      <c r="AA710" s="130">
        <v>5.4982490474457268</v>
      </c>
      <c r="AB710" s="130">
        <v>5.3144575389399735</v>
      </c>
      <c r="AC710" s="130">
        <v>4.9981793579543812</v>
      </c>
      <c r="AD710" s="131">
        <v>4.1574973546455984</v>
      </c>
      <c r="AE710" s="15"/>
      <c r="AF710" s="132">
        <v>6.8405615477984778</v>
      </c>
      <c r="AG710" s="133">
        <v>6.0603415935588334</v>
      </c>
    </row>
    <row r="711" spans="2:33" x14ac:dyDescent="0.2">
      <c r="B711" s="9">
        <f>G701</f>
        <v>15</v>
      </c>
      <c r="C711" s="9" t="str">
        <f t="shared" si="3887"/>
        <v>15 - Total Production</v>
      </c>
      <c r="D711" s="9" t="s">
        <v>56</v>
      </c>
      <c r="F711" s="8" t="s">
        <v>1</v>
      </c>
      <c r="G711" s="134">
        <f>G710*G709</f>
        <v>138.42348492005411</v>
      </c>
      <c r="H711" s="135">
        <f t="shared" ref="H711" si="3911">H710*H709</f>
        <v>136.19972356635375</v>
      </c>
      <c r="I711" s="135">
        <f t="shared" ref="I711" si="3912">I710*I709</f>
        <v>171.8898953204897</v>
      </c>
      <c r="J711" s="135">
        <f t="shared" ref="J711" si="3913">J710*J709</f>
        <v>156.82461531645743</v>
      </c>
      <c r="K711" s="135">
        <f t="shared" ref="K711" si="3914">K710*K709</f>
        <v>189.14219993636317</v>
      </c>
      <c r="L711" s="135">
        <f t="shared" ref="L711" si="3915">L710*L709</f>
        <v>189.19724845436104</v>
      </c>
      <c r="M711" s="135">
        <f t="shared" ref="M711" si="3916">M710*M709</f>
        <v>164.59407154316756</v>
      </c>
      <c r="N711" s="135">
        <f t="shared" ref="N711" si="3917">N710*N709</f>
        <v>319.65398525147918</v>
      </c>
      <c r="O711" s="135">
        <f t="shared" ref="O711" si="3918">O710*O709</f>
        <v>285.57240366018584</v>
      </c>
      <c r="P711" s="135">
        <f t="shared" ref="P711" si="3919">P710*P709</f>
        <v>296.15881551620788</v>
      </c>
      <c r="Q711" s="135">
        <f t="shared" ref="Q711" si="3920">Q710*Q709</f>
        <v>410.43856308864127</v>
      </c>
      <c r="R711" s="135">
        <f t="shared" ref="R711" si="3921">R710*R709</f>
        <v>425.33744289490721</v>
      </c>
      <c r="S711" s="134">
        <f t="shared" ref="S711" si="3922">S710*S709</f>
        <v>427.21233572069502</v>
      </c>
      <c r="T711" s="135">
        <f t="shared" ref="T711" si="3923">T710*T709</f>
        <v>416.30102283694424</v>
      </c>
      <c r="U711" s="135">
        <f t="shared" ref="U711" si="3924">U710*U709</f>
        <v>420.53717987927922</v>
      </c>
      <c r="V711" s="135">
        <f t="shared" ref="V711" si="3925">V710*V709</f>
        <v>460.80328107665576</v>
      </c>
      <c r="W711" s="135">
        <f t="shared" ref="W711" si="3926">W710*W709</f>
        <v>503.79483716138992</v>
      </c>
      <c r="X711" s="135">
        <f t="shared" ref="X711" si="3927">X710*X709</f>
        <v>450.49424174968334</v>
      </c>
      <c r="Y711" s="135">
        <f t="shared" ref="Y711" si="3928">Y710*Y709</f>
        <v>497.81057602394276</v>
      </c>
      <c r="Z711" s="135">
        <f t="shared" ref="Z711" si="3929">Z710*Z709</f>
        <v>507.2491943053742</v>
      </c>
      <c r="AA711" s="135">
        <f t="shared" ref="AA711" si="3930">AA710*AA709</f>
        <v>461.85291998544108</v>
      </c>
      <c r="AB711" s="135">
        <f t="shared" ref="AB711" si="3931">AB710*AB709</f>
        <v>510.18792373823749</v>
      </c>
      <c r="AC711" s="135">
        <f t="shared" ref="AC711" si="3932">AC710*AC709</f>
        <v>439.83978349998551</v>
      </c>
      <c r="AD711" s="136">
        <f t="shared" ref="AD711" si="3933">AD710*AD709</f>
        <v>457.32470901101584</v>
      </c>
      <c r="AE711" s="15"/>
      <c r="AF711" s="94">
        <f>SUM(G711:R711)</f>
        <v>2883.432449468668</v>
      </c>
      <c r="AG711" s="95">
        <f>SUM(S711:AD711)</f>
        <v>5553.4080049886452</v>
      </c>
    </row>
    <row r="712" spans="2:33" x14ac:dyDescent="0.2">
      <c r="B712" s="9">
        <f>G701</f>
        <v>15</v>
      </c>
      <c r="C712" s="9" t="str">
        <f t="shared" si="3887"/>
        <v>15 - Revenue as a % of Production</v>
      </c>
      <c r="D712" s="9" t="s">
        <v>56</v>
      </c>
      <c r="F712" s="7" t="s">
        <v>2</v>
      </c>
      <c r="G712" s="137">
        <v>0.98790651313962119</v>
      </c>
      <c r="H712" s="138">
        <v>0.98790651313962119</v>
      </c>
      <c r="I712" s="138">
        <v>0.98790651313962119</v>
      </c>
      <c r="J712" s="138">
        <v>0.98790651313962119</v>
      </c>
      <c r="K712" s="138">
        <v>0.98790651313962119</v>
      </c>
      <c r="L712" s="138">
        <v>0.98790651313962119</v>
      </c>
      <c r="M712" s="138">
        <v>0.98790651313962119</v>
      </c>
      <c r="N712" s="138">
        <v>0.98790651313962119</v>
      </c>
      <c r="O712" s="138">
        <v>0.98790651313962119</v>
      </c>
      <c r="P712" s="138">
        <v>0.98790651313962119</v>
      </c>
      <c r="Q712" s="138">
        <v>0.98790651313962119</v>
      </c>
      <c r="R712" s="138">
        <v>0.98790651313962119</v>
      </c>
      <c r="S712" s="137">
        <v>0.99001317711415238</v>
      </c>
      <c r="T712" s="138">
        <v>0.99001317711415238</v>
      </c>
      <c r="U712" s="138">
        <v>0.99001317711415238</v>
      </c>
      <c r="V712" s="138">
        <v>0.99001317711415238</v>
      </c>
      <c r="W712" s="138">
        <v>0.99001317711415238</v>
      </c>
      <c r="X712" s="138">
        <v>0.99001317711415238</v>
      </c>
      <c r="Y712" s="138">
        <v>0.99001317711415238</v>
      </c>
      <c r="Z712" s="138">
        <v>0.99001317711415238</v>
      </c>
      <c r="AA712" s="138">
        <v>0.99001317711415238</v>
      </c>
      <c r="AB712" s="138">
        <v>0.99001317711415238</v>
      </c>
      <c r="AC712" s="138">
        <v>0.99001317711415238</v>
      </c>
      <c r="AD712" s="139">
        <v>0.99001317711415238</v>
      </c>
      <c r="AE712" s="15"/>
      <c r="AF712" s="161">
        <v>0.98790651313962108</v>
      </c>
      <c r="AG712" s="162">
        <v>0.99001317711415249</v>
      </c>
    </row>
    <row r="713" spans="2:33" x14ac:dyDescent="0.2">
      <c r="B713" s="9">
        <f>G701</f>
        <v>15</v>
      </c>
      <c r="C713" s="9" t="str">
        <f t="shared" si="3887"/>
        <v>15 - Total Revenue</v>
      </c>
      <c r="D713" s="9" t="s">
        <v>56</v>
      </c>
      <c r="F713" s="8" t="s">
        <v>3</v>
      </c>
      <c r="G713" s="134">
        <f>G712*G711</f>
        <v>136.74946232400558</v>
      </c>
      <c r="H713" s="135">
        <f t="shared" ref="H713" si="3934">H712*H711</f>
        <v>134.55259399901684</v>
      </c>
      <c r="I713" s="135">
        <f t="shared" ref="I713" si="3935">I712*I711</f>
        <v>169.81114712999945</v>
      </c>
      <c r="J713" s="135">
        <f t="shared" ref="J713" si="3936">J712*J711</f>
        <v>154.92805889174389</v>
      </c>
      <c r="K713" s="135">
        <f t="shared" ref="K713" si="3937">K712*K711</f>
        <v>186.85481122668963</v>
      </c>
      <c r="L713" s="135">
        <f t="shared" ref="L713" si="3938">L712*L711</f>
        <v>186.90919401615841</v>
      </c>
      <c r="M713" s="135">
        <f t="shared" ref="M713" si="3939">M712*M711</f>
        <v>162.60355530166402</v>
      </c>
      <c r="N713" s="135">
        <f t="shared" ref="N713" si="3940">N712*N711</f>
        <v>315.78825398097268</v>
      </c>
      <c r="O713" s="135">
        <f t="shared" ref="O713" si="3941">O712*O711</f>
        <v>282.11883754883456</v>
      </c>
      <c r="P713" s="135">
        <f t="shared" ref="P713" si="3942">P712*P711</f>
        <v>292.57722277217727</v>
      </c>
      <c r="Q713" s="135">
        <f t="shared" ref="Q713" si="3943">Q712*Q711</f>
        <v>405.47492971893604</v>
      </c>
      <c r="R713" s="135">
        <f t="shared" ref="R713" si="3944">R712*R711</f>
        <v>420.19363011803051</v>
      </c>
      <c r="S713" s="134">
        <f t="shared" ref="S713" si="3945">S712*S711</f>
        <v>422.94584178920314</v>
      </c>
      <c r="T713" s="135">
        <f t="shared" ref="T713" si="3946">T712*T711</f>
        <v>412.14349825467445</v>
      </c>
      <c r="U713" s="135">
        <f t="shared" ref="U713" si="3947">U712*U711</f>
        <v>416.33734954691101</v>
      </c>
      <c r="V713" s="135">
        <f t="shared" ref="V713" si="3948">V712*V711</f>
        <v>456.20132032332572</v>
      </c>
      <c r="W713" s="135">
        <f t="shared" ref="W713" si="3949">W712*W711</f>
        <v>498.76352735185469</v>
      </c>
      <c r="X713" s="135">
        <f t="shared" ref="X713" si="3950">X712*X711</f>
        <v>445.99523554623505</v>
      </c>
      <c r="Y713" s="135">
        <f t="shared" ref="Y713" si="3951">Y712*Y711</f>
        <v>492.83902997048983</v>
      </c>
      <c r="Z713" s="135">
        <f t="shared" ref="Z713" si="3952">Z712*Z711</f>
        <v>502.18338644285751</v>
      </c>
      <c r="AA713" s="135">
        <f t="shared" ref="AA713" si="3953">AA712*AA711</f>
        <v>457.24047667423491</v>
      </c>
      <c r="AB713" s="135">
        <f t="shared" ref="AB713" si="3954">AB712*AB711</f>
        <v>505.09276730536538</v>
      </c>
      <c r="AC713" s="135">
        <f t="shared" ref="AC713" si="3955">AC712*AC711</f>
        <v>435.4471814840216</v>
      </c>
      <c r="AD713" s="136">
        <f t="shared" ref="AD713" si="3956">AD712*AD711</f>
        <v>452.757488140801</v>
      </c>
      <c r="AE713" s="15"/>
      <c r="AF713" s="94">
        <f>SUM(G713:R713)</f>
        <v>2848.561697028229</v>
      </c>
      <c r="AG713" s="95">
        <f>SUM(S713:AD713)</f>
        <v>5497.9471028299749</v>
      </c>
    </row>
    <row r="714" spans="2:33" x14ac:dyDescent="0.2">
      <c r="B714" s="9">
        <f>G701</f>
        <v>15</v>
      </c>
      <c r="C714" s="9" t="str">
        <f t="shared" si="3887"/>
        <v>15 - % YoY Revenue Growth</v>
      </c>
      <c r="D714" s="9" t="s">
        <v>56</v>
      </c>
      <c r="F714" s="16" t="s">
        <v>174</v>
      </c>
      <c r="G714" s="82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148">
        <f>S713/G713-1</f>
        <v>2.0928519542336619</v>
      </c>
      <c r="T714" s="149">
        <f t="shared" ref="T714" si="3957">T713/H713-1</f>
        <v>2.0630661662136811</v>
      </c>
      <c r="U714" s="149">
        <f t="shared" ref="U714" si="3958">U713/I713-1</f>
        <v>1.4517668986016723</v>
      </c>
      <c r="V714" s="149">
        <f t="shared" ref="V714" si="3959">V713/J713-1</f>
        <v>1.9446010205426814</v>
      </c>
      <c r="W714" s="149">
        <f t="shared" ref="W714" si="3960">W713/K713-1</f>
        <v>1.6692570776075004</v>
      </c>
      <c r="X714" s="149">
        <f t="shared" ref="X714" si="3961">X713/L713-1</f>
        <v>1.3861599633653041</v>
      </c>
      <c r="Y714" s="149">
        <f t="shared" ref="Y714" si="3962">Y713/M713-1</f>
        <v>2.0309240720854418</v>
      </c>
      <c r="Z714" s="149">
        <f t="shared" ref="Z714" si="3963">Z713/N713-1</f>
        <v>0.59025353258742719</v>
      </c>
      <c r="AA714" s="149">
        <f t="shared" ref="AA714" si="3964">AA713/O713-1</f>
        <v>0.62073713562316413</v>
      </c>
      <c r="AB714" s="149">
        <f t="shared" ref="AB714" si="3965">AB713/P713-1</f>
        <v>0.72635710503913287</v>
      </c>
      <c r="AC714" s="149">
        <f t="shared" ref="AC714" si="3966">AC713/Q713-1</f>
        <v>7.3918877761102175E-2</v>
      </c>
      <c r="AD714" s="150">
        <f t="shared" ref="AD714" si="3967">AD713/R713-1</f>
        <v>7.7497267185186569E-2</v>
      </c>
      <c r="AE714" s="15"/>
      <c r="AF714" s="11"/>
      <c r="AG714" s="97">
        <f>AG713/AF713-1</f>
        <v>0.93007829479899473</v>
      </c>
    </row>
    <row r="715" spans="2:33" ht="6" customHeight="1" x14ac:dyDescent="0.2">
      <c r="B715" s="9">
        <f>G701</f>
        <v>15</v>
      </c>
      <c r="C715" s="9" t="str">
        <f t="shared" si="3887"/>
        <v xml:space="preserve">15 - </v>
      </c>
      <c r="D715" s="9" t="s">
        <v>56</v>
      </c>
      <c r="G715" s="11"/>
      <c r="S715" s="11"/>
      <c r="AD715" s="15"/>
      <c r="AE715" s="15"/>
      <c r="AF715" s="11"/>
      <c r="AG715" s="15"/>
    </row>
    <row r="716" spans="2:33" x14ac:dyDescent="0.2">
      <c r="B716" s="9">
        <f>G701</f>
        <v>15</v>
      </c>
      <c r="C716" s="9" t="str">
        <f t="shared" si="3887"/>
        <v>15 - Doctor Compensation</v>
      </c>
      <c r="D716" s="9" t="s">
        <v>56</v>
      </c>
      <c r="F716" t="s">
        <v>4</v>
      </c>
      <c r="G716" s="144">
        <v>-54.580551583212348</v>
      </c>
      <c r="H716" s="70">
        <v>-54.798044079233428</v>
      </c>
      <c r="I716" s="70">
        <v>-70.70040136999441</v>
      </c>
      <c r="J716" s="70">
        <v>-64.109414562033294</v>
      </c>
      <c r="K716" s="70">
        <v>-78.246190723935229</v>
      </c>
      <c r="L716" s="70">
        <v>-78.746171877850941</v>
      </c>
      <c r="M716" s="70">
        <v>-67.698548626554626</v>
      </c>
      <c r="N716" s="70">
        <v>-64.387693821637939</v>
      </c>
      <c r="O716" s="70">
        <v>-56.151047994733219</v>
      </c>
      <c r="P716" s="70">
        <v>-57.124774896704395</v>
      </c>
      <c r="Q716" s="70">
        <v>-53.590952279151274</v>
      </c>
      <c r="R716" s="70">
        <v>-41.105556616400001</v>
      </c>
      <c r="S716" s="144">
        <v>-146.17883745099201</v>
      </c>
      <c r="T716" s="70">
        <v>-141.42089972850059</v>
      </c>
      <c r="U716" s="70">
        <v>-146.12176652996712</v>
      </c>
      <c r="V716" s="70">
        <v>-158.29725848682233</v>
      </c>
      <c r="W716" s="70">
        <v>-175.54894296607515</v>
      </c>
      <c r="X716" s="70">
        <v>-153.68043729598995</v>
      </c>
      <c r="Y716" s="70">
        <v>-173.75593954866454</v>
      </c>
      <c r="Z716" s="70">
        <v>-132.86331594202886</v>
      </c>
      <c r="AA716" s="70">
        <v>-118.78849773542477</v>
      </c>
      <c r="AB716" s="70">
        <v>-134.32234038140771</v>
      </c>
      <c r="AC716" s="70">
        <v>-116.32330562474475</v>
      </c>
      <c r="AD716" s="145">
        <v>-95.118525686156133</v>
      </c>
      <c r="AE716" s="15"/>
      <c r="AF716" s="92">
        <f>SUM(G716:R716)</f>
        <v>-741.23934843144093</v>
      </c>
      <c r="AG716" s="93">
        <f>SUM(S716:AD716)</f>
        <v>-1692.4200673767737</v>
      </c>
    </row>
    <row r="717" spans="2:33" x14ac:dyDescent="0.2">
      <c r="B717" s="9">
        <f>G701</f>
        <v>15</v>
      </c>
      <c r="C717" s="9" t="str">
        <f t="shared" si="3887"/>
        <v>15 - % of Revenue - Doctor Compensation</v>
      </c>
      <c r="D717" s="9" t="s">
        <v>56</v>
      </c>
      <c r="F717" s="16" t="str">
        <f>"% of Revenue - "&amp;F716</f>
        <v>% of Revenue - Doctor Compensation</v>
      </c>
      <c r="G717" s="148">
        <f>G716/G713</f>
        <v>-0.39912808910277559</v>
      </c>
      <c r="H717" s="149">
        <f t="shared" ref="H717" si="3968">H716/H713</f>
        <v>-0.40726114934383079</v>
      </c>
      <c r="I717" s="149">
        <f t="shared" ref="I717" si="3969">I716/I713</f>
        <v>-0.41634723376475102</v>
      </c>
      <c r="J717" s="149">
        <f t="shared" ref="J717" si="3970">J716/J713</f>
        <v>-0.41380118630951029</v>
      </c>
      <c r="K717" s="149">
        <f t="shared" ref="K717" si="3971">K716/K713</f>
        <v>-0.41875395238824248</v>
      </c>
      <c r="L717" s="149">
        <f t="shared" ref="L717" si="3972">L716/L713</f>
        <v>-0.42130710740234262</v>
      </c>
      <c r="M717" s="149">
        <f t="shared" ref="M717" si="3973">M716/M713</f>
        <v>-0.41634113412194146</v>
      </c>
      <c r="N717" s="149">
        <f t="shared" ref="N717" si="3974">N716/N713</f>
        <v>-0.2038951512918448</v>
      </c>
      <c r="O717" s="149">
        <f t="shared" ref="O717" si="3975">O716/O713</f>
        <v>-0.19903331689084219</v>
      </c>
      <c r="P717" s="149">
        <f t="shared" ref="P717" si="3976">P716/P713</f>
        <v>-0.19524682870199386</v>
      </c>
      <c r="Q717" s="149">
        <f t="shared" ref="Q717" si="3977">Q716/Q713</f>
        <v>-0.13216834963458537</v>
      </c>
      <c r="R717" s="149">
        <f t="shared" ref="R717" si="3978">R716/R713</f>
        <v>-9.7825273088632106E-2</v>
      </c>
      <c r="S717" s="148">
        <f t="shared" ref="S717" si="3979">S716/S713</f>
        <v>-0.34562069893536812</v>
      </c>
      <c r="T717" s="149">
        <f t="shared" ref="T717" si="3980">T716/T713</f>
        <v>-0.34313509815727539</v>
      </c>
      <c r="U717" s="149">
        <f t="shared" ref="U717" si="3981">U716/U713</f>
        <v>-0.35096963241224355</v>
      </c>
      <c r="V717" s="149">
        <f t="shared" ref="V717" si="3982">V716/V713</f>
        <v>-0.34698991746589325</v>
      </c>
      <c r="W717" s="149">
        <f t="shared" ref="W717" si="3983">W716/W713</f>
        <v>-0.35196828424511772</v>
      </c>
      <c r="X717" s="149">
        <f t="shared" ref="X717" si="3984">X716/X713</f>
        <v>-0.34457865252252978</v>
      </c>
      <c r="Y717" s="149">
        <f t="shared" ref="Y717" si="3985">Y716/Y713</f>
        <v>-0.35256124004437855</v>
      </c>
      <c r="Z717" s="149">
        <f t="shared" ref="Z717" si="3986">Z716/Z713</f>
        <v>-0.26457130906529325</v>
      </c>
      <c r="AA717" s="149">
        <f t="shared" ref="AA717" si="3987">AA716/AA713</f>
        <v>-0.2597943616003548</v>
      </c>
      <c r="AB717" s="149">
        <f t="shared" ref="AB717" si="3988">AB716/AB713</f>
        <v>-0.26593598062789142</v>
      </c>
      <c r="AC717" s="149">
        <f t="shared" ref="AC717" si="3989">AC716/AC713</f>
        <v>-0.26713528200667236</v>
      </c>
      <c r="AD717" s="150">
        <f t="shared" ref="AD717" si="3990">AD716/AD713</f>
        <v>-0.21008713975499319</v>
      </c>
      <c r="AE717" s="15"/>
      <c r="AF717" s="96">
        <f t="shared" ref="AF717" si="3991">AF716/AF713</f>
        <v>-0.26021530416727195</v>
      </c>
      <c r="AG717" s="97">
        <f t="shared" ref="AG717" si="3992">AG716/AG713</f>
        <v>-0.30782763742954694</v>
      </c>
    </row>
    <row r="718" spans="2:33" ht="3" customHeight="1" x14ac:dyDescent="0.2">
      <c r="B718" s="9">
        <f>G701</f>
        <v>15</v>
      </c>
      <c r="C718" s="9" t="str">
        <f t="shared" si="3887"/>
        <v xml:space="preserve">15 - </v>
      </c>
      <c r="D718" s="9" t="s">
        <v>56</v>
      </c>
      <c r="F718" s="16"/>
      <c r="G718" s="36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6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8"/>
      <c r="AE718" s="15"/>
      <c r="AF718" s="36"/>
      <c r="AG718" s="38"/>
    </row>
    <row r="719" spans="2:33" x14ac:dyDescent="0.2">
      <c r="B719" s="9">
        <f>G701</f>
        <v>15</v>
      </c>
      <c r="C719" s="9" t="str">
        <f t="shared" si="3887"/>
        <v>15 - Administrative Staff Compensation</v>
      </c>
      <c r="D719" s="9" t="s">
        <v>56</v>
      </c>
      <c r="F719" t="s">
        <v>5</v>
      </c>
      <c r="G719" s="144">
        <v>-27.303015046774615</v>
      </c>
      <c r="H719" s="70">
        <v>-27.1402288571444</v>
      </c>
      <c r="I719" s="70">
        <v>-35.156852591542986</v>
      </c>
      <c r="J719" s="70">
        <v>-33.526595023868047</v>
      </c>
      <c r="K719" s="70">
        <v>-38.570828294260231</v>
      </c>
      <c r="L719" s="70">
        <v>-39.216806081656678</v>
      </c>
      <c r="M719" s="70">
        <v>-34.863257809352184</v>
      </c>
      <c r="N719" s="70">
        <v>-34.810500415978325</v>
      </c>
      <c r="O719" s="70">
        <v>-30.529606563772244</v>
      </c>
      <c r="P719" s="70">
        <v>-31.850590689702599</v>
      </c>
      <c r="Q719" s="70">
        <v>-29.466453177071713</v>
      </c>
      <c r="R719" s="70">
        <v>-23.595674548058565</v>
      </c>
      <c r="S719" s="144">
        <v>-81.774469546149277</v>
      </c>
      <c r="T719" s="70">
        <v>-79.460299023559017</v>
      </c>
      <c r="U719" s="70">
        <v>-79.878274452887936</v>
      </c>
      <c r="V719" s="70">
        <v>-83.803107533720009</v>
      </c>
      <c r="W719" s="70">
        <v>-90.05302963822929</v>
      </c>
      <c r="X719" s="70">
        <v>-81.150575542595249</v>
      </c>
      <c r="Y719" s="70">
        <v>-90.816840808062025</v>
      </c>
      <c r="Z719" s="70">
        <v>-70.317558999982154</v>
      </c>
      <c r="AA719" s="70">
        <v>-62.009991252009023</v>
      </c>
      <c r="AB719" s="70">
        <v>-71.280606536301107</v>
      </c>
      <c r="AC719" s="70">
        <v>-63.342532056004067</v>
      </c>
      <c r="AD719" s="145">
        <v>-52.741639931369207</v>
      </c>
      <c r="AE719" s="15"/>
      <c r="AF719" s="92">
        <f>SUM(G719:R719)</f>
        <v>-386.03040909918252</v>
      </c>
      <c r="AG719" s="93">
        <f>SUM(S719:AD719)</f>
        <v>-906.62892532086835</v>
      </c>
    </row>
    <row r="720" spans="2:33" x14ac:dyDescent="0.2">
      <c r="B720" s="9">
        <f>G701</f>
        <v>15</v>
      </c>
      <c r="C720" s="9" t="str">
        <f t="shared" si="3887"/>
        <v>15 - % of Revenue - Administrative Staff Compensation</v>
      </c>
      <c r="D720" s="9" t="s">
        <v>56</v>
      </c>
      <c r="F720" s="16" t="str">
        <f>"% of Revenue - "&amp;F719</f>
        <v>% of Revenue - Administrative Staff Compensation</v>
      </c>
      <c r="G720" s="148">
        <f>G719/G713</f>
        <v>-0.19965720217666794</v>
      </c>
      <c r="H720" s="149">
        <f t="shared" ref="H720" si="3993">H719/H713</f>
        <v>-0.2017072138894826</v>
      </c>
      <c r="I720" s="149">
        <f t="shared" ref="I720" si="3994">I719/I713</f>
        <v>-0.20703501027896917</v>
      </c>
      <c r="J720" s="149">
        <f t="shared" ref="J720" si="3995">J719/J713</f>
        <v>-0.21640105261561937</v>
      </c>
      <c r="K720" s="149">
        <f t="shared" ref="K720" si="3996">K719/K713</f>
        <v>-0.20642138161198667</v>
      </c>
      <c r="L720" s="149">
        <f t="shared" ref="L720" si="3997">L719/L713</f>
        <v>-0.20981742652138535</v>
      </c>
      <c r="M720" s="149">
        <f t="shared" ref="M720" si="3998">M719/M713</f>
        <v>-0.21440649157193065</v>
      </c>
      <c r="N720" s="149">
        <f t="shared" ref="N720" si="3999">N719/N713</f>
        <v>-0.11023367708311207</v>
      </c>
      <c r="O720" s="149">
        <f t="shared" ref="O720" si="4000">O719/O713</f>
        <v>-0.10821541315364165</v>
      </c>
      <c r="P720" s="149">
        <f t="shared" ref="P720" si="4001">P719/P713</f>
        <v>-0.10886216769684726</v>
      </c>
      <c r="Q720" s="149">
        <f t="shared" ref="Q720" si="4002">Q719/Q713</f>
        <v>-7.2671455168626678E-2</v>
      </c>
      <c r="R720" s="149">
        <f t="shared" ref="R720" si="4003">R719/R713</f>
        <v>-5.6154289015353812E-2</v>
      </c>
      <c r="S720" s="148">
        <f t="shared" ref="S720" si="4004">S719/S713</f>
        <v>-0.19334501363156986</v>
      </c>
      <c r="T720" s="149">
        <f t="shared" ref="T720" si="4005">T719/T713</f>
        <v>-0.19279765266237048</v>
      </c>
      <c r="U720" s="149">
        <f t="shared" ref="U720" si="4006">U719/U713</f>
        <v>-0.19185949696758497</v>
      </c>
      <c r="V720" s="149">
        <f t="shared" ref="V720" si="4007">V719/V713</f>
        <v>-0.18369764356299065</v>
      </c>
      <c r="W720" s="149">
        <f t="shared" ref="W720" si="4008">W719/W713</f>
        <v>-0.18055255587023111</v>
      </c>
      <c r="X720" s="149">
        <f t="shared" ref="X720" si="4009">X719/X713</f>
        <v>-0.18195390684657348</v>
      </c>
      <c r="Y720" s="149">
        <f t="shared" ref="Y720" si="4010">Y719/Y713</f>
        <v>-0.18427282598437861</v>
      </c>
      <c r="Z720" s="149">
        <f t="shared" ref="Z720" si="4011">Z719/Z713</f>
        <v>-0.14002366644995226</v>
      </c>
      <c r="AA720" s="149">
        <f t="shared" ref="AA720" si="4012">AA719/AA713</f>
        <v>-0.13561789564878921</v>
      </c>
      <c r="AB720" s="149">
        <f t="shared" ref="AB720" si="4013">AB719/AB713</f>
        <v>-0.14112379180675694</v>
      </c>
      <c r="AC720" s="149">
        <f t="shared" ref="AC720" si="4014">AC719/AC713</f>
        <v>-0.1454654772138613</v>
      </c>
      <c r="AD720" s="150">
        <f t="shared" ref="AD720" si="4015">AD719/AD713</f>
        <v>-0.11648982360942714</v>
      </c>
      <c r="AE720" s="15"/>
      <c r="AF720" s="96">
        <f t="shared" ref="AF720" si="4016">AF719/AF713</f>
        <v>-0.13551765773650259</v>
      </c>
      <c r="AG720" s="97">
        <f t="shared" ref="AG720" si="4017">AG719/AG713</f>
        <v>-0.16490317355985409</v>
      </c>
    </row>
    <row r="721" spans="2:33" ht="3" customHeight="1" x14ac:dyDescent="0.2">
      <c r="B721" s="9">
        <f>G701</f>
        <v>15</v>
      </c>
      <c r="C721" s="9" t="str">
        <f t="shared" si="3887"/>
        <v xml:space="preserve">15 - </v>
      </c>
      <c r="D721" s="9" t="s">
        <v>56</v>
      </c>
      <c r="F721" s="16"/>
      <c r="G721" s="36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6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8"/>
      <c r="AE721" s="15"/>
      <c r="AF721" s="36"/>
      <c r="AG721" s="38"/>
    </row>
    <row r="722" spans="2:33" x14ac:dyDescent="0.2">
      <c r="B722" s="9">
        <f>G701</f>
        <v>15</v>
      </c>
      <c r="C722" s="9" t="str">
        <f t="shared" si="3887"/>
        <v>15 - Office Supplies</v>
      </c>
      <c r="D722" s="9" t="s">
        <v>56</v>
      </c>
      <c r="F722" t="s">
        <v>6</v>
      </c>
      <c r="G722" s="144">
        <v>-9.5566371015520204</v>
      </c>
      <c r="H722" s="70">
        <v>-9.3818031538061621</v>
      </c>
      <c r="I722" s="70">
        <v>-12.113537186657005</v>
      </c>
      <c r="J722" s="70">
        <v>-11.682314833327339</v>
      </c>
      <c r="K722" s="70">
        <v>-14.916527102275158</v>
      </c>
      <c r="L722" s="70">
        <v>-15.751234527720818</v>
      </c>
      <c r="M722" s="70">
        <v>-12.932739510886668</v>
      </c>
      <c r="N722" s="70">
        <v>-12.745923961768995</v>
      </c>
      <c r="O722" s="70">
        <v>-11.506659900150996</v>
      </c>
      <c r="P722" s="70">
        <v>-12.169957139311448</v>
      </c>
      <c r="Q722" s="70">
        <v>-10.916109925853002</v>
      </c>
      <c r="R722" s="70">
        <v>-8.7304059695141873</v>
      </c>
      <c r="S722" s="144">
        <v>-16.495044663708217</v>
      </c>
      <c r="T722" s="70">
        <v>-16.772555792344491</v>
      </c>
      <c r="U722" s="70">
        <v>-17.89944375029717</v>
      </c>
      <c r="V722" s="70">
        <v>-19.884202398693667</v>
      </c>
      <c r="W722" s="70">
        <v>-22.715742802343986</v>
      </c>
      <c r="X722" s="70">
        <v>-20.134019186639993</v>
      </c>
      <c r="Y722" s="70">
        <v>-21.223905540928072</v>
      </c>
      <c r="Z722" s="70">
        <v>-17.082612222829475</v>
      </c>
      <c r="AA722" s="70">
        <v>-15.672999391948442</v>
      </c>
      <c r="AB722" s="70">
        <v>-17.166839004889969</v>
      </c>
      <c r="AC722" s="70">
        <v>-15.553703945976526</v>
      </c>
      <c r="AD722" s="145">
        <v>-12.85612841561335</v>
      </c>
      <c r="AE722" s="15"/>
      <c r="AF722" s="92">
        <f>SUM(G722:R722)</f>
        <v>-142.40385031282378</v>
      </c>
      <c r="AG722" s="93">
        <f>SUM(S722:AD722)</f>
        <v>-213.45719711621337</v>
      </c>
    </row>
    <row r="723" spans="2:33" x14ac:dyDescent="0.2">
      <c r="B723" s="9">
        <f>G701</f>
        <v>15</v>
      </c>
      <c r="C723" s="9" t="str">
        <f t="shared" si="3887"/>
        <v>15 - % of Revenue - Office Supplies</v>
      </c>
      <c r="D723" s="9" t="s">
        <v>56</v>
      </c>
      <c r="F723" s="16" t="str">
        <f>"% of Revenue - "&amp;F722</f>
        <v>% of Revenue - Office Supplies</v>
      </c>
      <c r="G723" s="148">
        <f>G722/G713</f>
        <v>-6.9884275514803307E-2</v>
      </c>
      <c r="H723" s="149">
        <f t="shared" ref="H723" si="4018">H722/H713</f>
        <v>-6.9725918133356199E-2</v>
      </c>
      <c r="I723" s="149">
        <f t="shared" ref="I723" si="4019">I722/I713</f>
        <v>-7.1335347480948635E-2</v>
      </c>
      <c r="J723" s="149">
        <f t="shared" ref="J723" si="4020">J722/J713</f>
        <v>-7.5404771200873091E-2</v>
      </c>
      <c r="K723" s="149">
        <f t="shared" ref="K723" si="4021">K722/K713</f>
        <v>-7.9829505081239982E-2</v>
      </c>
      <c r="L723" s="149">
        <f t="shared" ref="L723" si="4022">L722/L713</f>
        <v>-8.4272122677705813E-2</v>
      </c>
      <c r="M723" s="149">
        <f t="shared" ref="M723" si="4023">M722/M713</f>
        <v>-7.9535404296011233E-2</v>
      </c>
      <c r="N723" s="149">
        <f t="shared" ref="N723" si="4024">N722/N713</f>
        <v>-4.0362248440491327E-2</v>
      </c>
      <c r="O723" s="149">
        <f t="shared" ref="O723" si="4025">O722/O713</f>
        <v>-4.0786570652727866E-2</v>
      </c>
      <c r="P723" s="149">
        <f t="shared" ref="P723" si="4026">P722/P713</f>
        <v>-4.1595709413059456E-2</v>
      </c>
      <c r="Q723" s="149">
        <f t="shared" ref="Q723" si="4027">Q722/Q713</f>
        <v>-2.6921787577396574E-2</v>
      </c>
      <c r="R723" s="149">
        <f t="shared" ref="R723" si="4028">R722/R713</f>
        <v>-2.0777102135179571E-2</v>
      </c>
      <c r="S723" s="148">
        <f t="shared" ref="S723" si="4029">S722/S713</f>
        <v>-3.9000370813266849E-2</v>
      </c>
      <c r="T723" s="149">
        <f t="shared" ref="T723" si="4030">T722/T713</f>
        <v>-4.0695912621143138E-2</v>
      </c>
      <c r="U723" s="149">
        <f t="shared" ref="U723" si="4031">U722/U713</f>
        <v>-4.2992644714140264E-2</v>
      </c>
      <c r="V723" s="149">
        <f t="shared" ref="V723" si="4032">V722/V713</f>
        <v>-4.3586463942281099E-2</v>
      </c>
      <c r="W723" s="149">
        <f t="shared" ref="W723" si="4033">W722/W713</f>
        <v>-4.5544113706452068E-2</v>
      </c>
      <c r="X723" s="149">
        <f t="shared" ref="X723" si="4034">X722/X713</f>
        <v>-4.5144023034193952E-2</v>
      </c>
      <c r="Y723" s="149">
        <f t="shared" ref="Y723" si="4035">Y722/Y713</f>
        <v>-4.3064579406787068E-2</v>
      </c>
      <c r="Z723" s="149">
        <f t="shared" ref="Z723" si="4036">Z722/Z713</f>
        <v>-3.4016681323991334E-2</v>
      </c>
      <c r="AA723" s="149">
        <f t="shared" ref="AA723" si="4037">AA722/AA713</f>
        <v>-3.4277366487645435E-2</v>
      </c>
      <c r="AB723" s="149">
        <f t="shared" ref="AB723" si="4038">AB722/AB713</f>
        <v>-3.3987497180911645E-2</v>
      </c>
      <c r="AC723" s="149">
        <f t="shared" ref="AC723" si="4039">AC722/AC713</f>
        <v>-3.5718922081362139E-2</v>
      </c>
      <c r="AD723" s="150">
        <f t="shared" ref="AD723" si="4040">AD722/AD713</f>
        <v>-2.8395175678718496E-2</v>
      </c>
      <c r="AE723" s="15"/>
      <c r="AF723" s="96">
        <f t="shared" ref="AF723" si="4041">AF722/AF713</f>
        <v>-4.9991492359595741E-2</v>
      </c>
      <c r="AG723" s="97">
        <f t="shared" ref="AG723" si="4042">AG722/AG713</f>
        <v>-3.8824891022749185E-2</v>
      </c>
    </row>
    <row r="724" spans="2:33" ht="6" customHeight="1" x14ac:dyDescent="0.2">
      <c r="B724" s="9">
        <f>G701</f>
        <v>15</v>
      </c>
      <c r="C724" s="9" t="str">
        <f t="shared" si="3887"/>
        <v xml:space="preserve">15 - </v>
      </c>
      <c r="D724" s="9" t="s">
        <v>56</v>
      </c>
      <c r="F724" s="16"/>
      <c r="G724" s="11"/>
      <c r="S724" s="11"/>
      <c r="AD724" s="15"/>
      <c r="AE724" s="15"/>
      <c r="AF724" s="11"/>
      <c r="AG724" s="15"/>
    </row>
    <row r="725" spans="2:33" x14ac:dyDescent="0.2">
      <c r="B725" s="9">
        <f>G701</f>
        <v>15</v>
      </c>
      <c r="C725" s="9" t="str">
        <f t="shared" si="3887"/>
        <v>15 - Office Gross Profit</v>
      </c>
      <c r="D725" s="9" t="s">
        <v>56</v>
      </c>
      <c r="F725" s="8" t="s">
        <v>11</v>
      </c>
      <c r="G725" s="134">
        <f>G713+G716+G719+G722</f>
        <v>45.309258592466584</v>
      </c>
      <c r="H725" s="135">
        <f t="shared" ref="H725:AD725" si="4043">H713+H716+H719+H722</f>
        <v>43.232517908832854</v>
      </c>
      <c r="I725" s="135">
        <f t="shared" si="4043"/>
        <v>51.840355981805054</v>
      </c>
      <c r="J725" s="135">
        <f t="shared" si="4043"/>
        <v>45.609734472515207</v>
      </c>
      <c r="K725" s="135">
        <f t="shared" si="4043"/>
        <v>55.121265106219028</v>
      </c>
      <c r="L725" s="135">
        <f t="shared" si="4043"/>
        <v>53.194981528929979</v>
      </c>
      <c r="M725" s="135">
        <f t="shared" si="4043"/>
        <v>47.109009354870537</v>
      </c>
      <c r="N725" s="135">
        <f t="shared" si="4043"/>
        <v>203.84413578158745</v>
      </c>
      <c r="O725" s="135">
        <f t="shared" si="4043"/>
        <v>183.9315230901781</v>
      </c>
      <c r="P725" s="135">
        <f t="shared" si="4043"/>
        <v>191.43190004645882</v>
      </c>
      <c r="Q725" s="135">
        <f t="shared" si="4043"/>
        <v>311.50141433686008</v>
      </c>
      <c r="R725" s="135">
        <f t="shared" si="4043"/>
        <v>346.76199298405771</v>
      </c>
      <c r="S725" s="134">
        <f t="shared" si="4043"/>
        <v>178.4974901283536</v>
      </c>
      <c r="T725" s="135">
        <f t="shared" si="4043"/>
        <v>174.4897437102704</v>
      </c>
      <c r="U725" s="135">
        <f t="shared" si="4043"/>
        <v>172.43786481375884</v>
      </c>
      <c r="V725" s="135">
        <f t="shared" si="4043"/>
        <v>194.2167519040897</v>
      </c>
      <c r="W725" s="135">
        <f t="shared" si="4043"/>
        <v>210.44581194520623</v>
      </c>
      <c r="X725" s="135">
        <f t="shared" si="4043"/>
        <v>191.03020352100984</v>
      </c>
      <c r="Y725" s="135">
        <f t="shared" si="4043"/>
        <v>207.04234407283525</v>
      </c>
      <c r="Z725" s="135">
        <f t="shared" si="4043"/>
        <v>281.919899278017</v>
      </c>
      <c r="AA725" s="135">
        <f t="shared" si="4043"/>
        <v>260.7689882948527</v>
      </c>
      <c r="AB725" s="135">
        <f t="shared" si="4043"/>
        <v>282.32298138276656</v>
      </c>
      <c r="AC725" s="135">
        <f t="shared" si="4043"/>
        <v>240.22763985729623</v>
      </c>
      <c r="AD725" s="136">
        <f t="shared" si="4043"/>
        <v>292.04119410766231</v>
      </c>
      <c r="AE725" s="15"/>
      <c r="AF725" s="98">
        <f>SUM(G725:R725)</f>
        <v>1578.8880891847814</v>
      </c>
      <c r="AG725" s="95">
        <f>SUM(S725:AD725)</f>
        <v>2685.4409130161184</v>
      </c>
    </row>
    <row r="726" spans="2:33" x14ac:dyDescent="0.2">
      <c r="B726" s="9">
        <f>G701</f>
        <v>15</v>
      </c>
      <c r="C726" s="9" t="str">
        <f t="shared" si="3887"/>
        <v>15 - % of Revenue - Office Gross Profit</v>
      </c>
      <c r="D726" s="9" t="s">
        <v>56</v>
      </c>
      <c r="F726" s="16" t="str">
        <f>"% of Revenue - "&amp;F725</f>
        <v>% of Revenue - Office Gross Profit</v>
      </c>
      <c r="G726" s="148">
        <f>G725/G713</f>
        <v>0.33133043320575312</v>
      </c>
      <c r="H726" s="149">
        <f t="shared" ref="H726" si="4044">H725/H713</f>
        <v>0.32130571863333046</v>
      </c>
      <c r="I726" s="149">
        <f t="shared" ref="I726" si="4045">I725/I713</f>
        <v>0.30528240847533117</v>
      </c>
      <c r="J726" s="149">
        <f t="shared" ref="J726" si="4046">J725/J713</f>
        <v>0.29439298987399726</v>
      </c>
      <c r="K726" s="149">
        <f t="shared" ref="K726" si="4047">K725/K713</f>
        <v>0.29499516091853095</v>
      </c>
      <c r="L726" s="149">
        <f t="shared" ref="L726" si="4048">L725/L713</f>
        <v>0.28460334339856624</v>
      </c>
      <c r="M726" s="149">
        <f t="shared" ref="M726" si="4049">M725/M713</f>
        <v>0.28971697001011665</v>
      </c>
      <c r="N726" s="149">
        <f t="shared" ref="N726" si="4050">N725/N713</f>
        <v>0.64550892318455189</v>
      </c>
      <c r="O726" s="149">
        <f t="shared" ref="O726" si="4051">O725/O713</f>
        <v>0.65196469930278833</v>
      </c>
      <c r="P726" s="149">
        <f t="shared" ref="P726" si="4052">P725/P713</f>
        <v>0.6542952941880994</v>
      </c>
      <c r="Q726" s="149">
        <f t="shared" ref="Q726" si="4053">Q725/Q713</f>
        <v>0.76823840761939144</v>
      </c>
      <c r="R726" s="149">
        <f t="shared" ref="R726" si="4054">R725/R713</f>
        <v>0.82524333576083442</v>
      </c>
      <c r="S726" s="148">
        <f t="shared" ref="S726" si="4055">S725/S713</f>
        <v>0.42203391661979511</v>
      </c>
      <c r="T726" s="149">
        <f t="shared" ref="T726" si="4056">T725/T713</f>
        <v>0.42337133655921105</v>
      </c>
      <c r="U726" s="149">
        <f t="shared" ref="U726" si="4057">U725/U713</f>
        <v>0.41417822590603132</v>
      </c>
      <c r="V726" s="149">
        <f t="shared" ref="V726" si="4058">V725/V713</f>
        <v>0.42572597502883497</v>
      </c>
      <c r="W726" s="149">
        <f t="shared" ref="W726" si="4059">W725/W713</f>
        <v>0.42193504617819899</v>
      </c>
      <c r="X726" s="149">
        <f t="shared" ref="X726" si="4060">X725/X713</f>
        <v>0.42832341759670273</v>
      </c>
      <c r="Y726" s="149">
        <f t="shared" ref="Y726" si="4061">Y725/Y713</f>
        <v>0.42010135456445591</v>
      </c>
      <c r="Z726" s="149">
        <f t="shared" ref="Z726" si="4062">Z725/Z713</f>
        <v>0.56138834316076314</v>
      </c>
      <c r="AA726" s="149">
        <f t="shared" ref="AA726" si="4063">AA725/AA713</f>
        <v>0.57031037626321068</v>
      </c>
      <c r="AB726" s="149">
        <f t="shared" ref="AB726" si="4064">AB725/AB713</f>
        <v>0.55895273038443993</v>
      </c>
      <c r="AC726" s="149">
        <f t="shared" ref="AC726" si="4065">AC725/AC713</f>
        <v>0.55168031869810419</v>
      </c>
      <c r="AD726" s="150">
        <f t="shared" ref="AD726" si="4066">AD725/AD713</f>
        <v>0.64502786095686115</v>
      </c>
      <c r="AE726" s="15"/>
      <c r="AF726" s="111">
        <f t="shared" ref="AF726" si="4067">AF725/AF713</f>
        <v>0.55427554573662963</v>
      </c>
      <c r="AG726" s="97">
        <f t="shared" ref="AG726" si="4068">AG725/AG713</f>
        <v>0.48844429798784955</v>
      </c>
    </row>
    <row r="727" spans="2:33" ht="6" customHeight="1" x14ac:dyDescent="0.2">
      <c r="B727" s="9">
        <f>G701</f>
        <v>15</v>
      </c>
      <c r="C727" s="9" t="str">
        <f t="shared" si="3887"/>
        <v xml:space="preserve">15 - </v>
      </c>
      <c r="D727" s="9" t="s">
        <v>56</v>
      </c>
      <c r="F727" s="16"/>
      <c r="G727" s="11"/>
      <c r="S727" s="11"/>
      <c r="AD727" s="15"/>
      <c r="AE727" s="15"/>
      <c r="AF727" s="11"/>
      <c r="AG727" s="15"/>
    </row>
    <row r="728" spans="2:33" x14ac:dyDescent="0.2">
      <c r="B728" s="9">
        <f>G701</f>
        <v>15</v>
      </c>
      <c r="C728" s="9" t="str">
        <f t="shared" si="3887"/>
        <v>15 - General and Administrative Expense</v>
      </c>
      <c r="D728" s="9" t="s">
        <v>56</v>
      </c>
      <c r="F728" t="s">
        <v>10</v>
      </c>
      <c r="G728" s="144">
        <v>-5.8222508180057915</v>
      </c>
      <c r="H728" s="70">
        <v>-5.9038062612481861</v>
      </c>
      <c r="I728" s="70">
        <v>-8.2041447137250803</v>
      </c>
      <c r="J728" s="70">
        <v>-8.0559032212272914</v>
      </c>
      <c r="K728" s="70">
        <v>-10.61773640879648</v>
      </c>
      <c r="L728" s="70">
        <v>-11.20486848383376</v>
      </c>
      <c r="M728" s="70">
        <v>-9.0453665235157619</v>
      </c>
      <c r="N728" s="70">
        <v>-9.0063811542183743</v>
      </c>
      <c r="O728" s="70">
        <v>-7.3681905106775467</v>
      </c>
      <c r="P728" s="70">
        <v>-7.6821584037867563</v>
      </c>
      <c r="Q728" s="70">
        <v>-7.2852468540433923</v>
      </c>
      <c r="R728" s="70">
        <v>-5.5758340772157009</v>
      </c>
      <c r="S728" s="144">
        <v>-7.3150594606609838</v>
      </c>
      <c r="T728" s="70">
        <v>-7.6116803131321706</v>
      </c>
      <c r="U728" s="70">
        <v>-7.0432088219472186</v>
      </c>
      <c r="V728" s="70">
        <v>-7.7505157182361186</v>
      </c>
      <c r="W728" s="70">
        <v>-7.9475048206115915</v>
      </c>
      <c r="X728" s="70">
        <v>-6.6337286620395481</v>
      </c>
      <c r="Y728" s="70">
        <v>-7.7473745569183707</v>
      </c>
      <c r="Z728" s="70">
        <v>-6.278306287885969</v>
      </c>
      <c r="AA728" s="70">
        <v>-5.2745399061250984</v>
      </c>
      <c r="AB728" s="70">
        <v>-5.471547837956467</v>
      </c>
      <c r="AC728" s="70">
        <v>-4.9011737549927465</v>
      </c>
      <c r="AD728" s="145">
        <v>-4.0673354904358954</v>
      </c>
      <c r="AE728" s="15"/>
      <c r="AF728" s="144">
        <v>-95.771887430294129</v>
      </c>
      <c r="AG728" s="145">
        <v>-78.041975630942176</v>
      </c>
    </row>
    <row r="729" spans="2:33" x14ac:dyDescent="0.2">
      <c r="B729" s="9">
        <f>G701</f>
        <v>15</v>
      </c>
      <c r="C729" s="9" t="str">
        <f t="shared" si="3887"/>
        <v>15 - % of Revenue - General and Administrative Expense</v>
      </c>
      <c r="D729" s="9" t="s">
        <v>56</v>
      </c>
      <c r="F729" s="16" t="str">
        <f>"% of Revenue - "&amp;F728</f>
        <v>% of Revenue - General and Administrative Expense</v>
      </c>
      <c r="G729" s="148">
        <f>G728/G713</f>
        <v>-4.2576041755915034E-2</v>
      </c>
      <c r="H729" s="149">
        <f t="shared" ref="H729" si="4069">H728/H713</f>
        <v>-4.3877312846836124E-2</v>
      </c>
      <c r="I729" s="149">
        <f t="shared" ref="I729" si="4070">I728/I713</f>
        <v>-4.8313346045795048E-2</v>
      </c>
      <c r="J729" s="149">
        <f t="shared" ref="J729" si="4071">J728/J713</f>
        <v>-5.1997703184652695E-2</v>
      </c>
      <c r="K729" s="149">
        <f t="shared" ref="K729" si="4072">K728/K713</f>
        <v>-5.6823457416438648E-2</v>
      </c>
      <c r="L729" s="149">
        <f t="shared" ref="L729" si="4073">L728/L713</f>
        <v>-5.9948193254019878E-2</v>
      </c>
      <c r="M729" s="149">
        <f t="shared" ref="M729" si="4074">M728/M713</f>
        <v>-5.5628344083465411E-2</v>
      </c>
      <c r="N729" s="149">
        <f t="shared" ref="N729" si="4075">N728/N713</f>
        <v>-2.8520317145048213E-2</v>
      </c>
      <c r="O729" s="149">
        <f t="shared" ref="O729" si="4076">O728/O713</f>
        <v>-2.6117329047203798E-2</v>
      </c>
      <c r="P729" s="149">
        <f t="shared" ref="P729" si="4077">P728/P713</f>
        <v>-2.6256857355463604E-2</v>
      </c>
      <c r="Q729" s="149">
        <f t="shared" ref="Q729" si="4078">Q728/Q713</f>
        <v>-1.7967194319740861E-2</v>
      </c>
      <c r="R729" s="149">
        <f t="shared" ref="R729" si="4079">R728/R713</f>
        <v>-1.3269677780811371E-2</v>
      </c>
      <c r="S729" s="148">
        <f t="shared" ref="S729" si="4080">S728/S713</f>
        <v>-1.7295499181918476E-2</v>
      </c>
      <c r="T729" s="149">
        <f t="shared" ref="T729" si="4081">T728/T713</f>
        <v>-1.8468519691238004E-2</v>
      </c>
      <c r="U729" s="149">
        <f t="shared" ref="U729" si="4082">U728/U713</f>
        <v>-1.6917071767911664E-2</v>
      </c>
      <c r="V729" s="149">
        <f t="shared" ref="V729" si="4083">V728/V713</f>
        <v>-1.6989244381719587E-2</v>
      </c>
      <c r="W729" s="149">
        <f t="shared" ref="W729" si="4084">W728/W713</f>
        <v>-1.5934414576800025E-2</v>
      </c>
      <c r="X729" s="149">
        <f t="shared" ref="X729" si="4085">X728/X713</f>
        <v>-1.4873989974163858E-2</v>
      </c>
      <c r="Y729" s="149">
        <f t="shared" ref="Y729" si="4086">Y728/Y713</f>
        <v>-1.5719888413428352E-2</v>
      </c>
      <c r="Z729" s="149">
        <f t="shared" ref="Z729" si="4087">Z728/Z713</f>
        <v>-1.2502019097759151E-2</v>
      </c>
      <c r="AA729" s="149">
        <f t="shared" ref="AA729" si="4088">AA728/AA713</f>
        <v>-1.1535592702749699E-2</v>
      </c>
      <c r="AB729" s="149">
        <f t="shared" ref="AB729" si="4089">AB728/AB713</f>
        <v>-1.0832758241910278E-2</v>
      </c>
      <c r="AC729" s="149">
        <f t="shared" ref="AC729" si="4090">AC728/AC713</f>
        <v>-1.1255495415745598E-2</v>
      </c>
      <c r="AD729" s="150">
        <f t="shared" ref="AD729" si="4091">AD728/AD713</f>
        <v>-8.9834748115110424E-3</v>
      </c>
      <c r="AE729" s="15"/>
      <c r="AF729" s="96">
        <f t="shared" ref="AF729" si="4092">AF728/AF713</f>
        <v>-3.362113853114309E-2</v>
      </c>
      <c r="AG729" s="97">
        <f t="shared" ref="AG729" si="4093">AG728/AG713</f>
        <v>-1.4194748361760592E-2</v>
      </c>
    </row>
    <row r="730" spans="2:33" ht="3" customHeight="1" x14ac:dyDescent="0.2">
      <c r="B730" s="9">
        <f>G701</f>
        <v>15</v>
      </c>
      <c r="C730" s="9" t="str">
        <f t="shared" si="3887"/>
        <v xml:space="preserve">15 - </v>
      </c>
      <c r="D730" s="9" t="s">
        <v>56</v>
      </c>
      <c r="F730" s="16"/>
      <c r="G730" s="36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6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8"/>
      <c r="AE730" s="15"/>
      <c r="AF730" s="36"/>
      <c r="AG730" s="38"/>
    </row>
    <row r="731" spans="2:33" x14ac:dyDescent="0.2">
      <c r="B731" s="9">
        <f>G701</f>
        <v>15</v>
      </c>
      <c r="C731" s="9" t="str">
        <f t="shared" si="3887"/>
        <v>15 - Marketing</v>
      </c>
      <c r="D731" s="9" t="s">
        <v>56</v>
      </c>
      <c r="F731" t="s">
        <v>7</v>
      </c>
      <c r="G731" s="144">
        <v>-3.2836494780930177</v>
      </c>
      <c r="H731" s="70">
        <v>-3.3901661108375318</v>
      </c>
      <c r="I731" s="70">
        <v>-4.2850624330754927</v>
      </c>
      <c r="J731" s="70">
        <v>-4.5672105480376697</v>
      </c>
      <c r="K731" s="70">
        <v>-5.1130962124175454</v>
      </c>
      <c r="L731" s="70">
        <v>-5.2294012891281394</v>
      </c>
      <c r="M731" s="70">
        <v>-4.7619801669288506</v>
      </c>
      <c r="N731" s="70">
        <v>-4.4541336230558848</v>
      </c>
      <c r="O731" s="70">
        <v>-3.4549854542978751</v>
      </c>
      <c r="P731" s="70">
        <v>-3.5403315052427198</v>
      </c>
      <c r="Q731" s="70">
        <v>-3.7048177825468058</v>
      </c>
      <c r="R731" s="70">
        <v>-2.8573173695118497</v>
      </c>
      <c r="S731" s="144">
        <v>-3.9402513402855353</v>
      </c>
      <c r="T731" s="70">
        <v>-4.0530154476484901</v>
      </c>
      <c r="U731" s="70">
        <v>-3.7151814146713944</v>
      </c>
      <c r="V731" s="70">
        <v>-4.0119999158002138</v>
      </c>
      <c r="W731" s="70">
        <v>-4.2118906589495264</v>
      </c>
      <c r="X731" s="70">
        <v>-4.2509110568450161</v>
      </c>
      <c r="Y731" s="70">
        <v>-4.1094173270882708</v>
      </c>
      <c r="Z731" s="70">
        <v>-2.6445522481110313</v>
      </c>
      <c r="AA731" s="70">
        <v>-2.5305693931176632</v>
      </c>
      <c r="AB731" s="70">
        <v>-2.386779044139173</v>
      </c>
      <c r="AC731" s="70">
        <v>-1.7849356299236021</v>
      </c>
      <c r="AD731" s="145">
        <v>-1.7975985473623937</v>
      </c>
      <c r="AE731" s="15"/>
      <c r="AF731" s="144">
        <v>-48.642151973173384</v>
      </c>
      <c r="AG731" s="145">
        <v>-39.437102023942316</v>
      </c>
    </row>
    <row r="732" spans="2:33" x14ac:dyDescent="0.2">
      <c r="B732" s="9">
        <f>G701</f>
        <v>15</v>
      </c>
      <c r="C732" s="9" t="str">
        <f t="shared" si="3887"/>
        <v>15 - % of Revenue - Marketing</v>
      </c>
      <c r="D732" s="9" t="s">
        <v>56</v>
      </c>
      <c r="F732" s="16" t="str">
        <f>"% of Revenue - "&amp;F731</f>
        <v>% of Revenue - Marketing</v>
      </c>
      <c r="G732" s="148">
        <f>G731/G713</f>
        <v>-2.4012156408432121E-2</v>
      </c>
      <c r="H732" s="149">
        <f t="shared" ref="H732" si="4094">H731/H713</f>
        <v>-2.5195843573720351E-2</v>
      </c>
      <c r="I732" s="149">
        <f t="shared" ref="I732" si="4095">I731/I713</f>
        <v>-2.5234282351293758E-2</v>
      </c>
      <c r="J732" s="149">
        <f t="shared" ref="J732" si="4096">J731/J713</f>
        <v>-2.9479557032525736E-2</v>
      </c>
      <c r="K732" s="149">
        <f t="shared" ref="K732" si="4097">K731/K713</f>
        <v>-2.736400619738075E-2</v>
      </c>
      <c r="L732" s="149">
        <f t="shared" ref="L732" si="4098">L731/L713</f>
        <v>-2.7978298856053355E-2</v>
      </c>
      <c r="M732" s="149">
        <f t="shared" ref="M732" si="4099">M731/M713</f>
        <v>-2.9285830547151132E-2</v>
      </c>
      <c r="N732" s="149">
        <f t="shared" ref="N732" si="4100">N731/N713</f>
        <v>-1.4104810951341659E-2</v>
      </c>
      <c r="O732" s="149">
        <f t="shared" ref="O732" si="4101">O731/O713</f>
        <v>-1.2246560649108798E-2</v>
      </c>
      <c r="P732" s="149">
        <f t="shared" ref="P732" si="4102">P731/P713</f>
        <v>-1.2100502806397507E-2</v>
      </c>
      <c r="Q732" s="149">
        <f t="shared" ref="Q732" si="4103">Q731/Q713</f>
        <v>-9.1369835987514265E-3</v>
      </c>
      <c r="R732" s="149">
        <f t="shared" ref="R732" si="4104">R731/R713</f>
        <v>-6.8000016295088573E-3</v>
      </c>
      <c r="S732" s="148">
        <f t="shared" ref="S732" si="4105">S731/S713</f>
        <v>-9.3162077764305396E-3</v>
      </c>
      <c r="T732" s="149">
        <f t="shared" ref="T732" si="4106">T731/T713</f>
        <v>-9.833990988119443E-3</v>
      </c>
      <c r="U732" s="149">
        <f t="shared" ref="U732" si="4107">U731/U713</f>
        <v>-8.9234881730273028E-3</v>
      </c>
      <c r="V732" s="149">
        <f t="shared" ref="V732" si="4108">V731/V713</f>
        <v>-8.7943627891229476E-3</v>
      </c>
      <c r="W732" s="149">
        <f t="shared" ref="W732" si="4109">W731/W713</f>
        <v>-8.4446645112809769E-3</v>
      </c>
      <c r="X732" s="149">
        <f t="shared" ref="X732" si="4110">X731/X713</f>
        <v>-9.5312925297031253E-3</v>
      </c>
      <c r="Y732" s="149">
        <f t="shared" ref="Y732" si="4111">Y731/Y713</f>
        <v>-8.3382546372886383E-3</v>
      </c>
      <c r="Z732" s="149">
        <f t="shared" ref="Z732" si="4112">Z731/Z713</f>
        <v>-5.2661085959918542E-3</v>
      </c>
      <c r="AA732" s="149">
        <f t="shared" ref="AA732" si="4113">AA731/AA713</f>
        <v>-5.5344387083223825E-3</v>
      </c>
      <c r="AB732" s="149">
        <f t="shared" ref="AB732" si="4114">AB731/AB713</f>
        <v>-4.7254270871318798E-3</v>
      </c>
      <c r="AC732" s="149">
        <f t="shared" ref="AC732" si="4115">AC731/AC713</f>
        <v>-4.0990864238470192E-3</v>
      </c>
      <c r="AD732" s="150">
        <f t="shared" ref="AD732" si="4116">AD731/AD713</f>
        <v>-3.9703342174284848E-3</v>
      </c>
      <c r="AE732" s="15"/>
      <c r="AF732" s="96">
        <f t="shared" ref="AF732" si="4117">AF731/AF713</f>
        <v>-1.7076039470698304E-2</v>
      </c>
      <c r="AG732" s="97">
        <f t="shared" ref="AG732" si="4118">AG731/AG713</f>
        <v>-7.1730595595659221E-3</v>
      </c>
    </row>
    <row r="733" spans="2:33" ht="3" customHeight="1" x14ac:dyDescent="0.2">
      <c r="B733" s="9">
        <f>G701</f>
        <v>15</v>
      </c>
      <c r="C733" s="9" t="str">
        <f t="shared" si="3887"/>
        <v xml:space="preserve">15 - </v>
      </c>
      <c r="D733" s="9" t="s">
        <v>56</v>
      </c>
      <c r="F733" s="16"/>
      <c r="G733" s="36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6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8"/>
      <c r="AE733" s="15"/>
      <c r="AF733" s="36"/>
      <c r="AG733" s="38"/>
    </row>
    <row r="734" spans="2:33" x14ac:dyDescent="0.2">
      <c r="B734" s="9">
        <f>G701</f>
        <v>15</v>
      </c>
      <c r="C734" s="9" t="str">
        <f t="shared" si="3887"/>
        <v>15 - Office Rent</v>
      </c>
      <c r="D734" s="9" t="s">
        <v>56</v>
      </c>
      <c r="F734" t="s">
        <v>162</v>
      </c>
      <c r="G734" s="144">
        <v>-15.832760931880046</v>
      </c>
      <c r="H734" s="70">
        <v>-16.307743759836448</v>
      </c>
      <c r="I734" s="70">
        <v>-16.307743759836448</v>
      </c>
      <c r="J734" s="70">
        <v>-16.307743759836448</v>
      </c>
      <c r="K734" s="70">
        <v>-16.307743759836448</v>
      </c>
      <c r="L734" s="70">
        <v>-16.307743759836448</v>
      </c>
      <c r="M734" s="70">
        <v>-16.307743759836448</v>
      </c>
      <c r="N734" s="70">
        <v>-16.307743759836448</v>
      </c>
      <c r="O734" s="70">
        <v>-16.307743759836448</v>
      </c>
      <c r="P734" s="70">
        <v>-16.307743759836448</v>
      </c>
      <c r="Q734" s="70">
        <v>-16.307743759836448</v>
      </c>
      <c r="R734" s="70">
        <v>-16.307743759836448</v>
      </c>
      <c r="S734" s="144">
        <v>-16.308036729124627</v>
      </c>
      <c r="T734" s="70">
        <v>-16.797277830998365</v>
      </c>
      <c r="U734" s="70">
        <v>-16.797277830998365</v>
      </c>
      <c r="V734" s="70">
        <v>-16.797277830998365</v>
      </c>
      <c r="W734" s="70">
        <v>-16.797277830998365</v>
      </c>
      <c r="X734" s="70">
        <v>-16.797277830998365</v>
      </c>
      <c r="Y734" s="70">
        <v>-16.797277830998365</v>
      </c>
      <c r="Z734" s="70">
        <v>-16.797277830998365</v>
      </c>
      <c r="AA734" s="70">
        <v>-16.797277830998365</v>
      </c>
      <c r="AB734" s="70">
        <v>-16.797277830998365</v>
      </c>
      <c r="AC734" s="70">
        <v>-16.797277830998365</v>
      </c>
      <c r="AD734" s="145">
        <v>-16.797277830998365</v>
      </c>
      <c r="AE734" s="15"/>
      <c r="AF734" s="144">
        <v>-195.21794229008103</v>
      </c>
      <c r="AG734" s="145">
        <v>-201.07809287010662</v>
      </c>
    </row>
    <row r="735" spans="2:33" x14ac:dyDescent="0.2">
      <c r="B735" s="9">
        <f>G701</f>
        <v>15</v>
      </c>
      <c r="C735" s="9" t="str">
        <f t="shared" si="3887"/>
        <v>15 - % YoY Growth</v>
      </c>
      <c r="D735" s="9" t="s">
        <v>56</v>
      </c>
      <c r="F735" s="16" t="s">
        <v>8</v>
      </c>
      <c r="G735" s="82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148">
        <f>S734/G734-1</f>
        <v>3.0018503992414347E-2</v>
      </c>
      <c r="T735" s="149">
        <f t="shared" ref="T735" si="4119">T734/H734-1</f>
        <v>3.0018503992414125E-2</v>
      </c>
      <c r="U735" s="149">
        <f t="shared" ref="U735" si="4120">U734/I734-1</f>
        <v>3.0018503992414125E-2</v>
      </c>
      <c r="V735" s="149">
        <f t="shared" ref="V735" si="4121">V734/J734-1</f>
        <v>3.0018503992414125E-2</v>
      </c>
      <c r="W735" s="149">
        <f t="shared" ref="W735" si="4122">W734/K734-1</f>
        <v>3.0018503992414125E-2</v>
      </c>
      <c r="X735" s="149">
        <f t="shared" ref="X735" si="4123">X734/L734-1</f>
        <v>3.0018503992414125E-2</v>
      </c>
      <c r="Y735" s="149">
        <f t="shared" ref="Y735" si="4124">Y734/M734-1</f>
        <v>3.0018503992414125E-2</v>
      </c>
      <c r="Z735" s="149">
        <f t="shared" ref="Z735" si="4125">Z734/N734-1</f>
        <v>3.0018503992414125E-2</v>
      </c>
      <c r="AA735" s="149">
        <f t="shared" ref="AA735" si="4126">AA734/O734-1</f>
        <v>3.0018503992414125E-2</v>
      </c>
      <c r="AB735" s="149">
        <f t="shared" ref="AB735" si="4127">AB734/P734-1</f>
        <v>3.0018503992414125E-2</v>
      </c>
      <c r="AC735" s="149">
        <f t="shared" ref="AC735" si="4128">AC734/Q734-1</f>
        <v>3.0018503992414125E-2</v>
      </c>
      <c r="AD735" s="150">
        <f t="shared" ref="AD735" si="4129">AD734/R734-1</f>
        <v>3.0018503992414125E-2</v>
      </c>
      <c r="AE735" s="15"/>
      <c r="AF735" s="11"/>
      <c r="AG735" s="97">
        <f>AG734/AF734-1</f>
        <v>3.0018503992413681E-2</v>
      </c>
    </row>
    <row r="736" spans="2:33" ht="6" customHeight="1" x14ac:dyDescent="0.2">
      <c r="B736" s="9">
        <f>G701</f>
        <v>15</v>
      </c>
      <c r="C736" s="9" t="str">
        <f t="shared" si="3887"/>
        <v xml:space="preserve">15 - </v>
      </c>
      <c r="D736" s="9" t="s">
        <v>56</v>
      </c>
      <c r="F736" s="16"/>
      <c r="G736" s="11"/>
      <c r="S736" s="11"/>
      <c r="AD736" s="15"/>
      <c r="AE736" s="15"/>
      <c r="AF736" s="11"/>
      <c r="AG736" s="15"/>
    </row>
    <row r="737" spans="2:34" x14ac:dyDescent="0.2">
      <c r="B737" s="9">
        <f>G701</f>
        <v>15</v>
      </c>
      <c r="C737" s="9" t="str">
        <f t="shared" si="3887"/>
        <v>15 - Office EBITDA</v>
      </c>
      <c r="D737" s="9" t="s">
        <v>56</v>
      </c>
      <c r="F737" s="8" t="s">
        <v>12</v>
      </c>
      <c r="G737" s="134">
        <f>G725+G728+G731+G734</f>
        <v>20.370597364487729</v>
      </c>
      <c r="H737" s="135">
        <f t="shared" ref="H737:AD737" si="4130">H725+H728+H731+H734</f>
        <v>17.630801776910687</v>
      </c>
      <c r="I737" s="135">
        <f t="shared" si="4130"/>
        <v>23.043405075168032</v>
      </c>
      <c r="J737" s="135">
        <f t="shared" si="4130"/>
        <v>16.678876943413798</v>
      </c>
      <c r="K737" s="135">
        <f t="shared" si="4130"/>
        <v>23.082688725168552</v>
      </c>
      <c r="L737" s="135">
        <f t="shared" si="4130"/>
        <v>20.452967996131633</v>
      </c>
      <c r="M737" s="135">
        <f t="shared" si="4130"/>
        <v>16.993918904589478</v>
      </c>
      <c r="N737" s="135">
        <f t="shared" si="4130"/>
        <v>174.07587724447671</v>
      </c>
      <c r="O737" s="135">
        <f t="shared" si="4130"/>
        <v>156.80060336536621</v>
      </c>
      <c r="P737" s="135">
        <f t="shared" si="4130"/>
        <v>163.90166637759287</v>
      </c>
      <c r="Q737" s="135">
        <f t="shared" si="4130"/>
        <v>284.20360594043342</v>
      </c>
      <c r="R737" s="135">
        <f t="shared" si="4130"/>
        <v>322.02109777749371</v>
      </c>
      <c r="S737" s="134">
        <f t="shared" si="4130"/>
        <v>150.93414259828245</v>
      </c>
      <c r="T737" s="135">
        <f t="shared" si="4130"/>
        <v>146.02777011849139</v>
      </c>
      <c r="U737" s="135">
        <f t="shared" si="4130"/>
        <v>144.88219674614186</v>
      </c>
      <c r="V737" s="135">
        <f t="shared" si="4130"/>
        <v>165.65695843905502</v>
      </c>
      <c r="W737" s="135">
        <f t="shared" si="4130"/>
        <v>181.48913863464676</v>
      </c>
      <c r="X737" s="135">
        <f t="shared" si="4130"/>
        <v>163.34828597112693</v>
      </c>
      <c r="Y737" s="135">
        <f t="shared" si="4130"/>
        <v>178.38827435783026</v>
      </c>
      <c r="Z737" s="135">
        <f t="shared" si="4130"/>
        <v>256.19976291102159</v>
      </c>
      <c r="AA737" s="135">
        <f t="shared" si="4130"/>
        <v>236.16660116461159</v>
      </c>
      <c r="AB737" s="135">
        <f t="shared" si="4130"/>
        <v>257.66737666967254</v>
      </c>
      <c r="AC737" s="135">
        <f t="shared" si="4130"/>
        <v>216.74425264138151</v>
      </c>
      <c r="AD737" s="136">
        <f t="shared" si="4130"/>
        <v>269.37898223886566</v>
      </c>
      <c r="AE737" s="15"/>
      <c r="AF737" s="94">
        <f>SUM(G737:R737)</f>
        <v>1239.2561074912328</v>
      </c>
      <c r="AG737" s="95">
        <f>SUM(S737:AD737)</f>
        <v>2366.8837424911276</v>
      </c>
    </row>
    <row r="738" spans="2:34" x14ac:dyDescent="0.2">
      <c r="B738" s="9">
        <f>G701</f>
        <v>15</v>
      </c>
      <c r="C738" s="9" t="str">
        <f t="shared" si="3887"/>
        <v>15 - % of Revenue - Office EBITDA</v>
      </c>
      <c r="D738" s="9" t="s">
        <v>56</v>
      </c>
      <c r="F738" s="16" t="str">
        <f>"% of Revenue - "&amp;F737</f>
        <v>% of Revenue - Office EBITDA</v>
      </c>
      <c r="G738" s="148">
        <f>G737/G713</f>
        <v>0.14896290645898788</v>
      </c>
      <c r="H738" s="149">
        <f t="shared" ref="H738" si="4131">H737/H713</f>
        <v>0.13103278987723949</v>
      </c>
      <c r="I738" s="149">
        <f t="shared" ref="I738" si="4132">I737/I713</f>
        <v>0.13570019085688809</v>
      </c>
      <c r="J738" s="149">
        <f t="shared" ref="J738" si="4133">J737/J713</f>
        <v>0.10765562457003465</v>
      </c>
      <c r="K738" s="149">
        <f t="shared" ref="K738" si="4134">K737/K713</f>
        <v>0.12353275023336144</v>
      </c>
      <c r="L738" s="149">
        <f t="shared" ref="L738" si="4135">L737/L713</f>
        <v>0.10942729759116859</v>
      </c>
      <c r="M738" s="149">
        <f t="shared" ref="M738" si="4136">M737/M713</f>
        <v>0.10451136122492624</v>
      </c>
      <c r="N738" s="149">
        <f t="shared" ref="N738" si="4137">N737/N713</f>
        <v>0.5512424070559806</v>
      </c>
      <c r="O738" s="149">
        <f t="shared" ref="O738" si="4138">O737/O713</f>
        <v>0.555796290413341</v>
      </c>
      <c r="P738" s="149">
        <f t="shared" ref="P738" si="4139">P737/P713</f>
        <v>0.56019967933463877</v>
      </c>
      <c r="Q738" s="149">
        <f t="shared" ref="Q738" si="4140">Q737/Q713</f>
        <v>0.70091535902709312</v>
      </c>
      <c r="R738" s="149">
        <f t="shared" ref="R738" si="4141">R737/R713</f>
        <v>0.76636358739431487</v>
      </c>
      <c r="S738" s="148">
        <f t="shared" ref="S738" si="4142">S737/S713</f>
        <v>0.35686399459510054</v>
      </c>
      <c r="T738" s="149">
        <f t="shared" ref="T738" si="4143">T737/T713</f>
        <v>0.3543129292027723</v>
      </c>
      <c r="U738" s="149">
        <f t="shared" ref="U738" si="4144">U737/U713</f>
        <v>0.34799231177268469</v>
      </c>
      <c r="V738" s="149">
        <f t="shared" ref="V738" si="4145">V737/V713</f>
        <v>0.36312248794380553</v>
      </c>
      <c r="W738" s="149">
        <f t="shared" ref="W738" si="4146">W737/W713</f>
        <v>0.36387812797429059</v>
      </c>
      <c r="X738" s="149">
        <f t="shared" ref="X738" si="4147">X737/X713</f>
        <v>0.36625567484160509</v>
      </c>
      <c r="Y738" s="149">
        <f t="shared" ref="Y738" si="4148">Y737/Y713</f>
        <v>0.36196052566800924</v>
      </c>
      <c r="Z738" s="149">
        <f t="shared" ref="Z738" si="4149">Z737/Z713</f>
        <v>0.51017172178031434</v>
      </c>
      <c r="AA738" s="149">
        <f t="shared" ref="AA738" si="4150">AA737/AA713</f>
        <v>0.51650414434518799</v>
      </c>
      <c r="AB738" s="149">
        <f t="shared" ref="AB738" si="4151">AB737/AB713</f>
        <v>0.51013871777319242</v>
      </c>
      <c r="AC738" s="149">
        <f t="shared" ref="AC738" si="4152">AC737/AC713</f>
        <v>0.49775096006525599</v>
      </c>
      <c r="AD738" s="150">
        <f t="shared" ref="AD738" si="4153">AD737/AD713</f>
        <v>0.5949741070987935</v>
      </c>
      <c r="AE738" s="15"/>
      <c r="AF738" s="96">
        <f t="shared" ref="AF738" si="4154">AF737/AF713</f>
        <v>0.43504625818148529</v>
      </c>
      <c r="AG738" s="97">
        <f t="shared" ref="AG738" si="4155">AG737/AG713</f>
        <v>0.43050318568412821</v>
      </c>
    </row>
    <row r="739" spans="2:34" ht="6" customHeight="1" x14ac:dyDescent="0.2">
      <c r="B739" s="9">
        <f>G701</f>
        <v>15</v>
      </c>
      <c r="C739" s="9" t="str">
        <f t="shared" si="3887"/>
        <v xml:space="preserve">15 - </v>
      </c>
      <c r="D739" s="9" t="s">
        <v>56</v>
      </c>
      <c r="G739" s="11"/>
      <c r="S739" s="11"/>
      <c r="AD739" s="15"/>
      <c r="AE739" s="15"/>
      <c r="AF739" s="11"/>
      <c r="AG739" s="15"/>
    </row>
    <row r="740" spans="2:34" x14ac:dyDescent="0.2">
      <c r="B740" s="9">
        <f>G701</f>
        <v>15</v>
      </c>
      <c r="C740" s="9" t="str">
        <f t="shared" si="3887"/>
        <v>15 - Memo:</v>
      </c>
      <c r="D740" s="9" t="s">
        <v>56</v>
      </c>
      <c r="F740" s="6" t="s">
        <v>13</v>
      </c>
      <c r="G740" s="11"/>
      <c r="S740" s="11"/>
      <c r="AD740" s="15"/>
      <c r="AE740" s="15"/>
      <c r="AF740" s="11"/>
      <c r="AG740" s="15"/>
    </row>
    <row r="741" spans="2:34" s="24" customFormat="1" x14ac:dyDescent="0.2">
      <c r="B741" s="9">
        <f>G701</f>
        <v>15</v>
      </c>
      <c r="C741" s="9" t="str">
        <f t="shared" si="3887"/>
        <v>15 - Collections</v>
      </c>
      <c r="D741" s="9" t="s">
        <v>56</v>
      </c>
      <c r="E741" s="49"/>
      <c r="F741" s="24" t="s">
        <v>15</v>
      </c>
      <c r="G741" s="169">
        <f>G742*G711</f>
        <v>134.74984790732509</v>
      </c>
      <c r="H741" s="170">
        <f t="shared" ref="H741" si="4156">H742*H711</f>
        <v>134.81461856324219</v>
      </c>
      <c r="I741" s="170">
        <f t="shared" ref="I741" si="4157">I742*I711</f>
        <v>167.07133440824055</v>
      </c>
      <c r="J741" s="170">
        <f t="shared" ref="J741" si="4158">J742*J711</f>
        <v>152.69018924656859</v>
      </c>
      <c r="K741" s="170">
        <f t="shared" ref="K741" si="4159">K742*K711</f>
        <v>188.51794856521002</v>
      </c>
      <c r="L741" s="170">
        <f t="shared" ref="L741" si="4160">L742*L711</f>
        <v>185.81295892468117</v>
      </c>
      <c r="M741" s="170">
        <f t="shared" ref="M741" si="4161">M742*M711</f>
        <v>163.5164205881733</v>
      </c>
      <c r="N741" s="170">
        <f t="shared" ref="N741" si="4162">N742*N711</f>
        <v>317.74471183631772</v>
      </c>
      <c r="O741" s="170">
        <f t="shared" ref="O741" si="4163">O742*O711</f>
        <v>281.3775268773457</v>
      </c>
      <c r="P741" s="170">
        <f t="shared" ref="P741" si="4164">P742*P711</f>
        <v>295.67724822744179</v>
      </c>
      <c r="Q741" s="170">
        <f t="shared" ref="Q741" si="4165">Q742*Q711</f>
        <v>396.04497864415038</v>
      </c>
      <c r="R741" s="170">
        <f t="shared" ref="R741" si="4166">R742*R711</f>
        <v>422.74968539955614</v>
      </c>
      <c r="S741" s="169">
        <f t="shared" ref="S741" si="4167">S742*S711</f>
        <v>422.09202054666986</v>
      </c>
      <c r="T741" s="170">
        <f t="shared" ref="T741" si="4168">T742*T711</f>
        <v>415.13623217933139</v>
      </c>
      <c r="U741" s="170">
        <f t="shared" ref="U741" si="4169">U742*U711</f>
        <v>404.08359782334838</v>
      </c>
      <c r="V741" s="170">
        <f t="shared" ref="V741" si="4170">V742*V711</f>
        <v>450.19387455123547</v>
      </c>
      <c r="W741" s="170">
        <f t="shared" ref="W741" si="4171">W742*W711</f>
        <v>495.31506092960132</v>
      </c>
      <c r="X741" s="170">
        <f t="shared" ref="X741" si="4172">X742*X711</f>
        <v>434.9853616454655</v>
      </c>
      <c r="Y741" s="170">
        <f t="shared" ref="Y741" si="4173">Y742*Y711</f>
        <v>478.10703472169217</v>
      </c>
      <c r="Z741" s="170">
        <f t="shared" ref="Z741" si="4174">Z742*Z711</f>
        <v>490.97548222834143</v>
      </c>
      <c r="AA741" s="170">
        <f t="shared" ref="AA741" si="4175">AA742*AA711</f>
        <v>455.08960351650006</v>
      </c>
      <c r="AB741" s="170">
        <f t="shared" ref="AB741" si="4176">AB742*AB711</f>
        <v>498.11020119712646</v>
      </c>
      <c r="AC741" s="170">
        <f t="shared" ref="AC741" si="4177">AC742*AC711</f>
        <v>436.40873825263145</v>
      </c>
      <c r="AD741" s="171">
        <f t="shared" ref="AD741" si="4178">AD742*AD711</f>
        <v>454.83675632791636</v>
      </c>
      <c r="AE741" s="26"/>
      <c r="AF741" s="68">
        <f>SUM(G741:R741)</f>
        <v>2840.7674691882526</v>
      </c>
      <c r="AG741" s="99">
        <f>SUM(S741:AD741)</f>
        <v>5435.3339639198603</v>
      </c>
    </row>
    <row r="742" spans="2:34" x14ac:dyDescent="0.2">
      <c r="B742" s="9">
        <f>G701</f>
        <v>15</v>
      </c>
      <c r="C742" s="9" t="str">
        <f t="shared" si="3887"/>
        <v>15 - Collections as a % of Production</v>
      </c>
      <c r="D742" s="9" t="s">
        <v>56</v>
      </c>
      <c r="F742" s="16" t="s">
        <v>17</v>
      </c>
      <c r="G742" s="140">
        <v>0.97346088335479564</v>
      </c>
      <c r="H742" s="141">
        <v>0.98983033910170337</v>
      </c>
      <c r="I742" s="141">
        <v>0.97196716593919086</v>
      </c>
      <c r="J742" s="141">
        <v>0.97363662546503971</v>
      </c>
      <c r="K742" s="141">
        <v>0.99669956587497033</v>
      </c>
      <c r="L742" s="141">
        <v>0.9821123744804553</v>
      </c>
      <c r="M742" s="141">
        <v>0.9934526745411264</v>
      </c>
      <c r="N742" s="141">
        <v>0.9940270620631888</v>
      </c>
      <c r="O742" s="141">
        <v>0.98531063671043018</v>
      </c>
      <c r="P742" s="141">
        <v>0.99837395591981037</v>
      </c>
      <c r="Q742" s="141">
        <v>0.96493120837336532</v>
      </c>
      <c r="R742" s="141">
        <v>0.99391598943714332</v>
      </c>
      <c r="S742" s="140">
        <v>0.98801458959421817</v>
      </c>
      <c r="T742" s="141">
        <v>0.99720204709160876</v>
      </c>
      <c r="U742" s="141">
        <v>0.96087484568985304</v>
      </c>
      <c r="V742" s="141">
        <v>0.97697627824907918</v>
      </c>
      <c r="W742" s="141">
        <v>0.98316819545121281</v>
      </c>
      <c r="X742" s="141">
        <v>0.96557363298588994</v>
      </c>
      <c r="Y742" s="141">
        <v>0.9604196008457182</v>
      </c>
      <c r="Z742" s="141">
        <v>0.96791771724878151</v>
      </c>
      <c r="AA742" s="141">
        <v>0.98535612491276614</v>
      </c>
      <c r="AB742" s="141">
        <v>0.97632691410526651</v>
      </c>
      <c r="AC742" s="141">
        <v>0.99219932944661848</v>
      </c>
      <c r="AD742" s="142">
        <v>0.99455976763538578</v>
      </c>
      <c r="AE742" s="15"/>
      <c r="AF742" s="96">
        <f t="shared" ref="AF742" si="4179">AF741/AF711</f>
        <v>0.98520340565346787</v>
      </c>
      <c r="AG742" s="97">
        <f t="shared" ref="AG742" si="4180">AG741/AG711</f>
        <v>0.97873845376339741</v>
      </c>
    </row>
    <row r="743" spans="2:34" ht="6" customHeight="1" x14ac:dyDescent="0.2">
      <c r="B743" s="9">
        <f>G701</f>
        <v>15</v>
      </c>
      <c r="C743" s="9" t="str">
        <f t="shared" si="3887"/>
        <v xml:space="preserve">15 - </v>
      </c>
      <c r="D743" s="9" t="s">
        <v>56</v>
      </c>
      <c r="F743" s="27"/>
      <c r="R743" s="15"/>
      <c r="AD743" s="15"/>
      <c r="AE743" s="15"/>
      <c r="AF743" s="11"/>
      <c r="AG743" s="15"/>
    </row>
    <row r="744" spans="2:34" s="24" customFormat="1" x14ac:dyDescent="0.2">
      <c r="B744" s="9">
        <f>G701</f>
        <v>15</v>
      </c>
      <c r="C744" s="9" t="str">
        <f t="shared" si="3887"/>
        <v>15 - Production per Vet Workday - YoY Change</v>
      </c>
      <c r="D744" s="9" t="s">
        <v>56</v>
      </c>
      <c r="E744" s="49"/>
      <c r="F744" s="24" t="s">
        <v>55</v>
      </c>
      <c r="G744" s="88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151">
        <f>S710/G710-1</f>
        <v>-1.5971683857110786E-2</v>
      </c>
      <c r="T744" s="152">
        <f t="shared" ref="T744" si="4181">T710/H710-1</f>
        <v>-2.7461929519423833E-2</v>
      </c>
      <c r="U744" s="152">
        <f t="shared" ref="U744" si="4182">U710/I710-1</f>
        <v>-0.1103455466066382</v>
      </c>
      <c r="V744" s="152">
        <f t="shared" ref="V744" si="4183">V710/J710-1</f>
        <v>-6.5075176487735309E-2</v>
      </c>
      <c r="W744" s="152">
        <f t="shared" ref="W744" si="4184">W710/K710-1</f>
        <v>-0.1491350850040557</v>
      </c>
      <c r="X744" s="152">
        <f t="shared" ref="X744" si="4185">X710/L710-1</f>
        <v>-0.13071594278730958</v>
      </c>
      <c r="Y744" s="152">
        <f t="shared" ref="Y744" si="4186">Y710/M710-1</f>
        <v>-3.5674789758830983E-2</v>
      </c>
      <c r="Z744" s="152">
        <f t="shared" ref="Z744" si="4187">Z710/N710-1</f>
        <v>-0.17206803055365516</v>
      </c>
      <c r="AA744" s="152">
        <f t="shared" ref="AA744" si="4188">AA710/O710-1</f>
        <v>-0.15284896234061218</v>
      </c>
      <c r="AB744" s="152">
        <f t="shared" ref="AB744" si="4189">AB710/P710-1</f>
        <v>-0.21043669996525327</v>
      </c>
      <c r="AC744" s="152">
        <f t="shared" ref="AC744" si="4190">AC710/Q710-1</f>
        <v>-0.15974178180628029</v>
      </c>
      <c r="AD744" s="153">
        <f t="shared" ref="AD744" si="4191">AD710/R710-1</f>
        <v>-0.13983644440348586</v>
      </c>
      <c r="AF744" s="43"/>
      <c r="AG744" s="104">
        <f>AG710/AF710-1</f>
        <v>-0.11405788089001923</v>
      </c>
    </row>
    <row r="745" spans="2:34" s="24" customFormat="1" ht="6" customHeight="1" x14ac:dyDescent="0.2">
      <c r="D745" s="9" t="s">
        <v>56</v>
      </c>
      <c r="E745" s="49"/>
      <c r="G745" s="28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29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29"/>
      <c r="AE745" s="25"/>
      <c r="AF745" s="28"/>
      <c r="AG745" s="29"/>
    </row>
    <row r="746" spans="2:34" s="24" customFormat="1" ht="6" customHeight="1" x14ac:dyDescent="0.2">
      <c r="D746" s="9" t="s">
        <v>56</v>
      </c>
      <c r="E746" s="49"/>
    </row>
    <row r="747" spans="2:34" x14ac:dyDescent="0.2">
      <c r="D747" s="9" t="s">
        <v>56</v>
      </c>
      <c r="F747" s="16"/>
    </row>
    <row r="748" spans="2:34" ht="15.75" thickBot="1" x14ac:dyDescent="0.4">
      <c r="B748" s="35" t="s">
        <v>52</v>
      </c>
      <c r="C748" s="35"/>
      <c r="D748" s="9" t="s">
        <v>56</v>
      </c>
      <c r="E748" s="48" t="s">
        <v>0</v>
      </c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74">
        <f ca="1">AG$2</f>
        <v>45999</v>
      </c>
      <c r="AH748" s="1"/>
    </row>
    <row r="749" spans="2:34" x14ac:dyDescent="0.2">
      <c r="B749" s="9">
        <f>G750</f>
        <v>16</v>
      </c>
      <c r="C749" s="9"/>
      <c r="D749" s="9" t="s">
        <v>56</v>
      </c>
      <c r="F749" t="s">
        <v>159</v>
      </c>
      <c r="AG749" s="6" t="s">
        <v>16</v>
      </c>
    </row>
    <row r="750" spans="2:34" x14ac:dyDescent="0.2">
      <c r="B750" s="9">
        <f>G750</f>
        <v>16</v>
      </c>
      <c r="C750" s="9"/>
      <c r="D750" s="9" t="s">
        <v>56</v>
      </c>
      <c r="F750" s="40" t="s">
        <v>53</v>
      </c>
      <c r="G750" s="42">
        <v>16</v>
      </c>
    </row>
    <row r="751" spans="2:34" x14ac:dyDescent="0.2">
      <c r="B751" s="9">
        <f>G750</f>
        <v>16</v>
      </c>
      <c r="C751" s="9"/>
      <c r="D751" s="9" t="s">
        <v>56</v>
      </c>
      <c r="F751" s="39" t="s">
        <v>33</v>
      </c>
      <c r="G751" s="41"/>
      <c r="H751" s="11"/>
    </row>
    <row r="752" spans="2:34" x14ac:dyDescent="0.2">
      <c r="B752" s="9">
        <f>G750</f>
        <v>16</v>
      </c>
      <c r="C752" s="9"/>
      <c r="D752" s="9" t="s">
        <v>56</v>
      </c>
      <c r="G752" s="23"/>
    </row>
    <row r="753" spans="2:33" x14ac:dyDescent="0.2">
      <c r="B753" s="9">
        <f>G750</f>
        <v>16</v>
      </c>
      <c r="C753" s="9"/>
      <c r="D753" s="9" t="s">
        <v>56</v>
      </c>
      <c r="G753" s="20">
        <v>2023</v>
      </c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2"/>
      <c r="S753" s="20">
        <v>2024</v>
      </c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2"/>
      <c r="AF753" s="17" t="s">
        <v>14</v>
      </c>
      <c r="AG753" s="18"/>
    </row>
    <row r="754" spans="2:33" ht="15" customHeight="1" x14ac:dyDescent="0.35">
      <c r="B754" s="9">
        <f>G750</f>
        <v>16</v>
      </c>
      <c r="C754" s="9"/>
      <c r="D754" s="9" t="s">
        <v>56</v>
      </c>
      <c r="G754" s="165">
        <v>44957</v>
      </c>
      <c r="H754" s="166">
        <v>44985</v>
      </c>
      <c r="I754" s="166">
        <v>45016</v>
      </c>
      <c r="J754" s="166">
        <v>45046</v>
      </c>
      <c r="K754" s="166">
        <v>45077</v>
      </c>
      <c r="L754" s="166">
        <v>45107</v>
      </c>
      <c r="M754" s="166">
        <v>45138</v>
      </c>
      <c r="N754" s="166">
        <v>45169</v>
      </c>
      <c r="O754" s="166">
        <v>45199</v>
      </c>
      <c r="P754" s="166">
        <v>45230</v>
      </c>
      <c r="Q754" s="166">
        <v>45260</v>
      </c>
      <c r="R754" s="167">
        <v>45291</v>
      </c>
      <c r="S754" s="165">
        <v>45322</v>
      </c>
      <c r="T754" s="166">
        <v>45351</v>
      </c>
      <c r="U754" s="166">
        <v>45382</v>
      </c>
      <c r="V754" s="166">
        <v>45412</v>
      </c>
      <c r="W754" s="166">
        <v>45443</v>
      </c>
      <c r="X754" s="166">
        <v>45473</v>
      </c>
      <c r="Y754" s="166">
        <v>45504</v>
      </c>
      <c r="Z754" s="166">
        <v>45535</v>
      </c>
      <c r="AA754" s="166">
        <v>45565</v>
      </c>
      <c r="AB754" s="166">
        <v>45596</v>
      </c>
      <c r="AC754" s="166">
        <v>45626</v>
      </c>
      <c r="AD754" s="167">
        <v>45657</v>
      </c>
      <c r="AE754" s="168"/>
      <c r="AF754" s="13">
        <v>45291</v>
      </c>
      <c r="AG754" s="14">
        <v>45657</v>
      </c>
    </row>
    <row r="755" spans="2:33" ht="0.95" customHeight="1" x14ac:dyDescent="0.2">
      <c r="B755" s="9">
        <f>G750</f>
        <v>16</v>
      </c>
      <c r="C755" s="9"/>
      <c r="D755" s="9" t="s">
        <v>56</v>
      </c>
      <c r="G755" s="11"/>
      <c r="S755" s="11"/>
      <c r="AD755" s="15"/>
      <c r="AE755" s="15"/>
      <c r="AF755" s="11"/>
      <c r="AG755" s="15"/>
    </row>
    <row r="756" spans="2:33" x14ac:dyDescent="0.2">
      <c r="B756" s="9">
        <f>G750</f>
        <v>16</v>
      </c>
      <c r="C756" s="9" t="str">
        <f>B756&amp;" - "&amp;F756</f>
        <v>16 - Employed Vets</v>
      </c>
      <c r="D756" s="9" t="s">
        <v>56</v>
      </c>
      <c r="F756" s="7" t="s">
        <v>160</v>
      </c>
      <c r="G756" s="121">
        <v>3</v>
      </c>
      <c r="H756" s="154">
        <f>MAX(MIN(IF(H759/G759&gt;1.1,G756-1,IF(H759/G759&lt;0.9,G756+1,G756)),5),1)</f>
        <v>2</v>
      </c>
      <c r="I756" s="154">
        <f t="shared" ref="I756:AD756" si="4192">MAX(MIN(IF(I759/H759&gt;1.1,H756-1,IF(I759/H759&lt;0.9,H756+1,H756)),5),1)</f>
        <v>1</v>
      </c>
      <c r="J756" s="154">
        <f t="shared" si="4192"/>
        <v>1</v>
      </c>
      <c r="K756" s="154">
        <f t="shared" si="4192"/>
        <v>1</v>
      </c>
      <c r="L756" s="154">
        <f t="shared" si="4192"/>
        <v>1</v>
      </c>
      <c r="M756" s="154">
        <f t="shared" si="4192"/>
        <v>2</v>
      </c>
      <c r="N756" s="154">
        <f t="shared" si="4192"/>
        <v>2</v>
      </c>
      <c r="O756" s="154">
        <f t="shared" si="4192"/>
        <v>1</v>
      </c>
      <c r="P756" s="154">
        <f t="shared" si="4192"/>
        <v>1</v>
      </c>
      <c r="Q756" s="154">
        <f t="shared" si="4192"/>
        <v>2</v>
      </c>
      <c r="R756" s="154">
        <f t="shared" si="4192"/>
        <v>3</v>
      </c>
      <c r="S756" s="155">
        <f t="shared" si="4192"/>
        <v>2</v>
      </c>
      <c r="T756" s="154">
        <f t="shared" si="4192"/>
        <v>2</v>
      </c>
      <c r="U756" s="154">
        <f t="shared" si="4192"/>
        <v>2</v>
      </c>
      <c r="V756" s="154">
        <f t="shared" si="4192"/>
        <v>2</v>
      </c>
      <c r="W756" s="154">
        <f t="shared" si="4192"/>
        <v>2</v>
      </c>
      <c r="X756" s="154">
        <f t="shared" si="4192"/>
        <v>2</v>
      </c>
      <c r="Y756" s="154">
        <f t="shared" si="4192"/>
        <v>3</v>
      </c>
      <c r="Z756" s="154">
        <f t="shared" si="4192"/>
        <v>3</v>
      </c>
      <c r="AA756" s="154">
        <f t="shared" si="4192"/>
        <v>3</v>
      </c>
      <c r="AB756" s="154">
        <f t="shared" si="4192"/>
        <v>3</v>
      </c>
      <c r="AC756" s="154">
        <f t="shared" si="4192"/>
        <v>4</v>
      </c>
      <c r="AD756" s="156">
        <f t="shared" si="4192"/>
        <v>5</v>
      </c>
      <c r="AE756" s="15"/>
      <c r="AF756" s="90">
        <f>AVERAGE(G756:R756)</f>
        <v>1.6666666666666667</v>
      </c>
      <c r="AG756" s="91">
        <f>AVERAGE(S756:AD756)</f>
        <v>2.75</v>
      </c>
    </row>
    <row r="757" spans="2:33" x14ac:dyDescent="0.2">
      <c r="B757" s="9">
        <f>G750</f>
        <v>16</v>
      </c>
      <c r="C757" s="9" t="str">
        <f t="shared" ref="C757:C793" si="4193">B757&amp;" - "&amp;F757</f>
        <v>16 - Workdays in Month / Year</v>
      </c>
      <c r="D757" s="9" t="s">
        <v>56</v>
      </c>
      <c r="F757" s="7" t="s">
        <v>54</v>
      </c>
      <c r="G757" s="121">
        <v>22</v>
      </c>
      <c r="H757" s="124">
        <v>21</v>
      </c>
      <c r="I757" s="124">
        <v>24</v>
      </c>
      <c r="J757" s="122">
        <v>21</v>
      </c>
      <c r="K757" s="122">
        <v>23</v>
      </c>
      <c r="L757" s="122">
        <v>23</v>
      </c>
      <c r="M757" s="122">
        <v>22</v>
      </c>
      <c r="N757" s="122">
        <v>24</v>
      </c>
      <c r="O757" s="122">
        <v>22</v>
      </c>
      <c r="P757" s="122">
        <v>22</v>
      </c>
      <c r="Q757" s="122">
        <v>23</v>
      </c>
      <c r="R757" s="122">
        <v>22</v>
      </c>
      <c r="S757" s="121">
        <v>23</v>
      </c>
      <c r="T757" s="122">
        <v>22</v>
      </c>
      <c r="U757" s="122">
        <v>22</v>
      </c>
      <c r="V757" s="122">
        <v>22</v>
      </c>
      <c r="W757" s="122">
        <v>24</v>
      </c>
      <c r="X757" s="122">
        <v>21</v>
      </c>
      <c r="Y757" s="122">
        <v>23</v>
      </c>
      <c r="Z757" s="122">
        <v>23</v>
      </c>
      <c r="AA757" s="122">
        <v>21</v>
      </c>
      <c r="AB757" s="122">
        <v>24</v>
      </c>
      <c r="AC757" s="122">
        <v>22</v>
      </c>
      <c r="AD757" s="123">
        <v>22</v>
      </c>
      <c r="AE757" s="15"/>
      <c r="AF757" s="144">
        <v>269</v>
      </c>
      <c r="AG757" s="145">
        <v>269</v>
      </c>
    </row>
    <row r="758" spans="2:33" x14ac:dyDescent="0.2">
      <c r="B758" s="9">
        <f>G750</f>
        <v>16</v>
      </c>
      <c r="C758" s="9" t="str">
        <f t="shared" si="4193"/>
        <v>16 - Total Vet Days</v>
      </c>
      <c r="D758" s="9" t="s">
        <v>56</v>
      </c>
      <c r="F758" s="8" t="s">
        <v>51</v>
      </c>
      <c r="G758" s="125">
        <f>G756*G757</f>
        <v>66</v>
      </c>
      <c r="H758" s="126">
        <f t="shared" ref="H758" si="4194">H756*H757</f>
        <v>42</v>
      </c>
      <c r="I758" s="126">
        <f t="shared" ref="I758" si="4195">I756*I757</f>
        <v>24</v>
      </c>
      <c r="J758" s="127">
        <f t="shared" ref="J758" si="4196">J756*J757</f>
        <v>21</v>
      </c>
      <c r="K758" s="127">
        <f t="shared" ref="K758" si="4197">K756*K757</f>
        <v>23</v>
      </c>
      <c r="L758" s="127">
        <f t="shared" ref="L758" si="4198">L756*L757</f>
        <v>23</v>
      </c>
      <c r="M758" s="127">
        <f t="shared" ref="M758" si="4199">M756*M757</f>
        <v>44</v>
      </c>
      <c r="N758" s="127">
        <f t="shared" ref="N758" si="4200">N756*N757</f>
        <v>48</v>
      </c>
      <c r="O758" s="127">
        <f t="shared" ref="O758" si="4201">O756*O757</f>
        <v>22</v>
      </c>
      <c r="P758" s="127">
        <f t="shared" ref="P758" si="4202">P756*P757</f>
        <v>22</v>
      </c>
      <c r="Q758" s="127">
        <f t="shared" ref="Q758" si="4203">Q756*Q757</f>
        <v>46</v>
      </c>
      <c r="R758" s="127">
        <f t="shared" ref="R758" si="4204">R756*R757</f>
        <v>66</v>
      </c>
      <c r="S758" s="125">
        <f t="shared" ref="S758" si="4205">S756*S757</f>
        <v>46</v>
      </c>
      <c r="T758" s="127">
        <f t="shared" ref="T758" si="4206">T756*T757</f>
        <v>44</v>
      </c>
      <c r="U758" s="127">
        <f t="shared" ref="U758" si="4207">U756*U757</f>
        <v>44</v>
      </c>
      <c r="V758" s="127">
        <f t="shared" ref="V758" si="4208">V756*V757</f>
        <v>44</v>
      </c>
      <c r="W758" s="127">
        <f t="shared" ref="W758" si="4209">W756*W757</f>
        <v>48</v>
      </c>
      <c r="X758" s="127">
        <f t="shared" ref="X758" si="4210">X756*X757</f>
        <v>42</v>
      </c>
      <c r="Y758" s="127">
        <f t="shared" ref="Y758" si="4211">Y756*Y757</f>
        <v>69</v>
      </c>
      <c r="Z758" s="127">
        <f t="shared" ref="Z758" si="4212">Z756*Z757</f>
        <v>69</v>
      </c>
      <c r="AA758" s="127">
        <f t="shared" ref="AA758" si="4213">AA756*AA757</f>
        <v>63</v>
      </c>
      <c r="AB758" s="127">
        <f t="shared" ref="AB758" si="4214">AB756*AB757</f>
        <v>72</v>
      </c>
      <c r="AC758" s="127">
        <f t="shared" ref="AC758" si="4215">AC756*AC757</f>
        <v>88</v>
      </c>
      <c r="AD758" s="128">
        <f t="shared" ref="AD758" si="4216">AD756*AD757</f>
        <v>110</v>
      </c>
      <c r="AF758" s="119">
        <f>SUM(G758:R758)</f>
        <v>447</v>
      </c>
      <c r="AG758" s="120">
        <f>SUM(S758:AD758)</f>
        <v>739</v>
      </c>
    </row>
    <row r="759" spans="2:33" x14ac:dyDescent="0.2">
      <c r="B759" s="9">
        <f>G750</f>
        <v>16</v>
      </c>
      <c r="C759" s="9" t="str">
        <f t="shared" si="4193"/>
        <v>16 - Production per Vet Workday</v>
      </c>
      <c r="D759" s="9" t="s">
        <v>56</v>
      </c>
      <c r="F759" s="7" t="s">
        <v>50</v>
      </c>
      <c r="G759" s="129">
        <v>4.669544544860452</v>
      </c>
      <c r="H759" s="130">
        <v>5.1481226463427952</v>
      </c>
      <c r="I759" s="130">
        <v>5.8218701262123087</v>
      </c>
      <c r="J759" s="130">
        <v>6.0670298069959561</v>
      </c>
      <c r="K759" s="130">
        <v>6.4166321537917757</v>
      </c>
      <c r="L759" s="130">
        <v>6.3013395220506068</v>
      </c>
      <c r="M759" s="130">
        <v>5.4358551147370546</v>
      </c>
      <c r="N759" s="130">
        <v>5.1894070579272205</v>
      </c>
      <c r="O759" s="130">
        <v>5.7665400129316158</v>
      </c>
      <c r="P759" s="130">
        <v>5.8264333177991983</v>
      </c>
      <c r="Q759" s="130">
        <v>4.3780209157535355</v>
      </c>
      <c r="R759" s="130">
        <v>3.4369254568778693</v>
      </c>
      <c r="S759" s="129">
        <v>5.3004516154583738</v>
      </c>
      <c r="T759" s="130">
        <v>5.7952348194244196</v>
      </c>
      <c r="U759" s="130">
        <v>6.1744807988372017</v>
      </c>
      <c r="V759" s="130">
        <v>6.6036753470765523</v>
      </c>
      <c r="W759" s="130">
        <v>6.5458579206463634</v>
      </c>
      <c r="X759" s="130">
        <v>7.1205552169644966</v>
      </c>
      <c r="Y759" s="130">
        <v>5.9084631353928172</v>
      </c>
      <c r="Z759" s="130">
        <v>5.4902467142473466</v>
      </c>
      <c r="AA759" s="130">
        <v>5.8736186513363515</v>
      </c>
      <c r="AB759" s="130">
        <v>5.8708757864960379</v>
      </c>
      <c r="AC759" s="130">
        <v>4.763702980321459</v>
      </c>
      <c r="AD759" s="131">
        <v>3.4449905956882891</v>
      </c>
      <c r="AE759" s="15"/>
      <c r="AF759" s="132">
        <v>5.3753652393483451</v>
      </c>
      <c r="AG759" s="133">
        <v>5.7403934342477925</v>
      </c>
    </row>
    <row r="760" spans="2:33" x14ac:dyDescent="0.2">
      <c r="B760" s="9">
        <f>G750</f>
        <v>16</v>
      </c>
      <c r="C760" s="9" t="str">
        <f t="shared" si="4193"/>
        <v>16 - Total Production</v>
      </c>
      <c r="D760" s="9" t="s">
        <v>56</v>
      </c>
      <c r="F760" s="8" t="s">
        <v>1</v>
      </c>
      <c r="G760" s="134">
        <f>G759*G758</f>
        <v>308.18993996078984</v>
      </c>
      <c r="H760" s="135">
        <f t="shared" ref="H760" si="4217">H759*H758</f>
        <v>216.2211511463974</v>
      </c>
      <c r="I760" s="135">
        <f t="shared" ref="I760" si="4218">I759*I758</f>
        <v>139.72488302909539</v>
      </c>
      <c r="J760" s="135">
        <f t="shared" ref="J760" si="4219">J759*J758</f>
        <v>127.40762594691508</v>
      </c>
      <c r="K760" s="135">
        <f t="shared" ref="K760" si="4220">K759*K758</f>
        <v>147.58253953721083</v>
      </c>
      <c r="L760" s="135">
        <f t="shared" ref="L760" si="4221">L759*L758</f>
        <v>144.93080900716396</v>
      </c>
      <c r="M760" s="135">
        <f t="shared" ref="M760" si="4222">M759*M758</f>
        <v>239.1776250484304</v>
      </c>
      <c r="N760" s="135">
        <f t="shared" ref="N760" si="4223">N759*N758</f>
        <v>249.0915387805066</v>
      </c>
      <c r="O760" s="135">
        <f t="shared" ref="O760" si="4224">O759*O758</f>
        <v>126.86388028449555</v>
      </c>
      <c r="P760" s="135">
        <f t="shared" ref="P760" si="4225">P759*P758</f>
        <v>128.18153299158237</v>
      </c>
      <c r="Q760" s="135">
        <f t="shared" ref="Q760" si="4226">Q759*Q758</f>
        <v>201.38896212466264</v>
      </c>
      <c r="R760" s="135">
        <f t="shared" ref="R760" si="4227">R759*R758</f>
        <v>226.83708015393938</v>
      </c>
      <c r="S760" s="134">
        <f t="shared" ref="S760" si="4228">S759*S758</f>
        <v>243.82077431108519</v>
      </c>
      <c r="T760" s="135">
        <f t="shared" ref="T760" si="4229">T759*T758</f>
        <v>254.99033205467447</v>
      </c>
      <c r="U760" s="135">
        <f t="shared" ref="U760" si="4230">U759*U758</f>
        <v>271.67715514883685</v>
      </c>
      <c r="V760" s="135">
        <f t="shared" ref="V760" si="4231">V759*V758</f>
        <v>290.56171527136831</v>
      </c>
      <c r="W760" s="135">
        <f t="shared" ref="W760" si="4232">W759*W758</f>
        <v>314.20118019102546</v>
      </c>
      <c r="X760" s="135">
        <f t="shared" ref="X760" si="4233">X759*X758</f>
        <v>299.06331911250885</v>
      </c>
      <c r="Y760" s="135">
        <f t="shared" ref="Y760" si="4234">Y759*Y758</f>
        <v>407.68395634210441</v>
      </c>
      <c r="Z760" s="135">
        <f t="shared" ref="Z760" si="4235">Z759*Z758</f>
        <v>378.82702328306692</v>
      </c>
      <c r="AA760" s="135">
        <f t="shared" ref="AA760" si="4236">AA759*AA758</f>
        <v>370.03797503419014</v>
      </c>
      <c r="AB760" s="135">
        <f t="shared" ref="AB760" si="4237">AB759*AB758</f>
        <v>422.70305662771472</v>
      </c>
      <c r="AC760" s="135">
        <f t="shared" ref="AC760" si="4238">AC759*AC758</f>
        <v>419.2058622682884</v>
      </c>
      <c r="AD760" s="136">
        <f t="shared" ref="AD760" si="4239">AD759*AD758</f>
        <v>378.9489655257118</v>
      </c>
      <c r="AE760" s="15"/>
      <c r="AF760" s="94">
        <f>SUM(G760:R760)</f>
        <v>2255.5975680111897</v>
      </c>
      <c r="AG760" s="95">
        <f>SUM(S760:AD760)</f>
        <v>4051.721315170576</v>
      </c>
    </row>
    <row r="761" spans="2:33" x14ac:dyDescent="0.2">
      <c r="B761" s="9">
        <f>G750</f>
        <v>16</v>
      </c>
      <c r="C761" s="9" t="str">
        <f t="shared" si="4193"/>
        <v>16 - Revenue as a % of Production</v>
      </c>
      <c r="D761" s="9" t="s">
        <v>56</v>
      </c>
      <c r="F761" s="7" t="s">
        <v>2</v>
      </c>
      <c r="G761" s="137">
        <v>0.98479532546424753</v>
      </c>
      <c r="H761" s="138">
        <v>0.98479532546424753</v>
      </c>
      <c r="I761" s="138">
        <v>0.98479532546424753</v>
      </c>
      <c r="J761" s="138">
        <v>0.98479532546424753</v>
      </c>
      <c r="K761" s="138">
        <v>0.98479532546424753</v>
      </c>
      <c r="L761" s="138">
        <v>0.98479532546424753</v>
      </c>
      <c r="M761" s="138">
        <v>0.98479532546424753</v>
      </c>
      <c r="N761" s="138">
        <v>0.98479532546424753</v>
      </c>
      <c r="O761" s="138">
        <v>0.98479532546424753</v>
      </c>
      <c r="P761" s="138">
        <v>0.98479532546424753</v>
      </c>
      <c r="Q761" s="138">
        <v>0.98479532546424753</v>
      </c>
      <c r="R761" s="138">
        <v>0.98479532546424753</v>
      </c>
      <c r="S761" s="137">
        <v>0.97587855295503212</v>
      </c>
      <c r="T761" s="138">
        <v>0.97587855295503212</v>
      </c>
      <c r="U761" s="138">
        <v>0.97587855295503212</v>
      </c>
      <c r="V761" s="138">
        <v>0.97587855295503212</v>
      </c>
      <c r="W761" s="138">
        <v>0.97587855295503212</v>
      </c>
      <c r="X761" s="138">
        <v>0.97587855295503212</v>
      </c>
      <c r="Y761" s="138">
        <v>0.97587855295503212</v>
      </c>
      <c r="Z761" s="138">
        <v>0.97587855295503212</v>
      </c>
      <c r="AA761" s="138">
        <v>0.97587855295503212</v>
      </c>
      <c r="AB761" s="138">
        <v>0.97587855295503212</v>
      </c>
      <c r="AC761" s="138">
        <v>0.97587855295503212</v>
      </c>
      <c r="AD761" s="139">
        <v>0.97587855295503212</v>
      </c>
      <c r="AE761" s="15"/>
      <c r="AF761" s="161">
        <v>0.98479532546424753</v>
      </c>
      <c r="AG761" s="162">
        <v>0.97587855295503201</v>
      </c>
    </row>
    <row r="762" spans="2:33" x14ac:dyDescent="0.2">
      <c r="B762" s="9">
        <f>G750</f>
        <v>16</v>
      </c>
      <c r="C762" s="9" t="str">
        <f t="shared" si="4193"/>
        <v>16 - Total Revenue</v>
      </c>
      <c r="D762" s="9" t="s">
        <v>56</v>
      </c>
      <c r="F762" s="8" t="s">
        <v>3</v>
      </c>
      <c r="G762" s="134">
        <f>G761*G760</f>
        <v>303.50401222849291</v>
      </c>
      <c r="H762" s="135">
        <f t="shared" ref="H762" si="4240">H761*H760</f>
        <v>212.93357891547069</v>
      </c>
      <c r="I762" s="135">
        <f t="shared" ref="I762" si="4241">I761*I760</f>
        <v>137.60041165809193</v>
      </c>
      <c r="J762" s="135">
        <f t="shared" ref="J762" si="4242">J761*J760</f>
        <v>125.47043446101934</v>
      </c>
      <c r="K762" s="135">
        <f t="shared" ref="K762" si="4243">K761*K760</f>
        <v>145.33859505638773</v>
      </c>
      <c r="L762" s="135">
        <f t="shared" ref="L762" si="4244">L761*L760</f>
        <v>142.72718322600673</v>
      </c>
      <c r="M762" s="135">
        <f t="shared" ref="M762" si="4245">M761*M760</f>
        <v>235.54100710333478</v>
      </c>
      <c r="N762" s="135">
        <f t="shared" ref="N762" si="4246">N761*N760</f>
        <v>245.30418300373924</v>
      </c>
      <c r="O762" s="135">
        <f t="shared" ref="O762" si="4247">O761*O760</f>
        <v>124.93495627442714</v>
      </c>
      <c r="P762" s="135">
        <f t="shared" ref="P762" si="4248">P761*P760</f>
        <v>126.23257450095154</v>
      </c>
      <c r="Q762" s="135">
        <f t="shared" ref="Q762" si="4249">Q761*Q760</f>
        <v>198.32690850046416</v>
      </c>
      <c r="R762" s="135">
        <f t="shared" ref="R762" si="4250">R761*R760</f>
        <v>223.38809617755834</v>
      </c>
      <c r="S762" s="134">
        <f t="shared" ref="S762" si="4251">S761*S760</f>
        <v>237.93946441507728</v>
      </c>
      <c r="T762" s="135">
        <f t="shared" ref="T762" si="4252">T761*T760</f>
        <v>248.83959626303886</v>
      </c>
      <c r="U762" s="135">
        <f t="shared" ref="U762" si="4253">U761*U760</f>
        <v>265.12390903758666</v>
      </c>
      <c r="V762" s="135">
        <f t="shared" ref="V762" si="4254">V761*V760</f>
        <v>283.55294624315496</v>
      </c>
      <c r="W762" s="135">
        <f t="shared" ref="W762" si="4255">W761*W760</f>
        <v>306.62219306158124</v>
      </c>
      <c r="X762" s="135">
        <f t="shared" ref="X762" si="4256">X761*X760</f>
        <v>291.84947909744415</v>
      </c>
      <c r="Y762" s="135">
        <f t="shared" ref="Y762" si="4257">Y761*Y760</f>
        <v>397.85002937811532</v>
      </c>
      <c r="Z762" s="135">
        <f t="shared" ref="Z762" si="4258">Z761*Z760</f>
        <v>369.68916730174163</v>
      </c>
      <c r="AA762" s="135">
        <f t="shared" ref="AA762" si="4259">AA761*AA760</f>
        <v>361.11212361477578</v>
      </c>
      <c r="AB762" s="135">
        <f t="shared" ref="AB762" si="4260">AB761*AB760</f>
        <v>412.50684723152324</v>
      </c>
      <c r="AC762" s="135">
        <f t="shared" ref="AC762" si="4261">AC761*AC760</f>
        <v>409.09401026064376</v>
      </c>
      <c r="AD762" s="136">
        <f t="shared" ref="AD762" si="4262">AD761*AD760</f>
        <v>369.80816812103797</v>
      </c>
      <c r="AE762" s="15"/>
      <c r="AF762" s="94">
        <f>SUM(G762:R762)</f>
        <v>2221.3019411059449</v>
      </c>
      <c r="AG762" s="95">
        <f>SUM(S762:AD762)</f>
        <v>3953.9879340257212</v>
      </c>
    </row>
    <row r="763" spans="2:33" x14ac:dyDescent="0.2">
      <c r="B763" s="9">
        <f>G750</f>
        <v>16</v>
      </c>
      <c r="C763" s="9" t="str">
        <f t="shared" si="4193"/>
        <v>16 - % YoY Revenue Growth</v>
      </c>
      <c r="D763" s="9" t="s">
        <v>56</v>
      </c>
      <c r="F763" s="16" t="s">
        <v>174</v>
      </c>
      <c r="G763" s="82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148">
        <f>S762/G762-1</f>
        <v>-0.21602530830483846</v>
      </c>
      <c r="T763" s="149">
        <f t="shared" ref="T763" si="4263">T762/H762-1</f>
        <v>0.16862543489123416</v>
      </c>
      <c r="U763" s="149">
        <f t="shared" ref="U763" si="4264">U762/I762-1</f>
        <v>0.92676683043916896</v>
      </c>
      <c r="V763" s="149">
        <f t="shared" ref="V763" si="4265">V762/J762-1</f>
        <v>1.2599184219071793</v>
      </c>
      <c r="W763" s="149">
        <f t="shared" ref="W763" si="4266">W762/K762-1</f>
        <v>1.1097093510682385</v>
      </c>
      <c r="X763" s="149">
        <f t="shared" ref="X763" si="4267">X762/L762-1</f>
        <v>1.0448065498168218</v>
      </c>
      <c r="Y763" s="149">
        <f t="shared" ref="Y763" si="4268">Y762/M762-1</f>
        <v>0.6890902958718077</v>
      </c>
      <c r="Z763" s="149">
        <f t="shared" ref="Z763" si="4269">Z762/N762-1</f>
        <v>0.50706426109377167</v>
      </c>
      <c r="AA763" s="149">
        <f t="shared" ref="AA763" si="4270">AA762/O762-1</f>
        <v>1.8904010085181548</v>
      </c>
      <c r="AB763" s="149">
        <f t="shared" ref="AB763" si="4271">AB762/P762-1</f>
        <v>2.2678320066142179</v>
      </c>
      <c r="AC763" s="149">
        <f t="shared" ref="AC763" si="4272">AC762/Q762-1</f>
        <v>1.0627256954377744</v>
      </c>
      <c r="AD763" s="150">
        <f t="shared" ref="AD763" si="4273">AD762/R762-1</f>
        <v>0.65545154128131666</v>
      </c>
      <c r="AE763" s="15"/>
      <c r="AF763" s="11"/>
      <c r="AG763" s="97">
        <f>AG762/AF762-1</f>
        <v>0.78003172862537729</v>
      </c>
    </row>
    <row r="764" spans="2:33" ht="6" customHeight="1" x14ac:dyDescent="0.2">
      <c r="B764" s="9">
        <f>G750</f>
        <v>16</v>
      </c>
      <c r="C764" s="9" t="str">
        <f t="shared" si="4193"/>
        <v xml:space="preserve">16 - </v>
      </c>
      <c r="D764" s="9" t="s">
        <v>56</v>
      </c>
      <c r="G764" s="11"/>
      <c r="S764" s="11"/>
      <c r="AD764" s="15"/>
      <c r="AE764" s="15"/>
      <c r="AF764" s="11"/>
      <c r="AG764" s="15"/>
    </row>
    <row r="765" spans="2:33" x14ac:dyDescent="0.2">
      <c r="B765" s="9">
        <f>G750</f>
        <v>16</v>
      </c>
      <c r="C765" s="9" t="str">
        <f t="shared" si="4193"/>
        <v>16 - Doctor Compensation</v>
      </c>
      <c r="D765" s="9" t="s">
        <v>56</v>
      </c>
      <c r="F765" t="s">
        <v>4</v>
      </c>
      <c r="G765" s="144">
        <v>-64.506414054214787</v>
      </c>
      <c r="H765" s="70">
        <v>-69.806092696342034</v>
      </c>
      <c r="I765" s="70">
        <v>-39.343557507316596</v>
      </c>
      <c r="J765" s="70">
        <v>-36.653304543295128</v>
      </c>
      <c r="K765" s="70">
        <v>-43.682081863013252</v>
      </c>
      <c r="L765" s="70">
        <v>-96.871318214498444</v>
      </c>
      <c r="M765" s="70">
        <v>-80.047730148265813</v>
      </c>
      <c r="N765" s="70">
        <v>-80.866165483142481</v>
      </c>
      <c r="O765" s="70">
        <v>-54.154494888121967</v>
      </c>
      <c r="P765" s="70">
        <v>-56.108424858580648</v>
      </c>
      <c r="Q765" s="70">
        <v>-67.737695351661685</v>
      </c>
      <c r="R765" s="70">
        <v>-50.518642818646406</v>
      </c>
      <c r="S765" s="144">
        <v>-113.5037961897516</v>
      </c>
      <c r="T765" s="70">
        <v>-120.41690825382389</v>
      </c>
      <c r="U765" s="70">
        <v>-127.3690914773973</v>
      </c>
      <c r="V765" s="70">
        <v>-91.686023179780818</v>
      </c>
      <c r="W765" s="70">
        <v>-98.547526609144839</v>
      </c>
      <c r="X765" s="70">
        <v>-95.666538411333875</v>
      </c>
      <c r="Y765" s="70">
        <v>-133.57696214992768</v>
      </c>
      <c r="Z765" s="70">
        <v>-120.86734967112537</v>
      </c>
      <c r="AA765" s="70">
        <v>-118.21548716398567</v>
      </c>
      <c r="AB765" s="70">
        <v>-133.19099036336186</v>
      </c>
      <c r="AC765" s="70">
        <v>-96.628943959029257</v>
      </c>
      <c r="AD765" s="145">
        <v>-71.607413078689518</v>
      </c>
      <c r="AE765" s="15"/>
      <c r="AF765" s="92">
        <f>SUM(G765:R765)</f>
        <v>-740.2959224270993</v>
      </c>
      <c r="AG765" s="93">
        <f>SUM(S765:AD765)</f>
        <v>-1321.2770305073518</v>
      </c>
    </row>
    <row r="766" spans="2:33" x14ac:dyDescent="0.2">
      <c r="B766" s="9">
        <f>G750</f>
        <v>16</v>
      </c>
      <c r="C766" s="9" t="str">
        <f t="shared" si="4193"/>
        <v>16 - % of Revenue - Doctor Compensation</v>
      </c>
      <c r="D766" s="9" t="s">
        <v>56</v>
      </c>
      <c r="F766" s="16" t="str">
        <f>"% of Revenue - "&amp;F765</f>
        <v>% of Revenue - Doctor Compensation</v>
      </c>
      <c r="G766" s="148">
        <f>G765/G762</f>
        <v>-0.2125389169671047</v>
      </c>
      <c r="H766" s="149">
        <f t="shared" ref="H766" si="4274">H765/H762</f>
        <v>-0.32783036405945776</v>
      </c>
      <c r="I766" s="149">
        <f t="shared" ref="I766" si="4275">I765/I762</f>
        <v>-0.28592616136263499</v>
      </c>
      <c r="J766" s="149">
        <f t="shared" ref="J766" si="4276">J765/J762</f>
        <v>-0.29212702339595736</v>
      </c>
      <c r="K766" s="149">
        <f t="shared" ref="K766" si="4277">K765/K762</f>
        <v>-0.30055390205241561</v>
      </c>
      <c r="L766" s="149">
        <f t="shared" ref="L766" si="4278">L765/L762</f>
        <v>-0.67871666787611096</v>
      </c>
      <c r="M766" s="149">
        <f t="shared" ref="M766" si="4279">M765/M762</f>
        <v>-0.33984625918300448</v>
      </c>
      <c r="N766" s="149">
        <f t="shared" ref="N766" si="4280">N765/N762</f>
        <v>-0.32965669191996538</v>
      </c>
      <c r="O766" s="149">
        <f t="shared" ref="O766" si="4281">O765/O762</f>
        <v>-0.43346151071737171</v>
      </c>
      <c r="P766" s="149">
        <f t="shared" ref="P766" si="4282">P765/P762</f>
        <v>-0.44448451661863003</v>
      </c>
      <c r="Q766" s="149">
        <f t="shared" ref="Q766" si="4283">Q765/Q762</f>
        <v>-0.34154566248131252</v>
      </c>
      <c r="R766" s="149">
        <f t="shared" ref="R766" si="4284">R765/R762</f>
        <v>-0.22614742541380559</v>
      </c>
      <c r="S766" s="148">
        <f t="shared" ref="S766" si="4285">S765/S762</f>
        <v>-0.47702803933250892</v>
      </c>
      <c r="T766" s="149">
        <f t="shared" ref="T766" si="4286">T765/T762</f>
        <v>-0.48391377442413047</v>
      </c>
      <c r="U766" s="149">
        <f t="shared" ref="U766" si="4287">U765/U762</f>
        <v>-0.48041344871442798</v>
      </c>
      <c r="V766" s="149">
        <f t="shared" ref="V766" si="4288">V765/V762</f>
        <v>-0.32334710111302234</v>
      </c>
      <c r="W766" s="149">
        <f t="shared" ref="W766" si="4289">W765/W762</f>
        <v>-0.32139724011873072</v>
      </c>
      <c r="X766" s="149">
        <f t="shared" ref="X766" si="4290">X765/X762</f>
        <v>-0.32779410368381112</v>
      </c>
      <c r="Y766" s="149">
        <f t="shared" ref="Y766" si="4291">Y765/Y762</f>
        <v>-0.33574702095340703</v>
      </c>
      <c r="Z766" s="149">
        <f t="shared" ref="Z766" si="4292">Z765/Z762</f>
        <v>-0.3269431737838101</v>
      </c>
      <c r="AA766" s="149">
        <f t="shared" ref="AA766" si="4293">AA765/AA762</f>
        <v>-0.32736504656956522</v>
      </c>
      <c r="AB766" s="149">
        <f t="shared" ref="AB766" si="4294">AB765/AB762</f>
        <v>-0.32288188973650467</v>
      </c>
      <c r="AC766" s="149">
        <f t="shared" ref="AC766" si="4295">AC765/AC762</f>
        <v>-0.23620229466929765</v>
      </c>
      <c r="AD766" s="150">
        <f t="shared" ref="AD766" si="4296">AD765/AD762</f>
        <v>-0.19363394119313357</v>
      </c>
      <c r="AE766" s="15"/>
      <c r="AF766" s="96">
        <f t="shared" ref="AF766" si="4297">AF765/AF762</f>
        <v>-0.33327118152092361</v>
      </c>
      <c r="AG766" s="97">
        <f t="shared" ref="AG766" si="4298">AG765/AG762</f>
        <v>-0.33416314175802359</v>
      </c>
    </row>
    <row r="767" spans="2:33" ht="3" customHeight="1" x14ac:dyDescent="0.2">
      <c r="B767" s="9">
        <f>G750</f>
        <v>16</v>
      </c>
      <c r="C767" s="9" t="str">
        <f t="shared" si="4193"/>
        <v xml:space="preserve">16 - </v>
      </c>
      <c r="D767" s="9" t="s">
        <v>56</v>
      </c>
      <c r="F767" s="16"/>
      <c r="G767" s="36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6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8"/>
      <c r="AE767" s="15"/>
      <c r="AF767" s="36"/>
      <c r="AG767" s="38"/>
    </row>
    <row r="768" spans="2:33" x14ac:dyDescent="0.2">
      <c r="B768" s="9">
        <f>G750</f>
        <v>16</v>
      </c>
      <c r="C768" s="9" t="str">
        <f t="shared" si="4193"/>
        <v>16 - Administrative Staff Compensation</v>
      </c>
      <c r="D768" s="9" t="s">
        <v>56</v>
      </c>
      <c r="F768" t="s">
        <v>5</v>
      </c>
      <c r="G768" s="144">
        <v>-51.624170755061293</v>
      </c>
      <c r="H768" s="70">
        <v>-53.804888517889786</v>
      </c>
      <c r="I768" s="70">
        <v>-59.849508754609083</v>
      </c>
      <c r="J768" s="70">
        <v>-57.639971283969018</v>
      </c>
      <c r="K768" s="70">
        <v>-65.433777643834915</v>
      </c>
      <c r="L768" s="70">
        <v>-65.547171736638404</v>
      </c>
      <c r="M768" s="70">
        <v>-55.810323796533524</v>
      </c>
      <c r="N768" s="70">
        <v>-58.509862875584858</v>
      </c>
      <c r="O768" s="70">
        <v>-60.791933011128535</v>
      </c>
      <c r="P768" s="70">
        <v>-59.023566403579203</v>
      </c>
      <c r="Q768" s="70">
        <v>-44.734548608240615</v>
      </c>
      <c r="R768" s="70">
        <v>-41.734147820631655</v>
      </c>
      <c r="S768" s="144">
        <v>-77.79790660568834</v>
      </c>
      <c r="T768" s="70">
        <v>-80.122577965110239</v>
      </c>
      <c r="U768" s="70">
        <v>-86.218473189953144</v>
      </c>
      <c r="V768" s="70">
        <v>-95.733820528198763</v>
      </c>
      <c r="W768" s="70">
        <v>-99.488731159980773</v>
      </c>
      <c r="X768" s="70">
        <v>-94.651337088319551</v>
      </c>
      <c r="Y768" s="70">
        <v>-86.266159553558296</v>
      </c>
      <c r="Z768" s="70">
        <v>-78.882970942334012</v>
      </c>
      <c r="AA768" s="70">
        <v>-79.151224535060834</v>
      </c>
      <c r="AB768" s="70">
        <v>-88.178471855406855</v>
      </c>
      <c r="AC768" s="70">
        <v>-67.092823490341004</v>
      </c>
      <c r="AD768" s="145">
        <v>-48.469147315932346</v>
      </c>
      <c r="AE768" s="15"/>
      <c r="AF768" s="92">
        <f>SUM(G768:R768)</f>
        <v>-674.50387120770085</v>
      </c>
      <c r="AG768" s="93">
        <f>SUM(S768:AD768)</f>
        <v>-982.05364422988418</v>
      </c>
    </row>
    <row r="769" spans="2:33" x14ac:dyDescent="0.2">
      <c r="B769" s="9">
        <f>G750</f>
        <v>16</v>
      </c>
      <c r="C769" s="9" t="str">
        <f t="shared" si="4193"/>
        <v>16 - % of Revenue - Administrative Staff Compensation</v>
      </c>
      <c r="D769" s="9" t="s">
        <v>56</v>
      </c>
      <c r="F769" s="16" t="str">
        <f>"% of Revenue - "&amp;F768</f>
        <v>% of Revenue - Administrative Staff Compensation</v>
      </c>
      <c r="G769" s="148">
        <f>G768/G762</f>
        <v>-0.17009386589656036</v>
      </c>
      <c r="H769" s="149">
        <f t="shared" ref="H769" si="4299">H768/H762</f>
        <v>-0.25268390637086402</v>
      </c>
      <c r="I769" s="149">
        <f t="shared" ref="I769" si="4300">I768/I762</f>
        <v>-0.43495152400650167</v>
      </c>
      <c r="J769" s="149">
        <f t="shared" ref="J769" si="4301">J768/J762</f>
        <v>-0.45939086392401374</v>
      </c>
      <c r="K769" s="149">
        <f t="shared" ref="K769" si="4302">K768/K762</f>
        <v>-0.45021611512377874</v>
      </c>
      <c r="L769" s="149">
        <f t="shared" ref="L769" si="4303">L768/L762</f>
        <v>-0.45924798805035805</v>
      </c>
      <c r="M769" s="149">
        <f t="shared" ref="M769" si="4304">M768/M762</f>
        <v>-0.23694525417414403</v>
      </c>
      <c r="N769" s="149">
        <f t="shared" ref="N769" si="4305">N768/N762</f>
        <v>-0.23851962962528436</v>
      </c>
      <c r="O769" s="149">
        <f t="shared" ref="O769" si="4306">O768/O762</f>
        <v>-0.48658866040338145</v>
      </c>
      <c r="P769" s="149">
        <f t="shared" ref="P769" si="4307">P768/P762</f>
        <v>-0.46757793411821985</v>
      </c>
      <c r="Q769" s="149">
        <f t="shared" ref="Q769" si="4308">Q768/Q762</f>
        <v>-0.22555965272930134</v>
      </c>
      <c r="R769" s="149">
        <f t="shared" ref="R769" si="4309">R768/R762</f>
        <v>-0.18682350821173382</v>
      </c>
      <c r="S769" s="148">
        <f t="shared" ref="S769" si="4310">S768/S762</f>
        <v>-0.32696512449894627</v>
      </c>
      <c r="T769" s="149">
        <f t="shared" ref="T769" si="4311">T768/T762</f>
        <v>-0.32198484151379075</v>
      </c>
      <c r="U769" s="149">
        <f t="shared" ref="U769" si="4312">U768/U762</f>
        <v>-0.32520067127453955</v>
      </c>
      <c r="V769" s="149">
        <f t="shared" ref="V769" si="4313">V768/V762</f>
        <v>-0.33762237986447935</v>
      </c>
      <c r="W769" s="149">
        <f t="shared" ref="W769" si="4314">W768/W762</f>
        <v>-0.32446683055325909</v>
      </c>
      <c r="X769" s="149">
        <f t="shared" ref="X769" si="4315">X768/X762</f>
        <v>-0.32431559371300744</v>
      </c>
      <c r="Y769" s="149">
        <f t="shared" ref="Y769" si="4316">Y768/Y762</f>
        <v>-0.21683084877083478</v>
      </c>
      <c r="Z769" s="149">
        <f t="shared" ref="Z769" si="4317">Z768/Z762</f>
        <v>-0.21337647385796796</v>
      </c>
      <c r="AA769" s="149">
        <f t="shared" ref="AA769" si="4318">AA768/AA762</f>
        <v>-0.21918739183483391</v>
      </c>
      <c r="AB769" s="149">
        <f t="shared" ref="AB769" si="4319">AB768/AB762</f>
        <v>-0.21376244405930039</v>
      </c>
      <c r="AC769" s="149">
        <f t="shared" ref="AC769" si="4320">AC768/AC762</f>
        <v>-0.16400343639251655</v>
      </c>
      <c r="AD769" s="150">
        <f t="shared" ref="AD769" si="4321">AD768/AD762</f>
        <v>-0.13106564833924497</v>
      </c>
      <c r="AE769" s="15"/>
      <c r="AF769" s="96">
        <f t="shared" ref="AF769" si="4322">AF768/AF762</f>
        <v>-0.30365249258814309</v>
      </c>
      <c r="AG769" s="97">
        <f t="shared" ref="AG769" si="4323">AG768/AG762</f>
        <v>-0.24837042009635424</v>
      </c>
    </row>
    <row r="770" spans="2:33" ht="3" customHeight="1" x14ac:dyDescent="0.2">
      <c r="B770" s="9">
        <f>G750</f>
        <v>16</v>
      </c>
      <c r="C770" s="9" t="str">
        <f t="shared" si="4193"/>
        <v xml:space="preserve">16 - </v>
      </c>
      <c r="D770" s="9" t="s">
        <v>56</v>
      </c>
      <c r="F770" s="16"/>
      <c r="G770" s="36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6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8"/>
      <c r="AE770" s="15"/>
      <c r="AF770" s="36"/>
      <c r="AG770" s="38"/>
    </row>
    <row r="771" spans="2:33" x14ac:dyDescent="0.2">
      <c r="B771" s="9">
        <f>G750</f>
        <v>16</v>
      </c>
      <c r="C771" s="9" t="str">
        <f t="shared" si="4193"/>
        <v>16 - Office Supplies</v>
      </c>
      <c r="D771" s="9" t="s">
        <v>56</v>
      </c>
      <c r="F771" t="s">
        <v>6</v>
      </c>
      <c r="G771" s="144">
        <v>-20.250670323988743</v>
      </c>
      <c r="H771" s="70">
        <v>-19.889532810018821</v>
      </c>
      <c r="I771" s="70">
        <v>-27.070342452875025</v>
      </c>
      <c r="J771" s="70">
        <v>-26.220262469939168</v>
      </c>
      <c r="K771" s="70">
        <v>-29.005291392049447</v>
      </c>
      <c r="L771" s="70">
        <v>-27.7430929995508</v>
      </c>
      <c r="M771" s="70">
        <v>-21.486712317027269</v>
      </c>
      <c r="N771" s="70">
        <v>-20.711231083116139</v>
      </c>
      <c r="O771" s="70">
        <v>-20.666985987218162</v>
      </c>
      <c r="P771" s="70">
        <v>-22.540668261731366</v>
      </c>
      <c r="Q771" s="70">
        <v>-17.468343543524675</v>
      </c>
      <c r="R771" s="70">
        <v>-12.56677756524299</v>
      </c>
      <c r="S771" s="144">
        <v>-20.799561647921053</v>
      </c>
      <c r="T771" s="70">
        <v>-21.742418966951732</v>
      </c>
      <c r="U771" s="70">
        <v>-21.254002355251277</v>
      </c>
      <c r="V771" s="70">
        <v>-20.989396122129889</v>
      </c>
      <c r="W771" s="70">
        <v>-20.539527811989366</v>
      </c>
      <c r="X771" s="70">
        <v>-17.751536043804197</v>
      </c>
      <c r="Y771" s="70">
        <v>-16.136258435113408</v>
      </c>
      <c r="Z771" s="70">
        <v>-16.701815616003469</v>
      </c>
      <c r="AA771" s="70">
        <v>-15.436756203231912</v>
      </c>
      <c r="AB771" s="70">
        <v>-16.985613778811508</v>
      </c>
      <c r="AC771" s="70">
        <v>-13.342941751275475</v>
      </c>
      <c r="AD771" s="145">
        <v>-9.9472184806906352</v>
      </c>
      <c r="AE771" s="15"/>
      <c r="AF771" s="92">
        <f>SUM(G771:R771)</f>
        <v>-265.61991120628261</v>
      </c>
      <c r="AG771" s="93">
        <f>SUM(S771:AD771)</f>
        <v>-211.62704721317391</v>
      </c>
    </row>
    <row r="772" spans="2:33" x14ac:dyDescent="0.2">
      <c r="B772" s="9">
        <f>G750</f>
        <v>16</v>
      </c>
      <c r="C772" s="9" t="str">
        <f t="shared" si="4193"/>
        <v>16 - % of Revenue - Office Supplies</v>
      </c>
      <c r="D772" s="9" t="s">
        <v>56</v>
      </c>
      <c r="F772" s="16" t="str">
        <f>"% of Revenue - "&amp;F771</f>
        <v>% of Revenue - Office Supplies</v>
      </c>
      <c r="G772" s="148">
        <f>G771/G762</f>
        <v>-6.6722908126641278E-2</v>
      </c>
      <c r="H772" s="149">
        <f t="shared" ref="H772" si="4324">H771/H762</f>
        <v>-9.3407216049820246E-2</v>
      </c>
      <c r="I772" s="149">
        <f t="shared" ref="I772" si="4325">I771/I762</f>
        <v>-0.19673155135712189</v>
      </c>
      <c r="J772" s="149">
        <f t="shared" ref="J772" si="4326">J771/J762</f>
        <v>-0.20897562507512618</v>
      </c>
      <c r="K772" s="149">
        <f t="shared" ref="K772" si="4327">K771/K762</f>
        <v>-0.19957046771228332</v>
      </c>
      <c r="L772" s="149">
        <f t="shared" ref="L772" si="4328">L771/L762</f>
        <v>-0.19437848048622913</v>
      </c>
      <c r="M772" s="149">
        <f t="shared" ref="M772" si="4329">M771/M762</f>
        <v>-9.1222809061017471E-2</v>
      </c>
      <c r="N772" s="149">
        <f t="shared" ref="N772" si="4330">N771/N762</f>
        <v>-8.4430810879406945E-2</v>
      </c>
      <c r="O772" s="149">
        <f t="shared" ref="O772" si="4331">O771/O762</f>
        <v>-0.16542196518500304</v>
      </c>
      <c r="P772" s="149">
        <f t="shared" ref="P772" si="4332">P771/P762</f>
        <v>-0.17856459278315245</v>
      </c>
      <c r="Q772" s="149">
        <f t="shared" ref="Q772" si="4333">Q771/Q762</f>
        <v>-8.8078534958274668E-2</v>
      </c>
      <c r="R772" s="149">
        <f t="shared" ref="R772" si="4334">R771/R762</f>
        <v>-5.6255359082582369E-2</v>
      </c>
      <c r="S772" s="148">
        <f t="shared" ref="S772" si="4335">S771/S762</f>
        <v>-8.7415350366750952E-2</v>
      </c>
      <c r="T772" s="149">
        <f t="shared" ref="T772" si="4336">T771/T762</f>
        <v>-8.7375238078945636E-2</v>
      </c>
      <c r="U772" s="149">
        <f t="shared" ref="U772" si="4337">U771/U762</f>
        <v>-8.0166298212803189E-2</v>
      </c>
      <c r="V772" s="149">
        <f t="shared" ref="V772" si="4338">V771/V762</f>
        <v>-7.4022846174664203E-2</v>
      </c>
      <c r="W772" s="149">
        <f t="shared" ref="W772" si="4339">W771/W762</f>
        <v>-6.6986435674811898E-2</v>
      </c>
      <c r="X772" s="149">
        <f t="shared" ref="X772" si="4340">X771/X762</f>
        <v>-6.0824285514236694E-2</v>
      </c>
      <c r="Y772" s="149">
        <f t="shared" ref="Y772" si="4341">Y771/Y762</f>
        <v>-4.0558645830279835E-2</v>
      </c>
      <c r="Z772" s="149">
        <f t="shared" ref="Z772" si="4342">Z771/Z762</f>
        <v>-4.5177995714360181E-2</v>
      </c>
      <c r="AA772" s="149">
        <f t="shared" ref="AA772" si="4343">AA771/AA762</f>
        <v>-4.2747820396358133E-2</v>
      </c>
      <c r="AB772" s="149">
        <f t="shared" ref="AB772" si="4344">AB771/AB762</f>
        <v>-4.1176562020261875E-2</v>
      </c>
      <c r="AC772" s="149">
        <f t="shared" ref="AC772" si="4345">AC771/AC762</f>
        <v>-3.2615832587659647E-2</v>
      </c>
      <c r="AD772" s="150">
        <f t="shared" ref="AD772" si="4346">AD771/AD762</f>
        <v>-2.6898320097231917E-2</v>
      </c>
      <c r="AE772" s="15"/>
      <c r="AF772" s="96">
        <f t="shared" ref="AF772" si="4347">AF771/AF762</f>
        <v>-0.11957848066077653</v>
      </c>
      <c r="AG772" s="97">
        <f t="shared" ref="AG772" si="4348">AG771/AG762</f>
        <v>-5.3522431212304565E-2</v>
      </c>
    </row>
    <row r="773" spans="2:33" ht="6" customHeight="1" x14ac:dyDescent="0.2">
      <c r="B773" s="9">
        <f>G750</f>
        <v>16</v>
      </c>
      <c r="C773" s="9" t="str">
        <f t="shared" si="4193"/>
        <v xml:space="preserve">16 - </v>
      </c>
      <c r="D773" s="9" t="s">
        <v>56</v>
      </c>
      <c r="F773" s="16"/>
      <c r="G773" s="11"/>
      <c r="S773" s="11"/>
      <c r="AD773" s="15"/>
      <c r="AE773" s="15"/>
      <c r="AF773" s="11"/>
      <c r="AG773" s="15"/>
    </row>
    <row r="774" spans="2:33" x14ac:dyDescent="0.2">
      <c r="B774" s="9">
        <f>G750</f>
        <v>16</v>
      </c>
      <c r="C774" s="9" t="str">
        <f t="shared" si="4193"/>
        <v>16 - Office Gross Profit</v>
      </c>
      <c r="D774" s="9" t="s">
        <v>56</v>
      </c>
      <c r="F774" s="8" t="s">
        <v>11</v>
      </c>
      <c r="G774" s="134">
        <f>G762+G765+G768+G771</f>
        <v>167.12275709522808</v>
      </c>
      <c r="H774" s="135">
        <f t="shared" ref="H774:AD774" si="4349">H762+H765+H768+H771</f>
        <v>69.433064891220042</v>
      </c>
      <c r="I774" s="135">
        <f t="shared" si="4349"/>
        <v>11.337002943291218</v>
      </c>
      <c r="J774" s="135">
        <f t="shared" si="4349"/>
        <v>4.9568961638160154</v>
      </c>
      <c r="K774" s="135">
        <f t="shared" si="4349"/>
        <v>7.2174441574901174</v>
      </c>
      <c r="L774" s="135">
        <f t="shared" si="4349"/>
        <v>-47.434399724680915</v>
      </c>
      <c r="M774" s="135">
        <f t="shared" si="4349"/>
        <v>78.196240841508157</v>
      </c>
      <c r="N774" s="135">
        <f t="shared" si="4349"/>
        <v>85.216923561895754</v>
      </c>
      <c r="O774" s="135">
        <f t="shared" si="4349"/>
        <v>-10.67845761204152</v>
      </c>
      <c r="P774" s="135">
        <f t="shared" si="4349"/>
        <v>-11.440085022939673</v>
      </c>
      <c r="Q774" s="135">
        <f t="shared" si="4349"/>
        <v>68.38632099703716</v>
      </c>
      <c r="R774" s="135">
        <f t="shared" si="4349"/>
        <v>118.56852797303729</v>
      </c>
      <c r="S774" s="134">
        <f t="shared" si="4349"/>
        <v>25.838199971716293</v>
      </c>
      <c r="T774" s="135">
        <f t="shared" si="4349"/>
        <v>26.557691077152995</v>
      </c>
      <c r="U774" s="135">
        <f t="shared" si="4349"/>
        <v>30.282342014984916</v>
      </c>
      <c r="V774" s="135">
        <f t="shared" si="4349"/>
        <v>75.143706413045493</v>
      </c>
      <c r="W774" s="135">
        <f t="shared" si="4349"/>
        <v>88.046407480466286</v>
      </c>
      <c r="X774" s="135">
        <f t="shared" si="4349"/>
        <v>83.780067553986527</v>
      </c>
      <c r="Y774" s="135">
        <f t="shared" si="4349"/>
        <v>161.87064923951596</v>
      </c>
      <c r="Z774" s="135">
        <f t="shared" si="4349"/>
        <v>153.23703107227877</v>
      </c>
      <c r="AA774" s="135">
        <f t="shared" si="4349"/>
        <v>148.30865571249737</v>
      </c>
      <c r="AB774" s="135">
        <f t="shared" si="4349"/>
        <v>174.15177123394304</v>
      </c>
      <c r="AC774" s="135">
        <f t="shared" si="4349"/>
        <v>232.02930105999803</v>
      </c>
      <c r="AD774" s="136">
        <f t="shared" si="4349"/>
        <v>239.78438924572546</v>
      </c>
      <c r="AE774" s="15"/>
      <c r="AF774" s="98">
        <f>SUM(G774:R774)</f>
        <v>540.88223626486172</v>
      </c>
      <c r="AG774" s="95">
        <f>SUM(S774:AD774)</f>
        <v>1439.0302120753111</v>
      </c>
    </row>
    <row r="775" spans="2:33" x14ac:dyDescent="0.2">
      <c r="B775" s="9">
        <f>G750</f>
        <v>16</v>
      </c>
      <c r="C775" s="9" t="str">
        <f t="shared" si="4193"/>
        <v>16 - % of Revenue - Office Gross Profit</v>
      </c>
      <c r="D775" s="9" t="s">
        <v>56</v>
      </c>
      <c r="F775" s="16" t="str">
        <f>"% of Revenue - "&amp;F774</f>
        <v>% of Revenue - Office Gross Profit</v>
      </c>
      <c r="G775" s="148">
        <f>G774/G762</f>
        <v>0.55064430900969363</v>
      </c>
      <c r="H775" s="149">
        <f t="shared" ref="H775" si="4350">H774/H762</f>
        <v>0.32607851351985789</v>
      </c>
      <c r="I775" s="149">
        <f t="shared" ref="I775" si="4351">I774/I762</f>
        <v>8.2390763273741396E-2</v>
      </c>
      <c r="J775" s="149">
        <f t="shared" ref="J775" si="4352">J774/J762</f>
        <v>3.950648760490269E-2</v>
      </c>
      <c r="K775" s="149">
        <f t="shared" ref="K775" si="4353">K774/K762</f>
        <v>4.9659515111522376E-2</v>
      </c>
      <c r="L775" s="149">
        <f t="shared" ref="L775" si="4354">L774/L762</f>
        <v>-0.33234313641269814</v>
      </c>
      <c r="M775" s="149">
        <f t="shared" ref="M775" si="4355">M774/M762</f>
        <v>0.33198567758183395</v>
      </c>
      <c r="N775" s="149">
        <f t="shared" ref="N775" si="4356">N774/N762</f>
        <v>0.34739286757534327</v>
      </c>
      <c r="O775" s="149">
        <f t="shared" ref="O775" si="4357">O774/O762</f>
        <v>-8.5472136305756147E-2</v>
      </c>
      <c r="P775" s="149">
        <f t="shared" ref="P775" si="4358">P774/P762</f>
        <v>-9.0627043520002337E-2</v>
      </c>
      <c r="Q775" s="149">
        <f t="shared" ref="Q775" si="4359">Q774/Q762</f>
        <v>0.34481614983111136</v>
      </c>
      <c r="R775" s="149">
        <f t="shared" ref="R775" si="4360">R774/R762</f>
        <v>0.53077370729187823</v>
      </c>
      <c r="S775" s="148">
        <f t="shared" ref="S775" si="4361">S774/S762</f>
        <v>0.10859148580179383</v>
      </c>
      <c r="T775" s="149">
        <f t="shared" ref="T775" si="4362">T774/T762</f>
        <v>0.10672614598313314</v>
      </c>
      <c r="U775" s="149">
        <f t="shared" ref="U775" si="4363">U774/U762</f>
        <v>0.11421958179822923</v>
      </c>
      <c r="V775" s="149">
        <f t="shared" ref="V775" si="4364">V774/V762</f>
        <v>0.26500767284783405</v>
      </c>
      <c r="W775" s="149">
        <f t="shared" ref="W775" si="4365">W774/W762</f>
        <v>0.28714949365319836</v>
      </c>
      <c r="X775" s="149">
        <f t="shared" ref="X775" si="4366">X774/X762</f>
        <v>0.28706601708894475</v>
      </c>
      <c r="Y775" s="149">
        <f t="shared" ref="Y775" si="4367">Y774/Y762</f>
        <v>0.40686348444547843</v>
      </c>
      <c r="Z775" s="149">
        <f t="shared" ref="Z775" si="4368">Z774/Z762</f>
        <v>0.4145023566438617</v>
      </c>
      <c r="AA775" s="149">
        <f t="shared" ref="AA775" si="4369">AA774/AA762</f>
        <v>0.41069974119924274</v>
      </c>
      <c r="AB775" s="149">
        <f t="shared" ref="AB775" si="4370">AB774/AB762</f>
        <v>0.42217910418393312</v>
      </c>
      <c r="AC775" s="149">
        <f t="shared" ref="AC775" si="4371">AC774/AC762</f>
        <v>0.56717843635052612</v>
      </c>
      <c r="AD775" s="150">
        <f t="shared" ref="AD775" si="4372">AD774/AD762</f>
        <v>0.64840209037038954</v>
      </c>
      <c r="AE775" s="15"/>
      <c r="AF775" s="111">
        <f t="shared" ref="AF775" si="4373">AF774/AF762</f>
        <v>0.24349784523015655</v>
      </c>
      <c r="AG775" s="97">
        <f t="shared" ref="AG775" si="4374">AG774/AG762</f>
        <v>0.36394400693331758</v>
      </c>
    </row>
    <row r="776" spans="2:33" ht="6" customHeight="1" x14ac:dyDescent="0.2">
      <c r="B776" s="9">
        <f>G750</f>
        <v>16</v>
      </c>
      <c r="C776" s="9" t="str">
        <f t="shared" si="4193"/>
        <v xml:space="preserve">16 - </v>
      </c>
      <c r="D776" s="9" t="s">
        <v>56</v>
      </c>
      <c r="F776" s="16"/>
      <c r="G776" s="11"/>
      <c r="S776" s="11"/>
      <c r="AD776" s="15"/>
      <c r="AE776" s="15"/>
      <c r="AF776" s="11"/>
      <c r="AG776" s="15"/>
    </row>
    <row r="777" spans="2:33" x14ac:dyDescent="0.2">
      <c r="B777" s="9">
        <f>G750</f>
        <v>16</v>
      </c>
      <c r="C777" s="9" t="str">
        <f t="shared" si="4193"/>
        <v>16 - General and Administrative Expense</v>
      </c>
      <c r="D777" s="9" t="s">
        <v>56</v>
      </c>
      <c r="F777" t="s">
        <v>10</v>
      </c>
      <c r="G777" s="144">
        <v>-14.091111991480878</v>
      </c>
      <c r="H777" s="70">
        <v>-16.148530203010012</v>
      </c>
      <c r="I777" s="70">
        <v>-20.385529237446086</v>
      </c>
      <c r="J777" s="70">
        <v>-20.252536309370189</v>
      </c>
      <c r="K777" s="70">
        <v>-24.504324473268273</v>
      </c>
      <c r="L777" s="70">
        <v>-22.340753899066097</v>
      </c>
      <c r="M777" s="70">
        <v>-18.962833080527428</v>
      </c>
      <c r="N777" s="70">
        <v>-20.696666131269097</v>
      </c>
      <c r="O777" s="70">
        <v>-19.991079051364817</v>
      </c>
      <c r="P777" s="70">
        <v>-20.858866395421096</v>
      </c>
      <c r="Q777" s="70">
        <v>-16.821400095468473</v>
      </c>
      <c r="R777" s="70">
        <v>-11.695654703495515</v>
      </c>
      <c r="S777" s="144">
        <v>-18.265483465906705</v>
      </c>
      <c r="T777" s="70">
        <v>-17.283704117614686</v>
      </c>
      <c r="U777" s="70">
        <v>-17.452829894069783</v>
      </c>
      <c r="V777" s="70">
        <v>-18.608884012586721</v>
      </c>
      <c r="W777" s="70">
        <v>-18.117707061672895</v>
      </c>
      <c r="X777" s="70">
        <v>-17.648878525146909</v>
      </c>
      <c r="Y777" s="70">
        <v>-16.001416448837997</v>
      </c>
      <c r="Z777" s="70">
        <v>-13.412082394715094</v>
      </c>
      <c r="AA777" s="70">
        <v>-12.096365358182069</v>
      </c>
      <c r="AB777" s="70">
        <v>-12.423115916419377</v>
      </c>
      <c r="AC777" s="70">
        <v>-7.7803271046670357</v>
      </c>
      <c r="AD777" s="145">
        <v>-6.2847195884023099</v>
      </c>
      <c r="AE777" s="15"/>
      <c r="AF777" s="144">
        <v>-226.74928557118795</v>
      </c>
      <c r="AG777" s="145">
        <v>-175.37551388822158</v>
      </c>
    </row>
    <row r="778" spans="2:33" x14ac:dyDescent="0.2">
      <c r="B778" s="9">
        <f>G750</f>
        <v>16</v>
      </c>
      <c r="C778" s="9" t="str">
        <f t="shared" si="4193"/>
        <v>16 - % of Revenue - General and Administrative Expense</v>
      </c>
      <c r="D778" s="9" t="s">
        <v>56</v>
      </c>
      <c r="F778" s="16" t="str">
        <f>"% of Revenue - "&amp;F777</f>
        <v>% of Revenue - General and Administrative Expense</v>
      </c>
      <c r="G778" s="148">
        <f>G777/G762</f>
        <v>-4.6428091305996927E-2</v>
      </c>
      <c r="H778" s="149">
        <f t="shared" ref="H778" si="4375">H777/H762</f>
        <v>-7.5838344920791348E-2</v>
      </c>
      <c r="I778" s="149">
        <f t="shared" ref="I778" si="4376">I777/I762</f>
        <v>-0.14815020530679687</v>
      </c>
      <c r="J778" s="149">
        <f t="shared" ref="J778" si="4377">J777/J762</f>
        <v>-0.16141281726144152</v>
      </c>
      <c r="K778" s="149">
        <f t="shared" ref="K778" si="4378">K777/K762</f>
        <v>-0.16860163306079304</v>
      </c>
      <c r="L778" s="149">
        <f t="shared" ref="L778" si="4379">L777/L762</f>
        <v>-0.15652767324420458</v>
      </c>
      <c r="M778" s="149">
        <f t="shared" ref="M778" si="4380">M777/M762</f>
        <v>-8.0507565598580452E-2</v>
      </c>
      <c r="N778" s="149">
        <f t="shared" ref="N778" si="4381">N777/N762</f>
        <v>-8.4371435814258461E-2</v>
      </c>
      <c r="O778" s="149">
        <f t="shared" ref="O778" si="4382">O777/O762</f>
        <v>-0.16001189456898846</v>
      </c>
      <c r="P778" s="149">
        <f t="shared" ref="P778" si="4383">P777/P762</f>
        <v>-0.16524155098543017</v>
      </c>
      <c r="Q778" s="149">
        <f t="shared" ref="Q778" si="4384">Q777/Q762</f>
        <v>-8.4816529550396869E-2</v>
      </c>
      <c r="R778" s="149">
        <f t="shared" ref="R778" si="4385">R777/R762</f>
        <v>-5.2355765162165634E-2</v>
      </c>
      <c r="S778" s="148">
        <f t="shared" ref="S778" si="4386">S777/S762</f>
        <v>-7.6765254182648707E-2</v>
      </c>
      <c r="T778" s="149">
        <f t="shared" ref="T778" si="4387">T777/T762</f>
        <v>-6.9457210095071609E-2</v>
      </c>
      <c r="U778" s="149">
        <f t="shared" ref="U778" si="4388">U777/U762</f>
        <v>-6.5828955062651448E-2</v>
      </c>
      <c r="V778" s="149">
        <f t="shared" ref="V778" si="4389">V777/V762</f>
        <v>-6.5627545963246867E-2</v>
      </c>
      <c r="W778" s="149">
        <f t="shared" ref="W778" si="4390">W777/W762</f>
        <v>-5.908804865287158E-2</v>
      </c>
      <c r="X778" s="149">
        <f t="shared" ref="X778" si="4391">X777/X762</f>
        <v>-6.0472537349481492E-2</v>
      </c>
      <c r="Y778" s="149">
        <f t="shared" ref="Y778" si="4392">Y777/Y762</f>
        <v>-4.0219719158623726E-2</v>
      </c>
      <c r="Z778" s="149">
        <f t="shared" ref="Z778" si="4393">Z777/Z762</f>
        <v>-3.6279349196532189E-2</v>
      </c>
      <c r="AA778" s="149">
        <f t="shared" ref="AA778" si="4394">AA777/AA762</f>
        <v>-3.3497533223465326E-2</v>
      </c>
      <c r="AB778" s="149">
        <f t="shared" ref="AB778" si="4395">AB777/AB762</f>
        <v>-3.0116144737463692E-2</v>
      </c>
      <c r="AC778" s="149">
        <f t="shared" ref="AC778" si="4396">AC777/AC762</f>
        <v>-1.9018433195123047E-2</v>
      </c>
      <c r="AD778" s="150">
        <f t="shared" ref="AD778" si="4397">AD777/AD762</f>
        <v>-1.6994539683464552E-2</v>
      </c>
      <c r="AE778" s="15"/>
      <c r="AF778" s="96">
        <f t="shared" ref="AF778" si="4398">AF777/AF762</f>
        <v>-0.10207945231358043</v>
      </c>
      <c r="AG778" s="97">
        <f t="shared" ref="AG778" si="4399">AG777/AG762</f>
        <v>-4.4354084234562746E-2</v>
      </c>
    </row>
    <row r="779" spans="2:33" ht="3" customHeight="1" x14ac:dyDescent="0.2">
      <c r="B779" s="9">
        <f>G750</f>
        <v>16</v>
      </c>
      <c r="C779" s="9" t="str">
        <f t="shared" si="4193"/>
        <v xml:space="preserve">16 - </v>
      </c>
      <c r="D779" s="9" t="s">
        <v>56</v>
      </c>
      <c r="F779" s="16"/>
      <c r="G779" s="36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6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8"/>
      <c r="AE779" s="15"/>
      <c r="AF779" s="36"/>
      <c r="AG779" s="38"/>
    </row>
    <row r="780" spans="2:33" x14ac:dyDescent="0.2">
      <c r="B780" s="9">
        <f>G750</f>
        <v>16</v>
      </c>
      <c r="C780" s="9" t="str">
        <f t="shared" si="4193"/>
        <v>16 - Marketing</v>
      </c>
      <c r="D780" s="9" t="s">
        <v>56</v>
      </c>
      <c r="F780" t="s">
        <v>7</v>
      </c>
      <c r="G780" s="144">
        <v>-3.7330723658193219</v>
      </c>
      <c r="H780" s="70">
        <v>-3.685553982892126</v>
      </c>
      <c r="I780" s="70">
        <v>-4.1280123497427583</v>
      </c>
      <c r="J780" s="70">
        <v>-3.7641130338305806</v>
      </c>
      <c r="K780" s="70">
        <v>-5.6273779660590186</v>
      </c>
      <c r="L780" s="70">
        <v>-7.22761793103518</v>
      </c>
      <c r="M780" s="70">
        <v>-5.1933230426540016</v>
      </c>
      <c r="N780" s="70">
        <v>-4.8420731128254726</v>
      </c>
      <c r="O780" s="70">
        <v>-5.2458156904253661</v>
      </c>
      <c r="P780" s="70">
        <v>-6.6122428521757817</v>
      </c>
      <c r="Q780" s="70">
        <v>-5.6813684869986707</v>
      </c>
      <c r="R780" s="70">
        <v>-5.0644106724828175</v>
      </c>
      <c r="S780" s="144">
        <v>-7.726289130675287</v>
      </c>
      <c r="T780" s="70">
        <v>-8.2184024671034717</v>
      </c>
      <c r="U780" s="70">
        <v>-7.9583336990948936</v>
      </c>
      <c r="V780" s="70">
        <v>-6.6568957249133822</v>
      </c>
      <c r="W780" s="70">
        <v>-8.7216518843827533</v>
      </c>
      <c r="X780" s="70">
        <v>-8.6782847645541352</v>
      </c>
      <c r="Y780" s="70">
        <v>-7.5017863011087123</v>
      </c>
      <c r="Z780" s="70">
        <v>-7.0692625942803602</v>
      </c>
      <c r="AA780" s="70">
        <v>-8.1881100186058724</v>
      </c>
      <c r="AB780" s="70">
        <v>-8.8632019512480547</v>
      </c>
      <c r="AC780" s="70">
        <v>-6.6128151255494068</v>
      </c>
      <c r="AD780" s="145">
        <v>-5.8556022888580932</v>
      </c>
      <c r="AE780" s="15"/>
      <c r="AF780" s="144">
        <v>-60.804981486941102</v>
      </c>
      <c r="AG780" s="145">
        <v>-92.050635950374414</v>
      </c>
    </row>
    <row r="781" spans="2:33" x14ac:dyDescent="0.2">
      <c r="B781" s="9">
        <f>G750</f>
        <v>16</v>
      </c>
      <c r="C781" s="9" t="str">
        <f t="shared" si="4193"/>
        <v>16 - % of Revenue - Marketing</v>
      </c>
      <c r="D781" s="9" t="s">
        <v>56</v>
      </c>
      <c r="F781" s="16" t="str">
        <f>"% of Revenue - "&amp;F780</f>
        <v>% of Revenue - Marketing</v>
      </c>
      <c r="G781" s="148">
        <f>G780/G762</f>
        <v>-1.229991108983719E-2</v>
      </c>
      <c r="H781" s="149">
        <f t="shared" ref="H781" si="4400">H780/H762</f>
        <v>-1.7308467746908057E-2</v>
      </c>
      <c r="I781" s="149">
        <f t="shared" ref="I781" si="4401">I780/I762</f>
        <v>-3.0000000000000002E-2</v>
      </c>
      <c r="J781" s="149">
        <f t="shared" ref="J781" si="4402">J780/J762</f>
        <v>-3.0000000000000002E-2</v>
      </c>
      <c r="K781" s="149">
        <f t="shared" ref="K781" si="4403">K780/K762</f>
        <v>-3.8719088786263116E-2</v>
      </c>
      <c r="L781" s="149">
        <f t="shared" ref="L781" si="4404">L780/L762</f>
        <v>-5.0639393055143089E-2</v>
      </c>
      <c r="M781" s="149">
        <f t="shared" ref="M781" si="4405">M780/M762</f>
        <v>-2.2048487889735589E-2</v>
      </c>
      <c r="N781" s="149">
        <f t="shared" ref="N781" si="4406">N780/N762</f>
        <v>-1.9739056438151582E-2</v>
      </c>
      <c r="O781" s="149">
        <f t="shared" ref="O781" si="4407">O780/O762</f>
        <v>-4.19883741656948E-2</v>
      </c>
      <c r="P781" s="149">
        <f t="shared" ref="P781" si="4408">P780/P762</f>
        <v>-5.2381430691060958E-2</v>
      </c>
      <c r="Q781" s="149">
        <f t="shared" ref="Q781" si="4409">Q780/Q762</f>
        <v>-2.8646483374117508E-2</v>
      </c>
      <c r="R781" s="149">
        <f t="shared" ref="R781" si="4410">R780/R762</f>
        <v>-2.2670906638003707E-2</v>
      </c>
      <c r="S781" s="148">
        <f t="shared" ref="S781" si="4411">S780/S762</f>
        <v>-3.2471658914038061E-2</v>
      </c>
      <c r="T781" s="149">
        <f t="shared" ref="T781" si="4412">T780/T762</f>
        <v>-3.3026908058539493E-2</v>
      </c>
      <c r="U781" s="149">
        <f t="shared" ref="U781" si="4413">U780/U762</f>
        <v>-3.0017412341210765E-2</v>
      </c>
      <c r="V781" s="149">
        <f t="shared" ref="V781" si="4414">V780/V762</f>
        <v>-2.3476729172141626E-2</v>
      </c>
      <c r="W781" s="149">
        <f t="shared" ref="W781" si="4415">W780/W762</f>
        <v>-2.8444294254431603E-2</v>
      </c>
      <c r="X781" s="149">
        <f t="shared" ref="X781" si="4416">X780/X762</f>
        <v>-2.9735481424849781E-2</v>
      </c>
      <c r="Y781" s="149">
        <f t="shared" ref="Y781" si="4417">Y780/Y762</f>
        <v>-1.8855814370140563E-2</v>
      </c>
      <c r="Z781" s="149">
        <f t="shared" ref="Z781" si="4418">Z780/Z762</f>
        <v>-1.9122179440303703E-2</v>
      </c>
      <c r="AA781" s="149">
        <f t="shared" ref="AA781" si="4419">AA780/AA762</f>
        <v>-2.2674702628762242E-2</v>
      </c>
      <c r="AB781" s="149">
        <f t="shared" ref="AB781" si="4420">AB780/AB762</f>
        <v>-2.1486193528015552E-2</v>
      </c>
      <c r="AC781" s="149">
        <f t="shared" ref="AC781" si="4421">AC780/AC762</f>
        <v>-1.6164536658300671E-2</v>
      </c>
      <c r="AD781" s="150">
        <f t="shared" ref="AD781" si="4422">AD780/AD762</f>
        <v>-1.5834161583314618E-2</v>
      </c>
      <c r="AE781" s="15"/>
      <c r="AF781" s="96">
        <f t="shared" ref="AF781" si="4423">AF780/AF762</f>
        <v>-2.737357779315109E-2</v>
      </c>
      <c r="AG781" s="97">
        <f t="shared" ref="AG781" si="4424">AG780/AG762</f>
        <v>-2.3280454438983023E-2</v>
      </c>
    </row>
    <row r="782" spans="2:33" ht="3" customHeight="1" x14ac:dyDescent="0.2">
      <c r="B782" s="9">
        <f>G750</f>
        <v>16</v>
      </c>
      <c r="C782" s="9" t="str">
        <f t="shared" si="4193"/>
        <v xml:space="preserve">16 - </v>
      </c>
      <c r="D782" s="9" t="s">
        <v>56</v>
      </c>
      <c r="F782" s="16"/>
      <c r="G782" s="36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6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8"/>
      <c r="AE782" s="15"/>
      <c r="AF782" s="36"/>
      <c r="AG782" s="38"/>
    </row>
    <row r="783" spans="2:33" x14ac:dyDescent="0.2">
      <c r="B783" s="9">
        <f>G750</f>
        <v>16</v>
      </c>
      <c r="C783" s="9" t="str">
        <f t="shared" si="4193"/>
        <v>16 - Office Rent</v>
      </c>
      <c r="D783" s="9" t="s">
        <v>56</v>
      </c>
      <c r="F783" t="s">
        <v>162</v>
      </c>
      <c r="G783" s="144">
        <v>-25.653702794982234</v>
      </c>
      <c r="H783" s="70">
        <v>-25.653702794982234</v>
      </c>
      <c r="I783" s="70">
        <v>-25.653702794982234</v>
      </c>
      <c r="J783" s="70">
        <v>-25.653702794982234</v>
      </c>
      <c r="K783" s="70">
        <v>-25.653702794982234</v>
      </c>
      <c r="L783" s="70">
        <v>-25.653702794982234</v>
      </c>
      <c r="M783" s="70">
        <v>-25.653702794982234</v>
      </c>
      <c r="N783" s="70">
        <v>-25.653702794982234</v>
      </c>
      <c r="O783" s="70">
        <v>-25.653702794982234</v>
      </c>
      <c r="P783" s="70">
        <v>-26.423313878831703</v>
      </c>
      <c r="Q783" s="70">
        <v>-26.423313878831703</v>
      </c>
      <c r="R783" s="70">
        <v>-26.423313878831703</v>
      </c>
      <c r="S783" s="144">
        <v>-26.423709888577655</v>
      </c>
      <c r="T783" s="70">
        <v>-26.423709888577655</v>
      </c>
      <c r="U783" s="70">
        <v>-26.423709888577655</v>
      </c>
      <c r="V783" s="70">
        <v>-26.423709888577655</v>
      </c>
      <c r="W783" s="70">
        <v>-26.423709888577655</v>
      </c>
      <c r="X783" s="70">
        <v>-26.423709888577655</v>
      </c>
      <c r="Y783" s="70">
        <v>-26.423709888577655</v>
      </c>
      <c r="Z783" s="70">
        <v>-26.423709888577655</v>
      </c>
      <c r="AA783" s="70">
        <v>-26.423709888577655</v>
      </c>
      <c r="AB783" s="70">
        <v>-27.216421185234985</v>
      </c>
      <c r="AC783" s="70">
        <v>-27.216421185234985</v>
      </c>
      <c r="AD783" s="145">
        <v>-27.216421185234985</v>
      </c>
      <c r="AE783" s="15"/>
      <c r="AF783" s="144">
        <v>-310.15326679133523</v>
      </c>
      <c r="AG783" s="145">
        <v>-319.46265255290388</v>
      </c>
    </row>
    <row r="784" spans="2:33" x14ac:dyDescent="0.2">
      <c r="B784" s="9">
        <f>G750</f>
        <v>16</v>
      </c>
      <c r="C784" s="9" t="str">
        <f t="shared" si="4193"/>
        <v>16 - % YoY Growth</v>
      </c>
      <c r="D784" s="9" t="s">
        <v>56</v>
      </c>
      <c r="F784" s="16" t="s">
        <v>8</v>
      </c>
      <c r="G784" s="82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148">
        <f>S783/G783-1</f>
        <v>3.0015436748024982E-2</v>
      </c>
      <c r="T784" s="149">
        <f t="shared" ref="T784" si="4425">T783/H783-1</f>
        <v>3.0015436748024982E-2</v>
      </c>
      <c r="U784" s="149">
        <f t="shared" ref="U784" si="4426">U783/I783-1</f>
        <v>3.0015436748024982E-2</v>
      </c>
      <c r="V784" s="149">
        <f t="shared" ref="V784" si="4427">V783/J783-1</f>
        <v>3.0015436748024982E-2</v>
      </c>
      <c r="W784" s="149">
        <f t="shared" ref="W784" si="4428">W783/K783-1</f>
        <v>3.0015436748024982E-2</v>
      </c>
      <c r="X784" s="149">
        <f t="shared" ref="X784" si="4429">X783/L783-1</f>
        <v>3.0015436748024982E-2</v>
      </c>
      <c r="Y784" s="149">
        <f t="shared" ref="Y784" si="4430">Y783/M783-1</f>
        <v>3.0015436748024982E-2</v>
      </c>
      <c r="Z784" s="149">
        <f t="shared" ref="Z784" si="4431">Z783/N783-1</f>
        <v>3.0015436748024982E-2</v>
      </c>
      <c r="AA784" s="149">
        <f t="shared" ref="AA784" si="4432">AA783/O783-1</f>
        <v>3.0015436748024982E-2</v>
      </c>
      <c r="AB784" s="149">
        <f t="shared" ref="AB784" si="4433">AB783/P783-1</f>
        <v>3.0015436748024982E-2</v>
      </c>
      <c r="AC784" s="149">
        <f t="shared" ref="AC784" si="4434">AC783/Q783-1</f>
        <v>3.0015436748024982E-2</v>
      </c>
      <c r="AD784" s="150">
        <f t="shared" ref="AD784" si="4435">AD783/R783-1</f>
        <v>3.0015436748024982E-2</v>
      </c>
      <c r="AE784" s="15"/>
      <c r="AF784" s="11"/>
      <c r="AG784" s="97">
        <f>AG783/AF783-1</f>
        <v>3.0015436748024982E-2</v>
      </c>
    </row>
    <row r="785" spans="2:34" ht="6" customHeight="1" x14ac:dyDescent="0.2">
      <c r="B785" s="9">
        <f>G750</f>
        <v>16</v>
      </c>
      <c r="C785" s="9" t="str">
        <f t="shared" si="4193"/>
        <v xml:space="preserve">16 - </v>
      </c>
      <c r="D785" s="9" t="s">
        <v>56</v>
      </c>
      <c r="F785" s="16"/>
      <c r="G785" s="11"/>
      <c r="S785" s="11"/>
      <c r="AD785" s="15"/>
      <c r="AE785" s="15"/>
      <c r="AF785" s="11"/>
      <c r="AG785" s="15"/>
    </row>
    <row r="786" spans="2:34" x14ac:dyDescent="0.2">
      <c r="B786" s="9">
        <f>G750</f>
        <v>16</v>
      </c>
      <c r="C786" s="9" t="str">
        <f t="shared" si="4193"/>
        <v>16 - Office EBITDA</v>
      </c>
      <c r="D786" s="9" t="s">
        <v>56</v>
      </c>
      <c r="F786" s="8" t="s">
        <v>12</v>
      </c>
      <c r="G786" s="134">
        <f>G774+G777+G780+G783</f>
        <v>123.64486994294565</v>
      </c>
      <c r="H786" s="135">
        <f t="shared" ref="H786:AD786" si="4436">H774+H777+H780+H783</f>
        <v>23.945277910335673</v>
      </c>
      <c r="I786" s="135">
        <f t="shared" si="4436"/>
        <v>-38.83024143887986</v>
      </c>
      <c r="J786" s="135">
        <f t="shared" si="4436"/>
        <v>-44.713455974366987</v>
      </c>
      <c r="K786" s="135">
        <f t="shared" si="4436"/>
        <v>-48.567961076819408</v>
      </c>
      <c r="L786" s="135">
        <f t="shared" si="4436"/>
        <v>-102.65647434976444</v>
      </c>
      <c r="M786" s="135">
        <f t="shared" si="4436"/>
        <v>28.386381923344491</v>
      </c>
      <c r="N786" s="135">
        <f t="shared" si="4436"/>
        <v>34.024481522818945</v>
      </c>
      <c r="O786" s="135">
        <f t="shared" si="4436"/>
        <v>-61.569055148813931</v>
      </c>
      <c r="P786" s="135">
        <f t="shared" si="4436"/>
        <v>-65.334508149368261</v>
      </c>
      <c r="Q786" s="135">
        <f t="shared" si="4436"/>
        <v>19.460238535738309</v>
      </c>
      <c r="R786" s="135">
        <f t="shared" si="4436"/>
        <v>75.385148718227242</v>
      </c>
      <c r="S786" s="134">
        <f t="shared" si="4436"/>
        <v>-26.577282513443354</v>
      </c>
      <c r="T786" s="135">
        <f t="shared" si="4436"/>
        <v>-25.368125396142815</v>
      </c>
      <c r="U786" s="135">
        <f t="shared" si="4436"/>
        <v>-21.552531466757415</v>
      </c>
      <c r="V786" s="135">
        <f t="shared" si="4436"/>
        <v>23.454216786967734</v>
      </c>
      <c r="W786" s="135">
        <f t="shared" si="4436"/>
        <v>34.783338645832991</v>
      </c>
      <c r="X786" s="135">
        <f t="shared" si="4436"/>
        <v>31.029194375707824</v>
      </c>
      <c r="Y786" s="135">
        <f t="shared" si="4436"/>
        <v>111.94373660099157</v>
      </c>
      <c r="Z786" s="135">
        <f t="shared" si="4436"/>
        <v>106.33197619470565</v>
      </c>
      <c r="AA786" s="135">
        <f t="shared" si="4436"/>
        <v>101.60047044713178</v>
      </c>
      <c r="AB786" s="135">
        <f t="shared" si="4436"/>
        <v>125.64903218104061</v>
      </c>
      <c r="AC786" s="135">
        <f t="shared" si="4436"/>
        <v>190.41973764454659</v>
      </c>
      <c r="AD786" s="136">
        <f t="shared" si="4436"/>
        <v>200.42764618323008</v>
      </c>
      <c r="AE786" s="15"/>
      <c r="AF786" s="94">
        <f>SUM(G786:R786)</f>
        <v>-56.825297584602595</v>
      </c>
      <c r="AG786" s="95">
        <f>SUM(S786:AD786)</f>
        <v>852.14140968381128</v>
      </c>
    </row>
    <row r="787" spans="2:34" x14ac:dyDescent="0.2">
      <c r="B787" s="9">
        <f>G750</f>
        <v>16</v>
      </c>
      <c r="C787" s="9" t="str">
        <f t="shared" si="4193"/>
        <v>16 - % of Revenue - Office EBITDA</v>
      </c>
      <c r="D787" s="9" t="s">
        <v>56</v>
      </c>
      <c r="F787" s="16" t="str">
        <f>"% of Revenue - "&amp;F786</f>
        <v>% of Revenue - Office EBITDA</v>
      </c>
      <c r="G787" s="148">
        <f>G786/G762</f>
        <v>0.40739122041609005</v>
      </c>
      <c r="H787" s="149">
        <f t="shared" ref="H787" si="4437">H786/H762</f>
        <v>0.11245421239945133</v>
      </c>
      <c r="I787" s="149">
        <f t="shared" ref="I787" si="4438">I786/I762</f>
        <v>-0.28219567783972072</v>
      </c>
      <c r="J787" s="149">
        <f t="shared" ref="J787" si="4439">J786/J762</f>
        <v>-0.35636647124433435</v>
      </c>
      <c r="K787" s="149">
        <f t="shared" ref="K787" si="4440">K786/K762</f>
        <v>-0.33417111991468101</v>
      </c>
      <c r="L787" s="149">
        <f t="shared" ref="L787" si="4441">L786/L762</f>
        <v>-0.71924963436859246</v>
      </c>
      <c r="M787" s="149">
        <f t="shared" ref="M787" si="4442">M786/M762</f>
        <v>0.12051566847080275</v>
      </c>
      <c r="N787" s="149">
        <f t="shared" ref="N787" si="4443">N786/N762</f>
        <v>0.13870322595477427</v>
      </c>
      <c r="O787" s="149">
        <f t="shared" ref="O787" si="4444">O786/O762</f>
        <v>-0.4928088741918939</v>
      </c>
      <c r="P787" s="149">
        <f t="shared" ref="P787" si="4445">P786/P762</f>
        <v>-0.51757249194720156</v>
      </c>
      <c r="Q787" s="149">
        <f t="shared" ref="Q787" si="4446">Q786/Q762</f>
        <v>9.8122028336325148E-2</v>
      </c>
      <c r="R787" s="149">
        <f t="shared" ref="R787" si="4447">R786/R762</f>
        <v>0.33746269388637401</v>
      </c>
      <c r="S787" s="148">
        <f t="shared" ref="S787" si="4448">S786/S762</f>
        <v>-0.11169766469289932</v>
      </c>
      <c r="T787" s="149">
        <f t="shared" ref="T787" si="4449">T786/T762</f>
        <v>-0.10194569424283721</v>
      </c>
      <c r="U787" s="149">
        <f t="shared" ref="U787" si="4450">U786/U762</f>
        <v>-8.1292296666091737E-2</v>
      </c>
      <c r="V787" s="149">
        <f t="shared" ref="V787" si="4451">V786/V762</f>
        <v>8.2715475531878468E-2</v>
      </c>
      <c r="W787" s="149">
        <f t="shared" ref="W787" si="4452">W786/W762</f>
        <v>0.11344038178882633</v>
      </c>
      <c r="X787" s="149">
        <f t="shared" ref="X787" si="4453">X786/X762</f>
        <v>0.10631916997647833</v>
      </c>
      <c r="Y787" s="149">
        <f t="shared" ref="Y787" si="4454">Y786/Y762</f>
        <v>0.28137169369064097</v>
      </c>
      <c r="Z787" s="149">
        <f t="shared" ref="Z787" si="4455">Z786/Z762</f>
        <v>0.28762535015779106</v>
      </c>
      <c r="AA787" s="149">
        <f t="shared" ref="AA787" si="4456">AA786/AA762</f>
        <v>0.2813543600533232</v>
      </c>
      <c r="AB787" s="149">
        <f t="shared" ref="AB787" si="4457">AB786/AB762</f>
        <v>0.30459865823880239</v>
      </c>
      <c r="AC787" s="149">
        <f t="shared" ref="AC787" si="4458">AC786/AC762</f>
        <v>0.46546694126180321</v>
      </c>
      <c r="AD787" s="150">
        <f t="shared" ref="AD787" si="4459">AD786/AD762</f>
        <v>0.54197733706528151</v>
      </c>
      <c r="AE787" s="15"/>
      <c r="AF787" s="96">
        <f t="shared" ref="AF787" si="4460">AF786/AF762</f>
        <v>-2.5581978088179375E-2</v>
      </c>
      <c r="AG787" s="97">
        <f t="shared" ref="AG787" si="4461">AG786/AG762</f>
        <v>0.2155144183296003</v>
      </c>
    </row>
    <row r="788" spans="2:34" ht="6" customHeight="1" x14ac:dyDescent="0.2">
      <c r="B788" s="9">
        <f>G750</f>
        <v>16</v>
      </c>
      <c r="C788" s="9" t="str">
        <f t="shared" si="4193"/>
        <v xml:space="preserve">16 - </v>
      </c>
      <c r="D788" s="9" t="s">
        <v>56</v>
      </c>
      <c r="G788" s="11"/>
      <c r="S788" s="11"/>
      <c r="AD788" s="15"/>
      <c r="AE788" s="15"/>
      <c r="AF788" s="11"/>
      <c r="AG788" s="15"/>
    </row>
    <row r="789" spans="2:34" x14ac:dyDescent="0.2">
      <c r="B789" s="9">
        <f>G750</f>
        <v>16</v>
      </c>
      <c r="C789" s="9" t="str">
        <f t="shared" si="4193"/>
        <v>16 - Memo:</v>
      </c>
      <c r="D789" s="9" t="s">
        <v>56</v>
      </c>
      <c r="F789" s="6" t="s">
        <v>13</v>
      </c>
      <c r="G789" s="11"/>
      <c r="S789" s="11"/>
      <c r="AD789" s="15"/>
      <c r="AE789" s="15"/>
      <c r="AF789" s="11"/>
      <c r="AG789" s="15"/>
    </row>
    <row r="790" spans="2:34" s="24" customFormat="1" x14ac:dyDescent="0.2">
      <c r="B790" s="9">
        <f>G750</f>
        <v>16</v>
      </c>
      <c r="C790" s="9" t="str">
        <f t="shared" si="4193"/>
        <v>16 - Collections</v>
      </c>
      <c r="D790" s="9" t="s">
        <v>56</v>
      </c>
      <c r="E790" s="49"/>
      <c r="F790" s="24" t="s">
        <v>15</v>
      </c>
      <c r="G790" s="169">
        <f>G791*G760</f>
        <v>307.46315473100174</v>
      </c>
      <c r="H790" s="170">
        <f t="shared" ref="H790" si="4462">H791*H760</f>
        <v>209.80333358355719</v>
      </c>
      <c r="I790" s="170">
        <f t="shared" ref="I790" si="4463">I791*I760</f>
        <v>135.59346719083817</v>
      </c>
      <c r="J790" s="170">
        <f t="shared" ref="J790" si="4464">J791*J760</f>
        <v>123.45221438516626</v>
      </c>
      <c r="K790" s="170">
        <f t="shared" ref="K790" si="4465">K791*K760</f>
        <v>144.39040876249624</v>
      </c>
      <c r="L790" s="170">
        <f t="shared" ref="L790" si="4466">L791*L760</f>
        <v>141.61006417230797</v>
      </c>
      <c r="M790" s="170">
        <f t="shared" ref="M790" si="4467">M791*M760</f>
        <v>234.66158022658993</v>
      </c>
      <c r="N790" s="170">
        <f t="shared" ref="N790" si="4468">N791*N760</f>
        <v>247.61780231355229</v>
      </c>
      <c r="O790" s="170">
        <f t="shared" ref="O790" si="4469">O791*O760</f>
        <v>123.85364774365166</v>
      </c>
      <c r="P790" s="170">
        <f t="shared" ref="P790" si="4470">P791*P760</f>
        <v>123.19808307077493</v>
      </c>
      <c r="Q790" s="170">
        <f t="shared" ref="Q790" si="4471">Q791*Q760</f>
        <v>198.16565159741009</v>
      </c>
      <c r="R790" s="170">
        <f t="shared" ref="R790" si="4472">R791*R760</f>
        <v>225.38616953081817</v>
      </c>
      <c r="S790" s="169">
        <f t="shared" ref="S790" si="4473">S791*S760</f>
        <v>240.35615696639832</v>
      </c>
      <c r="T790" s="170">
        <f t="shared" ref="T790" si="4474">T791*T760</f>
        <v>248.44996702888005</v>
      </c>
      <c r="U790" s="170">
        <f t="shared" ref="U790" si="4475">U791*U760</f>
        <v>266.65332858242601</v>
      </c>
      <c r="V790" s="170">
        <f t="shared" ref="V790" si="4476">V791*V760</f>
        <v>282.58843067557893</v>
      </c>
      <c r="W790" s="170">
        <f t="shared" ref="W790" si="4477">W791*W760</f>
        <v>308.98673267467098</v>
      </c>
      <c r="X790" s="170">
        <f t="shared" ref="X790" si="4478">X791*X760</f>
        <v>294.37338049722911</v>
      </c>
      <c r="Y790" s="170">
        <f t="shared" ref="Y790" si="4479">Y791*Y760</f>
        <v>398.97737194627882</v>
      </c>
      <c r="Z790" s="170">
        <f t="shared" ref="Z790" si="4480">Z791*Z760</f>
        <v>366.70882341501914</v>
      </c>
      <c r="AA790" s="170">
        <f t="shared" ref="AA790" si="4481">AA791*AA760</f>
        <v>358.8627511509282</v>
      </c>
      <c r="AB790" s="170">
        <f t="shared" ref="AB790" si="4482">AB791*AB760</f>
        <v>416.50002972863416</v>
      </c>
      <c r="AC790" s="170">
        <f t="shared" ref="AC790" si="4483">AC791*AC760</f>
        <v>418.01474542970561</v>
      </c>
      <c r="AD790" s="171">
        <f t="shared" ref="AD790" si="4484">AD791*AD760</f>
        <v>372.06288473939537</v>
      </c>
      <c r="AE790" s="26"/>
      <c r="AF790" s="68">
        <f>SUM(G790:R790)</f>
        <v>2215.1955773081645</v>
      </c>
      <c r="AG790" s="99">
        <f>SUM(S790:AD790)</f>
        <v>3972.5346028351451</v>
      </c>
    </row>
    <row r="791" spans="2:34" x14ac:dyDescent="0.2">
      <c r="B791" s="9">
        <f>G750</f>
        <v>16</v>
      </c>
      <c r="C791" s="9" t="str">
        <f t="shared" si="4193"/>
        <v>16 - Collections as a % of Production</v>
      </c>
      <c r="D791" s="9" t="s">
        <v>56</v>
      </c>
      <c r="F791" s="16" t="s">
        <v>17</v>
      </c>
      <c r="G791" s="140">
        <v>0.99764176199300802</v>
      </c>
      <c r="H791" s="141">
        <v>0.97031827122918757</v>
      </c>
      <c r="I791" s="141">
        <v>0.97043178173642175</v>
      </c>
      <c r="J791" s="141">
        <v>0.9689546718075035</v>
      </c>
      <c r="K791" s="141">
        <v>0.97837053905750315</v>
      </c>
      <c r="L791" s="141">
        <v>0.9770873780557463</v>
      </c>
      <c r="M791" s="141">
        <v>0.98111844776062973</v>
      </c>
      <c r="N791" s="141">
        <v>0.99408355468768883</v>
      </c>
      <c r="O791" s="141">
        <v>0.97627194963536224</v>
      </c>
      <c r="P791" s="141">
        <v>0.96112193539505641</v>
      </c>
      <c r="Q791" s="141">
        <v>0.983994601823027</v>
      </c>
      <c r="R791" s="141">
        <v>0.99360373259020718</v>
      </c>
      <c r="S791" s="140">
        <v>0.9857903111230939</v>
      </c>
      <c r="T791" s="141">
        <v>0.9743505372415765</v>
      </c>
      <c r="U791" s="141">
        <v>0.98150810080568407</v>
      </c>
      <c r="V791" s="141">
        <v>0.97255906688070448</v>
      </c>
      <c r="W791" s="141">
        <v>0.98340411225322499</v>
      </c>
      <c r="X791" s="141">
        <v>0.98431790756152426</v>
      </c>
      <c r="Y791" s="141">
        <v>0.97864378948353925</v>
      </c>
      <c r="Z791" s="141">
        <v>0.9680112581118776</v>
      </c>
      <c r="AA791" s="141">
        <v>0.96979979181263931</v>
      </c>
      <c r="AB791" s="141">
        <v>0.9853253322827431</v>
      </c>
      <c r="AC791" s="141">
        <v>0.99715863506264502</v>
      </c>
      <c r="AD791" s="142">
        <v>0.9818284745103778</v>
      </c>
      <c r="AE791" s="15"/>
      <c r="AF791" s="96">
        <f t="shared" ref="AF791" si="4485">AF790/AF760</f>
        <v>0.98208812100349596</v>
      </c>
      <c r="AG791" s="97">
        <f t="shared" ref="AG791" si="4486">AG790/AG760</f>
        <v>0.98045603185023178</v>
      </c>
    </row>
    <row r="792" spans="2:34" ht="6" customHeight="1" x14ac:dyDescent="0.2">
      <c r="B792" s="9">
        <f>G750</f>
        <v>16</v>
      </c>
      <c r="C792" s="9" t="str">
        <f t="shared" si="4193"/>
        <v xml:space="preserve">16 - </v>
      </c>
      <c r="D792" s="9" t="s">
        <v>56</v>
      </c>
      <c r="F792" s="27"/>
      <c r="R792" s="15"/>
      <c r="AD792" s="15"/>
      <c r="AE792" s="15"/>
      <c r="AF792" s="11"/>
      <c r="AG792" s="15"/>
    </row>
    <row r="793" spans="2:34" s="24" customFormat="1" x14ac:dyDescent="0.2">
      <c r="B793" s="9">
        <f>G750</f>
        <v>16</v>
      </c>
      <c r="C793" s="9" t="str">
        <f t="shared" si="4193"/>
        <v>16 - Production per Vet Workday - YoY Change</v>
      </c>
      <c r="D793" s="9" t="s">
        <v>56</v>
      </c>
      <c r="E793" s="49"/>
      <c r="F793" s="24" t="s">
        <v>55</v>
      </c>
      <c r="G793" s="88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151">
        <f>S759/G759-1</f>
        <v>0.13511105088232456</v>
      </c>
      <c r="T793" s="152">
        <f t="shared" ref="T793" si="4487">T759/H759-1</f>
        <v>0.12569867066809892</v>
      </c>
      <c r="U793" s="152">
        <f t="shared" ref="U793" si="4488">U759/I759-1</f>
        <v>6.0566564519758614E-2</v>
      </c>
      <c r="V793" s="152">
        <f t="shared" ref="V793" si="4489">V759/J759-1</f>
        <v>8.8452761425662496E-2</v>
      </c>
      <c r="W793" s="152">
        <f t="shared" ref="W793" si="4490">W759/K759-1</f>
        <v>2.0139188870009317E-2</v>
      </c>
      <c r="X793" s="152">
        <f t="shared" ref="X793" si="4491">X759/L759-1</f>
        <v>0.13000659495447997</v>
      </c>
      <c r="Y793" s="152">
        <f t="shared" ref="Y793" si="4492">Y759/M759-1</f>
        <v>8.6942718427958754E-2</v>
      </c>
      <c r="Z793" s="152">
        <f t="shared" ref="Z793" si="4493">Z759/N759-1</f>
        <v>5.7971874813822932E-2</v>
      </c>
      <c r="AA793" s="152">
        <f t="shared" ref="AA793" si="4494">AA759/O759-1</f>
        <v>1.8568957843803968E-2</v>
      </c>
      <c r="AB793" s="152">
        <f t="shared" ref="AB793" si="4495">AB759/P759-1</f>
        <v>7.6277314564079379E-3</v>
      </c>
      <c r="AC793" s="152">
        <f t="shared" ref="AC793" si="4496">AC759/Q759-1</f>
        <v>8.8095071263847746E-2</v>
      </c>
      <c r="AD793" s="153">
        <f t="shared" ref="AD793" si="4497">AD759/R759-1</f>
        <v>2.3466144120991572E-3</v>
      </c>
      <c r="AF793" s="43"/>
      <c r="AG793" s="104">
        <f>AG759/AF759-1</f>
        <v>6.7907607882603971E-2</v>
      </c>
    </row>
    <row r="794" spans="2:34" s="24" customFormat="1" ht="6" customHeight="1" x14ac:dyDescent="0.2">
      <c r="D794" s="9" t="s">
        <v>56</v>
      </c>
      <c r="E794" s="49"/>
      <c r="G794" s="28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29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29"/>
      <c r="AE794" s="25"/>
      <c r="AF794" s="28"/>
      <c r="AG794" s="29"/>
    </row>
    <row r="795" spans="2:34" s="24" customFormat="1" ht="6" customHeight="1" x14ac:dyDescent="0.2">
      <c r="D795" s="9" t="s">
        <v>56</v>
      </c>
      <c r="E795" s="49"/>
    </row>
    <row r="796" spans="2:34" x14ac:dyDescent="0.2">
      <c r="D796" s="9" t="s">
        <v>56</v>
      </c>
      <c r="F796" s="16"/>
    </row>
    <row r="797" spans="2:34" ht="15.75" thickBot="1" x14ac:dyDescent="0.4">
      <c r="B797" s="35" t="s">
        <v>52</v>
      </c>
      <c r="C797" s="35"/>
      <c r="D797" s="9" t="s">
        <v>56</v>
      </c>
      <c r="E797" s="48" t="s">
        <v>0</v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74">
        <f ca="1">AG$2</f>
        <v>45999</v>
      </c>
      <c r="AH797" s="1"/>
    </row>
    <row r="798" spans="2:34" x14ac:dyDescent="0.2">
      <c r="B798" s="9">
        <f>G799</f>
        <v>17</v>
      </c>
      <c r="C798" s="9"/>
      <c r="D798" s="9" t="s">
        <v>56</v>
      </c>
      <c r="F798" t="s">
        <v>159</v>
      </c>
      <c r="AG798" s="6" t="s">
        <v>16</v>
      </c>
    </row>
    <row r="799" spans="2:34" x14ac:dyDescent="0.2">
      <c r="B799" s="9">
        <f>G799</f>
        <v>17</v>
      </c>
      <c r="C799" s="9"/>
      <c r="D799" s="9" t="s">
        <v>56</v>
      </c>
      <c r="F799" s="40" t="s">
        <v>53</v>
      </c>
      <c r="G799" s="42">
        <v>17</v>
      </c>
    </row>
    <row r="800" spans="2:34" x14ac:dyDescent="0.2">
      <c r="B800" s="9">
        <f>G799</f>
        <v>17</v>
      </c>
      <c r="C800" s="9"/>
      <c r="D800" s="9" t="s">
        <v>56</v>
      </c>
      <c r="F800" s="39" t="s">
        <v>34</v>
      </c>
      <c r="G800" s="41"/>
      <c r="H800" s="11"/>
    </row>
    <row r="801" spans="2:33" x14ac:dyDescent="0.2">
      <c r="B801" s="9">
        <f>G799</f>
        <v>17</v>
      </c>
      <c r="C801" s="9"/>
      <c r="D801" s="9" t="s">
        <v>56</v>
      </c>
      <c r="G801" s="23"/>
    </row>
    <row r="802" spans="2:33" x14ac:dyDescent="0.2">
      <c r="B802" s="9">
        <f>G799</f>
        <v>17</v>
      </c>
      <c r="C802" s="9"/>
      <c r="D802" s="9" t="s">
        <v>56</v>
      </c>
      <c r="G802" s="20">
        <v>2023</v>
      </c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2"/>
      <c r="S802" s="20">
        <v>2024</v>
      </c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2"/>
      <c r="AF802" s="17" t="s">
        <v>14</v>
      </c>
      <c r="AG802" s="18"/>
    </row>
    <row r="803" spans="2:33" ht="15" customHeight="1" x14ac:dyDescent="0.35">
      <c r="B803" s="9">
        <f>G799</f>
        <v>17</v>
      </c>
      <c r="C803" s="9"/>
      <c r="D803" s="9" t="s">
        <v>56</v>
      </c>
      <c r="G803" s="165">
        <v>44957</v>
      </c>
      <c r="H803" s="166">
        <v>44985</v>
      </c>
      <c r="I803" s="166">
        <v>45016</v>
      </c>
      <c r="J803" s="166">
        <v>45046</v>
      </c>
      <c r="K803" s="166">
        <v>45077</v>
      </c>
      <c r="L803" s="166">
        <v>45107</v>
      </c>
      <c r="M803" s="166">
        <v>45138</v>
      </c>
      <c r="N803" s="166">
        <v>45169</v>
      </c>
      <c r="O803" s="166">
        <v>45199</v>
      </c>
      <c r="P803" s="166">
        <v>45230</v>
      </c>
      <c r="Q803" s="166">
        <v>45260</v>
      </c>
      <c r="R803" s="167">
        <v>45291</v>
      </c>
      <c r="S803" s="165">
        <v>45322</v>
      </c>
      <c r="T803" s="166">
        <v>45351</v>
      </c>
      <c r="U803" s="166">
        <v>45382</v>
      </c>
      <c r="V803" s="166">
        <v>45412</v>
      </c>
      <c r="W803" s="166">
        <v>45443</v>
      </c>
      <c r="X803" s="166">
        <v>45473</v>
      </c>
      <c r="Y803" s="166">
        <v>45504</v>
      </c>
      <c r="Z803" s="166">
        <v>45535</v>
      </c>
      <c r="AA803" s="166">
        <v>45565</v>
      </c>
      <c r="AB803" s="166">
        <v>45596</v>
      </c>
      <c r="AC803" s="166">
        <v>45626</v>
      </c>
      <c r="AD803" s="167">
        <v>45657</v>
      </c>
      <c r="AE803" s="168"/>
      <c r="AF803" s="13">
        <v>45291</v>
      </c>
      <c r="AG803" s="14">
        <v>45657</v>
      </c>
    </row>
    <row r="804" spans="2:33" ht="0.95" customHeight="1" x14ac:dyDescent="0.2">
      <c r="B804" s="9">
        <f>G799</f>
        <v>17</v>
      </c>
      <c r="C804" s="9"/>
      <c r="D804" s="9" t="s">
        <v>56</v>
      </c>
      <c r="G804" s="11"/>
      <c r="S804" s="11"/>
      <c r="AD804" s="15"/>
      <c r="AE804" s="15"/>
      <c r="AF804" s="11"/>
      <c r="AG804" s="15"/>
    </row>
    <row r="805" spans="2:33" x14ac:dyDescent="0.2">
      <c r="B805" s="9">
        <f>G799</f>
        <v>17</v>
      </c>
      <c r="C805" s="9" t="str">
        <f>B805&amp;" - "&amp;F805</f>
        <v>17 - Employed Vets</v>
      </c>
      <c r="D805" s="9" t="s">
        <v>56</v>
      </c>
      <c r="F805" s="7" t="s">
        <v>160</v>
      </c>
      <c r="G805" s="121">
        <v>4</v>
      </c>
      <c r="H805" s="154">
        <f>MAX(MIN(IF(H808/G808&gt;1.1,G805-1,IF(H808/G808&lt;0.9,G805+1,G805)),5),1)</f>
        <v>4</v>
      </c>
      <c r="I805" s="154">
        <f t="shared" ref="I805:AB805" si="4498">MAX(MIN(IF(I808/H808&gt;1.1,H805-1,IF(I808/H808&lt;0.9,H805+1,H805)),5),1)</f>
        <v>4</v>
      </c>
      <c r="J805" s="154">
        <f t="shared" si="4498"/>
        <v>4</v>
      </c>
      <c r="K805" s="154">
        <f t="shared" si="4498"/>
        <v>3</v>
      </c>
      <c r="L805" s="154">
        <f t="shared" si="4498"/>
        <v>3</v>
      </c>
      <c r="M805" s="154">
        <f t="shared" si="4498"/>
        <v>3</v>
      </c>
      <c r="N805" s="154">
        <f t="shared" si="4498"/>
        <v>4</v>
      </c>
      <c r="O805" s="154">
        <f t="shared" si="4498"/>
        <v>4</v>
      </c>
      <c r="P805" s="154">
        <f t="shared" si="4498"/>
        <v>4</v>
      </c>
      <c r="Q805" s="154">
        <f t="shared" si="4498"/>
        <v>5</v>
      </c>
      <c r="R805" s="154">
        <f t="shared" si="4498"/>
        <v>5</v>
      </c>
      <c r="S805" s="155">
        <f t="shared" si="4498"/>
        <v>4</v>
      </c>
      <c r="T805" s="154">
        <f t="shared" si="4498"/>
        <v>3</v>
      </c>
      <c r="U805" s="154">
        <f t="shared" si="4498"/>
        <v>3</v>
      </c>
      <c r="V805" s="154">
        <f t="shared" si="4498"/>
        <v>3</v>
      </c>
      <c r="W805" s="154">
        <f t="shared" si="4498"/>
        <v>2</v>
      </c>
      <c r="X805" s="154">
        <f t="shared" si="4498"/>
        <v>2</v>
      </c>
      <c r="Y805" s="154">
        <f t="shared" si="4498"/>
        <v>2</v>
      </c>
      <c r="Z805" s="154">
        <f t="shared" si="4498"/>
        <v>3</v>
      </c>
      <c r="AA805" s="154">
        <f t="shared" si="4498"/>
        <v>3</v>
      </c>
      <c r="AB805" s="154">
        <f t="shared" si="4498"/>
        <v>3</v>
      </c>
      <c r="AC805" s="154">
        <f>AB805</f>
        <v>3</v>
      </c>
      <c r="AD805" s="156">
        <f t="shared" ref="AD805" si="4499">AC805</f>
        <v>3</v>
      </c>
      <c r="AE805" s="15"/>
      <c r="AF805" s="90">
        <f>AVERAGE(G805:R805)</f>
        <v>3.9166666666666665</v>
      </c>
      <c r="AG805" s="91">
        <f>AVERAGE(S805:AD805)</f>
        <v>2.8333333333333335</v>
      </c>
    </row>
    <row r="806" spans="2:33" x14ac:dyDescent="0.2">
      <c r="B806" s="9">
        <f>G799</f>
        <v>17</v>
      </c>
      <c r="C806" s="9" t="str">
        <f t="shared" ref="C806:C842" si="4500">B806&amp;" - "&amp;F806</f>
        <v>17 - Workdays in Month / Year</v>
      </c>
      <c r="D806" s="9" t="s">
        <v>56</v>
      </c>
      <c r="F806" s="7" t="s">
        <v>54</v>
      </c>
      <c r="G806" s="121">
        <v>22</v>
      </c>
      <c r="H806" s="124">
        <v>21</v>
      </c>
      <c r="I806" s="124">
        <v>24</v>
      </c>
      <c r="J806" s="122">
        <v>21</v>
      </c>
      <c r="K806" s="122">
        <v>23</v>
      </c>
      <c r="L806" s="122">
        <v>23</v>
      </c>
      <c r="M806" s="122">
        <v>22</v>
      </c>
      <c r="N806" s="122">
        <v>24</v>
      </c>
      <c r="O806" s="122">
        <v>22</v>
      </c>
      <c r="P806" s="122">
        <v>22</v>
      </c>
      <c r="Q806" s="122">
        <v>23</v>
      </c>
      <c r="R806" s="122">
        <v>22</v>
      </c>
      <c r="S806" s="121">
        <v>23</v>
      </c>
      <c r="T806" s="122">
        <v>22</v>
      </c>
      <c r="U806" s="122">
        <v>22</v>
      </c>
      <c r="V806" s="122">
        <v>22</v>
      </c>
      <c r="W806" s="122">
        <v>24</v>
      </c>
      <c r="X806" s="122">
        <v>21</v>
      </c>
      <c r="Y806" s="122">
        <v>23</v>
      </c>
      <c r="Z806" s="122">
        <v>23</v>
      </c>
      <c r="AA806" s="122">
        <v>21</v>
      </c>
      <c r="AB806" s="122">
        <v>24</v>
      </c>
      <c r="AC806" s="122">
        <v>22</v>
      </c>
      <c r="AD806" s="123">
        <v>22</v>
      </c>
      <c r="AE806" s="15"/>
      <c r="AF806" s="144">
        <v>269</v>
      </c>
      <c r="AG806" s="145">
        <v>269</v>
      </c>
    </row>
    <row r="807" spans="2:33" x14ac:dyDescent="0.2">
      <c r="B807" s="9">
        <f>G799</f>
        <v>17</v>
      </c>
      <c r="C807" s="9" t="str">
        <f t="shared" si="4500"/>
        <v>17 - Total Vet Days</v>
      </c>
      <c r="D807" s="9" t="s">
        <v>56</v>
      </c>
      <c r="F807" s="8" t="s">
        <v>51</v>
      </c>
      <c r="G807" s="125">
        <f>G805*G806</f>
        <v>88</v>
      </c>
      <c r="H807" s="126">
        <f t="shared" ref="H807" si="4501">H805*H806</f>
        <v>84</v>
      </c>
      <c r="I807" s="126">
        <f t="shared" ref="I807" si="4502">I805*I806</f>
        <v>96</v>
      </c>
      <c r="J807" s="127">
        <f t="shared" ref="J807" si="4503">J805*J806</f>
        <v>84</v>
      </c>
      <c r="K807" s="127">
        <f t="shared" ref="K807" si="4504">K805*K806</f>
        <v>69</v>
      </c>
      <c r="L807" s="127">
        <f t="shared" ref="L807" si="4505">L805*L806</f>
        <v>69</v>
      </c>
      <c r="M807" s="127">
        <f t="shared" ref="M807" si="4506">M805*M806</f>
        <v>66</v>
      </c>
      <c r="N807" s="127">
        <f t="shared" ref="N807" si="4507">N805*N806</f>
        <v>96</v>
      </c>
      <c r="O807" s="127">
        <f t="shared" ref="O807" si="4508">O805*O806</f>
        <v>88</v>
      </c>
      <c r="P807" s="127">
        <f t="shared" ref="P807" si="4509">P805*P806</f>
        <v>88</v>
      </c>
      <c r="Q807" s="127">
        <f t="shared" ref="Q807" si="4510">Q805*Q806</f>
        <v>115</v>
      </c>
      <c r="R807" s="127">
        <f t="shared" ref="R807" si="4511">R805*R806</f>
        <v>110</v>
      </c>
      <c r="S807" s="125">
        <f t="shared" ref="S807" si="4512">S805*S806</f>
        <v>92</v>
      </c>
      <c r="T807" s="127">
        <f t="shared" ref="T807" si="4513">T805*T806</f>
        <v>66</v>
      </c>
      <c r="U807" s="127">
        <f t="shared" ref="U807" si="4514">U805*U806</f>
        <v>66</v>
      </c>
      <c r="V807" s="127">
        <f t="shared" ref="V807" si="4515">V805*V806</f>
        <v>66</v>
      </c>
      <c r="W807" s="127">
        <f t="shared" ref="W807" si="4516">W805*W806</f>
        <v>48</v>
      </c>
      <c r="X807" s="127">
        <f t="shared" ref="X807" si="4517">X805*X806</f>
        <v>42</v>
      </c>
      <c r="Y807" s="127">
        <f t="shared" ref="Y807" si="4518">Y805*Y806</f>
        <v>46</v>
      </c>
      <c r="Z807" s="127">
        <f t="shared" ref="Z807" si="4519">Z805*Z806</f>
        <v>69</v>
      </c>
      <c r="AA807" s="127">
        <f t="shared" ref="AA807" si="4520">AA805*AA806</f>
        <v>63</v>
      </c>
      <c r="AB807" s="127">
        <f t="shared" ref="AB807" si="4521">AB805*AB806</f>
        <v>72</v>
      </c>
      <c r="AC807" s="127">
        <f t="shared" ref="AC807" si="4522">AC805*AC806</f>
        <v>66</v>
      </c>
      <c r="AD807" s="128">
        <f t="shared" ref="AD807" si="4523">AD805*AD806</f>
        <v>66</v>
      </c>
      <c r="AF807" s="119">
        <f>SUM(G807:R807)</f>
        <v>1053</v>
      </c>
      <c r="AG807" s="120">
        <f>SUM(S807:AD807)</f>
        <v>762</v>
      </c>
    </row>
    <row r="808" spans="2:33" x14ac:dyDescent="0.2">
      <c r="B808" s="9">
        <f>G799</f>
        <v>17</v>
      </c>
      <c r="C808" s="9" t="str">
        <f t="shared" si="4500"/>
        <v>17 - Production per Vet Workday</v>
      </c>
      <c r="D808" s="9" t="s">
        <v>56</v>
      </c>
      <c r="F808" s="7" t="s">
        <v>50</v>
      </c>
      <c r="G808" s="129">
        <v>4.9091731579637283</v>
      </c>
      <c r="H808" s="130">
        <v>5.2966194731614804</v>
      </c>
      <c r="I808" s="130">
        <v>5.4413963645659802</v>
      </c>
      <c r="J808" s="130">
        <v>5.9266204479134661</v>
      </c>
      <c r="K808" s="130">
        <v>6.862160482789001</v>
      </c>
      <c r="L808" s="130">
        <v>6.4037638016313938</v>
      </c>
      <c r="M808" s="130">
        <v>5.9414263737380528</v>
      </c>
      <c r="N808" s="130">
        <v>4.9255920995840201</v>
      </c>
      <c r="O808" s="130">
        <v>4.8380085014140652</v>
      </c>
      <c r="P808" s="130">
        <v>5.0449226201512429</v>
      </c>
      <c r="Q808" s="130">
        <v>4.2648546593953771</v>
      </c>
      <c r="R808" s="130">
        <v>3.4979720012479314</v>
      </c>
      <c r="S808" s="129">
        <v>4.5359979038486653</v>
      </c>
      <c r="T808" s="130">
        <v>5.5065304488119855</v>
      </c>
      <c r="U808" s="130">
        <v>5.404718502459481</v>
      </c>
      <c r="V808" s="130">
        <v>5.8793046172183026</v>
      </c>
      <c r="W808" s="130">
        <v>6.93633780917924</v>
      </c>
      <c r="X808" s="130">
        <v>6.7995537496633922</v>
      </c>
      <c r="Y808" s="130">
        <v>6.2807196730763621</v>
      </c>
      <c r="Z808" s="130">
        <v>5.2122780266932436</v>
      </c>
      <c r="AA808" s="130">
        <v>4.7709263105989601</v>
      </c>
      <c r="AB808" s="130">
        <v>5.0333334284712148</v>
      </c>
      <c r="AC808" s="130">
        <v>4.2830390113795094</v>
      </c>
      <c r="AD808" s="131">
        <v>3.5750766107080545</v>
      </c>
      <c r="AE808" s="15"/>
      <c r="AF808" s="132">
        <v>5.2817722512612164</v>
      </c>
      <c r="AG808" s="133">
        <v>5.35758294440536</v>
      </c>
    </row>
    <row r="809" spans="2:33" x14ac:dyDescent="0.2">
      <c r="B809" s="9">
        <f>G799</f>
        <v>17</v>
      </c>
      <c r="C809" s="9" t="str">
        <f t="shared" si="4500"/>
        <v>17 - Total Production</v>
      </c>
      <c r="D809" s="9" t="s">
        <v>56</v>
      </c>
      <c r="F809" s="8" t="s">
        <v>1</v>
      </c>
      <c r="G809" s="134">
        <f>G808*G807</f>
        <v>432.00723790080809</v>
      </c>
      <c r="H809" s="135">
        <f t="shared" ref="H809" si="4524">H808*H807</f>
        <v>444.91603574556433</v>
      </c>
      <c r="I809" s="135">
        <f t="shared" ref="I809" si="4525">I808*I807</f>
        <v>522.37405099833404</v>
      </c>
      <c r="J809" s="135">
        <f t="shared" ref="J809" si="4526">J808*J807</f>
        <v>497.83611762473117</v>
      </c>
      <c r="K809" s="135">
        <f t="shared" ref="K809" si="4527">K808*K807</f>
        <v>473.48907331244106</v>
      </c>
      <c r="L809" s="135">
        <f t="shared" ref="L809" si="4528">L808*L807</f>
        <v>441.85970231256618</v>
      </c>
      <c r="M809" s="135">
        <f t="shared" ref="M809" si="4529">M808*M807</f>
        <v>392.13414066671146</v>
      </c>
      <c r="N809" s="135">
        <f t="shared" ref="N809" si="4530">N808*N807</f>
        <v>472.85684156006596</v>
      </c>
      <c r="O809" s="135">
        <f t="shared" ref="O809" si="4531">O808*O807</f>
        <v>425.74474812443776</v>
      </c>
      <c r="P809" s="135">
        <f t="shared" ref="P809" si="4532">P808*P807</f>
        <v>443.95319057330937</v>
      </c>
      <c r="Q809" s="135">
        <f t="shared" ref="Q809" si="4533">Q808*Q807</f>
        <v>490.45828583046836</v>
      </c>
      <c r="R809" s="135">
        <f t="shared" ref="R809" si="4534">R808*R807</f>
        <v>384.77692013727244</v>
      </c>
      <c r="S809" s="134">
        <f t="shared" ref="S809" si="4535">S808*S807</f>
        <v>417.3118071540772</v>
      </c>
      <c r="T809" s="135">
        <f t="shared" ref="T809" si="4536">T808*T807</f>
        <v>363.43100962159104</v>
      </c>
      <c r="U809" s="135">
        <f t="shared" ref="U809" si="4537">U808*U807</f>
        <v>356.71142116232573</v>
      </c>
      <c r="V809" s="135">
        <f t="shared" ref="V809" si="4538">V808*V807</f>
        <v>388.03410473640798</v>
      </c>
      <c r="W809" s="135">
        <f t="shared" ref="W809" si="4539">W808*W807</f>
        <v>332.94421484060354</v>
      </c>
      <c r="X809" s="135">
        <f t="shared" ref="X809" si="4540">X808*X807</f>
        <v>285.58125748586247</v>
      </c>
      <c r="Y809" s="135">
        <f t="shared" ref="Y809" si="4541">Y808*Y807</f>
        <v>288.91310496151266</v>
      </c>
      <c r="Z809" s="135">
        <f t="shared" ref="Z809" si="4542">Z808*Z807</f>
        <v>359.64718384183379</v>
      </c>
      <c r="AA809" s="135">
        <f t="shared" ref="AA809" si="4543">AA808*AA807</f>
        <v>300.56835756773449</v>
      </c>
      <c r="AB809" s="135">
        <f t="shared" ref="AB809" si="4544">AB808*AB807</f>
        <v>362.40000684992748</v>
      </c>
      <c r="AC809" s="135">
        <f t="shared" ref="AC809" si="4545">AC808*AC807</f>
        <v>282.68057475104763</v>
      </c>
      <c r="AD809" s="136">
        <f t="shared" ref="AD809" si="4546">AD808*AD807</f>
        <v>235.95505630673159</v>
      </c>
      <c r="AE809" s="15"/>
      <c r="AF809" s="94">
        <f>SUM(G809:R809)</f>
        <v>5422.4063447867102</v>
      </c>
      <c r="AG809" s="95">
        <f>SUM(S809:AD809)</f>
        <v>3974.1780992796553</v>
      </c>
    </row>
    <row r="810" spans="2:33" x14ac:dyDescent="0.2">
      <c r="B810" s="9">
        <f>G799</f>
        <v>17</v>
      </c>
      <c r="C810" s="9" t="str">
        <f t="shared" si="4500"/>
        <v>17 - Revenue as a % of Production</v>
      </c>
      <c r="D810" s="9" t="s">
        <v>56</v>
      </c>
      <c r="F810" s="7" t="s">
        <v>2</v>
      </c>
      <c r="G810" s="137">
        <v>0.97589117783581192</v>
      </c>
      <c r="H810" s="138">
        <v>0.97589117783581192</v>
      </c>
      <c r="I810" s="138">
        <v>0.97589117783581192</v>
      </c>
      <c r="J810" s="138">
        <v>0.97589117783581192</v>
      </c>
      <c r="K810" s="138">
        <v>0.97589117783581192</v>
      </c>
      <c r="L810" s="138">
        <v>0.97589117783581192</v>
      </c>
      <c r="M810" s="138">
        <v>0.97589117783581192</v>
      </c>
      <c r="N810" s="138">
        <v>0.97589117783581192</v>
      </c>
      <c r="O810" s="138">
        <v>0.97589117783581192</v>
      </c>
      <c r="P810" s="138">
        <v>0.97589117783581192</v>
      </c>
      <c r="Q810" s="138">
        <v>0.97589117783581192</v>
      </c>
      <c r="R810" s="138">
        <v>0.97589117783581192</v>
      </c>
      <c r="S810" s="137">
        <v>0.97912524622520225</v>
      </c>
      <c r="T810" s="138">
        <v>0.97912524622520225</v>
      </c>
      <c r="U810" s="138">
        <v>0.97912524622520225</v>
      </c>
      <c r="V810" s="138">
        <v>0.97912524622520225</v>
      </c>
      <c r="W810" s="138">
        <v>0.97912524622520225</v>
      </c>
      <c r="X810" s="138">
        <v>0.97912524622520225</v>
      </c>
      <c r="Y810" s="138">
        <v>0.97912524622520225</v>
      </c>
      <c r="Z810" s="138">
        <v>0.97912524622520225</v>
      </c>
      <c r="AA810" s="138">
        <v>0.97912524622520225</v>
      </c>
      <c r="AB810" s="138">
        <v>0.97912524622520225</v>
      </c>
      <c r="AC810" s="138">
        <v>0.97912524622520225</v>
      </c>
      <c r="AD810" s="139">
        <v>0.97912524622520225</v>
      </c>
      <c r="AE810" s="15"/>
      <c r="AF810" s="161">
        <v>0.97589117783581203</v>
      </c>
      <c r="AG810" s="162">
        <v>0.97912524622520214</v>
      </c>
    </row>
    <row r="811" spans="2:33" x14ac:dyDescent="0.2">
      <c r="B811" s="9">
        <f>G799</f>
        <v>17</v>
      </c>
      <c r="C811" s="9" t="str">
        <f t="shared" si="4500"/>
        <v>17 - Total Revenue</v>
      </c>
      <c r="D811" s="9" t="s">
        <v>56</v>
      </c>
      <c r="F811" s="8" t="s">
        <v>3</v>
      </c>
      <c r="G811" s="134">
        <f>G810*G809</f>
        <v>421.59205222861544</v>
      </c>
      <c r="H811" s="135">
        <f t="shared" ref="H811" si="4547">H810*H809</f>
        <v>434.189634161779</v>
      </c>
      <c r="I811" s="135">
        <f t="shared" ref="I811" si="4548">I810*I809</f>
        <v>509.7802278996287</v>
      </c>
      <c r="J811" s="135">
        <f t="shared" ref="J811" si="4549">J810*J809</f>
        <v>485.83387519800669</v>
      </c>
      <c r="K811" s="135">
        <f t="shared" ref="K811" si="4550">K810*K809</f>
        <v>462.07380944726521</v>
      </c>
      <c r="L811" s="135">
        <f t="shared" ref="L811" si="4551">L810*L809</f>
        <v>431.20698532799145</v>
      </c>
      <c r="M811" s="135">
        <f t="shared" ref="M811" si="4552">M810*M809</f>
        <v>382.68024840487101</v>
      </c>
      <c r="N811" s="135">
        <f t="shared" ref="N811" si="4553">N810*N809</f>
        <v>461.45682005777468</v>
      </c>
      <c r="O811" s="135">
        <f t="shared" ref="O811" si="4554">O810*O809</f>
        <v>415.48054370456862</v>
      </c>
      <c r="P811" s="135">
        <f t="shared" ref="P811" si="4555">P810*P809</f>
        <v>433.25000205255355</v>
      </c>
      <c r="Q811" s="135">
        <f t="shared" ref="Q811" si="4556">Q810*Q809</f>
        <v>478.63391423842904</v>
      </c>
      <c r="R811" s="135">
        <f t="shared" ref="R811" si="4557">R810*R809</f>
        <v>375.50040179679894</v>
      </c>
      <c r="S811" s="134">
        <f t="shared" ref="S811" si="4558">S810*S809</f>
        <v>408.60052593241994</v>
      </c>
      <c r="T811" s="135">
        <f t="shared" ref="T811" si="4559">T810*T809</f>
        <v>355.84447678161416</v>
      </c>
      <c r="U811" s="135">
        <f t="shared" ref="U811" si="4560">U810*U809</f>
        <v>349.26515807690402</v>
      </c>
      <c r="V811" s="135">
        <f t="shared" ref="V811" si="4561">V810*V809</f>
        <v>379.93398834381139</v>
      </c>
      <c r="W811" s="135">
        <f t="shared" ref="W811" si="4562">W810*W809</f>
        <v>325.99408633506255</v>
      </c>
      <c r="X811" s="135">
        <f t="shared" ref="X811" si="4563">X810*X809</f>
        <v>279.61981905314798</v>
      </c>
      <c r="Y811" s="135">
        <f t="shared" ref="Y811" si="4564">Y810*Y809</f>
        <v>282.8821150331288</v>
      </c>
      <c r="Z811" s="135">
        <f t="shared" ref="Z811" si="4565">Z810*Z809</f>
        <v>352.13963743333608</v>
      </c>
      <c r="AA811" s="135">
        <f t="shared" ref="AA811" si="4566">AA810*AA809</f>
        <v>294.29406711101268</v>
      </c>
      <c r="AB811" s="135">
        <f t="shared" ref="AB811" si="4567">AB810*AB809</f>
        <v>354.83499593895021</v>
      </c>
      <c r="AC811" s="135">
        <f t="shared" ref="AC811" si="4568">AC810*AC809</f>
        <v>276.77968735620118</v>
      </c>
      <c r="AD811" s="136">
        <f t="shared" ref="AD811" si="4569">AD810*AD809</f>
        <v>231.02955260441004</v>
      </c>
      <c r="AE811" s="15"/>
      <c r="AF811" s="94">
        <f>SUM(G811:R811)</f>
        <v>5291.6785145182821</v>
      </c>
      <c r="AG811" s="95">
        <f>SUM(S811:AD811)</f>
        <v>3891.2181099999993</v>
      </c>
    </row>
    <row r="812" spans="2:33" x14ac:dyDescent="0.2">
      <c r="B812" s="9">
        <f>G799</f>
        <v>17</v>
      </c>
      <c r="C812" s="9" t="str">
        <f t="shared" si="4500"/>
        <v>17 - % YoY Revenue Growth</v>
      </c>
      <c r="D812" s="9" t="s">
        <v>56</v>
      </c>
      <c r="F812" s="16" t="s">
        <v>174</v>
      </c>
      <c r="G812" s="82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148">
        <f>S811/G811-1</f>
        <v>-3.0815396607976386E-2</v>
      </c>
      <c r="T812" s="149">
        <f t="shared" ref="T812" si="4570">T811/H811-1</f>
        <v>-0.18043995345815522</v>
      </c>
      <c r="U812" s="149">
        <f t="shared" ref="U812" si="4571">U811/I811-1</f>
        <v>-0.31487111707739424</v>
      </c>
      <c r="V812" s="149">
        <f t="shared" ref="V812" si="4572">V811/J811-1</f>
        <v>-0.21797551027300166</v>
      </c>
      <c r="W812" s="149">
        <f t="shared" ref="W812" si="4573">W811/K811-1</f>
        <v>-0.29449780604311215</v>
      </c>
      <c r="X812" s="149">
        <f t="shared" ref="X812" si="4574">X811/L811-1</f>
        <v>-0.35154153673911581</v>
      </c>
      <c r="Y812" s="149">
        <f t="shared" ref="Y812" si="4575">Y811/M811-1</f>
        <v>-0.26078725982783679</v>
      </c>
      <c r="Z812" s="149">
        <f t="shared" ref="Z812" si="4576">Z811/N811-1</f>
        <v>-0.23689580015471878</v>
      </c>
      <c r="AA812" s="149">
        <f t="shared" ref="AA812" si="4577">AA811/O811-1</f>
        <v>-0.29167786176704036</v>
      </c>
      <c r="AB812" s="149">
        <f t="shared" ref="AB812" si="4578">AB811/P811-1</f>
        <v>-0.18099251181097864</v>
      </c>
      <c r="AC812" s="149">
        <f t="shared" ref="AC812" si="4579">AC811/Q811-1</f>
        <v>-0.4217298876603951</v>
      </c>
      <c r="AD812" s="150">
        <f t="shared" ref="AD812" si="4580">AD811/R811-1</f>
        <v>-0.38474219601652759</v>
      </c>
      <c r="AE812" s="15"/>
      <c r="AF812" s="11"/>
      <c r="AG812" s="97">
        <f>AG811/AF811-1</f>
        <v>-0.26465334216278835</v>
      </c>
    </row>
    <row r="813" spans="2:33" ht="6" customHeight="1" x14ac:dyDescent="0.2">
      <c r="B813" s="9">
        <f>G799</f>
        <v>17</v>
      </c>
      <c r="C813" s="9" t="str">
        <f t="shared" si="4500"/>
        <v xml:space="preserve">17 - </v>
      </c>
      <c r="D813" s="9" t="s">
        <v>56</v>
      </c>
      <c r="G813" s="11"/>
      <c r="S813" s="11"/>
      <c r="AD813" s="15"/>
      <c r="AE813" s="15"/>
      <c r="AF813" s="11"/>
      <c r="AG813" s="15"/>
    </row>
    <row r="814" spans="2:33" x14ac:dyDescent="0.2">
      <c r="B814" s="9">
        <f>G799</f>
        <v>17</v>
      </c>
      <c r="C814" s="9" t="str">
        <f t="shared" si="4500"/>
        <v>17 - Doctor Compensation</v>
      </c>
      <c r="D814" s="9" t="s">
        <v>56</v>
      </c>
      <c r="F814" t="s">
        <v>4</v>
      </c>
      <c r="G814" s="144">
        <v>-132.76191398939343</v>
      </c>
      <c r="H814" s="70">
        <v>-135.24304148670996</v>
      </c>
      <c r="I814" s="70">
        <v>-161.62166288193524</v>
      </c>
      <c r="J814" s="70">
        <v>-150.32766882023432</v>
      </c>
      <c r="K814" s="70">
        <v>-192.33087714493129</v>
      </c>
      <c r="L814" s="70">
        <v>-183.63234889128177</v>
      </c>
      <c r="M814" s="70">
        <v>-163.83906141525526</v>
      </c>
      <c r="N814" s="70">
        <v>-148.08506167467186</v>
      </c>
      <c r="O814" s="70">
        <v>-136.83075461815889</v>
      </c>
      <c r="P814" s="70">
        <v>-140.63885279014784</v>
      </c>
      <c r="Q814" s="70">
        <v>-126.69627607183716</v>
      </c>
      <c r="R814" s="70">
        <v>-99.736852055117609</v>
      </c>
      <c r="S814" s="144">
        <v>-115.68913030448464</v>
      </c>
      <c r="T814" s="70">
        <v>-131.62712898128308</v>
      </c>
      <c r="U814" s="70">
        <v>-127.68888694632984</v>
      </c>
      <c r="V814" s="70">
        <v>-142.04352884552773</v>
      </c>
      <c r="W814" s="70">
        <v>-121.7821562173031</v>
      </c>
      <c r="X814" s="70">
        <v>-102.40739505072872</v>
      </c>
      <c r="Y814" s="70">
        <v>-103.33093215107704</v>
      </c>
      <c r="Z814" s="70">
        <v>-126.82587863808712</v>
      </c>
      <c r="AA814" s="70">
        <v>-103.67853350538356</v>
      </c>
      <c r="AB814" s="70">
        <v>-127.50894056266075</v>
      </c>
      <c r="AC814" s="70">
        <v>-102.0799709696546</v>
      </c>
      <c r="AD814" s="145">
        <v>-86.597874690489604</v>
      </c>
      <c r="AE814" s="15"/>
      <c r="AF814" s="92">
        <f>SUM(G814:R814)</f>
        <v>-1771.7443718396746</v>
      </c>
      <c r="AG814" s="93">
        <f>SUM(S814:AD814)</f>
        <v>-1391.2603568630095</v>
      </c>
    </row>
    <row r="815" spans="2:33" x14ac:dyDescent="0.2">
      <c r="B815" s="9">
        <f>G799</f>
        <v>17</v>
      </c>
      <c r="C815" s="9" t="str">
        <f t="shared" si="4500"/>
        <v>17 - % of Revenue - Doctor Compensation</v>
      </c>
      <c r="D815" s="9" t="s">
        <v>56</v>
      </c>
      <c r="F815" s="16" t="str">
        <f>"% of Revenue - "&amp;F814</f>
        <v>% of Revenue - Doctor Compensation</v>
      </c>
      <c r="G815" s="148">
        <f>G814/G811</f>
        <v>-0.31490611193353579</v>
      </c>
      <c r="H815" s="149">
        <f t="shared" ref="H815" si="4581">H814/H811</f>
        <v>-0.31148380994355662</v>
      </c>
      <c r="I815" s="149">
        <f t="shared" ref="I815" si="4582">I814/I811</f>
        <v>-0.3170418428110498</v>
      </c>
      <c r="J815" s="149">
        <f t="shared" ref="J815" si="4583">J814/J811</f>
        <v>-0.30942195778128212</v>
      </c>
      <c r="K815" s="149">
        <f t="shared" ref="K815" si="4584">K814/K811</f>
        <v>-0.41623410202581784</v>
      </c>
      <c r="L815" s="149">
        <f t="shared" ref="L815" si="4585">L814/L811</f>
        <v>-0.42585661907031591</v>
      </c>
      <c r="M815" s="149">
        <f t="shared" ref="M815" si="4586">M814/M811</f>
        <v>-0.42813566181737067</v>
      </c>
      <c r="N815" s="149">
        <f t="shared" ref="N815" si="4587">N814/N811</f>
        <v>-0.32090773229038316</v>
      </c>
      <c r="O815" s="149">
        <f t="shared" ref="O815" si="4588">O814/O811</f>
        <v>-0.32933131693274592</v>
      </c>
      <c r="P815" s="149">
        <f t="shared" ref="P815" si="4589">P814/P811</f>
        <v>-0.32461362290562262</v>
      </c>
      <c r="Q815" s="149">
        <f t="shared" ref="Q815" si="4590">Q814/Q811</f>
        <v>-0.26470392569951501</v>
      </c>
      <c r="R815" s="149">
        <f t="shared" ref="R815" si="4591">R814/R811</f>
        <v>-0.26561050688060234</v>
      </c>
      <c r="S815" s="148">
        <f t="shared" ref="S815" si="4592">S814/S811</f>
        <v>-0.28313504991332028</v>
      </c>
      <c r="T815" s="149">
        <f t="shared" ref="T815" si="4593">T814/T811</f>
        <v>-0.3699007222811671</v>
      </c>
      <c r="U815" s="149">
        <f t="shared" ref="U815" si="4594">U814/U811</f>
        <v>-0.36559297139571612</v>
      </c>
      <c r="V815" s="149">
        <f t="shared" ref="V815" si="4595">V814/V811</f>
        <v>-0.37386370581036077</v>
      </c>
      <c r="W815" s="149">
        <f t="shared" ref="W815" si="4596">W814/W811</f>
        <v>-0.37357167299081989</v>
      </c>
      <c r="X815" s="149">
        <f t="shared" ref="X815" si="4597">X814/X811</f>
        <v>-0.36623797053263923</v>
      </c>
      <c r="Y815" s="149">
        <f t="shared" ref="Y815" si="4598">Y814/Y811</f>
        <v>-0.36527912745199809</v>
      </c>
      <c r="Z815" s="149">
        <f t="shared" ref="Z815" si="4599">Z814/Z811</f>
        <v>-0.36015791792849977</v>
      </c>
      <c r="AA815" s="149">
        <f t="shared" ref="AA815" si="4600">AA814/AA811</f>
        <v>-0.35229569703243208</v>
      </c>
      <c r="AB815" s="149">
        <f t="shared" ref="AB815" si="4601">AB814/AB811</f>
        <v>-0.35934713887296171</v>
      </c>
      <c r="AC815" s="149">
        <f t="shared" ref="AC815" si="4602">AC814/AC811</f>
        <v>-0.36881308720564793</v>
      </c>
      <c r="AD815" s="150">
        <f t="shared" ref="AD815" si="4603">AD814/AD811</f>
        <v>-0.37483462056808992</v>
      </c>
      <c r="AE815" s="15"/>
      <c r="AF815" s="96">
        <f t="shared" ref="AF815" si="4604">AF814/AF811</f>
        <v>-0.33481708440501551</v>
      </c>
      <c r="AG815" s="97">
        <f t="shared" ref="AG815" si="4605">AG814/AG811</f>
        <v>-0.35753851815389753</v>
      </c>
    </row>
    <row r="816" spans="2:33" ht="3" customHeight="1" x14ac:dyDescent="0.2">
      <c r="B816" s="9">
        <f>G799</f>
        <v>17</v>
      </c>
      <c r="C816" s="9" t="str">
        <f t="shared" si="4500"/>
        <v xml:space="preserve">17 - </v>
      </c>
      <c r="D816" s="9" t="s">
        <v>56</v>
      </c>
      <c r="F816" s="16"/>
      <c r="G816" s="36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6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8"/>
      <c r="AE816" s="15"/>
      <c r="AF816" s="36"/>
      <c r="AG816" s="38"/>
    </row>
    <row r="817" spans="2:33" x14ac:dyDescent="0.2">
      <c r="B817" s="9">
        <f>G799</f>
        <v>17</v>
      </c>
      <c r="C817" s="9" t="str">
        <f t="shared" si="4500"/>
        <v>17 - Administrative Staff Compensation</v>
      </c>
      <c r="D817" s="9" t="s">
        <v>56</v>
      </c>
      <c r="F817" t="s">
        <v>5</v>
      </c>
      <c r="G817" s="144">
        <v>-90.155572875652894</v>
      </c>
      <c r="H817" s="70">
        <v>-89.601334415981142</v>
      </c>
      <c r="I817" s="70">
        <v>-107.87392949487284</v>
      </c>
      <c r="J817" s="70">
        <v>-98.332741991904314</v>
      </c>
      <c r="K817" s="70">
        <v>-130.34313671266423</v>
      </c>
      <c r="L817" s="70">
        <v>-125.24577391458367</v>
      </c>
      <c r="M817" s="70">
        <v>-110.81257245619881</v>
      </c>
      <c r="N817" s="70">
        <v>-98.238761036994475</v>
      </c>
      <c r="O817" s="70">
        <v>-91.91835274597338</v>
      </c>
      <c r="P817" s="70">
        <v>-96.780394436553649</v>
      </c>
      <c r="Q817" s="70">
        <v>-85.024198434469469</v>
      </c>
      <c r="R817" s="70">
        <v>-68.728824568674952</v>
      </c>
      <c r="S817" s="144">
        <v>-75.303770087988099</v>
      </c>
      <c r="T817" s="70">
        <v>-88.664963144480751</v>
      </c>
      <c r="U817" s="70">
        <v>-86.922321384075502</v>
      </c>
      <c r="V817" s="70">
        <v>-98.773337484831231</v>
      </c>
      <c r="W817" s="70">
        <v>-89.377742722541882</v>
      </c>
      <c r="X817" s="70">
        <v>-109.24900218161417</v>
      </c>
      <c r="Y817" s="70">
        <v>-111.25232930408544</v>
      </c>
      <c r="Z817" s="70">
        <v>-92.436897687508306</v>
      </c>
      <c r="AA817" s="70">
        <v>-76.104866213249622</v>
      </c>
      <c r="AB817" s="70">
        <v>-91.598493125331402</v>
      </c>
      <c r="AC817" s="70">
        <v>-73.748806764214038</v>
      </c>
      <c r="AD817" s="145">
        <v>-60.333012881986683</v>
      </c>
      <c r="AE817" s="15"/>
      <c r="AF817" s="92">
        <f>SUM(G817:R817)</f>
        <v>-1193.0555930845239</v>
      </c>
      <c r="AG817" s="93">
        <f>SUM(S817:AD817)</f>
        <v>-1053.7655429819072</v>
      </c>
    </row>
    <row r="818" spans="2:33" x14ac:dyDescent="0.2">
      <c r="B818" s="9">
        <f>G799</f>
        <v>17</v>
      </c>
      <c r="C818" s="9" t="str">
        <f t="shared" si="4500"/>
        <v>17 - % of Revenue - Administrative Staff Compensation</v>
      </c>
      <c r="D818" s="9" t="s">
        <v>56</v>
      </c>
      <c r="F818" s="16" t="str">
        <f>"% of Revenue - "&amp;F817</f>
        <v>% of Revenue - Administrative Staff Compensation</v>
      </c>
      <c r="G818" s="148">
        <f>G817/G811</f>
        <v>-0.21384552293875905</v>
      </c>
      <c r="H818" s="149">
        <f t="shared" ref="H818" si="4606">H817/H811</f>
        <v>-0.20636451763515776</v>
      </c>
      <c r="I818" s="149">
        <f t="shared" ref="I818" si="4607">I817/I811</f>
        <v>-0.21160869643636371</v>
      </c>
      <c r="J818" s="149">
        <f t="shared" ref="J818" si="4608">J817/J811</f>
        <v>-0.20239992930058195</v>
      </c>
      <c r="K818" s="149">
        <f t="shared" ref="K818" si="4609">K817/K811</f>
        <v>-0.28208293577292615</v>
      </c>
      <c r="L818" s="149">
        <f t="shared" ref="L818" si="4610">L817/L811</f>
        <v>-0.29045395407803343</v>
      </c>
      <c r="M818" s="149">
        <f t="shared" ref="M818" si="4611">M817/M811</f>
        <v>-0.28956961567287492</v>
      </c>
      <c r="N818" s="149">
        <f t="shared" ref="N818" si="4612">N817/N811</f>
        <v>-0.21288830669941106</v>
      </c>
      <c r="O818" s="149">
        <f t="shared" ref="O818" si="4613">O817/O811</f>
        <v>-0.22123383185743783</v>
      </c>
      <c r="P818" s="149">
        <f t="shared" ref="P818" si="4614">P817/P811</f>
        <v>-0.22338232885874082</v>
      </c>
      <c r="Q818" s="149">
        <f t="shared" ref="Q818" si="4615">Q817/Q811</f>
        <v>-0.17763931034798153</v>
      </c>
      <c r="R818" s="149">
        <f t="shared" ref="R818" si="4616">R817/R811</f>
        <v>-0.18303262590346675</v>
      </c>
      <c r="S818" s="148">
        <f t="shared" ref="S818" si="4617">S817/S811</f>
        <v>-0.18429680166501519</v>
      </c>
      <c r="T818" s="149">
        <f t="shared" ref="T818" si="4618">T817/T811</f>
        <v>-0.24916773739583839</v>
      </c>
      <c r="U818" s="149">
        <f t="shared" ref="U818" si="4619">U817/U811</f>
        <v>-0.24887200848398466</v>
      </c>
      <c r="V818" s="149">
        <f t="shared" ref="V818" si="4620">V817/V811</f>
        <v>-0.25997499701303078</v>
      </c>
      <c r="W818" s="149">
        <f t="shared" ref="W818" si="4621">W817/W811</f>
        <v>-0.2741698284387829</v>
      </c>
      <c r="X818" s="149">
        <f t="shared" ref="X818" si="4622">X817/X811</f>
        <v>-0.39070550346379046</v>
      </c>
      <c r="Y818" s="149">
        <f t="shared" ref="Y818" si="4623">Y817/Y811</f>
        <v>-0.39328159467082779</v>
      </c>
      <c r="Z818" s="149">
        <f t="shared" ref="Z818" si="4624">Z817/Z811</f>
        <v>-0.26250068967316303</v>
      </c>
      <c r="AA818" s="149">
        <f t="shared" ref="AA818" si="4625">AA817/AA811</f>
        <v>-0.25860142870138658</v>
      </c>
      <c r="AB818" s="149">
        <f t="shared" ref="AB818" si="4626">AB817/AB811</f>
        <v>-0.25814390963029765</v>
      </c>
      <c r="AC818" s="149">
        <f t="shared" ref="AC818" si="4627">AC817/AC811</f>
        <v>-0.26645310379768994</v>
      </c>
      <c r="AD818" s="150">
        <f t="shared" ref="AD818" si="4628">AD817/AD811</f>
        <v>-0.26114846434946959</v>
      </c>
      <c r="AE818" s="15"/>
      <c r="AF818" s="96">
        <f t="shared" ref="AF818" si="4629">AF817/AF811</f>
        <v>-0.22545881988319003</v>
      </c>
      <c r="AG818" s="97">
        <f t="shared" ref="AG818" si="4630">AG817/AG811</f>
        <v>-0.27080608518804083</v>
      </c>
    </row>
    <row r="819" spans="2:33" ht="3" customHeight="1" x14ac:dyDescent="0.2">
      <c r="B819" s="9">
        <f>G799</f>
        <v>17</v>
      </c>
      <c r="C819" s="9" t="str">
        <f t="shared" si="4500"/>
        <v xml:space="preserve">17 - </v>
      </c>
      <c r="D819" s="9" t="s">
        <v>56</v>
      </c>
      <c r="F819" s="16"/>
      <c r="G819" s="36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6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8"/>
      <c r="AE819" s="15"/>
      <c r="AF819" s="36"/>
      <c r="AG819" s="38"/>
    </row>
    <row r="820" spans="2:33" x14ac:dyDescent="0.2">
      <c r="B820" s="9">
        <f>G799</f>
        <v>17</v>
      </c>
      <c r="C820" s="9" t="str">
        <f t="shared" si="4500"/>
        <v>17 - Office Supplies</v>
      </c>
      <c r="D820" s="9" t="s">
        <v>56</v>
      </c>
      <c r="F820" t="s">
        <v>6</v>
      </c>
      <c r="G820" s="144">
        <v>-23.675893349479331</v>
      </c>
      <c r="H820" s="70">
        <v>-26.286094944376341</v>
      </c>
      <c r="I820" s="70">
        <v>-32.663374525299623</v>
      </c>
      <c r="J820" s="70">
        <v>-30.59578144347525</v>
      </c>
      <c r="K820" s="70">
        <v>-38.725879603445257</v>
      </c>
      <c r="L820" s="70">
        <v>-34.414971694337567</v>
      </c>
      <c r="M820" s="70">
        <v>-30.487559892548045</v>
      </c>
      <c r="N820" s="70">
        <v>-27.553644449850434</v>
      </c>
      <c r="O820" s="70">
        <v>-23.45559593759549</v>
      </c>
      <c r="P820" s="70">
        <v>-23.416737093638517</v>
      </c>
      <c r="Q820" s="70">
        <v>-21.197319507107821</v>
      </c>
      <c r="R820" s="70">
        <v>-16.037115659807792</v>
      </c>
      <c r="S820" s="144">
        <v>-21.353253709596121</v>
      </c>
      <c r="T820" s="70">
        <v>-22.831700722196913</v>
      </c>
      <c r="U820" s="70">
        <v>-22.223357966267425</v>
      </c>
      <c r="V820" s="70">
        <v>-23.140321516121908</v>
      </c>
      <c r="W820" s="70">
        <v>-31.983175041968249</v>
      </c>
      <c r="X820" s="70">
        <v>-25.918133860741392</v>
      </c>
      <c r="Y820" s="70">
        <v>-26.556482442398504</v>
      </c>
      <c r="Z820" s="70">
        <v>-22.073653627574089</v>
      </c>
      <c r="AA820" s="70">
        <v>-19.087561038869531</v>
      </c>
      <c r="AB820" s="70">
        <v>-25.194378942433207</v>
      </c>
      <c r="AC820" s="70">
        <v>-18.017093077424267</v>
      </c>
      <c r="AD820" s="145">
        <v>-16.419625523598</v>
      </c>
      <c r="AE820" s="15"/>
      <c r="AF820" s="92">
        <f>SUM(G820:R820)</f>
        <v>-328.50996810096143</v>
      </c>
      <c r="AG820" s="93">
        <f>SUM(S820:AD820)</f>
        <v>-274.79873746918963</v>
      </c>
    </row>
    <row r="821" spans="2:33" x14ac:dyDescent="0.2">
      <c r="B821" s="9">
        <f>G799</f>
        <v>17</v>
      </c>
      <c r="C821" s="9" t="str">
        <f t="shared" si="4500"/>
        <v>17 - % of Revenue - Office Supplies</v>
      </c>
      <c r="D821" s="9" t="s">
        <v>56</v>
      </c>
      <c r="F821" s="16" t="str">
        <f>"% of Revenue - "&amp;F820</f>
        <v>% of Revenue - Office Supplies</v>
      </c>
      <c r="G821" s="148">
        <f>G820/G811</f>
        <v>-5.6158300955447507E-2</v>
      </c>
      <c r="H821" s="149">
        <f t="shared" ref="H821" si="4631">H820/H811</f>
        <v>-6.0540586131501574E-2</v>
      </c>
      <c r="I821" s="149">
        <f t="shared" ref="I821" si="4632">I820/I811</f>
        <v>-6.4073443295118854E-2</v>
      </c>
      <c r="J821" s="149">
        <f t="shared" ref="J821" si="4633">J820/J811</f>
        <v>-6.2975809233157362E-2</v>
      </c>
      <c r="K821" s="149">
        <f t="shared" ref="K821" si="4634">K820/K811</f>
        <v>-8.380886086092898E-2</v>
      </c>
      <c r="L821" s="149">
        <f t="shared" ref="L821" si="4635">L820/L811</f>
        <v>-7.9810793575526867E-2</v>
      </c>
      <c r="M821" s="149">
        <f t="shared" ref="M821" si="4636">M820/M811</f>
        <v>-7.9668496139086276E-2</v>
      </c>
      <c r="N821" s="149">
        <f t="shared" ref="N821" si="4637">N820/N811</f>
        <v>-5.9710125091228909E-2</v>
      </c>
      <c r="O821" s="149">
        <f t="shared" ref="O821" si="4638">O820/O811</f>
        <v>-5.6454137968669389E-2</v>
      </c>
      <c r="P821" s="149">
        <f t="shared" ref="P821" si="4639">P820/P811</f>
        <v>-5.4049017848124672E-2</v>
      </c>
      <c r="Q821" s="149">
        <f t="shared" ref="Q821" si="4640">Q820/Q811</f>
        <v>-4.4287123992948992E-2</v>
      </c>
      <c r="R821" s="149">
        <f t="shared" ref="R821" si="4641">R820/R811</f>
        <v>-4.2708651130781573E-2</v>
      </c>
      <c r="S821" s="148">
        <f t="shared" ref="S821" si="4642">S820/S811</f>
        <v>-5.2259486599701095E-2</v>
      </c>
      <c r="T821" s="149">
        <f t="shared" ref="T821" si="4643">T820/T811</f>
        <v>-6.4162020803849626E-2</v>
      </c>
      <c r="U821" s="149">
        <f t="shared" ref="U821" si="4644">U820/U811</f>
        <v>-6.3628900428064197E-2</v>
      </c>
      <c r="V821" s="149">
        <f t="shared" ref="V821" si="4645">V820/V811</f>
        <v>-6.0906163244288831E-2</v>
      </c>
      <c r="W821" s="149">
        <f t="shared" ref="W821" si="4646">W820/W811</f>
        <v>-9.8109678618818169E-2</v>
      </c>
      <c r="X821" s="149">
        <f t="shared" ref="X821" si="4647">X820/X811</f>
        <v>-9.269061809890905E-2</v>
      </c>
      <c r="Y821" s="149">
        <f t="shared" ref="Y821" si="4648">Y820/Y811</f>
        <v>-9.3878266002389119E-2</v>
      </c>
      <c r="Z821" s="149">
        <f t="shared" ref="Z821" si="4649">Z820/Z811</f>
        <v>-6.2684376540124306E-2</v>
      </c>
      <c r="AA821" s="149">
        <f t="shared" ref="AA821" si="4650">AA820/AA811</f>
        <v>-6.4858803394325246E-2</v>
      </c>
      <c r="AB821" s="149">
        <f t="shared" ref="AB821" si="4651">AB820/AB811</f>
        <v>-7.1003083773529291E-2</v>
      </c>
      <c r="AC821" s="149">
        <f t="shared" ref="AC821" si="4652">AC820/AC811</f>
        <v>-6.5095431133416953E-2</v>
      </c>
      <c r="AD821" s="150">
        <f t="shared" ref="AD821" si="4653">AD820/AD811</f>
        <v>-7.1071537552224701E-2</v>
      </c>
      <c r="AE821" s="15"/>
      <c r="AF821" s="96">
        <f t="shared" ref="AF821" si="4654">AF820/AF811</f>
        <v>-6.2080484897119023E-2</v>
      </c>
      <c r="AG821" s="97">
        <f t="shared" ref="AG821" si="4655">AG820/AG811</f>
        <v>-7.0620235026915432E-2</v>
      </c>
    </row>
    <row r="822" spans="2:33" ht="6" customHeight="1" x14ac:dyDescent="0.2">
      <c r="B822" s="9">
        <f>G799</f>
        <v>17</v>
      </c>
      <c r="C822" s="9" t="str">
        <f t="shared" si="4500"/>
        <v xml:space="preserve">17 - </v>
      </c>
      <c r="D822" s="9" t="s">
        <v>56</v>
      </c>
      <c r="F822" s="16"/>
      <c r="G822" s="11"/>
      <c r="S822" s="11"/>
      <c r="AD822" s="15"/>
      <c r="AE822" s="15"/>
      <c r="AF822" s="11"/>
      <c r="AG822" s="15"/>
    </row>
    <row r="823" spans="2:33" x14ac:dyDescent="0.2">
      <c r="B823" s="9">
        <f>G799</f>
        <v>17</v>
      </c>
      <c r="C823" s="9" t="str">
        <f t="shared" si="4500"/>
        <v>17 - Office Gross Profit</v>
      </c>
      <c r="D823" s="9" t="s">
        <v>56</v>
      </c>
      <c r="F823" s="8" t="s">
        <v>11</v>
      </c>
      <c r="G823" s="134">
        <f>G811+G814+G817+G820</f>
        <v>174.99867201408981</v>
      </c>
      <c r="H823" s="135">
        <f t="shared" ref="H823:AD823" si="4656">H811+H814+H817+H820</f>
        <v>183.05916331471155</v>
      </c>
      <c r="I823" s="135">
        <f t="shared" si="4656"/>
        <v>207.62126099752103</v>
      </c>
      <c r="J823" s="135">
        <f t="shared" si="4656"/>
        <v>206.57768294239284</v>
      </c>
      <c r="K823" s="135">
        <f t="shared" si="4656"/>
        <v>100.67391598622439</v>
      </c>
      <c r="L823" s="135">
        <f t="shared" si="4656"/>
        <v>87.91389082778845</v>
      </c>
      <c r="M823" s="135">
        <f t="shared" si="4656"/>
        <v>77.541054640868893</v>
      </c>
      <c r="N823" s="135">
        <f t="shared" si="4656"/>
        <v>187.57935289625792</v>
      </c>
      <c r="O823" s="135">
        <f t="shared" si="4656"/>
        <v>163.27584040284086</v>
      </c>
      <c r="P823" s="135">
        <f t="shared" si="4656"/>
        <v>172.41401773221355</v>
      </c>
      <c r="Q823" s="135">
        <f t="shared" si="4656"/>
        <v>245.71612022501466</v>
      </c>
      <c r="R823" s="135">
        <f t="shared" si="4656"/>
        <v>190.9976095131986</v>
      </c>
      <c r="S823" s="134">
        <f t="shared" si="4656"/>
        <v>196.25437183035109</v>
      </c>
      <c r="T823" s="135">
        <f t="shared" si="4656"/>
        <v>112.72068393365343</v>
      </c>
      <c r="U823" s="135">
        <f t="shared" si="4656"/>
        <v>112.43059178023125</v>
      </c>
      <c r="V823" s="135">
        <f t="shared" si="4656"/>
        <v>115.97680049733054</v>
      </c>
      <c r="W823" s="135">
        <f t="shared" si="4656"/>
        <v>82.851012353249303</v>
      </c>
      <c r="X823" s="135">
        <f t="shared" si="4656"/>
        <v>42.045287960063689</v>
      </c>
      <c r="Y823" s="135">
        <f t="shared" si="4656"/>
        <v>41.742371135567822</v>
      </c>
      <c r="Z823" s="135">
        <f t="shared" si="4656"/>
        <v>110.80320748016655</v>
      </c>
      <c r="AA823" s="135">
        <f t="shared" si="4656"/>
        <v>95.423106353509979</v>
      </c>
      <c r="AB823" s="135">
        <f t="shared" si="4656"/>
        <v>110.53318330852484</v>
      </c>
      <c r="AC823" s="135">
        <f t="shared" si="4656"/>
        <v>82.933816544908282</v>
      </c>
      <c r="AD823" s="136">
        <f t="shared" si="4656"/>
        <v>67.679039508335762</v>
      </c>
      <c r="AE823" s="15"/>
      <c r="AF823" s="98">
        <f>SUM(G823:R823)</f>
        <v>1998.3685814931227</v>
      </c>
      <c r="AG823" s="95">
        <f>SUM(S823:AD823)</f>
        <v>1171.3934726858924</v>
      </c>
    </row>
    <row r="824" spans="2:33" x14ac:dyDescent="0.2">
      <c r="B824" s="9">
        <f>G799</f>
        <v>17</v>
      </c>
      <c r="C824" s="9" t="str">
        <f t="shared" si="4500"/>
        <v>17 - % of Revenue - Office Gross Profit</v>
      </c>
      <c r="D824" s="9" t="s">
        <v>56</v>
      </c>
      <c r="F824" s="16" t="str">
        <f>"% of Revenue - "&amp;F823</f>
        <v>% of Revenue - Office Gross Profit</v>
      </c>
      <c r="G824" s="148">
        <f>G823/G811</f>
        <v>0.41509006417225769</v>
      </c>
      <c r="H824" s="149">
        <f t="shared" ref="H824" si="4657">H823/H811</f>
        <v>0.421611086289784</v>
      </c>
      <c r="I824" s="149">
        <f t="shared" ref="I824" si="4658">I823/I811</f>
        <v>0.40727601745746767</v>
      </c>
      <c r="J824" s="149">
        <f t="shared" ref="J824" si="4659">J823/J811</f>
        <v>0.42520230368497863</v>
      </c>
      <c r="K824" s="149">
        <f t="shared" ref="K824" si="4660">K823/K811</f>
        <v>0.21787410134032695</v>
      </c>
      <c r="L824" s="149">
        <f t="shared" ref="L824" si="4661">L823/L811</f>
        <v>0.20387863327612377</v>
      </c>
      <c r="M824" s="149">
        <f t="shared" ref="M824" si="4662">M823/M811</f>
        <v>0.2026262263706681</v>
      </c>
      <c r="N824" s="149">
        <f t="shared" ref="N824" si="4663">N823/N811</f>
        <v>0.40649383591897692</v>
      </c>
      <c r="O824" s="149">
        <f t="shared" ref="O824" si="4664">O823/O811</f>
        <v>0.39298071324114686</v>
      </c>
      <c r="P824" s="149">
        <f t="shared" ref="P824" si="4665">P823/P811</f>
        <v>0.3979550303875119</v>
      </c>
      <c r="Q824" s="149">
        <f t="shared" ref="Q824" si="4666">Q823/Q811</f>
        <v>0.51336963995955465</v>
      </c>
      <c r="R824" s="149">
        <f t="shared" ref="R824" si="4667">R823/R811</f>
        <v>0.50864821608514932</v>
      </c>
      <c r="S824" s="148">
        <f t="shared" ref="S824" si="4668">S823/S811</f>
        <v>0.48030866182196341</v>
      </c>
      <c r="T824" s="149">
        <f t="shared" ref="T824" si="4669">T823/T811</f>
        <v>0.31676951951914489</v>
      </c>
      <c r="U824" s="149">
        <f t="shared" ref="U824" si="4670">U823/U811</f>
        <v>0.32190611969223504</v>
      </c>
      <c r="V824" s="149">
        <f t="shared" ref="V824" si="4671">V823/V811</f>
        <v>0.30525513393231973</v>
      </c>
      <c r="W824" s="149">
        <f t="shared" ref="W824" si="4672">W823/W811</f>
        <v>0.25414881995157895</v>
      </c>
      <c r="X824" s="149">
        <f t="shared" ref="X824" si="4673">X823/X811</f>
        <v>0.15036590790466123</v>
      </c>
      <c r="Y824" s="149">
        <f t="shared" ref="Y824" si="4674">Y823/Y811</f>
        <v>0.14756101187478501</v>
      </c>
      <c r="Z824" s="149">
        <f t="shared" ref="Z824" si="4675">Z823/Z811</f>
        <v>0.31465701585821282</v>
      </c>
      <c r="AA824" s="149">
        <f t="shared" ref="AA824" si="4676">AA823/AA811</f>
        <v>0.32424407087185614</v>
      </c>
      <c r="AB824" s="149">
        <f t="shared" ref="AB824" si="4677">AB823/AB811</f>
        <v>0.31150586772321132</v>
      </c>
      <c r="AC824" s="149">
        <f t="shared" ref="AC824" si="4678">AC823/AC811</f>
        <v>0.29963837786324521</v>
      </c>
      <c r="AD824" s="150">
        <f t="shared" ref="AD824" si="4679">AD823/AD811</f>
        <v>0.29294537753021582</v>
      </c>
      <c r="AE824" s="15"/>
      <c r="AF824" s="111">
        <f t="shared" ref="AF824" si="4680">AF823/AF811</f>
        <v>0.37764361081467557</v>
      </c>
      <c r="AG824" s="97">
        <f t="shared" ref="AG824" si="4681">AG823/AG811</f>
        <v>0.30103516163114608</v>
      </c>
    </row>
    <row r="825" spans="2:33" ht="6" customHeight="1" x14ac:dyDescent="0.2">
      <c r="B825" s="9">
        <f>G799</f>
        <v>17</v>
      </c>
      <c r="C825" s="9" t="str">
        <f t="shared" si="4500"/>
        <v xml:space="preserve">17 - </v>
      </c>
      <c r="D825" s="9" t="s">
        <v>56</v>
      </c>
      <c r="F825" s="16"/>
      <c r="G825" s="11"/>
      <c r="S825" s="11"/>
      <c r="AD825" s="15"/>
      <c r="AE825" s="15"/>
      <c r="AF825" s="11"/>
      <c r="AG825" s="15"/>
    </row>
    <row r="826" spans="2:33" x14ac:dyDescent="0.2">
      <c r="B826" s="9">
        <f>G799</f>
        <v>17</v>
      </c>
      <c r="C826" s="9" t="str">
        <f t="shared" si="4500"/>
        <v>17 - General and Administrative Expense</v>
      </c>
      <c r="D826" s="9" t="s">
        <v>56</v>
      </c>
      <c r="F826" t="s">
        <v>10</v>
      </c>
      <c r="G826" s="144">
        <v>-12.44427620397423</v>
      </c>
      <c r="H826" s="70">
        <v>-11.447392773601916</v>
      </c>
      <c r="I826" s="70">
        <v>-14.961193599273843</v>
      </c>
      <c r="J826" s="70">
        <v>-14.955044997597959</v>
      </c>
      <c r="K826" s="70">
        <v>-19.941579235506829</v>
      </c>
      <c r="L826" s="70">
        <v>-19.731610540952147</v>
      </c>
      <c r="M826" s="70">
        <v>-17.007918519319524</v>
      </c>
      <c r="N826" s="70">
        <v>-14.587649621739697</v>
      </c>
      <c r="O826" s="70">
        <v>-13.374188063340432</v>
      </c>
      <c r="P826" s="70">
        <v>-11.823111982221251</v>
      </c>
      <c r="Q826" s="70">
        <v>-12.134082033282549</v>
      </c>
      <c r="R826" s="70">
        <v>-9.6092151127986938</v>
      </c>
      <c r="S826" s="144">
        <v>-13.655091489396618</v>
      </c>
      <c r="T826" s="70">
        <v>-17.329037737390362</v>
      </c>
      <c r="U826" s="70">
        <v>-17.961698020836966</v>
      </c>
      <c r="V826" s="70">
        <v>-21.40867878598198</v>
      </c>
      <c r="W826" s="70">
        <v>-30.098264788347983</v>
      </c>
      <c r="X826" s="70">
        <v>-26.813760417536706</v>
      </c>
      <c r="Y826" s="70">
        <v>-29.812729791202159</v>
      </c>
      <c r="Z826" s="70">
        <v>-24.927392158789988</v>
      </c>
      <c r="AA826" s="70">
        <v>-19.24797663227368</v>
      </c>
      <c r="AB826" s="70">
        <v>-23.144145209714857</v>
      </c>
      <c r="AC826" s="70">
        <v>-16.547863870379665</v>
      </c>
      <c r="AD826" s="145">
        <v>-13.983800888703218</v>
      </c>
      <c r="AE826" s="15"/>
      <c r="AF826" s="144">
        <v>-172.01726268360906</v>
      </c>
      <c r="AG826" s="145">
        <v>-254.93043979055423</v>
      </c>
    </row>
    <row r="827" spans="2:33" x14ac:dyDescent="0.2">
      <c r="B827" s="9">
        <f>G799</f>
        <v>17</v>
      </c>
      <c r="C827" s="9" t="str">
        <f t="shared" si="4500"/>
        <v>17 - % of Revenue - General and Administrative Expense</v>
      </c>
      <c r="D827" s="9" t="s">
        <v>56</v>
      </c>
      <c r="F827" s="16" t="str">
        <f>"% of Revenue - "&amp;F826</f>
        <v>% of Revenue - General and Administrative Expense</v>
      </c>
      <c r="G827" s="148">
        <f>G826/G811</f>
        <v>-2.9517340609699422E-2</v>
      </c>
      <c r="H827" s="149">
        <f t="shared" ref="H827" si="4682">H826/H811</f>
        <v>-2.6364961005348686E-2</v>
      </c>
      <c r="I827" s="149">
        <f t="shared" ref="I827" si="4683">I826/I811</f>
        <v>-2.9348320669313154E-2</v>
      </c>
      <c r="J827" s="149">
        <f t="shared" ref="J827" si="4684">J826/J811</f>
        <v>-3.0782219522059621E-2</v>
      </c>
      <c r="K827" s="149">
        <f t="shared" ref="K827" si="4685">K826/K811</f>
        <v>-4.3156696674414498E-2</v>
      </c>
      <c r="L827" s="149">
        <f t="shared" ref="L827" si="4686">L826/L811</f>
        <v>-4.5759023421069071E-2</v>
      </c>
      <c r="M827" s="149">
        <f t="shared" ref="M827" si="4687">M826/M811</f>
        <v>-4.444420267367799E-2</v>
      </c>
      <c r="N827" s="149">
        <f t="shared" ref="N827" si="4688">N826/N811</f>
        <v>-3.1612166052531879E-2</v>
      </c>
      <c r="O827" s="149">
        <f t="shared" ref="O827" si="4689">O826/O811</f>
        <v>-3.2189685572497649E-2</v>
      </c>
      <c r="P827" s="149">
        <f t="shared" ref="P827" si="4690">P826/P811</f>
        <v>-2.7289352397480423E-2</v>
      </c>
      <c r="Q827" s="149">
        <f t="shared" ref="Q827" si="4691">Q826/Q811</f>
        <v>-2.5351488209082524E-2</v>
      </c>
      <c r="R827" s="149">
        <f t="shared" ref="R827" si="4692">R826/R811</f>
        <v>-2.5590425647530186E-2</v>
      </c>
      <c r="S827" s="148">
        <f t="shared" ref="S827" si="4693">S826/S811</f>
        <v>-3.3419172572614571E-2</v>
      </c>
      <c r="T827" s="149">
        <f t="shared" ref="T827" si="4694">T826/T811</f>
        <v>-4.8698346800603545E-2</v>
      </c>
      <c r="U827" s="149">
        <f t="shared" ref="U827" si="4695">U826/U811</f>
        <v>-5.1427110908331755E-2</v>
      </c>
      <c r="V827" s="149">
        <f t="shared" ref="V827" si="4696">V826/V811</f>
        <v>-5.6348416942915758E-2</v>
      </c>
      <c r="W827" s="149">
        <f t="shared" ref="W827" si="4697">W826/W811</f>
        <v>-9.232764043888958E-2</v>
      </c>
      <c r="X827" s="149">
        <f t="shared" ref="X827" si="4698">X826/X811</f>
        <v>-9.5893633392417563E-2</v>
      </c>
      <c r="Y827" s="149">
        <f t="shared" ref="Y827" si="4699">Y826/Y811</f>
        <v>-0.10538923532762309</v>
      </c>
      <c r="Z827" s="149">
        <f t="shared" ref="Z827" si="4700">Z826/Z811</f>
        <v>-7.0788373443216882E-2</v>
      </c>
      <c r="AA827" s="149">
        <f t="shared" ref="AA827" si="4701">AA826/AA811</f>
        <v>-6.5403889453921671E-2</v>
      </c>
      <c r="AB827" s="149">
        <f t="shared" ref="AB827" si="4702">AB826/AB811</f>
        <v>-6.5225091872552599E-2</v>
      </c>
      <c r="AC827" s="149">
        <f t="shared" ref="AC827" si="4703">AC826/AC811</f>
        <v>-5.9787132605159055E-2</v>
      </c>
      <c r="AD827" s="150">
        <f t="shared" ref="AD827" si="4704">AD826/AD811</f>
        <v>-6.052819100873888E-2</v>
      </c>
      <c r="AE827" s="15"/>
      <c r="AF827" s="96">
        <f t="shared" ref="AF827" si="4705">AF826/AF811</f>
        <v>-3.2507126465007544E-2</v>
      </c>
      <c r="AG827" s="97">
        <f t="shared" ref="AG827" si="4706">AG826/AG811</f>
        <v>-6.5514302355709958E-2</v>
      </c>
    </row>
    <row r="828" spans="2:33" ht="3" customHeight="1" x14ac:dyDescent="0.2">
      <c r="B828" s="9">
        <f>G799</f>
        <v>17</v>
      </c>
      <c r="C828" s="9" t="str">
        <f t="shared" si="4500"/>
        <v xml:space="preserve">17 - </v>
      </c>
      <c r="D828" s="9" t="s">
        <v>56</v>
      </c>
      <c r="F828" s="16"/>
      <c r="G828" s="36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6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8"/>
      <c r="AE828" s="15"/>
      <c r="AF828" s="36"/>
      <c r="AG828" s="38"/>
    </row>
    <row r="829" spans="2:33" x14ac:dyDescent="0.2">
      <c r="B829" s="9">
        <f>G799</f>
        <v>17</v>
      </c>
      <c r="C829" s="9" t="str">
        <f t="shared" si="4500"/>
        <v>17 - Marketing</v>
      </c>
      <c r="D829" s="9" t="s">
        <v>56</v>
      </c>
      <c r="F829" t="s">
        <v>7</v>
      </c>
      <c r="G829" s="144">
        <v>-15.361042604515456</v>
      </c>
      <c r="H829" s="70">
        <v>-15.341422650060968</v>
      </c>
      <c r="I829" s="70">
        <v>-17.21484660222983</v>
      </c>
      <c r="J829" s="70">
        <v>-16.21869399625373</v>
      </c>
      <c r="K829" s="70">
        <v>-19.592120609321029</v>
      </c>
      <c r="L829" s="70">
        <v>-20.231496975504665</v>
      </c>
      <c r="M829" s="70">
        <v>-20.359517735514714</v>
      </c>
      <c r="N829" s="70">
        <v>-17.659495555137589</v>
      </c>
      <c r="O829" s="70">
        <v>-15.73059936953274</v>
      </c>
      <c r="P829" s="70">
        <v>-18.492877087718327</v>
      </c>
      <c r="Q829" s="70">
        <v>-15.751774694112369</v>
      </c>
      <c r="R829" s="70">
        <v>-11.790575221869565</v>
      </c>
      <c r="S829" s="144">
        <v>-18.034054252584522</v>
      </c>
      <c r="T829" s="70">
        <v>-19.605695244393868</v>
      </c>
      <c r="U829" s="70">
        <v>-17.204238757306317</v>
      </c>
      <c r="V829" s="70">
        <v>-18.690378643497553</v>
      </c>
      <c r="W829" s="70">
        <v>-25.843566501057012</v>
      </c>
      <c r="X829" s="70">
        <v>-22.008595433221803</v>
      </c>
      <c r="Y829" s="70">
        <v>-22.976360267870934</v>
      </c>
      <c r="Z829" s="70">
        <v>-18.320215160404583</v>
      </c>
      <c r="AA829" s="70">
        <v>-13.350387564381364</v>
      </c>
      <c r="AB829" s="70">
        <v>-17.371480118197827</v>
      </c>
      <c r="AC829" s="70">
        <v>-11.96355098900251</v>
      </c>
      <c r="AD829" s="145">
        <v>-11.250866295377534</v>
      </c>
      <c r="AE829" s="15"/>
      <c r="AF829" s="144">
        <v>-203.744463101771</v>
      </c>
      <c r="AG829" s="145">
        <v>-216.61938922729581</v>
      </c>
    </row>
    <row r="830" spans="2:33" x14ac:dyDescent="0.2">
      <c r="B830" s="9">
        <f>G799</f>
        <v>17</v>
      </c>
      <c r="C830" s="9" t="str">
        <f t="shared" si="4500"/>
        <v>17 - % of Revenue - Marketing</v>
      </c>
      <c r="D830" s="9" t="s">
        <v>56</v>
      </c>
      <c r="F830" s="16" t="str">
        <f>"% of Revenue - "&amp;F829</f>
        <v>% of Revenue - Marketing</v>
      </c>
      <c r="G830" s="148">
        <f>G829/G811</f>
        <v>-3.6435797409638239E-2</v>
      </c>
      <c r="H830" s="149">
        <f t="shared" ref="H830" si="4707">H829/H811</f>
        <v>-3.5333461333498246E-2</v>
      </c>
      <c r="I830" s="149">
        <f t="shared" ref="I830" si="4708">I829/I811</f>
        <v>-3.3769153176374828E-2</v>
      </c>
      <c r="J830" s="149">
        <f t="shared" ref="J830" si="4709">J829/J811</f>
        <v>-3.3383209414213098E-2</v>
      </c>
      <c r="K830" s="149">
        <f t="shared" ref="K830" si="4710">K829/K811</f>
        <v>-4.2400413545959706E-2</v>
      </c>
      <c r="L830" s="149">
        <f t="shared" ref="L830" si="4711">L829/L811</f>
        <v>-4.6918296001433893E-2</v>
      </c>
      <c r="M830" s="149">
        <f t="shared" ref="M830" si="4712">M829/M811</f>
        <v>-5.3202426360857265E-2</v>
      </c>
      <c r="N830" s="149">
        <f t="shared" ref="N830" si="4713">N829/N811</f>
        <v>-3.8269009769812505E-2</v>
      </c>
      <c r="O830" s="149">
        <f t="shared" ref="O830" si="4714">O829/O811</f>
        <v>-3.7861217830498776E-2</v>
      </c>
      <c r="P830" s="149">
        <f t="shared" ref="P830" si="4715">P829/P811</f>
        <v>-4.2684078476877024E-2</v>
      </c>
      <c r="Q830" s="149">
        <f t="shared" ref="Q830" si="4716">Q829/Q811</f>
        <v>-3.2909859133520784E-2</v>
      </c>
      <c r="R830" s="149">
        <f t="shared" ref="R830" si="4717">R829/R811</f>
        <v>-3.1399634102788537E-2</v>
      </c>
      <c r="S830" s="148">
        <f t="shared" ref="S830" si="4718">S829/S811</f>
        <v>-4.413615036699009E-2</v>
      </c>
      <c r="T830" s="149">
        <f t="shared" ref="T830" si="4719">T829/T811</f>
        <v>-5.5096247163128255E-2</v>
      </c>
      <c r="U830" s="149">
        <f t="shared" ref="U830" si="4720">U829/U811</f>
        <v>-4.9258388245867195E-2</v>
      </c>
      <c r="V830" s="149">
        <f t="shared" ref="V830" si="4721">V829/V811</f>
        <v>-4.9193752643641293E-2</v>
      </c>
      <c r="W830" s="149">
        <f t="shared" ref="W830" si="4722">W829/W811</f>
        <v>-7.9276181944277768E-2</v>
      </c>
      <c r="X830" s="149">
        <f t="shared" ref="X830" si="4723">X829/X811</f>
        <v>-7.8708996764777175E-2</v>
      </c>
      <c r="Y830" s="149">
        <f t="shared" ref="Y830" si="4724">Y829/Y811</f>
        <v>-8.1222385746020503E-2</v>
      </c>
      <c r="Z830" s="149">
        <f t="shared" ref="Z830" si="4725">Z829/Z811</f>
        <v>-5.2025427452406015E-2</v>
      </c>
      <c r="AA830" s="149">
        <f t="shared" ref="AA830" si="4726">AA829/AA811</f>
        <v>-4.5364107049243957E-2</v>
      </c>
      <c r="AB830" s="149">
        <f t="shared" ref="AB830" si="4727">AB829/AB811</f>
        <v>-4.8956501802281671E-2</v>
      </c>
      <c r="AC830" s="149">
        <f t="shared" ref="AC830" si="4728">AC829/AC811</f>
        <v>-4.3224093152493655E-2</v>
      </c>
      <c r="AD830" s="150">
        <f t="shared" ref="AD830" si="4729">AD829/AD811</f>
        <v>-4.8698818694603532E-2</v>
      </c>
      <c r="AE830" s="15"/>
      <c r="AF830" s="96">
        <f t="shared" ref="AF830" si="4730">AF829/AF811</f>
        <v>-3.8502804458505263E-2</v>
      </c>
      <c r="AG830" s="97">
        <f t="shared" ref="AG830" si="4731">AG829/AG811</f>
        <v>-5.5668786252461147E-2</v>
      </c>
    </row>
    <row r="831" spans="2:33" ht="3" customHeight="1" x14ac:dyDescent="0.2">
      <c r="B831" s="9">
        <f>G799</f>
        <v>17</v>
      </c>
      <c r="C831" s="9" t="str">
        <f t="shared" si="4500"/>
        <v xml:space="preserve">17 - </v>
      </c>
      <c r="D831" s="9" t="s">
        <v>56</v>
      </c>
      <c r="F831" s="16"/>
      <c r="G831" s="36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6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8"/>
      <c r="AE831" s="15"/>
      <c r="AF831" s="36"/>
      <c r="AG831" s="38"/>
    </row>
    <row r="832" spans="2:33" x14ac:dyDescent="0.2">
      <c r="B832" s="9">
        <f>G799</f>
        <v>17</v>
      </c>
      <c r="C832" s="9" t="str">
        <f t="shared" si="4500"/>
        <v>17 - Office Rent</v>
      </c>
      <c r="D832" s="9" t="s">
        <v>56</v>
      </c>
      <c r="F832" t="s">
        <v>162</v>
      </c>
      <c r="G832" s="144">
        <v>-30.827431226247448</v>
      </c>
      <c r="H832" s="70">
        <v>-30.827431226247448</v>
      </c>
      <c r="I832" s="70">
        <v>-30.827431226247448</v>
      </c>
      <c r="J832" s="70">
        <v>-30.827431226247448</v>
      </c>
      <c r="K832" s="70">
        <v>-30.827431226247448</v>
      </c>
      <c r="L832" s="70">
        <v>-30.827431226247448</v>
      </c>
      <c r="M832" s="70">
        <v>-31.75225416303487</v>
      </c>
      <c r="N832" s="70">
        <v>-31.75225416303487</v>
      </c>
      <c r="O832" s="70">
        <v>-31.75225416303487</v>
      </c>
      <c r="P832" s="70">
        <v>-31.75225416303487</v>
      </c>
      <c r="Q832" s="70">
        <v>-31.75225416303487</v>
      </c>
      <c r="R832" s="70">
        <v>-31.75225416303487</v>
      </c>
      <c r="S832" s="144">
        <v>-31.751971629547036</v>
      </c>
      <c r="T832" s="70">
        <v>-31.751971629547036</v>
      </c>
      <c r="U832" s="70">
        <v>-31.751971629547036</v>
      </c>
      <c r="V832" s="70">
        <v>-31.751971629547036</v>
      </c>
      <c r="W832" s="70">
        <v>-31.751971629547036</v>
      </c>
      <c r="X832" s="70">
        <v>-31.751971629547036</v>
      </c>
      <c r="Y832" s="70">
        <v>-32.704530778433444</v>
      </c>
      <c r="Z832" s="70">
        <v>-32.704530778433444</v>
      </c>
      <c r="AA832" s="70">
        <v>-32.704530778433444</v>
      </c>
      <c r="AB832" s="70">
        <v>-32.704530778433444</v>
      </c>
      <c r="AC832" s="70">
        <v>-32.704530778433444</v>
      </c>
      <c r="AD832" s="145">
        <v>-32.704530778433444</v>
      </c>
      <c r="AE832" s="15"/>
      <c r="AF832" s="144">
        <v>-375.47811233569394</v>
      </c>
      <c r="AG832" s="145">
        <v>-386.73901444788282</v>
      </c>
    </row>
    <row r="833" spans="2:34" x14ac:dyDescent="0.2">
      <c r="B833" s="9">
        <f>G799</f>
        <v>17</v>
      </c>
      <c r="C833" s="9" t="str">
        <f t="shared" si="4500"/>
        <v>17 - % YoY Growth</v>
      </c>
      <c r="D833" s="9" t="s">
        <v>56</v>
      </c>
      <c r="F833" s="16" t="s">
        <v>8</v>
      </c>
      <c r="G833" s="82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148">
        <f>S832/G832-1</f>
        <v>2.9990834997383864E-2</v>
      </c>
      <c r="T833" s="149">
        <f t="shared" ref="T833" si="4732">T832/H832-1</f>
        <v>2.9990834997383864E-2</v>
      </c>
      <c r="U833" s="149">
        <f t="shared" ref="U833" si="4733">U832/I832-1</f>
        <v>2.9990834997383864E-2</v>
      </c>
      <c r="V833" s="149">
        <f t="shared" ref="V833" si="4734">V832/J832-1</f>
        <v>2.9990834997383864E-2</v>
      </c>
      <c r="W833" s="149">
        <f t="shared" ref="W833" si="4735">W832/K832-1</f>
        <v>2.9990834997383864E-2</v>
      </c>
      <c r="X833" s="149">
        <f t="shared" ref="X833" si="4736">X832/L832-1</f>
        <v>2.9990834997383864E-2</v>
      </c>
      <c r="Y833" s="149">
        <f t="shared" ref="Y833" si="4737">Y832/M832-1</f>
        <v>2.9990834997383864E-2</v>
      </c>
      <c r="Z833" s="149">
        <f t="shared" ref="Z833" si="4738">Z832/N832-1</f>
        <v>2.9990834997383864E-2</v>
      </c>
      <c r="AA833" s="149">
        <f t="shared" ref="AA833" si="4739">AA832/O832-1</f>
        <v>2.9990834997383864E-2</v>
      </c>
      <c r="AB833" s="149">
        <f t="shared" ref="AB833" si="4740">AB832/P832-1</f>
        <v>2.9990834997383864E-2</v>
      </c>
      <c r="AC833" s="149">
        <f t="shared" ref="AC833" si="4741">AC832/Q832-1</f>
        <v>2.9990834997383864E-2</v>
      </c>
      <c r="AD833" s="150">
        <f t="shared" ref="AD833" si="4742">AD832/R832-1</f>
        <v>2.9990834997383864E-2</v>
      </c>
      <c r="AE833" s="15"/>
      <c r="AF833" s="11"/>
      <c r="AG833" s="97">
        <f>AG832/AF832-1</f>
        <v>2.9990834997383642E-2</v>
      </c>
    </row>
    <row r="834" spans="2:34" ht="6" customHeight="1" x14ac:dyDescent="0.2">
      <c r="B834" s="9">
        <f>G799</f>
        <v>17</v>
      </c>
      <c r="C834" s="9" t="str">
        <f t="shared" si="4500"/>
        <v xml:space="preserve">17 - </v>
      </c>
      <c r="D834" s="9" t="s">
        <v>56</v>
      </c>
      <c r="F834" s="16"/>
      <c r="G834" s="11"/>
      <c r="S834" s="11"/>
      <c r="AD834" s="15"/>
      <c r="AE834" s="15"/>
      <c r="AF834" s="11"/>
      <c r="AG834" s="15"/>
    </row>
    <row r="835" spans="2:34" x14ac:dyDescent="0.2">
      <c r="B835" s="9">
        <f>G799</f>
        <v>17</v>
      </c>
      <c r="C835" s="9" t="str">
        <f t="shared" si="4500"/>
        <v>17 - Office EBITDA</v>
      </c>
      <c r="D835" s="9" t="s">
        <v>56</v>
      </c>
      <c r="F835" s="8" t="s">
        <v>12</v>
      </c>
      <c r="G835" s="134">
        <f>G823+G826+G829+G832</f>
        <v>116.36592197935266</v>
      </c>
      <c r="H835" s="135">
        <f t="shared" ref="H835:AD835" si="4743">H823+H826+H829+H832</f>
        <v>125.44291666480123</v>
      </c>
      <c r="I835" s="135">
        <f t="shared" si="4743"/>
        <v>144.61778956976988</v>
      </c>
      <c r="J835" s="135">
        <f t="shared" si="4743"/>
        <v>144.5765127222937</v>
      </c>
      <c r="K835" s="135">
        <f t="shared" si="4743"/>
        <v>30.312784915149088</v>
      </c>
      <c r="L835" s="135">
        <f t="shared" si="4743"/>
        <v>17.123352085084186</v>
      </c>
      <c r="M835" s="135">
        <f t="shared" si="4743"/>
        <v>8.4213642229997845</v>
      </c>
      <c r="N835" s="135">
        <f t="shared" si="4743"/>
        <v>123.57995355634574</v>
      </c>
      <c r="O835" s="135">
        <f t="shared" si="4743"/>
        <v>102.41879880693281</v>
      </c>
      <c r="P835" s="135">
        <f t="shared" si="4743"/>
        <v>110.3457744992391</v>
      </c>
      <c r="Q835" s="135">
        <f t="shared" si="4743"/>
        <v>186.07800933458489</v>
      </c>
      <c r="R835" s="135">
        <f t="shared" si="4743"/>
        <v>137.84556501549545</v>
      </c>
      <c r="S835" s="134">
        <f t="shared" si="4743"/>
        <v>132.81325445882291</v>
      </c>
      <c r="T835" s="135">
        <f t="shared" si="4743"/>
        <v>44.03397932232216</v>
      </c>
      <c r="U835" s="135">
        <f t="shared" si="4743"/>
        <v>45.512683372540941</v>
      </c>
      <c r="V835" s="135">
        <f t="shared" si="4743"/>
        <v>44.125771438303978</v>
      </c>
      <c r="W835" s="135">
        <f t="shared" si="4743"/>
        <v>-4.8427905657027281</v>
      </c>
      <c r="X835" s="135">
        <f t="shared" si="4743"/>
        <v>-38.529039520241852</v>
      </c>
      <c r="Y835" s="135">
        <f t="shared" si="4743"/>
        <v>-43.751249701938718</v>
      </c>
      <c r="Z835" s="135">
        <f t="shared" si="4743"/>
        <v>34.851069382538533</v>
      </c>
      <c r="AA835" s="135">
        <f t="shared" si="4743"/>
        <v>30.120211378421494</v>
      </c>
      <c r="AB835" s="135">
        <f t="shared" si="4743"/>
        <v>37.313027202178709</v>
      </c>
      <c r="AC835" s="135">
        <f t="shared" si="4743"/>
        <v>21.717870907092667</v>
      </c>
      <c r="AD835" s="136">
        <f t="shared" si="4743"/>
        <v>9.7398415458215695</v>
      </c>
      <c r="AE835" s="15"/>
      <c r="AF835" s="94">
        <f>SUM(G835:R835)</f>
        <v>1247.1287433720488</v>
      </c>
      <c r="AG835" s="95">
        <f>SUM(S835:AD835)</f>
        <v>313.10462922015961</v>
      </c>
    </row>
    <row r="836" spans="2:34" x14ac:dyDescent="0.2">
      <c r="B836" s="9">
        <f>G799</f>
        <v>17</v>
      </c>
      <c r="C836" s="9" t="str">
        <f t="shared" si="4500"/>
        <v>17 - % of Revenue - Office EBITDA</v>
      </c>
      <c r="D836" s="9" t="s">
        <v>56</v>
      </c>
      <c r="F836" s="16" t="str">
        <f>"% of Revenue - "&amp;F835</f>
        <v>% of Revenue - Office EBITDA</v>
      </c>
      <c r="G836" s="148">
        <f>G835/G811</f>
        <v>0.27601545466576127</v>
      </c>
      <c r="H836" s="149">
        <f t="shared" ref="H836" si="4744">H835/H811</f>
        <v>0.2889127394922128</v>
      </c>
      <c r="I836" s="149">
        <f t="shared" ref="I836" si="4745">I835/I811</f>
        <v>0.28368654109167191</v>
      </c>
      <c r="J836" s="149">
        <f t="shared" ref="J836" si="4746">J835/J811</f>
        <v>0.29758425688898293</v>
      </c>
      <c r="K836" s="149">
        <f t="shared" ref="K836" si="4747">K835/K811</f>
        <v>6.5601608001564463E-2</v>
      </c>
      <c r="L836" s="149">
        <f t="shared" ref="L836" si="4748">L835/L811</f>
        <v>3.9710284544809848E-2</v>
      </c>
      <c r="M836" s="149">
        <f t="shared" ref="M836" si="4749">M835/M811</f>
        <v>2.2006268309123927E-2</v>
      </c>
      <c r="N836" s="149">
        <f t="shared" ref="N836" si="4750">N835/N811</f>
        <v>0.26780393784379103</v>
      </c>
      <c r="O836" s="149">
        <f t="shared" ref="O836" si="4751">O835/O811</f>
        <v>0.24650684697225839</v>
      </c>
      <c r="P836" s="149">
        <f t="shared" ref="P836" si="4752">P835/P811</f>
        <v>0.25469307322900847</v>
      </c>
      <c r="Q836" s="149">
        <f t="shared" ref="Q836" si="4753">Q835/Q811</f>
        <v>0.38876896057534921</v>
      </c>
      <c r="R836" s="149">
        <f t="shared" ref="R836" si="4754">R835/R811</f>
        <v>0.36709831562334844</v>
      </c>
      <c r="S836" s="148">
        <f t="shared" ref="S836" si="4755">S835/S811</f>
        <v>0.32504425723815494</v>
      </c>
      <c r="T836" s="149">
        <f t="shared" ref="T836" si="4756">T835/T811</f>
        <v>0.1237450127667608</v>
      </c>
      <c r="U836" s="149">
        <f t="shared" ref="U836" si="4757">U835/U811</f>
        <v>0.13030982999603868</v>
      </c>
      <c r="V836" s="149">
        <f t="shared" ref="V836" si="4758">V835/V811</f>
        <v>0.11614062650897532</v>
      </c>
      <c r="W836" s="149">
        <f t="shared" ref="W836" si="4759">W835/W811</f>
        <v>-1.4855455263459048E-2</v>
      </c>
      <c r="X836" s="149">
        <f t="shared" ref="X836" si="4760">X835/X811</f>
        <v>-0.13779080342269498</v>
      </c>
      <c r="Y836" s="149">
        <f t="shared" ref="Y836" si="4761">Y835/Y811</f>
        <v>-0.15466248085996859</v>
      </c>
      <c r="Z836" s="149">
        <f t="shared" ref="Z836" si="4762">Z835/Z811</f>
        <v>9.896945892419233E-2</v>
      </c>
      <c r="AA836" s="149">
        <f t="shared" ref="AA836" si="4763">AA835/AA811</f>
        <v>0.10234732787548735</v>
      </c>
      <c r="AB836" s="149">
        <f t="shared" ref="AB836" si="4764">AB835/AB811</f>
        <v>0.10515599540412429</v>
      </c>
      <c r="AC836" s="149">
        <f t="shared" ref="AC836" si="4765">AC835/AC811</f>
        <v>7.8466274438495506E-2</v>
      </c>
      <c r="AD836" s="150">
        <f t="shared" ref="AD836" si="4766">AD835/AD811</f>
        <v>4.2158422747322802E-2</v>
      </c>
      <c r="AE836" s="15"/>
      <c r="AF836" s="96">
        <f t="shared" ref="AF836" si="4767">AF835/AF811</f>
        <v>0.23567734509011057</v>
      </c>
      <c r="AG836" s="97">
        <f t="shared" ref="AG836" si="4768">AG835/AG811</f>
        <v>8.0464425372485646E-2</v>
      </c>
    </row>
    <row r="837" spans="2:34" ht="6" customHeight="1" x14ac:dyDescent="0.2">
      <c r="B837" s="9">
        <f>G799</f>
        <v>17</v>
      </c>
      <c r="C837" s="9" t="str">
        <f t="shared" si="4500"/>
        <v xml:space="preserve">17 - </v>
      </c>
      <c r="D837" s="9" t="s">
        <v>56</v>
      </c>
      <c r="G837" s="11"/>
      <c r="S837" s="11"/>
      <c r="AD837" s="15"/>
      <c r="AE837" s="15"/>
      <c r="AF837" s="11"/>
      <c r="AG837" s="15"/>
    </row>
    <row r="838" spans="2:34" x14ac:dyDescent="0.2">
      <c r="B838" s="9">
        <f>G799</f>
        <v>17</v>
      </c>
      <c r="C838" s="9" t="str">
        <f t="shared" si="4500"/>
        <v>17 - Memo:</v>
      </c>
      <c r="D838" s="9" t="s">
        <v>56</v>
      </c>
      <c r="F838" s="6" t="s">
        <v>13</v>
      </c>
      <c r="G838" s="11"/>
      <c r="S838" s="11"/>
      <c r="AD838" s="15"/>
      <c r="AE838" s="15"/>
      <c r="AF838" s="11"/>
      <c r="AG838" s="15"/>
    </row>
    <row r="839" spans="2:34" s="24" customFormat="1" x14ac:dyDescent="0.2">
      <c r="B839" s="9">
        <f>G799</f>
        <v>17</v>
      </c>
      <c r="C839" s="9" t="str">
        <f t="shared" si="4500"/>
        <v>17 - Collections</v>
      </c>
      <c r="D839" s="9" t="s">
        <v>56</v>
      </c>
      <c r="E839" s="49"/>
      <c r="F839" s="24" t="s">
        <v>15</v>
      </c>
      <c r="G839" s="169">
        <f>G840*G809</f>
        <v>430.26496483258478</v>
      </c>
      <c r="H839" s="170">
        <f t="shared" ref="H839" si="4769">H840*H809</f>
        <v>439.40052852785129</v>
      </c>
      <c r="I839" s="170">
        <f t="shared" ref="I839" si="4770">I840*I809</f>
        <v>509.56915604618086</v>
      </c>
      <c r="J839" s="170">
        <f t="shared" ref="J839" si="4771">J840*J809</f>
        <v>489.87848705168733</v>
      </c>
      <c r="K839" s="170">
        <f t="shared" ref="K839" si="4772">K840*K809</f>
        <v>456.17457605322784</v>
      </c>
      <c r="L839" s="170">
        <f t="shared" ref="L839" si="4773">L840*L809</f>
        <v>433.01945964255611</v>
      </c>
      <c r="M839" s="170">
        <f t="shared" ref="M839" si="4774">M840*M809</f>
        <v>377.51926670491849</v>
      </c>
      <c r="N839" s="170">
        <f t="shared" ref="N839" si="4775">N840*N809</f>
        <v>464.80939477211712</v>
      </c>
      <c r="O839" s="170">
        <f t="shared" ref="O839" si="4776">O840*O809</f>
        <v>415.10326194101862</v>
      </c>
      <c r="P839" s="170">
        <f t="shared" ref="P839" si="4777">P840*P809</f>
        <v>433.52358174922858</v>
      </c>
      <c r="Q839" s="170">
        <f t="shared" ref="Q839" si="4778">Q840*Q809</f>
        <v>487.98035676277124</v>
      </c>
      <c r="R839" s="170">
        <f t="shared" ref="R839" si="4779">R840*R809</f>
        <v>371.94072200919851</v>
      </c>
      <c r="S839" s="169">
        <f t="shared" ref="S839" si="4780">S840*S809</f>
        <v>401.4357683902582</v>
      </c>
      <c r="T839" s="170">
        <f t="shared" ref="T839" si="4781">T840*T809</f>
        <v>354.92504521387428</v>
      </c>
      <c r="U839" s="170">
        <f t="shared" ref="U839" si="4782">U840*U809</f>
        <v>349.04834817743154</v>
      </c>
      <c r="V839" s="170">
        <f t="shared" ref="V839" si="4783">V840*V809</f>
        <v>380.33923207409538</v>
      </c>
      <c r="W839" s="170">
        <f t="shared" ref="W839" si="4784">W840*W809</f>
        <v>326.390442448432</v>
      </c>
      <c r="X839" s="170">
        <f t="shared" ref="X839" si="4785">X840*X809</f>
        <v>275.90460420497595</v>
      </c>
      <c r="Y839" s="170">
        <f t="shared" ref="Y839" si="4786">Y840*Y809</f>
        <v>279.55267062963776</v>
      </c>
      <c r="Z839" s="170">
        <f t="shared" ref="Z839" si="4787">Z840*Z809</f>
        <v>357.53202334056436</v>
      </c>
      <c r="AA839" s="170">
        <f t="shared" ref="AA839" si="4788">AA840*AA809</f>
        <v>292.8650859743625</v>
      </c>
      <c r="AB839" s="170">
        <f t="shared" ref="AB839" si="4789">AB840*AB809</f>
        <v>355.64252595983345</v>
      </c>
      <c r="AC839" s="170">
        <f t="shared" ref="AC839" si="4790">AC840*AC809</f>
        <v>282.38332158461219</v>
      </c>
      <c r="AD839" s="171">
        <f t="shared" ref="AD839" si="4791">AD840*AD809</f>
        <v>231.93742958819482</v>
      </c>
      <c r="AE839" s="26"/>
      <c r="AF839" s="68">
        <f>SUM(G839:R839)</f>
        <v>5309.1837560933418</v>
      </c>
      <c r="AG839" s="99">
        <f>SUM(S839:AD839)</f>
        <v>3887.9564975862727</v>
      </c>
    </row>
    <row r="840" spans="2:34" x14ac:dyDescent="0.2">
      <c r="B840" s="9">
        <f>G799</f>
        <v>17</v>
      </c>
      <c r="C840" s="9" t="str">
        <f t="shared" si="4500"/>
        <v>17 - Collections as a % of Production</v>
      </c>
      <c r="D840" s="9" t="s">
        <v>56</v>
      </c>
      <c r="F840" s="16" t="s">
        <v>17</v>
      </c>
      <c r="G840" s="140">
        <v>0.99596702806024895</v>
      </c>
      <c r="H840" s="141">
        <v>0.98760326269546461</v>
      </c>
      <c r="I840" s="141">
        <v>0.97548711516645759</v>
      </c>
      <c r="J840" s="141">
        <v>0.98401556196643347</v>
      </c>
      <c r="K840" s="141">
        <v>0.96343210807783963</v>
      </c>
      <c r="L840" s="141">
        <v>0.97999310047116139</v>
      </c>
      <c r="M840" s="141">
        <v>0.96272991192007773</v>
      </c>
      <c r="N840" s="141">
        <v>0.98298121951371498</v>
      </c>
      <c r="O840" s="141">
        <v>0.97500500891602582</v>
      </c>
      <c r="P840" s="141">
        <v>0.9765074132914503</v>
      </c>
      <c r="Q840" s="141">
        <v>0.99494772717826274</v>
      </c>
      <c r="R840" s="141">
        <v>0.96663989585577403</v>
      </c>
      <c r="S840" s="140">
        <v>0.96195641126933817</v>
      </c>
      <c r="T840" s="141">
        <v>0.97659538073932306</v>
      </c>
      <c r="U840" s="141">
        <v>0.97851744426930742</v>
      </c>
      <c r="V840" s="141">
        <v>0.98016959703183892</v>
      </c>
      <c r="W840" s="141">
        <v>0.98031570425301084</v>
      </c>
      <c r="X840" s="141">
        <v>0.96611593713790711</v>
      </c>
      <c r="Y840" s="141">
        <v>0.96760121236756691</v>
      </c>
      <c r="Z840" s="141">
        <v>0.99411879031367689</v>
      </c>
      <c r="AA840" s="141">
        <v>0.97437098284161183</v>
      </c>
      <c r="AB840" s="141">
        <v>0.98135352990516822</v>
      </c>
      <c r="AC840" s="141">
        <v>0.99894844855647669</v>
      </c>
      <c r="AD840" s="142">
        <v>0.98297291534488651</v>
      </c>
      <c r="AE840" s="15"/>
      <c r="AF840" s="96">
        <f t="shared" ref="AF840" si="4792">AF839/AF809</f>
        <v>0.97911949391210329</v>
      </c>
      <c r="AG840" s="97">
        <f t="shared" ref="AG840" si="4793">AG839/AG809</f>
        <v>0.9783045451060659</v>
      </c>
    </row>
    <row r="841" spans="2:34" ht="6" customHeight="1" x14ac:dyDescent="0.2">
      <c r="B841" s="9">
        <f>G799</f>
        <v>17</v>
      </c>
      <c r="C841" s="9" t="str">
        <f t="shared" si="4500"/>
        <v xml:space="preserve">17 - </v>
      </c>
      <c r="D841" s="9" t="s">
        <v>56</v>
      </c>
      <c r="F841" s="27"/>
      <c r="R841" s="15"/>
      <c r="AD841" s="15"/>
      <c r="AE841" s="15"/>
      <c r="AF841" s="11"/>
      <c r="AG841" s="15"/>
    </row>
    <row r="842" spans="2:34" s="24" customFormat="1" x14ac:dyDescent="0.2">
      <c r="B842" s="9">
        <f>G799</f>
        <v>17</v>
      </c>
      <c r="C842" s="9" t="str">
        <f t="shared" si="4500"/>
        <v>17 - Production per Vet Workday - YoY Change</v>
      </c>
      <c r="D842" s="9" t="s">
        <v>56</v>
      </c>
      <c r="E842" s="49"/>
      <c r="F842" s="24" t="s">
        <v>55</v>
      </c>
      <c r="G842" s="88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151">
        <f>S808/G808-1</f>
        <v>-7.6015907792882143E-2</v>
      </c>
      <c r="T842" s="152">
        <f t="shared" ref="T842" si="4794">T808/H808-1</f>
        <v>3.9631122589445233E-2</v>
      </c>
      <c r="U842" s="152">
        <f t="shared" ref="U842" si="4795">U808/I808-1</f>
        <v>-6.7405238745964491E-3</v>
      </c>
      <c r="V842" s="152">
        <f t="shared" ref="V842" si="4796">V808/J808-1</f>
        <v>-7.9836107459558825E-3</v>
      </c>
      <c r="W842" s="152">
        <f t="shared" ref="W842" si="4797">W808/K808-1</f>
        <v>1.0809616967758728E-2</v>
      </c>
      <c r="X842" s="152">
        <f t="shared" ref="X842" si="4798">X808/L808-1</f>
        <v>6.180583174088472E-2</v>
      </c>
      <c r="Y842" s="152">
        <f t="shared" ref="Y842" si="4799">Y808/M808-1</f>
        <v>5.7106371096010466E-2</v>
      </c>
      <c r="Z842" s="152">
        <f t="shared" ref="Z842" si="4800">Z808/N808-1</f>
        <v>5.8203343133800045E-2</v>
      </c>
      <c r="AA842" s="152">
        <f t="shared" ref="AA842" si="4801">AA808/O808-1</f>
        <v>-1.3865662037488846E-2</v>
      </c>
      <c r="AB842" s="152">
        <f t="shared" ref="AB842" si="4802">AB808/P808-1</f>
        <v>-2.2971990955296118E-3</v>
      </c>
      <c r="AC842" s="152">
        <f t="shared" ref="AC842" si="4803">AC808/Q808-1</f>
        <v>4.2637682726356374E-3</v>
      </c>
      <c r="AD842" s="153">
        <f t="shared" ref="AD842" si="4804">AD808/R808-1</f>
        <v>2.2042660556635507E-2</v>
      </c>
      <c r="AF842" s="43"/>
      <c r="AG842" s="104">
        <f>AG808/AF808-1</f>
        <v>1.4353268095957938E-2</v>
      </c>
    </row>
    <row r="843" spans="2:34" s="24" customFormat="1" ht="6" customHeight="1" x14ac:dyDescent="0.2">
      <c r="D843" s="9" t="s">
        <v>56</v>
      </c>
      <c r="E843" s="49"/>
      <c r="G843" s="28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29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29"/>
      <c r="AE843" s="25"/>
      <c r="AF843" s="28"/>
      <c r="AG843" s="29"/>
    </row>
    <row r="844" spans="2:34" s="24" customFormat="1" ht="6" customHeight="1" x14ac:dyDescent="0.2">
      <c r="D844" s="9" t="s">
        <v>56</v>
      </c>
      <c r="E844" s="49"/>
    </row>
    <row r="845" spans="2:34" x14ac:dyDescent="0.2">
      <c r="D845" s="9" t="s">
        <v>56</v>
      </c>
      <c r="F845" s="16"/>
    </row>
    <row r="846" spans="2:34" ht="15.75" thickBot="1" x14ac:dyDescent="0.4">
      <c r="B846" s="35" t="s">
        <v>52</v>
      </c>
      <c r="C846" s="35"/>
      <c r="D846" s="9" t="s">
        <v>56</v>
      </c>
      <c r="E846" s="48" t="s">
        <v>0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74">
        <f ca="1">AG$2</f>
        <v>45999</v>
      </c>
      <c r="AH846" s="1"/>
    </row>
    <row r="847" spans="2:34" x14ac:dyDescent="0.2">
      <c r="B847" s="9">
        <f>G848</f>
        <v>18</v>
      </c>
      <c r="C847" s="9"/>
      <c r="D847" s="9" t="s">
        <v>56</v>
      </c>
      <c r="F847" t="s">
        <v>159</v>
      </c>
      <c r="AG847" s="6" t="s">
        <v>16</v>
      </c>
    </row>
    <row r="848" spans="2:34" x14ac:dyDescent="0.2">
      <c r="B848" s="9">
        <f>G848</f>
        <v>18</v>
      </c>
      <c r="C848" s="9"/>
      <c r="D848" s="9" t="s">
        <v>56</v>
      </c>
      <c r="F848" s="40" t="s">
        <v>53</v>
      </c>
      <c r="G848" s="42">
        <v>18</v>
      </c>
    </row>
    <row r="849" spans="2:33" x14ac:dyDescent="0.2">
      <c r="B849" s="9">
        <f>G848</f>
        <v>18</v>
      </c>
      <c r="C849" s="9"/>
      <c r="D849" s="9" t="s">
        <v>56</v>
      </c>
      <c r="F849" s="39" t="s">
        <v>35</v>
      </c>
      <c r="G849" s="41"/>
      <c r="H849" s="11"/>
    </row>
    <row r="850" spans="2:33" x14ac:dyDescent="0.2">
      <c r="B850" s="9">
        <f>G848</f>
        <v>18</v>
      </c>
      <c r="C850" s="9"/>
      <c r="D850" s="9" t="s">
        <v>56</v>
      </c>
      <c r="G850" s="23"/>
    </row>
    <row r="851" spans="2:33" x14ac:dyDescent="0.2">
      <c r="B851" s="9">
        <f>G848</f>
        <v>18</v>
      </c>
      <c r="C851" s="9"/>
      <c r="D851" s="9" t="s">
        <v>56</v>
      </c>
      <c r="G851" s="20">
        <v>2023</v>
      </c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2"/>
      <c r="S851" s="20">
        <v>2024</v>
      </c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2"/>
      <c r="AF851" s="17" t="s">
        <v>14</v>
      </c>
      <c r="AG851" s="18"/>
    </row>
    <row r="852" spans="2:33" ht="15" customHeight="1" x14ac:dyDescent="0.35">
      <c r="B852" s="9">
        <f>G848</f>
        <v>18</v>
      </c>
      <c r="C852" s="9"/>
      <c r="D852" s="9" t="s">
        <v>56</v>
      </c>
      <c r="G852" s="165">
        <v>44957</v>
      </c>
      <c r="H852" s="166">
        <v>44985</v>
      </c>
      <c r="I852" s="166">
        <v>45016</v>
      </c>
      <c r="J852" s="166">
        <v>45046</v>
      </c>
      <c r="K852" s="166">
        <v>45077</v>
      </c>
      <c r="L852" s="166">
        <v>45107</v>
      </c>
      <c r="M852" s="166">
        <v>45138</v>
      </c>
      <c r="N852" s="166">
        <v>45169</v>
      </c>
      <c r="O852" s="166">
        <v>45199</v>
      </c>
      <c r="P852" s="166">
        <v>45230</v>
      </c>
      <c r="Q852" s="166">
        <v>45260</v>
      </c>
      <c r="R852" s="167">
        <v>45291</v>
      </c>
      <c r="S852" s="165">
        <v>45322</v>
      </c>
      <c r="T852" s="166">
        <v>45351</v>
      </c>
      <c r="U852" s="166">
        <v>45382</v>
      </c>
      <c r="V852" s="166">
        <v>45412</v>
      </c>
      <c r="W852" s="166">
        <v>45443</v>
      </c>
      <c r="X852" s="166">
        <v>45473</v>
      </c>
      <c r="Y852" s="166">
        <v>45504</v>
      </c>
      <c r="Z852" s="166">
        <v>45535</v>
      </c>
      <c r="AA852" s="166">
        <v>45565</v>
      </c>
      <c r="AB852" s="166">
        <v>45596</v>
      </c>
      <c r="AC852" s="166">
        <v>45626</v>
      </c>
      <c r="AD852" s="167">
        <v>45657</v>
      </c>
      <c r="AE852" s="168"/>
      <c r="AF852" s="13">
        <v>45291</v>
      </c>
      <c r="AG852" s="14">
        <v>45657</v>
      </c>
    </row>
    <row r="853" spans="2:33" ht="0.95" customHeight="1" x14ac:dyDescent="0.2">
      <c r="B853" s="9">
        <f>G848</f>
        <v>18</v>
      </c>
      <c r="C853" s="9"/>
      <c r="D853" s="9" t="s">
        <v>56</v>
      </c>
      <c r="G853" s="11"/>
      <c r="S853" s="11"/>
      <c r="AD853" s="15"/>
      <c r="AE853" s="15"/>
      <c r="AF853" s="11"/>
      <c r="AG853" s="15"/>
    </row>
    <row r="854" spans="2:33" x14ac:dyDescent="0.2">
      <c r="B854" s="9">
        <f>G848</f>
        <v>18</v>
      </c>
      <c r="C854" s="9" t="str">
        <f>B854&amp;" - "&amp;F854</f>
        <v>18 - Employed Vets</v>
      </c>
      <c r="D854" s="9" t="s">
        <v>56</v>
      </c>
      <c r="F854" s="7" t="s">
        <v>160</v>
      </c>
      <c r="G854" s="121">
        <v>3</v>
      </c>
      <c r="H854" s="154">
        <f>MAX(MIN(IF(H857/G857&gt;1.1,G854-1,IF(H857/G857&lt;0.9,G854+1,G854)),5),1)</f>
        <v>3</v>
      </c>
      <c r="I854" s="154">
        <f t="shared" ref="I854:AD854" si="4805">MAX(MIN(IF(I857/H857&gt;1.1,H854-1,IF(I857/H857&lt;0.9,H854+1,H854)),5),1)</f>
        <v>3</v>
      </c>
      <c r="J854" s="154">
        <f t="shared" si="4805"/>
        <v>3</v>
      </c>
      <c r="K854" s="154">
        <f t="shared" si="4805"/>
        <v>2</v>
      </c>
      <c r="L854" s="154">
        <f t="shared" si="4805"/>
        <v>2</v>
      </c>
      <c r="M854" s="154">
        <f t="shared" si="4805"/>
        <v>3</v>
      </c>
      <c r="N854" s="154">
        <f t="shared" si="4805"/>
        <v>4</v>
      </c>
      <c r="O854" s="154">
        <f t="shared" si="4805"/>
        <v>4</v>
      </c>
      <c r="P854" s="154">
        <f t="shared" si="4805"/>
        <v>4</v>
      </c>
      <c r="Q854" s="154">
        <f t="shared" si="4805"/>
        <v>4</v>
      </c>
      <c r="R854" s="154">
        <f t="shared" si="4805"/>
        <v>5</v>
      </c>
      <c r="S854" s="155">
        <f t="shared" si="4805"/>
        <v>4</v>
      </c>
      <c r="T854" s="154">
        <f t="shared" si="4805"/>
        <v>3</v>
      </c>
      <c r="U854" s="154">
        <f t="shared" si="4805"/>
        <v>3</v>
      </c>
      <c r="V854" s="154">
        <f t="shared" si="4805"/>
        <v>3</v>
      </c>
      <c r="W854" s="154">
        <f t="shared" si="4805"/>
        <v>3</v>
      </c>
      <c r="X854" s="154">
        <f t="shared" si="4805"/>
        <v>3</v>
      </c>
      <c r="Y854" s="154">
        <f t="shared" si="4805"/>
        <v>4</v>
      </c>
      <c r="Z854" s="154">
        <f t="shared" si="4805"/>
        <v>4</v>
      </c>
      <c r="AA854" s="154">
        <f t="shared" si="4805"/>
        <v>4</v>
      </c>
      <c r="AB854" s="154">
        <f t="shared" si="4805"/>
        <v>4</v>
      </c>
      <c r="AC854" s="154">
        <f t="shared" si="4805"/>
        <v>4</v>
      </c>
      <c r="AD854" s="156">
        <f t="shared" si="4805"/>
        <v>5</v>
      </c>
      <c r="AE854" s="15"/>
      <c r="AF854" s="90">
        <f>AVERAGE(G854:R854)</f>
        <v>3.3333333333333335</v>
      </c>
      <c r="AG854" s="91">
        <f>AVERAGE(S854:AD854)</f>
        <v>3.6666666666666665</v>
      </c>
    </row>
    <row r="855" spans="2:33" x14ac:dyDescent="0.2">
      <c r="B855" s="9">
        <f>G848</f>
        <v>18</v>
      </c>
      <c r="C855" s="9" t="str">
        <f t="shared" ref="C855:C891" si="4806">B855&amp;" - "&amp;F855</f>
        <v>18 - Workdays in Month / Year</v>
      </c>
      <c r="D855" s="9" t="s">
        <v>56</v>
      </c>
      <c r="F855" s="7" t="s">
        <v>54</v>
      </c>
      <c r="G855" s="121">
        <v>22</v>
      </c>
      <c r="H855" s="124">
        <v>21</v>
      </c>
      <c r="I855" s="124">
        <v>24</v>
      </c>
      <c r="J855" s="122">
        <v>21</v>
      </c>
      <c r="K855" s="122">
        <v>23</v>
      </c>
      <c r="L855" s="122">
        <v>23</v>
      </c>
      <c r="M855" s="122">
        <v>22</v>
      </c>
      <c r="N855" s="122">
        <v>24</v>
      </c>
      <c r="O855" s="122">
        <v>22</v>
      </c>
      <c r="P855" s="122">
        <v>22</v>
      </c>
      <c r="Q855" s="122">
        <v>23</v>
      </c>
      <c r="R855" s="122">
        <v>22</v>
      </c>
      <c r="S855" s="121">
        <v>23</v>
      </c>
      <c r="T855" s="122">
        <v>22</v>
      </c>
      <c r="U855" s="122">
        <v>22</v>
      </c>
      <c r="V855" s="122">
        <v>22</v>
      </c>
      <c r="W855" s="122">
        <v>24</v>
      </c>
      <c r="X855" s="122">
        <v>21</v>
      </c>
      <c r="Y855" s="122">
        <v>23</v>
      </c>
      <c r="Z855" s="122">
        <v>23</v>
      </c>
      <c r="AA855" s="122">
        <v>21</v>
      </c>
      <c r="AB855" s="122">
        <v>24</v>
      </c>
      <c r="AC855" s="122">
        <v>22</v>
      </c>
      <c r="AD855" s="123">
        <v>22</v>
      </c>
      <c r="AE855" s="15"/>
      <c r="AF855" s="144">
        <v>269</v>
      </c>
      <c r="AG855" s="145">
        <v>269</v>
      </c>
    </row>
    <row r="856" spans="2:33" x14ac:dyDescent="0.2">
      <c r="B856" s="9">
        <f>G848</f>
        <v>18</v>
      </c>
      <c r="C856" s="9" t="str">
        <f t="shared" si="4806"/>
        <v>18 - Total Vet Days</v>
      </c>
      <c r="D856" s="9" t="s">
        <v>56</v>
      </c>
      <c r="F856" s="8" t="s">
        <v>51</v>
      </c>
      <c r="G856" s="125">
        <f>G854*G855</f>
        <v>66</v>
      </c>
      <c r="H856" s="126">
        <f t="shared" ref="H856" si="4807">H854*H855</f>
        <v>63</v>
      </c>
      <c r="I856" s="126">
        <f t="shared" ref="I856" si="4808">I854*I855</f>
        <v>72</v>
      </c>
      <c r="J856" s="127">
        <f t="shared" ref="J856" si="4809">J854*J855</f>
        <v>63</v>
      </c>
      <c r="K856" s="127">
        <f t="shared" ref="K856" si="4810">K854*K855</f>
        <v>46</v>
      </c>
      <c r="L856" s="127">
        <f t="shared" ref="L856" si="4811">L854*L855</f>
        <v>46</v>
      </c>
      <c r="M856" s="127">
        <f t="shared" ref="M856" si="4812">M854*M855</f>
        <v>66</v>
      </c>
      <c r="N856" s="127">
        <f t="shared" ref="N856" si="4813">N854*N855</f>
        <v>96</v>
      </c>
      <c r="O856" s="127">
        <f t="shared" ref="O856" si="4814">O854*O855</f>
        <v>88</v>
      </c>
      <c r="P856" s="127">
        <f t="shared" ref="P856" si="4815">P854*P855</f>
        <v>88</v>
      </c>
      <c r="Q856" s="127">
        <f t="shared" ref="Q856" si="4816">Q854*Q855</f>
        <v>92</v>
      </c>
      <c r="R856" s="127">
        <f t="shared" ref="R856" si="4817">R854*R855</f>
        <v>110</v>
      </c>
      <c r="S856" s="125">
        <f t="shared" ref="S856" si="4818">S854*S855</f>
        <v>92</v>
      </c>
      <c r="T856" s="127">
        <f t="shared" ref="T856" si="4819">T854*T855</f>
        <v>66</v>
      </c>
      <c r="U856" s="127">
        <f t="shared" ref="U856" si="4820">U854*U855</f>
        <v>66</v>
      </c>
      <c r="V856" s="127">
        <f t="shared" ref="V856" si="4821">V854*V855</f>
        <v>66</v>
      </c>
      <c r="W856" s="127">
        <f t="shared" ref="W856" si="4822">W854*W855</f>
        <v>72</v>
      </c>
      <c r="X856" s="127">
        <f t="shared" ref="X856" si="4823">X854*X855</f>
        <v>63</v>
      </c>
      <c r="Y856" s="127">
        <f t="shared" ref="Y856" si="4824">Y854*Y855</f>
        <v>92</v>
      </c>
      <c r="Z856" s="127">
        <f t="shared" ref="Z856" si="4825">Z854*Z855</f>
        <v>92</v>
      </c>
      <c r="AA856" s="127">
        <f t="shared" ref="AA856" si="4826">AA854*AA855</f>
        <v>84</v>
      </c>
      <c r="AB856" s="127">
        <f t="shared" ref="AB856" si="4827">AB854*AB855</f>
        <v>96</v>
      </c>
      <c r="AC856" s="127">
        <f t="shared" ref="AC856" si="4828">AC854*AC855</f>
        <v>88</v>
      </c>
      <c r="AD856" s="128">
        <f t="shared" ref="AD856" si="4829">AD854*AD855</f>
        <v>110</v>
      </c>
      <c r="AF856" s="119">
        <f>SUM(G856:R856)</f>
        <v>896</v>
      </c>
      <c r="AG856" s="120">
        <f>SUM(S856:AD856)</f>
        <v>987</v>
      </c>
    </row>
    <row r="857" spans="2:33" x14ac:dyDescent="0.2">
      <c r="B857" s="9">
        <f>G848</f>
        <v>18</v>
      </c>
      <c r="C857" s="9" t="str">
        <f t="shared" si="4806"/>
        <v>18 - Production per Vet Workday</v>
      </c>
      <c r="D857" s="9" t="s">
        <v>56</v>
      </c>
      <c r="F857" s="7" t="s">
        <v>50</v>
      </c>
      <c r="G857" s="129">
        <v>4.7298914622978891</v>
      </c>
      <c r="H857" s="130">
        <v>5.1419806219887487</v>
      </c>
      <c r="I857" s="130">
        <v>5.638492964448643</v>
      </c>
      <c r="J857" s="130">
        <v>6.1340372331580149</v>
      </c>
      <c r="K857" s="130">
        <v>6.9714384645664706</v>
      </c>
      <c r="L857" s="130">
        <v>6.7408301582918666</v>
      </c>
      <c r="M857" s="130">
        <v>5.9870541118029337</v>
      </c>
      <c r="N857" s="130">
        <v>5.1196428836471215</v>
      </c>
      <c r="O857" s="130">
        <v>4.8865713599786469</v>
      </c>
      <c r="P857" s="130">
        <v>5.0071488039337035</v>
      </c>
      <c r="Q857" s="130">
        <v>4.645532015173865</v>
      </c>
      <c r="R857" s="130">
        <v>3.6234376934243864</v>
      </c>
      <c r="S857" s="129">
        <v>4.7688414780644299</v>
      </c>
      <c r="T857" s="130">
        <v>5.2652035124558845</v>
      </c>
      <c r="U857" s="130">
        <v>5.687510538155502</v>
      </c>
      <c r="V857" s="130">
        <v>6.1358681979693372</v>
      </c>
      <c r="W857" s="130">
        <v>6.3365456459337874</v>
      </c>
      <c r="X857" s="130">
        <v>6.279297591861206</v>
      </c>
      <c r="Y857" s="130">
        <v>5.2643667331085267</v>
      </c>
      <c r="Z857" s="130">
        <v>4.895328840973594</v>
      </c>
      <c r="AA857" s="130">
        <v>4.8503618160155808</v>
      </c>
      <c r="AB857" s="130">
        <v>5.026574095548356</v>
      </c>
      <c r="AC857" s="130">
        <v>4.5745423575598885</v>
      </c>
      <c r="AD857" s="131">
        <v>3.7360326505547481</v>
      </c>
      <c r="AE857" s="15"/>
      <c r="AF857" s="132">
        <v>5.3917149646050078</v>
      </c>
      <c r="AG857" s="133">
        <v>5.3418950472148783</v>
      </c>
    </row>
    <row r="858" spans="2:33" x14ac:dyDescent="0.2">
      <c r="B858" s="9">
        <f>G848</f>
        <v>18</v>
      </c>
      <c r="C858" s="9" t="str">
        <f t="shared" si="4806"/>
        <v>18 - Total Production</v>
      </c>
      <c r="D858" s="9" t="s">
        <v>56</v>
      </c>
      <c r="F858" s="8" t="s">
        <v>1</v>
      </c>
      <c r="G858" s="134">
        <f>G857*G856</f>
        <v>312.17283651166071</v>
      </c>
      <c r="H858" s="135">
        <f t="shared" ref="H858" si="4830">H857*H856</f>
        <v>323.94477918529117</v>
      </c>
      <c r="I858" s="135">
        <f t="shared" ref="I858" si="4831">I857*I856</f>
        <v>405.97149344030231</v>
      </c>
      <c r="J858" s="135">
        <f t="shared" ref="J858" si="4832">J857*J856</f>
        <v>386.44434568895491</v>
      </c>
      <c r="K858" s="135">
        <f t="shared" ref="K858" si="4833">K857*K856</f>
        <v>320.68616937005766</v>
      </c>
      <c r="L858" s="135">
        <f t="shared" ref="L858" si="4834">L857*L856</f>
        <v>310.07818728142587</v>
      </c>
      <c r="M858" s="135">
        <f t="shared" ref="M858" si="4835">M857*M856</f>
        <v>395.14557137899362</v>
      </c>
      <c r="N858" s="135">
        <f t="shared" ref="N858" si="4836">N857*N856</f>
        <v>491.48571683012369</v>
      </c>
      <c r="O858" s="135">
        <f t="shared" ref="O858" si="4837">O857*O856</f>
        <v>430.0182796781209</v>
      </c>
      <c r="P858" s="135">
        <f t="shared" ref="P858" si="4838">P857*P856</f>
        <v>440.62909474616589</v>
      </c>
      <c r="Q858" s="135">
        <f t="shared" ref="Q858" si="4839">Q857*Q856</f>
        <v>427.38894539599556</v>
      </c>
      <c r="R858" s="135">
        <f t="shared" ref="R858" si="4840">R857*R856</f>
        <v>398.5781462766825</v>
      </c>
      <c r="S858" s="134">
        <f t="shared" ref="S858" si="4841">S857*S856</f>
        <v>438.73341598192758</v>
      </c>
      <c r="T858" s="135">
        <f t="shared" ref="T858" si="4842">T857*T856</f>
        <v>347.50343182208837</v>
      </c>
      <c r="U858" s="135">
        <f t="shared" ref="U858" si="4843">U857*U856</f>
        <v>375.37569551826311</v>
      </c>
      <c r="V858" s="135">
        <f t="shared" ref="V858" si="4844">V857*V856</f>
        <v>404.96730106597624</v>
      </c>
      <c r="W858" s="135">
        <f t="shared" ref="W858" si="4845">W857*W856</f>
        <v>456.23128650723271</v>
      </c>
      <c r="X858" s="135">
        <f t="shared" ref="X858" si="4846">X857*X856</f>
        <v>395.59574828725596</v>
      </c>
      <c r="Y858" s="135">
        <f t="shared" ref="Y858" si="4847">Y857*Y856</f>
        <v>484.32173944598446</v>
      </c>
      <c r="Z858" s="135">
        <f t="shared" ref="Z858" si="4848">Z857*Z856</f>
        <v>450.37025336957066</v>
      </c>
      <c r="AA858" s="135">
        <f t="shared" ref="AA858" si="4849">AA857*AA856</f>
        <v>407.43039254530879</v>
      </c>
      <c r="AB858" s="135">
        <f t="shared" ref="AB858" si="4850">AB857*AB856</f>
        <v>482.5511131726422</v>
      </c>
      <c r="AC858" s="135">
        <f t="shared" ref="AC858" si="4851">AC857*AC856</f>
        <v>402.55972746527016</v>
      </c>
      <c r="AD858" s="136">
        <f t="shared" ref="AD858" si="4852">AD857*AD856</f>
        <v>410.96359156102227</v>
      </c>
      <c r="AE858" s="15"/>
      <c r="AF858" s="94">
        <f>SUM(G858:R858)</f>
        <v>4642.5435657837752</v>
      </c>
      <c r="AG858" s="95">
        <f>SUM(S858:AD858)</f>
        <v>5056.6036967425425</v>
      </c>
    </row>
    <row r="859" spans="2:33" x14ac:dyDescent="0.2">
      <c r="B859" s="9">
        <f>G848</f>
        <v>18</v>
      </c>
      <c r="C859" s="9" t="str">
        <f t="shared" si="4806"/>
        <v>18 - Revenue as a % of Production</v>
      </c>
      <c r="D859" s="9" t="s">
        <v>56</v>
      </c>
      <c r="F859" s="7" t="s">
        <v>2</v>
      </c>
      <c r="G859" s="137">
        <v>0.97447719467086014</v>
      </c>
      <c r="H859" s="138">
        <v>0.97447719467086014</v>
      </c>
      <c r="I859" s="138">
        <v>0.97447719467086014</v>
      </c>
      <c r="J859" s="138">
        <v>0.97447719467086014</v>
      </c>
      <c r="K859" s="138">
        <v>0.97447719467086014</v>
      </c>
      <c r="L859" s="138">
        <v>0.97447719467086014</v>
      </c>
      <c r="M859" s="138">
        <v>0.97447719467086014</v>
      </c>
      <c r="N859" s="138">
        <v>0.97447719467086014</v>
      </c>
      <c r="O859" s="138">
        <v>0.97447719467086014</v>
      </c>
      <c r="P859" s="138">
        <v>0.97447719467086014</v>
      </c>
      <c r="Q859" s="138">
        <v>0.97447719467086014</v>
      </c>
      <c r="R859" s="138">
        <v>0.97447719467086014</v>
      </c>
      <c r="S859" s="137">
        <v>0.96944246721577387</v>
      </c>
      <c r="T859" s="138">
        <v>0.96944246721577387</v>
      </c>
      <c r="U859" s="138">
        <v>0.96944246721577387</v>
      </c>
      <c r="V859" s="138">
        <v>0.96944246721577387</v>
      </c>
      <c r="W859" s="138">
        <v>0.96944246721577387</v>
      </c>
      <c r="X859" s="138">
        <v>0.96944246721577387</v>
      </c>
      <c r="Y859" s="138">
        <v>0.96944246721577387</v>
      </c>
      <c r="Z859" s="138">
        <v>0.96944246721577387</v>
      </c>
      <c r="AA859" s="138">
        <v>0.96944246721577387</v>
      </c>
      <c r="AB859" s="138">
        <v>0.96944246721577387</v>
      </c>
      <c r="AC859" s="138">
        <v>0.96944246721577387</v>
      </c>
      <c r="AD859" s="139">
        <v>0.96944246721577387</v>
      </c>
      <c r="AE859" s="15"/>
      <c r="AF859" s="161">
        <v>0.97447719467086014</v>
      </c>
      <c r="AG859" s="162">
        <v>0.96944246721577365</v>
      </c>
    </row>
    <row r="860" spans="2:33" x14ac:dyDescent="0.2">
      <c r="B860" s="9">
        <f>G848</f>
        <v>18</v>
      </c>
      <c r="C860" s="9" t="str">
        <f t="shared" si="4806"/>
        <v>18 - Total Revenue</v>
      </c>
      <c r="D860" s="9" t="s">
        <v>56</v>
      </c>
      <c r="F860" s="8" t="s">
        <v>3</v>
      </c>
      <c r="G860" s="134">
        <f>G859*G858</f>
        <v>304.20530997632818</v>
      </c>
      <c r="H860" s="135">
        <f t="shared" ref="H860" si="4853">H859*H858</f>
        <v>315.67679964875379</v>
      </c>
      <c r="I860" s="135">
        <f t="shared" ref="I860" si="4854">I859*I858</f>
        <v>395.60996204404529</v>
      </c>
      <c r="J860" s="135">
        <f t="shared" ref="J860" si="4855">J859*J858</f>
        <v>376.58120188338887</v>
      </c>
      <c r="K860" s="135">
        <f t="shared" ref="K860" si="4856">K859*K858</f>
        <v>312.50135869747811</v>
      </c>
      <c r="L860" s="135">
        <f t="shared" ref="L860" si="4857">L859*L858</f>
        <v>302.16412207062945</v>
      </c>
      <c r="M860" s="135">
        <f t="shared" ref="M860" si="4858">M859*M858</f>
        <v>385.06034788401581</v>
      </c>
      <c r="N860" s="135">
        <f t="shared" ref="N860" si="4859">N859*N858</f>
        <v>478.94162255741571</v>
      </c>
      <c r="O860" s="135">
        <f t="shared" ref="O860" si="4860">O859*O858</f>
        <v>419.04300683792462</v>
      </c>
      <c r="P860" s="135">
        <f t="shared" ref="P860" si="4861">P859*P858</f>
        <v>429.38300413860435</v>
      </c>
      <c r="Q860" s="135">
        <f t="shared" ref="Q860" si="4862">Q859*Q858</f>
        <v>416.48078054282718</v>
      </c>
      <c r="R860" s="135">
        <f t="shared" ref="R860" si="4863">R859*R858</f>
        <v>388.40531384081328</v>
      </c>
      <c r="S860" s="134">
        <f t="shared" ref="S860" si="4864">S859*S858</f>
        <v>425.32680523952433</v>
      </c>
      <c r="T860" s="135">
        <f t="shared" ref="T860" si="4865">T859*T858</f>
        <v>336.88458431155379</v>
      </c>
      <c r="U860" s="135">
        <f t="shared" ref="U860" si="4866">U859*U858</f>
        <v>363.90514039606211</v>
      </c>
      <c r="V860" s="135">
        <f t="shared" ref="V860" si="4867">V859*V858</f>
        <v>392.59249948711312</v>
      </c>
      <c r="W860" s="135">
        <f t="shared" ref="W860" si="4868">W859*W858</f>
        <v>442.28998401259827</v>
      </c>
      <c r="X860" s="135">
        <f t="shared" ref="X860" si="4869">X859*X858</f>
        <v>383.50731823966765</v>
      </c>
      <c r="Y860" s="135">
        <f t="shared" ref="Y860" si="4870">Y859*Y858</f>
        <v>469.52206201475036</v>
      </c>
      <c r="Z860" s="135">
        <f t="shared" ref="Z860" si="4871">Z859*Z858</f>
        <v>436.60804958718978</v>
      </c>
      <c r="AA860" s="135">
        <f t="shared" ref="AA860" si="4872">AA859*AA858</f>
        <v>394.98032496781542</v>
      </c>
      <c r="AB860" s="135">
        <f t="shared" ref="AB860" si="4873">AB859*AB858</f>
        <v>467.80554171180438</v>
      </c>
      <c r="AC860" s="135">
        <f t="shared" ref="AC860" si="4874">AC859*AC858</f>
        <v>390.25849539564103</v>
      </c>
      <c r="AD860" s="136">
        <f t="shared" ref="AD860" si="4875">AD859*AD858</f>
        <v>398.40555813877302</v>
      </c>
      <c r="AE860" s="15"/>
      <c r="AF860" s="94">
        <f>SUM(G860:R860)</f>
        <v>4524.0528301222248</v>
      </c>
      <c r="AG860" s="95">
        <f>SUM(S860:AD860)</f>
        <v>4902.0863635024925</v>
      </c>
    </row>
    <row r="861" spans="2:33" x14ac:dyDescent="0.2">
      <c r="B861" s="9">
        <f>G848</f>
        <v>18</v>
      </c>
      <c r="C861" s="9" t="str">
        <f t="shared" si="4806"/>
        <v>18 - % YoY Revenue Growth</v>
      </c>
      <c r="D861" s="9" t="s">
        <v>56</v>
      </c>
      <c r="F861" s="16" t="s">
        <v>174</v>
      </c>
      <c r="G861" s="82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148">
        <f>S860/G860-1</f>
        <v>0.39815707119846544</v>
      </c>
      <c r="T861" s="149">
        <f t="shared" ref="T861" si="4876">T860/H860-1</f>
        <v>6.7181955361931722E-2</v>
      </c>
      <c r="U861" s="149">
        <f t="shared" ref="U861" si="4877">U860/I860-1</f>
        <v>-8.0141615959745005E-2</v>
      </c>
      <c r="V861" s="149">
        <f t="shared" ref="V861" si="4878">V860/J860-1</f>
        <v>4.2517516869262861E-2</v>
      </c>
      <c r="W861" s="149">
        <f t="shared" ref="W861" si="4879">W860/K860-1</f>
        <v>0.4153217952590218</v>
      </c>
      <c r="X861" s="149">
        <f t="shared" ref="X861" si="4880">X860/L860-1</f>
        <v>0.26920203368825035</v>
      </c>
      <c r="Y861" s="149">
        <f t="shared" ref="Y861" si="4881">Y860/M860-1</f>
        <v>0.21934669356340808</v>
      </c>
      <c r="Z861" s="149">
        <f t="shared" ref="Z861" si="4882">Z860/N860-1</f>
        <v>-8.8389839129404457E-2</v>
      </c>
      <c r="AA861" s="149">
        <f t="shared" ref="AA861" si="4883">AA860/O860-1</f>
        <v>-5.7422941028618668E-2</v>
      </c>
      <c r="AB861" s="149">
        <f t="shared" ref="AB861" si="4884">AB860/P860-1</f>
        <v>8.9483135575616046E-2</v>
      </c>
      <c r="AC861" s="149">
        <f t="shared" ref="AC861" si="4885">AC860/Q860-1</f>
        <v>-6.2961573191946285E-2</v>
      </c>
      <c r="AD861" s="150">
        <f t="shared" ref="AD861" si="4886">AD860/R860-1</f>
        <v>2.5746929667543883E-2</v>
      </c>
      <c r="AE861" s="15"/>
      <c r="AF861" s="11"/>
      <c r="AG861" s="97">
        <f>AG860/AF860-1</f>
        <v>8.3560813185741267E-2</v>
      </c>
    </row>
    <row r="862" spans="2:33" ht="6" customHeight="1" x14ac:dyDescent="0.2">
      <c r="B862" s="9">
        <f>G848</f>
        <v>18</v>
      </c>
      <c r="C862" s="9" t="str">
        <f t="shared" si="4806"/>
        <v xml:space="preserve">18 - </v>
      </c>
      <c r="D862" s="9" t="s">
        <v>56</v>
      </c>
      <c r="G862" s="11"/>
      <c r="S862" s="11"/>
      <c r="AD862" s="15"/>
      <c r="AE862" s="15"/>
      <c r="AF862" s="11"/>
      <c r="AG862" s="15"/>
    </row>
    <row r="863" spans="2:33" x14ac:dyDescent="0.2">
      <c r="B863" s="9">
        <f>G848</f>
        <v>18</v>
      </c>
      <c r="C863" s="9" t="str">
        <f t="shared" si="4806"/>
        <v>18 - Doctor Compensation</v>
      </c>
      <c r="D863" s="9" t="s">
        <v>56</v>
      </c>
      <c r="F863" t="s">
        <v>4</v>
      </c>
      <c r="G863" s="144">
        <v>-84.530092925908193</v>
      </c>
      <c r="H863" s="70">
        <v>-89.214325220528934</v>
      </c>
      <c r="I863" s="70">
        <v>-111.98188989709318</v>
      </c>
      <c r="J863" s="70">
        <v>-107.72811010514147</v>
      </c>
      <c r="K863" s="70">
        <v>-135.62586475370293</v>
      </c>
      <c r="L863" s="70">
        <v>-132.7776503669873</v>
      </c>
      <c r="M863" s="70">
        <v>-115.42344014249184</v>
      </c>
      <c r="N863" s="70">
        <v>-108.56716715332993</v>
      </c>
      <c r="O863" s="70">
        <v>-96.371057233809807</v>
      </c>
      <c r="P863" s="70">
        <v>-98.42888293208658</v>
      </c>
      <c r="Q863" s="70">
        <v>-94.913416708989814</v>
      </c>
      <c r="R863" s="70">
        <v>-71.344280601954054</v>
      </c>
      <c r="S863" s="144">
        <v>-115.76172025221966</v>
      </c>
      <c r="T863" s="70">
        <v>-123.21998408244382</v>
      </c>
      <c r="U863" s="70">
        <v>-130.58815495607072</v>
      </c>
      <c r="V863" s="70">
        <v>-96.336633586676655</v>
      </c>
      <c r="W863" s="70">
        <v>-79.430140431821926</v>
      </c>
      <c r="X863" s="70">
        <v>-68.67005788195425</v>
      </c>
      <c r="Y863" s="70">
        <v>-85.36762894317819</v>
      </c>
      <c r="Z863" s="70">
        <v>-79.874543038279867</v>
      </c>
      <c r="AA863" s="70">
        <v>-110.82549246423621</v>
      </c>
      <c r="AB863" s="70">
        <v>-129.37194608339124</v>
      </c>
      <c r="AC863" s="70">
        <v>-107.762809589048</v>
      </c>
      <c r="AD863" s="145">
        <v>-86.769988329828408</v>
      </c>
      <c r="AE863" s="15"/>
      <c r="AF863" s="92">
        <f>SUM(G863:R863)</f>
        <v>-1246.9061780420241</v>
      </c>
      <c r="AG863" s="93">
        <f>SUM(S863:AD863)</f>
        <v>-1213.9790996391489</v>
      </c>
    </row>
    <row r="864" spans="2:33" x14ac:dyDescent="0.2">
      <c r="B864" s="9">
        <f>G848</f>
        <v>18</v>
      </c>
      <c r="C864" s="9" t="str">
        <f t="shared" si="4806"/>
        <v>18 - % of Revenue - Doctor Compensation</v>
      </c>
      <c r="D864" s="9" t="s">
        <v>56</v>
      </c>
      <c r="F864" s="16" t="str">
        <f>"% of Revenue - "&amp;F863</f>
        <v>% of Revenue - Doctor Compensation</v>
      </c>
      <c r="G864" s="148">
        <f>G863/G860</f>
        <v>-0.27787185217932564</v>
      </c>
      <c r="H864" s="149">
        <f t="shared" ref="H864" si="4887">H863/H860</f>
        <v>-0.28261286645010225</v>
      </c>
      <c r="I864" s="149">
        <f t="shared" ref="I864" si="4888">I863/I860</f>
        <v>-0.28306134991773957</v>
      </c>
      <c r="J864" s="149">
        <f t="shared" ref="J864" si="4889">J863/J860</f>
        <v>-0.28606874046384362</v>
      </c>
      <c r="K864" s="149">
        <f t="shared" ref="K864" si="4890">K863/K860</f>
        <v>-0.4340008802489646</v>
      </c>
      <c r="L864" s="149">
        <f t="shared" ref="L864" si="4891">L863/L860</f>
        <v>-0.4394222896388445</v>
      </c>
      <c r="M864" s="149">
        <f t="shared" ref="M864" si="4892">M863/M860</f>
        <v>-0.29975415743731315</v>
      </c>
      <c r="N864" s="149">
        <f t="shared" ref="N864" si="4893">N863/N860</f>
        <v>-0.22668142011465053</v>
      </c>
      <c r="O864" s="149">
        <f t="shared" ref="O864" si="4894">O863/O860</f>
        <v>-0.22997891782282798</v>
      </c>
      <c r="P864" s="149">
        <f t="shared" ref="P864" si="4895">P863/P860</f>
        <v>-0.22923329983576585</v>
      </c>
      <c r="Q864" s="149">
        <f t="shared" ref="Q864" si="4896">Q863/Q860</f>
        <v>-0.22789386964095396</v>
      </c>
      <c r="R864" s="149">
        <f t="shared" ref="R864" si="4897">R863/R860</f>
        <v>-0.1836851300937512</v>
      </c>
      <c r="S864" s="148">
        <f t="shared" ref="S864" si="4898">S863/S860</f>
        <v>-0.27217123121837578</v>
      </c>
      <c r="T864" s="149">
        <f t="shared" ref="T864" si="4899">T863/T860</f>
        <v>-0.36576320146631852</v>
      </c>
      <c r="U864" s="149">
        <f t="shared" ref="U864" si="4900">U863/U860</f>
        <v>-0.35885218552819281</v>
      </c>
      <c r="V864" s="149">
        <f t="shared" ref="V864" si="4901">V863/V860</f>
        <v>-0.24538582299084119</v>
      </c>
      <c r="W864" s="149">
        <f t="shared" ref="W864" si="4902">W863/W860</f>
        <v>-0.17958837708963227</v>
      </c>
      <c r="X864" s="149">
        <f t="shared" ref="X864" si="4903">X863/X860</f>
        <v>-0.17905801171449834</v>
      </c>
      <c r="Y864" s="149">
        <f t="shared" ref="Y864" si="4904">Y863/Y860</f>
        <v>-0.18181814199924926</v>
      </c>
      <c r="Z864" s="149">
        <f t="shared" ref="Z864" si="4905">Z863/Z860</f>
        <v>-0.18294335872598033</v>
      </c>
      <c r="AA864" s="149">
        <f t="shared" ref="AA864" si="4906">AA863/AA860</f>
        <v>-0.28058484298747466</v>
      </c>
      <c r="AB864" s="149">
        <f t="shared" ref="AB864" si="4907">AB863/AB860</f>
        <v>-0.27655069157579998</v>
      </c>
      <c r="AC864" s="149">
        <f t="shared" ref="AC864" si="4908">AC863/AC860</f>
        <v>-0.27613187377202103</v>
      </c>
      <c r="AD864" s="150">
        <f t="shared" ref="AD864" si="4909">AD863/AD860</f>
        <v>-0.21779311698157736</v>
      </c>
      <c r="AE864" s="15"/>
      <c r="AF864" s="96">
        <f t="shared" ref="AF864" si="4910">AF863/AF860</f>
        <v>-0.27561706833744842</v>
      </c>
      <c r="AG864" s="97">
        <f t="shared" ref="AG864" si="4911">AG863/AG860</f>
        <v>-0.24764539210846803</v>
      </c>
    </row>
    <row r="865" spans="2:33" ht="3" customHeight="1" x14ac:dyDescent="0.2">
      <c r="B865" s="9">
        <f>G848</f>
        <v>18</v>
      </c>
      <c r="C865" s="9" t="str">
        <f t="shared" si="4806"/>
        <v xml:space="preserve">18 - </v>
      </c>
      <c r="D865" s="9" t="s">
        <v>56</v>
      </c>
      <c r="F865" s="16"/>
      <c r="G865" s="36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6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8"/>
      <c r="AE865" s="15"/>
      <c r="AF865" s="36"/>
      <c r="AG865" s="38"/>
    </row>
    <row r="866" spans="2:33" x14ac:dyDescent="0.2">
      <c r="B866" s="9">
        <f>G848</f>
        <v>18</v>
      </c>
      <c r="C866" s="9" t="str">
        <f t="shared" si="4806"/>
        <v>18 - Administrative Staff Compensation</v>
      </c>
      <c r="D866" s="9" t="s">
        <v>56</v>
      </c>
      <c r="F866" t="s">
        <v>5</v>
      </c>
      <c r="G866" s="144">
        <v>-68.837610402947405</v>
      </c>
      <c r="H866" s="70">
        <v>-70.900802375359191</v>
      </c>
      <c r="I866" s="70">
        <v>-86.513745844131307</v>
      </c>
      <c r="J866" s="70">
        <v>-82.126798505426635</v>
      </c>
      <c r="K866" s="70">
        <v>-100.88866450793321</v>
      </c>
      <c r="L866" s="70">
        <v>-93.336427715163452</v>
      </c>
      <c r="M866" s="70">
        <v>-82.920583957748406</v>
      </c>
      <c r="N866" s="70">
        <v>-77.88341716718277</v>
      </c>
      <c r="O866" s="70">
        <v>-70.803844866273096</v>
      </c>
      <c r="P866" s="70">
        <v>-72.160571500380684</v>
      </c>
      <c r="Q866" s="70">
        <v>-73.091764276726749</v>
      </c>
      <c r="R866" s="70">
        <v>-56.170939491730273</v>
      </c>
      <c r="S866" s="144">
        <v>-79.542954655318368</v>
      </c>
      <c r="T866" s="70">
        <v>-82.80642858562166</v>
      </c>
      <c r="U866" s="70">
        <v>-92.560298014366865</v>
      </c>
      <c r="V866" s="70">
        <v>-97.872145871819839</v>
      </c>
      <c r="W866" s="70">
        <v>-101.4624802158131</v>
      </c>
      <c r="X866" s="70">
        <v>-90.849567519908391</v>
      </c>
      <c r="Y866" s="70">
        <v>-90.835742941067096</v>
      </c>
      <c r="Z866" s="70">
        <v>-87.318197170798896</v>
      </c>
      <c r="AA866" s="70">
        <v>-80.216608728475322</v>
      </c>
      <c r="AB866" s="70">
        <v>-91.597352400869354</v>
      </c>
      <c r="AC866" s="70">
        <v>-75.498347070391958</v>
      </c>
      <c r="AD866" s="145">
        <v>-59.835920044195646</v>
      </c>
      <c r="AE866" s="15"/>
      <c r="AF866" s="92">
        <f>SUM(G866:R866)</f>
        <v>-935.6351706110031</v>
      </c>
      <c r="AG866" s="93">
        <f>SUM(S866:AD866)</f>
        <v>-1030.3960432186466</v>
      </c>
    </row>
    <row r="867" spans="2:33" x14ac:dyDescent="0.2">
      <c r="B867" s="9">
        <f>G848</f>
        <v>18</v>
      </c>
      <c r="C867" s="9" t="str">
        <f t="shared" si="4806"/>
        <v>18 - % of Revenue - Administrative Staff Compensation</v>
      </c>
      <c r="D867" s="9" t="s">
        <v>56</v>
      </c>
      <c r="F867" s="16" t="str">
        <f>"% of Revenue - "&amp;F866</f>
        <v>% of Revenue - Administrative Staff Compensation</v>
      </c>
      <c r="G867" s="148">
        <f>G866/G860</f>
        <v>-0.22628668253129447</v>
      </c>
      <c r="H867" s="149">
        <f t="shared" ref="H867" si="4912">H866/H860</f>
        <v>-0.22459934481801913</v>
      </c>
      <c r="I867" s="149">
        <f t="shared" ref="I867" si="4913">I866/I860</f>
        <v>-0.21868444716894991</v>
      </c>
      <c r="J867" s="149">
        <f t="shared" ref="J867" si="4914">J866/J860</f>
        <v>-0.21808523127200014</v>
      </c>
      <c r="K867" s="149">
        <f t="shared" ref="K867" si="4915">K866/K860</f>
        <v>-0.32284232276122704</v>
      </c>
      <c r="L867" s="149">
        <f t="shared" ref="L867" si="4916">L866/L860</f>
        <v>-0.30889315076707385</v>
      </c>
      <c r="M867" s="149">
        <f t="shared" ref="M867" si="4917">M866/M860</f>
        <v>-0.2153443854019603</v>
      </c>
      <c r="N867" s="149">
        <f t="shared" ref="N867" si="4918">N866/N860</f>
        <v>-0.16261567902849386</v>
      </c>
      <c r="O867" s="149">
        <f t="shared" ref="O867" si="4919">O866/O860</f>
        <v>-0.1689655804079753</v>
      </c>
      <c r="P867" s="149">
        <f t="shared" ref="P867" si="4920">P866/P860</f>
        <v>-0.16805642236618973</v>
      </c>
      <c r="Q867" s="149">
        <f t="shared" ref="Q867" si="4921">Q866/Q860</f>
        <v>-0.17549852884318307</v>
      </c>
      <c r="R867" s="149">
        <f t="shared" ref="R867" si="4922">R866/R860</f>
        <v>-0.14461938982315717</v>
      </c>
      <c r="S867" s="148">
        <f t="shared" ref="S867" si="4923">S866/S860</f>
        <v>-0.18701608663136918</v>
      </c>
      <c r="T867" s="149">
        <f t="shared" ref="T867" si="4924">T866/T860</f>
        <v>-0.24580058703143731</v>
      </c>
      <c r="U867" s="149">
        <f t="shared" ref="U867" si="4925">U866/U860</f>
        <v>-0.25435281819220074</v>
      </c>
      <c r="V867" s="149">
        <f t="shared" ref="V867" si="4926">V866/V860</f>
        <v>-0.24929703445603524</v>
      </c>
      <c r="W867" s="149">
        <f t="shared" ref="W867:X867" si="4927">W866/W860</f>
        <v>-0.22940261792797692</v>
      </c>
      <c r="X867" s="149">
        <f t="shared" si="4927"/>
        <v>-0.23689135304357659</v>
      </c>
      <c r="Y867" s="149">
        <f t="shared" ref="Y867" si="4928">Y866/Y860</f>
        <v>-0.1934642699243671</v>
      </c>
      <c r="Z867" s="149">
        <f t="shared" ref="Z867" si="4929">Z866/Z860</f>
        <v>-0.19999218350041351</v>
      </c>
      <c r="AA867" s="149">
        <f t="shared" ref="AA867" si="4930">AA866/AA860</f>
        <v>-0.20309013805943801</v>
      </c>
      <c r="AB867" s="149">
        <f t="shared" ref="AB867" si="4931">AB866/AB860</f>
        <v>-0.19580219606996166</v>
      </c>
      <c r="AC867" s="149">
        <f t="shared" ref="AC867" si="4932">AC866/AC860</f>
        <v>-0.19345728013903277</v>
      </c>
      <c r="AD867" s="150">
        <f t="shared" ref="AD867" si="4933">AD866/AD860</f>
        <v>-0.15018846705786554</v>
      </c>
      <c r="AE867" s="15"/>
      <c r="AF867" s="96">
        <f t="shared" ref="AF867" si="4934">AF866/AF860</f>
        <v>-0.20681349350770631</v>
      </c>
      <c r="AG867" s="97">
        <f t="shared" ref="AG867" si="4935">AG866/AG860</f>
        <v>-0.21019540799816483</v>
      </c>
    </row>
    <row r="868" spans="2:33" ht="3" customHeight="1" x14ac:dyDescent="0.2">
      <c r="B868" s="9">
        <f>G848</f>
        <v>18</v>
      </c>
      <c r="C868" s="9" t="str">
        <f t="shared" si="4806"/>
        <v xml:space="preserve">18 - </v>
      </c>
      <c r="D868" s="9" t="s">
        <v>56</v>
      </c>
      <c r="F868" s="16"/>
      <c r="G868" s="36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6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8"/>
      <c r="AE868" s="15"/>
      <c r="AF868" s="36"/>
      <c r="AG868" s="38"/>
    </row>
    <row r="869" spans="2:33" x14ac:dyDescent="0.2">
      <c r="B869" s="9">
        <f>G848</f>
        <v>18</v>
      </c>
      <c r="C869" s="9" t="str">
        <f t="shared" si="4806"/>
        <v>18 - Office Supplies</v>
      </c>
      <c r="D869" s="9" t="s">
        <v>56</v>
      </c>
      <c r="F869" t="s">
        <v>6</v>
      </c>
      <c r="G869" s="144">
        <v>-20.036941608868865</v>
      </c>
      <c r="H869" s="70">
        <v>-20.59495364964058</v>
      </c>
      <c r="I869" s="70">
        <v>-24.421958196384292</v>
      </c>
      <c r="J869" s="70">
        <v>-21.698999749115202</v>
      </c>
      <c r="K869" s="70">
        <v>-28.365294313785029</v>
      </c>
      <c r="L869" s="70">
        <v>-28.401120367133203</v>
      </c>
      <c r="M869" s="70">
        <v>-23.771400947925255</v>
      </c>
      <c r="N869" s="70">
        <v>-21.93911374348626</v>
      </c>
      <c r="O869" s="70">
        <v>-20.151789815891483</v>
      </c>
      <c r="P869" s="70">
        <v>-20.357516511662858</v>
      </c>
      <c r="Q869" s="70">
        <v>-19.328062279468192</v>
      </c>
      <c r="R869" s="70">
        <v>-15.357177544773407</v>
      </c>
      <c r="S869" s="144">
        <v>-20.450288519690599</v>
      </c>
      <c r="T869" s="70">
        <v>-21.102937782090102</v>
      </c>
      <c r="U869" s="70">
        <v>-23.709580976372948</v>
      </c>
      <c r="V869" s="70">
        <v>-25.202787450668421</v>
      </c>
      <c r="W869" s="70">
        <v>-32.50589040441627</v>
      </c>
      <c r="X869" s="70">
        <v>-27.240547572901392</v>
      </c>
      <c r="Y869" s="70">
        <v>-20.983944403896515</v>
      </c>
      <c r="Z869" s="70">
        <v>-19.715822783611451</v>
      </c>
      <c r="AA869" s="70">
        <v>-16.412798823687169</v>
      </c>
      <c r="AB869" s="70">
        <v>-20.173642177049363</v>
      </c>
      <c r="AC869" s="70">
        <v>-15.57644147534573</v>
      </c>
      <c r="AD869" s="145">
        <v>-12.598793532580418</v>
      </c>
      <c r="AE869" s="15"/>
      <c r="AF869" s="92">
        <f>SUM(G869:R869)</f>
        <v>-264.42432872813458</v>
      </c>
      <c r="AG869" s="93">
        <f>SUM(S869:AD869)</f>
        <v>-255.6734759023104</v>
      </c>
    </row>
    <row r="870" spans="2:33" x14ac:dyDescent="0.2">
      <c r="B870" s="9">
        <f>G848</f>
        <v>18</v>
      </c>
      <c r="C870" s="9" t="str">
        <f t="shared" si="4806"/>
        <v>18 - % of Revenue - Office Supplies</v>
      </c>
      <c r="D870" s="9" t="s">
        <v>56</v>
      </c>
      <c r="F870" s="16" t="str">
        <f>"% of Revenue - "&amp;F869</f>
        <v>% of Revenue - Office Supplies</v>
      </c>
      <c r="G870" s="148">
        <f>G869/G860</f>
        <v>-6.5866508413111022E-2</v>
      </c>
      <c r="H870" s="149">
        <f t="shared" ref="H870" si="4936">H869/H860</f>
        <v>-6.5240631153623274E-2</v>
      </c>
      <c r="I870" s="149">
        <f t="shared" ref="I870" si="4937">I869/I860</f>
        <v>-6.1732414598966216E-2</v>
      </c>
      <c r="J870" s="149">
        <f t="shared" ref="J870" si="4938">J869/J860</f>
        <v>-5.7621038014091998E-2</v>
      </c>
      <c r="K870" s="149">
        <f t="shared" ref="K870" si="4939">K869/K860</f>
        <v>-9.0768547157724519E-2</v>
      </c>
      <c r="L870" s="149">
        <f t="shared" ref="L870" si="4940">L869/L860</f>
        <v>-9.3992364720569224E-2</v>
      </c>
      <c r="M870" s="149">
        <f t="shared" ref="M870" si="4941">M869/M860</f>
        <v>-6.1734221865621559E-2</v>
      </c>
      <c r="N870" s="149">
        <f t="shared" ref="N870" si="4942">N869/N860</f>
        <v>-4.5807490329066544E-2</v>
      </c>
      <c r="O870" s="149">
        <f t="shared" ref="O870" si="4943">O869/O860</f>
        <v>-4.8090027722824384E-2</v>
      </c>
      <c r="P870" s="149">
        <f t="shared" ref="P870" si="4944">P869/P860</f>
        <v>-4.7411090600808864E-2</v>
      </c>
      <c r="Q870" s="149">
        <f t="shared" ref="Q870" si="4945">Q869/Q860</f>
        <v>-4.640805334228542E-2</v>
      </c>
      <c r="R870" s="149">
        <f t="shared" ref="R870" si="4946">R869/R860</f>
        <v>-3.9539051082775604E-2</v>
      </c>
      <c r="S870" s="148">
        <f t="shared" ref="S870" si="4947">S869/S860</f>
        <v>-4.8081353603316737E-2</v>
      </c>
      <c r="T870" s="149">
        <f t="shared" ref="T870" si="4948">T869/T860</f>
        <v>-6.2641446848081123E-2</v>
      </c>
      <c r="U870" s="149">
        <f t="shared" ref="U870" si="4949">U869/U860</f>
        <v>-6.5153190610520745E-2</v>
      </c>
      <c r="V870" s="149">
        <f t="shared" ref="V870" si="4950">V869/V860</f>
        <v>-6.4195794579859786E-2</v>
      </c>
      <c r="W870" s="149">
        <f t="shared" ref="W870" si="4951">W869/W860</f>
        <v>-7.3494520742957564E-2</v>
      </c>
      <c r="X870" s="149">
        <f t="shared" ref="X870" si="4952">X869/X860</f>
        <v>-7.1030059342642796E-2</v>
      </c>
      <c r="Y870" s="149">
        <f t="shared" ref="Y870" si="4953">Y869/Y860</f>
        <v>-4.4692137178502359E-2</v>
      </c>
      <c r="Z870" s="149">
        <f t="shared" ref="Z870" si="4954">Z869/Z860</f>
        <v>-4.5156800939086306E-2</v>
      </c>
      <c r="AA870" s="149">
        <f t="shared" ref="AA870" si="4955">AA869/AA860</f>
        <v>-4.1553459213505256E-2</v>
      </c>
      <c r="AB870" s="149">
        <f t="shared" ref="AB870" si="4956">AB869/AB860</f>
        <v>-4.3123991441464171E-2</v>
      </c>
      <c r="AC870" s="149">
        <f t="shared" ref="AC870" si="4957">AC869/AC860</f>
        <v>-3.9913138750648988E-2</v>
      </c>
      <c r="AD870" s="150">
        <f t="shared" ref="AD870" si="4958">AD869/AD860</f>
        <v>-3.1623036564645497E-2</v>
      </c>
      <c r="AE870" s="15"/>
      <c r="AF870" s="96">
        <f t="shared" ref="AF870" si="4959">AF869/AF860</f>
        <v>-5.8448550151212697E-2</v>
      </c>
      <c r="AG870" s="97">
        <f t="shared" ref="AG870" si="4960">AG869/AG860</f>
        <v>-5.2156052942248496E-2</v>
      </c>
    </row>
    <row r="871" spans="2:33" ht="6" customHeight="1" x14ac:dyDescent="0.2">
      <c r="B871" s="9">
        <f>G848</f>
        <v>18</v>
      </c>
      <c r="C871" s="9" t="str">
        <f t="shared" si="4806"/>
        <v xml:space="preserve">18 - </v>
      </c>
      <c r="D871" s="9" t="s">
        <v>56</v>
      </c>
      <c r="F871" s="16"/>
      <c r="G871" s="11"/>
      <c r="S871" s="11"/>
      <c r="AD871" s="15"/>
      <c r="AE871" s="15"/>
      <c r="AF871" s="11"/>
      <c r="AG871" s="15"/>
    </row>
    <row r="872" spans="2:33" x14ac:dyDescent="0.2">
      <c r="B872" s="9">
        <f>G848</f>
        <v>18</v>
      </c>
      <c r="C872" s="9" t="str">
        <f t="shared" si="4806"/>
        <v>18 - Office Gross Profit</v>
      </c>
      <c r="D872" s="9" t="s">
        <v>56</v>
      </c>
      <c r="F872" s="8" t="s">
        <v>11</v>
      </c>
      <c r="G872" s="134">
        <f>G860+G863+G866+G869</f>
        <v>130.80066503860371</v>
      </c>
      <c r="H872" s="135">
        <f t="shared" ref="H872:AD872" si="4961">H860+H863+H866+H869</f>
        <v>134.96671840322509</v>
      </c>
      <c r="I872" s="135">
        <f t="shared" si="4961"/>
        <v>172.6923681064365</v>
      </c>
      <c r="J872" s="135">
        <f t="shared" si="4961"/>
        <v>165.02729352370557</v>
      </c>
      <c r="K872" s="135">
        <f t="shared" si="4961"/>
        <v>47.62153512205694</v>
      </c>
      <c r="L872" s="135">
        <f t="shared" si="4961"/>
        <v>47.648923621345489</v>
      </c>
      <c r="M872" s="135">
        <f t="shared" si="4961"/>
        <v>162.94492283585026</v>
      </c>
      <c r="N872" s="135">
        <f t="shared" si="4961"/>
        <v>270.55192449341678</v>
      </c>
      <c r="O872" s="135">
        <f t="shared" si="4961"/>
        <v>231.71631492195027</v>
      </c>
      <c r="P872" s="135">
        <f t="shared" si="4961"/>
        <v>238.43603319447422</v>
      </c>
      <c r="Q872" s="135">
        <f t="shared" si="4961"/>
        <v>229.14753727764244</v>
      </c>
      <c r="R872" s="135">
        <f t="shared" si="4961"/>
        <v>245.53291620235555</v>
      </c>
      <c r="S872" s="134">
        <f t="shared" si="4961"/>
        <v>209.5718418122957</v>
      </c>
      <c r="T872" s="135">
        <f t="shared" si="4961"/>
        <v>109.75523386139821</v>
      </c>
      <c r="U872" s="135">
        <f t="shared" si="4961"/>
        <v>117.04710644925159</v>
      </c>
      <c r="V872" s="135">
        <f t="shared" si="4961"/>
        <v>173.1809325779482</v>
      </c>
      <c r="W872" s="135">
        <f t="shared" si="4961"/>
        <v>228.89147296054693</v>
      </c>
      <c r="X872" s="135">
        <f t="shared" si="4961"/>
        <v>196.74714526490359</v>
      </c>
      <c r="Y872" s="135">
        <f t="shared" si="4961"/>
        <v>272.3347457266085</v>
      </c>
      <c r="Z872" s="135">
        <f t="shared" si="4961"/>
        <v>249.69948659449958</v>
      </c>
      <c r="AA872" s="135">
        <f t="shared" si="4961"/>
        <v>187.52542495141671</v>
      </c>
      <c r="AB872" s="135">
        <f t="shared" si="4961"/>
        <v>226.66260105049446</v>
      </c>
      <c r="AC872" s="135">
        <f t="shared" si="4961"/>
        <v>191.42089726085536</v>
      </c>
      <c r="AD872" s="136">
        <f t="shared" si="4961"/>
        <v>239.20085623216858</v>
      </c>
      <c r="AE872" s="15"/>
      <c r="AF872" s="98">
        <f>SUM(G872:R872)</f>
        <v>2077.0871527410627</v>
      </c>
      <c r="AG872" s="95">
        <f>SUM(S872:AD872)</f>
        <v>2402.0377447423875</v>
      </c>
    </row>
    <row r="873" spans="2:33" x14ac:dyDescent="0.2">
      <c r="B873" s="9">
        <f>G848</f>
        <v>18</v>
      </c>
      <c r="C873" s="9" t="str">
        <f t="shared" si="4806"/>
        <v>18 - % of Revenue - Office Gross Profit</v>
      </c>
      <c r="D873" s="9" t="s">
        <v>56</v>
      </c>
      <c r="F873" s="16" t="str">
        <f>"% of Revenue - "&amp;F872</f>
        <v>% of Revenue - Office Gross Profit</v>
      </c>
      <c r="G873" s="148">
        <f>G872/G860</f>
        <v>0.42997495687626885</v>
      </c>
      <c r="H873" s="149">
        <f t="shared" ref="H873" si="4962">H872/H860</f>
        <v>0.4275471575782554</v>
      </c>
      <c r="I873" s="149">
        <f t="shared" ref="I873" si="4963">I872/I860</f>
        <v>0.43652178831434424</v>
      </c>
      <c r="J873" s="149">
        <f t="shared" ref="J873" si="4964">J872/J860</f>
        <v>0.43822499025006423</v>
      </c>
      <c r="K873" s="149">
        <f t="shared" ref="K873" si="4965">K872/K860</f>
        <v>0.15238824983208385</v>
      </c>
      <c r="L873" s="149">
        <f t="shared" ref="L873" si="4966">L872/L860</f>
        <v>0.15769219487351241</v>
      </c>
      <c r="M873" s="149">
        <f t="shared" ref="M873" si="4967">M872/M860</f>
        <v>0.42316723529510492</v>
      </c>
      <c r="N873" s="149">
        <f t="shared" ref="N873" si="4968">N872/N860</f>
        <v>0.56489541052778913</v>
      </c>
      <c r="O873" s="149">
        <f t="shared" ref="O873" si="4969">O872/O860</f>
        <v>0.55296547404637242</v>
      </c>
      <c r="P873" s="149">
        <f t="shared" ref="P873" si="4970">P872/P860</f>
        <v>0.55529918719723559</v>
      </c>
      <c r="Q873" s="149">
        <f t="shared" ref="Q873" si="4971">Q872/Q860</f>
        <v>0.55019954817357763</v>
      </c>
      <c r="R873" s="149">
        <f t="shared" ref="R873" si="4972">R872/R860</f>
        <v>0.6321564290003161</v>
      </c>
      <c r="S873" s="148">
        <f t="shared" ref="S873" si="4973">S872/S860</f>
        <v>0.4927313285469383</v>
      </c>
      <c r="T873" s="149">
        <f t="shared" ref="T873" si="4974">T872/T860</f>
        <v>0.32579476465416302</v>
      </c>
      <c r="U873" s="149">
        <f t="shared" ref="U873" si="4975">U872/U860</f>
        <v>0.32164180566908579</v>
      </c>
      <c r="V873" s="149">
        <f t="shared" ref="V873" si="4976">V872/V860</f>
        <v>0.44112134797326374</v>
      </c>
      <c r="W873" s="149">
        <f t="shared" ref="W873" si="4977">W872/W860</f>
        <v>0.51751448423943314</v>
      </c>
      <c r="X873" s="149">
        <f t="shared" ref="X873" si="4978">X872/X860</f>
        <v>0.51302057589928218</v>
      </c>
      <c r="Y873" s="149">
        <f t="shared" ref="Y873" si="4979">Y872/Y860</f>
        <v>0.58002545089788116</v>
      </c>
      <c r="Z873" s="149">
        <f t="shared" ref="Z873" si="4980">Z872/Z860</f>
        <v>0.57190765683451994</v>
      </c>
      <c r="AA873" s="149">
        <f t="shared" ref="AA873" si="4981">AA872/AA860</f>
        <v>0.47477155973958207</v>
      </c>
      <c r="AB873" s="149">
        <f t="shared" ref="AB873" si="4982">AB872/AB860</f>
        <v>0.48452312091277427</v>
      </c>
      <c r="AC873" s="149">
        <f t="shared" ref="AC873" si="4983">AC872/AC860</f>
        <v>0.49049770733829723</v>
      </c>
      <c r="AD873" s="150">
        <f t="shared" ref="AD873" si="4984">AD872/AD860</f>
        <v>0.6003953793959117</v>
      </c>
      <c r="AE873" s="15"/>
      <c r="AF873" s="111">
        <f t="shared" ref="AF873" si="4985">AF872/AF860</f>
        <v>0.45912088800363254</v>
      </c>
      <c r="AG873" s="97">
        <f t="shared" ref="AG873" si="4986">AG872/AG860</f>
        <v>0.4900031469511188</v>
      </c>
    </row>
    <row r="874" spans="2:33" ht="6" customHeight="1" x14ac:dyDescent="0.2">
      <c r="B874" s="9">
        <f>G848</f>
        <v>18</v>
      </c>
      <c r="C874" s="9" t="str">
        <f t="shared" si="4806"/>
        <v xml:space="preserve">18 - </v>
      </c>
      <c r="D874" s="9" t="s">
        <v>56</v>
      </c>
      <c r="F874" s="16"/>
      <c r="G874" s="11"/>
      <c r="S874" s="11"/>
      <c r="AD874" s="15"/>
      <c r="AE874" s="15"/>
      <c r="AF874" s="11"/>
      <c r="AG874" s="15"/>
    </row>
    <row r="875" spans="2:33" x14ac:dyDescent="0.2">
      <c r="B875" s="9">
        <f>G848</f>
        <v>18</v>
      </c>
      <c r="C875" s="9" t="str">
        <f t="shared" si="4806"/>
        <v>18 - General and Administrative Expense</v>
      </c>
      <c r="D875" s="9" t="s">
        <v>56</v>
      </c>
      <c r="F875" t="s">
        <v>10</v>
      </c>
      <c r="G875" s="144">
        <v>-15.244896406018769</v>
      </c>
      <c r="H875" s="70">
        <v>-15.21267379790396</v>
      </c>
      <c r="I875" s="70">
        <v>-20.992765788546567</v>
      </c>
      <c r="J875" s="70">
        <v>-18.526936733945753</v>
      </c>
      <c r="K875" s="70">
        <v>-23.20308698147646</v>
      </c>
      <c r="L875" s="70">
        <v>-21.489071262079111</v>
      </c>
      <c r="M875" s="70">
        <v>-19.182109970746865</v>
      </c>
      <c r="N875" s="70">
        <v>-16.150017631701623</v>
      </c>
      <c r="O875" s="70">
        <v>-14.476330065519376</v>
      </c>
      <c r="P875" s="70">
        <v>-15.031419781649884</v>
      </c>
      <c r="Q875" s="70">
        <v>-15.972496997222764</v>
      </c>
      <c r="R875" s="70">
        <v>-11.397110384847071</v>
      </c>
      <c r="S875" s="144">
        <v>-14.355772112701416</v>
      </c>
      <c r="T875" s="70">
        <v>-13.964934262834449</v>
      </c>
      <c r="U875" s="70">
        <v>-16.134115519682204</v>
      </c>
      <c r="V875" s="70">
        <v>-17.18255941770359</v>
      </c>
      <c r="W875" s="70">
        <v>-21.05768952841251</v>
      </c>
      <c r="X875" s="70">
        <v>-19.729481966079632</v>
      </c>
      <c r="Y875" s="70">
        <v>-15.3097198539689</v>
      </c>
      <c r="Z875" s="70">
        <v>-15.033740516619661</v>
      </c>
      <c r="AA875" s="70">
        <v>-13.458378828270341</v>
      </c>
      <c r="AB875" s="70">
        <v>-16.23699011632052</v>
      </c>
      <c r="AC875" s="70">
        <v>-13.611840872558293</v>
      </c>
      <c r="AD875" s="145">
        <v>-10.963247207787523</v>
      </c>
      <c r="AE875" s="15"/>
      <c r="AF875" s="144">
        <v>-206.8789158016582</v>
      </c>
      <c r="AG875" s="145">
        <v>-187.03847020293907</v>
      </c>
    </row>
    <row r="876" spans="2:33" x14ac:dyDescent="0.2">
      <c r="B876" s="9">
        <f>G848</f>
        <v>18</v>
      </c>
      <c r="C876" s="9" t="str">
        <f t="shared" si="4806"/>
        <v>18 - % of Revenue - General and Administrative Expense</v>
      </c>
      <c r="D876" s="9" t="s">
        <v>56</v>
      </c>
      <c r="F876" s="16" t="str">
        <f>"% of Revenue - "&amp;F875</f>
        <v>% of Revenue - General and Administrative Expense</v>
      </c>
      <c r="G876" s="148">
        <f>G875/G860</f>
        <v>-5.0113840574331381E-2</v>
      </c>
      <c r="H876" s="149">
        <f t="shared" ref="H876" si="4987">H875/H860</f>
        <v>-4.8190661508323539E-2</v>
      </c>
      <c r="I876" s="149">
        <f t="shared" ref="I876" si="4988">I875/I860</f>
        <v>-5.3064300201341577E-2</v>
      </c>
      <c r="J876" s="149">
        <f t="shared" ref="J876" si="4989">J875/J860</f>
        <v>-4.9197720548150872E-2</v>
      </c>
      <c r="K876" s="149">
        <f t="shared" ref="K876" si="4990">K875/K860</f>
        <v>-7.424955551613642E-2</v>
      </c>
      <c r="L876" s="149">
        <f t="shared" ref="L876" si="4991">L875/L860</f>
        <v>-7.1117216414780512E-2</v>
      </c>
      <c r="M876" s="149">
        <f t="shared" ref="M876" si="4992">M875/M860</f>
        <v>-4.9815853738657913E-2</v>
      </c>
      <c r="N876" s="149">
        <f t="shared" ref="N876" si="4993">N875/N860</f>
        <v>-3.3720221569937897E-2</v>
      </c>
      <c r="O876" s="149">
        <f t="shared" ref="O876" si="4994">O875/O860</f>
        <v>-3.4546167885623397E-2</v>
      </c>
      <c r="P876" s="149">
        <f t="shared" ref="P876" si="4995">P875/P860</f>
        <v>-3.5007020857299134E-2</v>
      </c>
      <c r="Q876" s="149">
        <f t="shared" ref="Q876" si="4996">Q875/Q860</f>
        <v>-3.8351102243913256E-2</v>
      </c>
      <c r="R876" s="149">
        <f t="shared" ref="R876" si="4997">R875/R860</f>
        <v>-2.9343343097304127E-2</v>
      </c>
      <c r="S876" s="148">
        <f t="shared" ref="S876" si="4998">S875/S860</f>
        <v>-3.3752333348980701E-2</v>
      </c>
      <c r="T876" s="149">
        <f t="shared" ref="T876" si="4999">T875/T860</f>
        <v>-4.1453170946877033E-2</v>
      </c>
      <c r="U876" s="149">
        <f t="shared" ref="U876" si="5000">U875/U860</f>
        <v>-4.4336047306510633E-2</v>
      </c>
      <c r="V876" s="149">
        <f t="shared" ref="V876" si="5001">V875/V860</f>
        <v>-4.3766907009560964E-2</v>
      </c>
      <c r="W876" s="149">
        <f t="shared" ref="W876" si="5002">W875/W860</f>
        <v>-4.7610595513310788E-2</v>
      </c>
      <c r="X876" s="149">
        <f t="shared" ref="X876" si="5003">X875/X860</f>
        <v>-5.1444864355234966E-2</v>
      </c>
      <c r="Y876" s="149">
        <f t="shared" ref="Y876" si="5004">Y875/Y860</f>
        <v>-3.2607029770387944E-2</v>
      </c>
      <c r="Z876" s="149">
        <f t="shared" ref="Z876" si="5005">Z875/Z860</f>
        <v>-3.4433035604437369E-2</v>
      </c>
      <c r="AA876" s="149">
        <f t="shared" ref="AA876" si="5006">AA875/AA860</f>
        <v>-3.4073542345095249E-2</v>
      </c>
      <c r="AB876" s="149">
        <f t="shared" ref="AB876" si="5007">AB875/AB860</f>
        <v>-3.4708845168669372E-2</v>
      </c>
      <c r="AC876" s="149">
        <f t="shared" ref="AC876" si="5008">AC875/AC860</f>
        <v>-3.4879037953443437E-2</v>
      </c>
      <c r="AD876" s="150">
        <f t="shared" ref="AD876" si="5009">AD875/AD860</f>
        <v>-2.7517806877505446E-2</v>
      </c>
      <c r="AE876" s="15"/>
      <c r="AF876" s="96">
        <f t="shared" ref="AF876" si="5010">AF875/AF860</f>
        <v>-4.5728669308238164E-2</v>
      </c>
      <c r="AG876" s="97">
        <f t="shared" ref="AG876" si="5011">AG875/AG860</f>
        <v>-3.8154870464032771E-2</v>
      </c>
    </row>
    <row r="877" spans="2:33" ht="3" customHeight="1" x14ac:dyDescent="0.2">
      <c r="B877" s="9">
        <f>G848</f>
        <v>18</v>
      </c>
      <c r="C877" s="9" t="str">
        <f t="shared" si="4806"/>
        <v xml:space="preserve">18 - </v>
      </c>
      <c r="D877" s="9" t="s">
        <v>56</v>
      </c>
      <c r="F877" s="16"/>
      <c r="G877" s="36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6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8"/>
      <c r="AE877" s="15"/>
      <c r="AF877" s="36"/>
      <c r="AG877" s="38"/>
    </row>
    <row r="878" spans="2:33" x14ac:dyDescent="0.2">
      <c r="B878" s="9">
        <f>G848</f>
        <v>18</v>
      </c>
      <c r="C878" s="9" t="str">
        <f t="shared" si="4806"/>
        <v>18 - Marketing</v>
      </c>
      <c r="D878" s="9" t="s">
        <v>56</v>
      </c>
      <c r="F878" t="s">
        <v>7</v>
      </c>
      <c r="G878" s="144">
        <v>-11.284181036409358</v>
      </c>
      <c r="H878" s="70">
        <v>-10.503036612677434</v>
      </c>
      <c r="I878" s="70">
        <v>-13.728558706852256</v>
      </c>
      <c r="J878" s="70">
        <v>-14.450485209344009</v>
      </c>
      <c r="K878" s="70">
        <v>-17.214733837919553</v>
      </c>
      <c r="L878" s="70">
        <v>-15.857379911187401</v>
      </c>
      <c r="M878" s="70">
        <v>-14.545961565779887</v>
      </c>
      <c r="N878" s="70">
        <v>-13.891935307099653</v>
      </c>
      <c r="O878" s="70">
        <v>-11.219790386384265</v>
      </c>
      <c r="P878" s="70">
        <v>-12.670317878433256</v>
      </c>
      <c r="Q878" s="70">
        <v>-13.806858948883235</v>
      </c>
      <c r="R878" s="70">
        <v>-9.5800902098718854</v>
      </c>
      <c r="S878" s="144">
        <v>-12.841631797708128</v>
      </c>
      <c r="T878" s="70">
        <v>-11.956931487345964</v>
      </c>
      <c r="U878" s="70">
        <v>-11.800263866772339</v>
      </c>
      <c r="V878" s="70">
        <v>-13.367756905887928</v>
      </c>
      <c r="W878" s="70">
        <v>-18.815391943685764</v>
      </c>
      <c r="X878" s="70">
        <v>-14.972731757072495</v>
      </c>
      <c r="Y878" s="70">
        <v>-12.924448047422805</v>
      </c>
      <c r="Z878" s="70">
        <v>-11.717685274921509</v>
      </c>
      <c r="AA878" s="70">
        <v>-9.1915738367196802</v>
      </c>
      <c r="AB878" s="70">
        <v>-9.8979461805308873</v>
      </c>
      <c r="AC878" s="70">
        <v>-8.2508573020036753</v>
      </c>
      <c r="AD878" s="145">
        <v>-6.3034593708398692</v>
      </c>
      <c r="AE878" s="15"/>
      <c r="AF878" s="144">
        <v>-158.7533296108422</v>
      </c>
      <c r="AG878" s="145">
        <v>-142.04067777091106</v>
      </c>
    </row>
    <row r="879" spans="2:33" x14ac:dyDescent="0.2">
      <c r="B879" s="9">
        <f>G848</f>
        <v>18</v>
      </c>
      <c r="C879" s="9" t="str">
        <f t="shared" si="4806"/>
        <v>18 - % of Revenue - Marketing</v>
      </c>
      <c r="D879" s="9" t="s">
        <v>56</v>
      </c>
      <c r="F879" s="16" t="str">
        <f>"% of Revenue - "&amp;F878</f>
        <v>% of Revenue - Marketing</v>
      </c>
      <c r="G879" s="148">
        <f>G878/G860</f>
        <v>-3.709396472167905E-2</v>
      </c>
      <c r="H879" s="149">
        <f t="shared" ref="H879" si="5012">H878/H860</f>
        <v>-3.3271487243800996E-2</v>
      </c>
      <c r="I879" s="149">
        <f t="shared" ref="I879" si="5013">I878/I860</f>
        <v>-3.4702257334267496E-2</v>
      </c>
      <c r="J879" s="149">
        <f t="shared" ref="J879" si="5014">J878/J860</f>
        <v>-3.8372826729196931E-2</v>
      </c>
      <c r="K879" s="149">
        <f t="shared" ref="K879" si="5015">K878/K860</f>
        <v>-5.5086908772721682E-2</v>
      </c>
      <c r="L879" s="149">
        <f t="shared" ref="L879" si="5016">L878/L860</f>
        <v>-5.2479360562472113E-2</v>
      </c>
      <c r="M879" s="149">
        <f t="shared" ref="M879" si="5017">M878/M860</f>
        <v>-3.7775797081451977E-2</v>
      </c>
      <c r="N879" s="149">
        <f t="shared" ref="N879" si="5018">N878/N860</f>
        <v>-2.9005487626906516E-2</v>
      </c>
      <c r="O879" s="149">
        <f t="shared" ref="O879" si="5019">O878/O860</f>
        <v>-2.6774794480041997E-2</v>
      </c>
      <c r="P879" s="149">
        <f t="shared" ref="P879" si="5020">P878/P860</f>
        <v>-2.9508196077419245E-2</v>
      </c>
      <c r="Q879" s="149">
        <f t="shared" ref="Q879" si="5021">Q878/Q860</f>
        <v>-3.3151251135497384E-2</v>
      </c>
      <c r="R879" s="149">
        <f t="shared" ref="R879" si="5022">R878/R860</f>
        <v>-2.4665188318711458E-2</v>
      </c>
      <c r="S879" s="148">
        <f t="shared" ref="S879" si="5023">S878/S860</f>
        <v>-3.0192387687571952E-2</v>
      </c>
      <c r="T879" s="149">
        <f t="shared" ref="T879" si="5024">T878/T860</f>
        <v>-3.5492664384690543E-2</v>
      </c>
      <c r="U879" s="149">
        <f t="shared" ref="U879" si="5025">U878/U860</f>
        <v>-3.2426757846644672E-2</v>
      </c>
      <c r="V879" s="149">
        <f t="shared" ref="V879" si="5026">V878/V860</f>
        <v>-3.4049954910885215E-2</v>
      </c>
      <c r="W879" s="149">
        <f t="shared" ref="W879" si="5027">W878/W860</f>
        <v>-4.2540850174779953E-2</v>
      </c>
      <c r="X879" s="149">
        <f t="shared" ref="X879" si="5028">X878/X860</f>
        <v>-3.9041580290563038E-2</v>
      </c>
      <c r="Y879" s="149">
        <f t="shared" ref="Y879" si="5029">Y878/Y860</f>
        <v>-2.7526817359685166E-2</v>
      </c>
      <c r="Z879" s="149">
        <f t="shared" ref="Z879" si="5030">Z878/Z860</f>
        <v>-2.6837996427231493E-2</v>
      </c>
      <c r="AA879" s="149">
        <f t="shared" ref="AA879" si="5031">AA878/AA860</f>
        <v>-2.3270966313242682E-2</v>
      </c>
      <c r="AB879" s="149">
        <f t="shared" ref="AB879" si="5032">AB878/AB860</f>
        <v>-2.11582490970759E-2</v>
      </c>
      <c r="AC879" s="149">
        <f t="shared" ref="AC879" si="5033">AC878/AC860</f>
        <v>-2.1142031241726127E-2</v>
      </c>
      <c r="AD879" s="150">
        <f t="shared" ref="AD879" si="5034">AD878/AD860</f>
        <v>-1.5821715440637107E-2</v>
      </c>
      <c r="AE879" s="15"/>
      <c r="AF879" s="96">
        <f t="shared" ref="AF879" si="5035">AF878/AF860</f>
        <v>-3.5090953968049308E-2</v>
      </c>
      <c r="AG879" s="97">
        <f t="shared" ref="AG879" si="5036">AG878/AG860</f>
        <v>-2.8975555964996177E-2</v>
      </c>
    </row>
    <row r="880" spans="2:33" ht="3" customHeight="1" x14ac:dyDescent="0.2">
      <c r="B880" s="9">
        <f>G848</f>
        <v>18</v>
      </c>
      <c r="C880" s="9" t="str">
        <f t="shared" si="4806"/>
        <v xml:space="preserve">18 - </v>
      </c>
      <c r="D880" s="9" t="s">
        <v>56</v>
      </c>
      <c r="F880" s="16"/>
      <c r="G880" s="36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6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8"/>
      <c r="AE880" s="15"/>
      <c r="AF880" s="36"/>
      <c r="AG880" s="38"/>
    </row>
    <row r="881" spans="2:34" x14ac:dyDescent="0.2">
      <c r="B881" s="9">
        <f>G848</f>
        <v>18</v>
      </c>
      <c r="C881" s="9" t="str">
        <f t="shared" si="4806"/>
        <v>18 - Office Rent</v>
      </c>
      <c r="D881" s="9" t="s">
        <v>56</v>
      </c>
      <c r="F881" t="s">
        <v>162</v>
      </c>
      <c r="G881" s="144">
        <v>-26.503664932784954</v>
      </c>
      <c r="H881" s="70">
        <v>-26.503664932784954</v>
      </c>
      <c r="I881" s="70">
        <v>-26.503664932784954</v>
      </c>
      <c r="J881" s="70">
        <v>-26.503664932784954</v>
      </c>
      <c r="K881" s="70">
        <v>-26.503664932784954</v>
      </c>
      <c r="L881" s="70">
        <v>-26.503664932784954</v>
      </c>
      <c r="M881" s="70">
        <v>-27.298774880768502</v>
      </c>
      <c r="N881" s="70">
        <v>-27.298774880768502</v>
      </c>
      <c r="O881" s="70">
        <v>-27.298774880768502</v>
      </c>
      <c r="P881" s="70">
        <v>-27.298774880768502</v>
      </c>
      <c r="Q881" s="70">
        <v>-27.298774880768502</v>
      </c>
      <c r="R881" s="70">
        <v>-27.298774880768502</v>
      </c>
      <c r="S881" s="144">
        <v>-27.298380654156794</v>
      </c>
      <c r="T881" s="70">
        <v>-27.298380654156794</v>
      </c>
      <c r="U881" s="70">
        <v>-27.298380654156794</v>
      </c>
      <c r="V881" s="70">
        <v>-27.298380654156794</v>
      </c>
      <c r="W881" s="70">
        <v>-27.298380654156794</v>
      </c>
      <c r="X881" s="70">
        <v>-27.298380654156794</v>
      </c>
      <c r="Y881" s="70">
        <v>-28.117332073781501</v>
      </c>
      <c r="Z881" s="70">
        <v>-28.117332073781501</v>
      </c>
      <c r="AA881" s="70">
        <v>-28.117332073781501</v>
      </c>
      <c r="AB881" s="70">
        <v>-28.117332073781501</v>
      </c>
      <c r="AC881" s="70">
        <v>-28.117332073781501</v>
      </c>
      <c r="AD881" s="145">
        <v>-28.117332073781501</v>
      </c>
      <c r="AE881" s="15"/>
      <c r="AF881" s="144">
        <v>-322.81463888132072</v>
      </c>
      <c r="AG881" s="145">
        <v>-332.49427636762977</v>
      </c>
    </row>
    <row r="882" spans="2:34" x14ac:dyDescent="0.2">
      <c r="B882" s="9">
        <f>G848</f>
        <v>18</v>
      </c>
      <c r="C882" s="9" t="str">
        <f t="shared" si="4806"/>
        <v>18 - % YoY Growth</v>
      </c>
      <c r="D882" s="9" t="s">
        <v>56</v>
      </c>
      <c r="F882" s="16" t="s">
        <v>8</v>
      </c>
      <c r="G882" s="82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148">
        <f>S881/G881-1</f>
        <v>2.9985125581208916E-2</v>
      </c>
      <c r="T882" s="149">
        <f t="shared" ref="T882" si="5037">T881/H881-1</f>
        <v>2.9985125581208916E-2</v>
      </c>
      <c r="U882" s="149">
        <f t="shared" ref="U882" si="5038">U881/I881-1</f>
        <v>2.9985125581208916E-2</v>
      </c>
      <c r="V882" s="149">
        <f t="shared" ref="V882" si="5039">V881/J881-1</f>
        <v>2.9985125581208916E-2</v>
      </c>
      <c r="W882" s="149">
        <f t="shared" ref="W882" si="5040">W881/K881-1</f>
        <v>2.9985125581208916E-2</v>
      </c>
      <c r="X882" s="149">
        <f t="shared" ref="X882" si="5041">X881/L881-1</f>
        <v>2.9985125581208916E-2</v>
      </c>
      <c r="Y882" s="149">
        <f t="shared" ref="Y882" si="5042">Y881/M881-1</f>
        <v>2.9985125581209138E-2</v>
      </c>
      <c r="Z882" s="149">
        <f t="shared" ref="Z882" si="5043">Z881/N881-1</f>
        <v>2.9985125581209138E-2</v>
      </c>
      <c r="AA882" s="149">
        <f t="shared" ref="AA882" si="5044">AA881/O881-1</f>
        <v>2.9985125581209138E-2</v>
      </c>
      <c r="AB882" s="149">
        <f t="shared" ref="AB882" si="5045">AB881/P881-1</f>
        <v>2.9985125581209138E-2</v>
      </c>
      <c r="AC882" s="149">
        <f t="shared" ref="AC882" si="5046">AC881/Q881-1</f>
        <v>2.9985125581209138E-2</v>
      </c>
      <c r="AD882" s="150">
        <f t="shared" ref="AD882" si="5047">AD881/R881-1</f>
        <v>2.9985125581209138E-2</v>
      </c>
      <c r="AE882" s="15"/>
      <c r="AF882" s="11"/>
      <c r="AG882" s="97">
        <f>AG881/AF881-1</f>
        <v>2.9985125581209138E-2</v>
      </c>
    </row>
    <row r="883" spans="2:34" ht="6" customHeight="1" x14ac:dyDescent="0.2">
      <c r="B883" s="9">
        <f>G848</f>
        <v>18</v>
      </c>
      <c r="C883" s="9" t="str">
        <f t="shared" si="4806"/>
        <v xml:space="preserve">18 - </v>
      </c>
      <c r="D883" s="9" t="s">
        <v>56</v>
      </c>
      <c r="F883" s="16"/>
      <c r="G883" s="11"/>
      <c r="S883" s="11"/>
      <c r="AD883" s="15"/>
      <c r="AE883" s="15"/>
      <c r="AF883" s="11"/>
      <c r="AG883" s="15"/>
    </row>
    <row r="884" spans="2:34" x14ac:dyDescent="0.2">
      <c r="B884" s="9">
        <f>G848</f>
        <v>18</v>
      </c>
      <c r="C884" s="9" t="str">
        <f t="shared" si="4806"/>
        <v>18 - Office EBITDA</v>
      </c>
      <c r="D884" s="9" t="s">
        <v>56</v>
      </c>
      <c r="F884" s="8" t="s">
        <v>12</v>
      </c>
      <c r="G884" s="134">
        <f>G872+G875+G878+G881</f>
        <v>77.767922663390621</v>
      </c>
      <c r="H884" s="135">
        <f t="shared" ref="H884:AD884" si="5048">H872+H875+H878+H881</f>
        <v>82.747343059858736</v>
      </c>
      <c r="I884" s="135">
        <f t="shared" si="5048"/>
        <v>111.46737867825273</v>
      </c>
      <c r="J884" s="135">
        <f t="shared" si="5048"/>
        <v>105.54620664763085</v>
      </c>
      <c r="K884" s="135">
        <f t="shared" si="5048"/>
        <v>-19.299950630124027</v>
      </c>
      <c r="L884" s="135">
        <f t="shared" si="5048"/>
        <v>-16.201192484705977</v>
      </c>
      <c r="M884" s="135">
        <f t="shared" si="5048"/>
        <v>101.918076418555</v>
      </c>
      <c r="N884" s="135">
        <f t="shared" si="5048"/>
        <v>213.21119667384701</v>
      </c>
      <c r="O884" s="135">
        <f t="shared" si="5048"/>
        <v>178.72141958927816</v>
      </c>
      <c r="P884" s="135">
        <f t="shared" si="5048"/>
        <v>183.4355206536226</v>
      </c>
      <c r="Q884" s="135">
        <f t="shared" si="5048"/>
        <v>172.06940645076793</v>
      </c>
      <c r="R884" s="135">
        <f t="shared" si="5048"/>
        <v>197.25694072686809</v>
      </c>
      <c r="S884" s="134">
        <f t="shared" si="5048"/>
        <v>155.07605724772938</v>
      </c>
      <c r="T884" s="135">
        <f t="shared" si="5048"/>
        <v>56.534987457061</v>
      </c>
      <c r="U884" s="135">
        <f t="shared" si="5048"/>
        <v>61.814346408640255</v>
      </c>
      <c r="V884" s="135">
        <f t="shared" si="5048"/>
        <v>115.33223560019988</v>
      </c>
      <c r="W884" s="135">
        <f t="shared" si="5048"/>
        <v>161.72001083429186</v>
      </c>
      <c r="X884" s="135">
        <f t="shared" si="5048"/>
        <v>134.74655088759465</v>
      </c>
      <c r="Y884" s="135">
        <f t="shared" si="5048"/>
        <v>215.98324575143531</v>
      </c>
      <c r="Z884" s="135">
        <f t="shared" si="5048"/>
        <v>194.83072872917688</v>
      </c>
      <c r="AA884" s="135">
        <f t="shared" si="5048"/>
        <v>136.7581402126452</v>
      </c>
      <c r="AB884" s="135">
        <f t="shared" si="5048"/>
        <v>172.41033267986154</v>
      </c>
      <c r="AC884" s="135">
        <f t="shared" si="5048"/>
        <v>141.44086701251186</v>
      </c>
      <c r="AD884" s="136">
        <f t="shared" si="5048"/>
        <v>193.81681757975966</v>
      </c>
      <c r="AE884" s="15"/>
      <c r="AF884" s="94">
        <f>SUM(G884:R884)</f>
        <v>1388.6402684472416</v>
      </c>
      <c r="AG884" s="95">
        <f>SUM(S884:AD884)</f>
        <v>1740.4643204009076</v>
      </c>
    </row>
    <row r="885" spans="2:34" x14ac:dyDescent="0.2">
      <c r="B885" s="9">
        <f>G848</f>
        <v>18</v>
      </c>
      <c r="C885" s="9" t="str">
        <f t="shared" si="4806"/>
        <v>18 - % of Revenue - Office EBITDA</v>
      </c>
      <c r="D885" s="9" t="s">
        <v>56</v>
      </c>
      <c r="F885" s="16" t="str">
        <f>"% of Revenue - "&amp;F884</f>
        <v>% of Revenue - Office EBITDA</v>
      </c>
      <c r="G885" s="148">
        <f>G884/G860</f>
        <v>0.25564288364802756</v>
      </c>
      <c r="H885" s="149">
        <f t="shared" ref="H885" si="5049">H884/H860</f>
        <v>0.26212678014960167</v>
      </c>
      <c r="I885" s="149">
        <f t="shared" ref="I885" si="5050">I884/I860</f>
        <v>0.2817607981920397</v>
      </c>
      <c r="J885" s="149">
        <f t="shared" ref="J885" si="5051">J884/J860</f>
        <v>0.28027476177717975</v>
      </c>
      <c r="K885" s="149">
        <f t="shared" ref="K885" si="5052">K884/K860</f>
        <v>-6.1759573496151257E-2</v>
      </c>
      <c r="L885" s="149">
        <f t="shared" ref="L885" si="5053">L884/L860</f>
        <v>-5.3617194436204524E-2</v>
      </c>
      <c r="M885" s="149">
        <f t="shared" ref="M885" si="5054">M884/M860</f>
        <v>0.26468078829361519</v>
      </c>
      <c r="N885" s="149">
        <f t="shared" ref="N885" si="5055">N884/N860</f>
        <v>0.44517157547376701</v>
      </c>
      <c r="O885" s="149">
        <f t="shared" ref="O885" si="5056">O884/O860</f>
        <v>0.42649899096968619</v>
      </c>
      <c r="P885" s="149">
        <f t="shared" ref="P885" si="5057">P884/P860</f>
        <v>0.42720722265571981</v>
      </c>
      <c r="Q885" s="149">
        <f t="shared" ref="Q885" si="5058">Q884/Q860</f>
        <v>0.41315089312524433</v>
      </c>
      <c r="R885" s="149">
        <f t="shared" ref="R885" si="5059">R884/R860</f>
        <v>0.50786365092758035</v>
      </c>
      <c r="S885" s="148">
        <f t="shared" ref="S885" si="5060">S884/S860</f>
        <v>0.36460447669268747</v>
      </c>
      <c r="T885" s="149">
        <f t="shared" ref="T885" si="5061">T884/T860</f>
        <v>0.16781708065566145</v>
      </c>
      <c r="U885" s="149">
        <f t="shared" ref="U885" si="5062">U884/U860</f>
        <v>0.16986390008496061</v>
      </c>
      <c r="V885" s="149">
        <f t="shared" ref="V885" si="5063">V884/V860</f>
        <v>0.29377085846232698</v>
      </c>
      <c r="W885" s="149">
        <f t="shared" ref="W885" si="5064">W884/W860</f>
        <v>0.36564248949776218</v>
      </c>
      <c r="X885" s="149">
        <f t="shared" ref="X885" si="5065">X884/X860</f>
        <v>0.35135327144757805</v>
      </c>
      <c r="Y885" s="149">
        <f t="shared" ref="Y885" si="5066">Y884/Y860</f>
        <v>0.46000659654764003</v>
      </c>
      <c r="Z885" s="149">
        <f t="shared" ref="Z885" si="5067">Z884/Z860</f>
        <v>0.44623714316167129</v>
      </c>
      <c r="AA885" s="149">
        <f t="shared" ref="AA885" si="5068">AA884/AA860</f>
        <v>0.34624038608451901</v>
      </c>
      <c r="AB885" s="149">
        <f t="shared" ref="AB885" si="5069">AB884/AB860</f>
        <v>0.36855128318697089</v>
      </c>
      <c r="AC885" s="149">
        <f t="shared" ref="AC885" si="5070">AC884/AC860</f>
        <v>0.36242866889834185</v>
      </c>
      <c r="AD885" s="150">
        <f t="shared" ref="AD885" si="5071">AD884/AD860</f>
        <v>0.48648120896006475</v>
      </c>
      <c r="AE885" s="15"/>
      <c r="AF885" s="96">
        <f t="shared" ref="AF885" si="5072">AF884/AF860</f>
        <v>0.30694607702220955</v>
      </c>
      <c r="AG885" s="97">
        <f t="shared" ref="AG885" si="5073">AG884/AG860</f>
        <v>0.35504562574808718</v>
      </c>
    </row>
    <row r="886" spans="2:34" ht="6" customHeight="1" x14ac:dyDescent="0.2">
      <c r="B886" s="9">
        <f>G848</f>
        <v>18</v>
      </c>
      <c r="C886" s="9" t="str">
        <f t="shared" si="4806"/>
        <v xml:space="preserve">18 - </v>
      </c>
      <c r="D886" s="9" t="s">
        <v>56</v>
      </c>
      <c r="G886" s="11"/>
      <c r="S886" s="11"/>
      <c r="AD886" s="15"/>
      <c r="AE886" s="15"/>
      <c r="AF886" s="11"/>
      <c r="AG886" s="15"/>
    </row>
    <row r="887" spans="2:34" x14ac:dyDescent="0.2">
      <c r="B887" s="9">
        <f>G848</f>
        <v>18</v>
      </c>
      <c r="C887" s="9" t="str">
        <f t="shared" si="4806"/>
        <v>18 - Memo:</v>
      </c>
      <c r="D887" s="9" t="s">
        <v>56</v>
      </c>
      <c r="F887" s="6" t="s">
        <v>13</v>
      </c>
      <c r="G887" s="11"/>
      <c r="S887" s="11"/>
      <c r="AD887" s="15"/>
      <c r="AE887" s="15"/>
      <c r="AF887" s="11"/>
      <c r="AG887" s="15"/>
    </row>
    <row r="888" spans="2:34" s="24" customFormat="1" x14ac:dyDescent="0.2">
      <c r="B888" s="9">
        <f>G848</f>
        <v>18</v>
      </c>
      <c r="C888" s="9" t="str">
        <f t="shared" si="4806"/>
        <v>18 - Collections</v>
      </c>
      <c r="D888" s="9" t="s">
        <v>56</v>
      </c>
      <c r="E888" s="49"/>
      <c r="F888" s="24" t="s">
        <v>15</v>
      </c>
      <c r="G888" s="169">
        <f>G889*G858</f>
        <v>301.3306447099007</v>
      </c>
      <c r="H888" s="170">
        <f t="shared" ref="H888" si="5074">H889*H858</f>
        <v>317.67196266006795</v>
      </c>
      <c r="I888" s="170">
        <f t="shared" ref="I888" si="5075">I889*I858</f>
        <v>399.8019854131926</v>
      </c>
      <c r="J888" s="170">
        <f t="shared" ref="J888" si="5076">J889*J858</f>
        <v>378.96983440570818</v>
      </c>
      <c r="K888" s="170">
        <f t="shared" ref="K888" si="5077">K889*K858</f>
        <v>320.40345331766366</v>
      </c>
      <c r="L888" s="170">
        <f t="shared" ref="L888" si="5078">L889*L858</f>
        <v>304.86027000458569</v>
      </c>
      <c r="M888" s="170">
        <f t="shared" ref="M888" si="5079">M889*M858</f>
        <v>388.33172359887311</v>
      </c>
      <c r="N888" s="170">
        <f t="shared" ref="N888" si="5080">N889*N858</f>
        <v>479.14705262191387</v>
      </c>
      <c r="O888" s="170">
        <f t="shared" ref="O888" si="5081">O889*O858</f>
        <v>429.58907575935626</v>
      </c>
      <c r="P888" s="170">
        <f t="shared" ref="P888" si="5082">P889*P858</f>
        <v>439.90591201393448</v>
      </c>
      <c r="Q888" s="170">
        <f t="shared" ref="Q888" si="5083">Q889*Q858</f>
        <v>424.56655577818839</v>
      </c>
      <c r="R888" s="170">
        <f t="shared" ref="R888" si="5084">R889*R858</f>
        <v>391.83202179858591</v>
      </c>
      <c r="S888" s="169">
        <f t="shared" ref="S888" si="5085">S889*S858</f>
        <v>424.51255028321725</v>
      </c>
      <c r="T888" s="170">
        <f t="shared" ref="T888" si="5086">T889*T858</f>
        <v>337.09692026503393</v>
      </c>
      <c r="U888" s="170">
        <f t="shared" ref="U888" si="5087">U889*U858</f>
        <v>372.56729838713284</v>
      </c>
      <c r="V888" s="170">
        <f t="shared" ref="V888" si="5088">V889*V858</f>
        <v>397.94881423725468</v>
      </c>
      <c r="W888" s="170">
        <f t="shared" ref="W888" si="5089">W889*W858</f>
        <v>454.80025602292454</v>
      </c>
      <c r="X888" s="170">
        <f t="shared" ref="X888" si="5090">X889*X858</f>
        <v>384.56029991044284</v>
      </c>
      <c r="Y888" s="170">
        <f t="shared" ref="Y888" si="5091">Y889*Y858</f>
        <v>470.34891440624818</v>
      </c>
      <c r="Z888" s="170">
        <f t="shared" ref="Z888" si="5092">Z889*Z858</f>
        <v>436.98428346513145</v>
      </c>
      <c r="AA888" s="170">
        <f t="shared" ref="AA888" si="5093">AA889*AA858</f>
        <v>405.94500078089339</v>
      </c>
      <c r="AB888" s="170">
        <f t="shared" ref="AB888" si="5094">AB889*AB858</f>
        <v>471.27952806420245</v>
      </c>
      <c r="AC888" s="170">
        <f t="shared" ref="AC888" si="5095">AC889*AC858</f>
        <v>401.29927657594135</v>
      </c>
      <c r="AD888" s="171">
        <f t="shared" ref="AD888" si="5096">AD889*AD858</f>
        <v>400.14399846585565</v>
      </c>
      <c r="AE888" s="26"/>
      <c r="AF888" s="68">
        <f>SUM(G888:R888)</f>
        <v>4576.4104920819709</v>
      </c>
      <c r="AG888" s="99">
        <f>SUM(S888:AD888)</f>
        <v>4957.4871408642775</v>
      </c>
    </row>
    <row r="889" spans="2:34" x14ac:dyDescent="0.2">
      <c r="B889" s="9">
        <f>G848</f>
        <v>18</v>
      </c>
      <c r="C889" s="9" t="str">
        <f t="shared" si="4806"/>
        <v>18 - Collections as a % of Production</v>
      </c>
      <c r="D889" s="9" t="s">
        <v>56</v>
      </c>
      <c r="F889" s="16" t="s">
        <v>17</v>
      </c>
      <c r="G889" s="140">
        <v>0.96526862515356926</v>
      </c>
      <c r="H889" s="141">
        <v>0.98063615489961253</v>
      </c>
      <c r="I889" s="141">
        <v>0.98480310039794228</v>
      </c>
      <c r="J889" s="141">
        <v>0.98065824648069011</v>
      </c>
      <c r="K889" s="141">
        <v>0.99911840272703578</v>
      </c>
      <c r="L889" s="141">
        <v>0.98317225302886457</v>
      </c>
      <c r="M889" s="141">
        <v>0.98275610743569441</v>
      </c>
      <c r="N889" s="141">
        <v>0.97489517236067613</v>
      </c>
      <c r="O889" s="141">
        <v>0.99900189378208315</v>
      </c>
      <c r="P889" s="141">
        <v>0.99835874947693137</v>
      </c>
      <c r="Q889" s="141">
        <v>0.99339620350921309</v>
      </c>
      <c r="R889" s="141">
        <v>0.98307452493039194</v>
      </c>
      <c r="S889" s="140">
        <v>0.96758654531275523</v>
      </c>
      <c r="T889" s="141">
        <v>0.97005349989642031</v>
      </c>
      <c r="U889" s="141">
        <v>0.9925184364234001</v>
      </c>
      <c r="V889" s="141">
        <v>0.98266900362017595</v>
      </c>
      <c r="W889" s="141">
        <v>0.99686336617713422</v>
      </c>
      <c r="X889" s="141">
        <v>0.97210422906567762</v>
      </c>
      <c r="Y889" s="141">
        <v>0.97114970503756493</v>
      </c>
      <c r="Z889" s="141">
        <v>0.97027785515520104</v>
      </c>
      <c r="AA889" s="141">
        <v>0.99635424408293205</v>
      </c>
      <c r="AB889" s="141">
        <v>0.97664167628931131</v>
      </c>
      <c r="AC889" s="141">
        <v>0.99686890962177144</v>
      </c>
      <c r="AD889" s="142">
        <v>0.97367262376195174</v>
      </c>
      <c r="AE889" s="15"/>
      <c r="AF889" s="96">
        <f t="shared" ref="AF889" si="5097">AF888/AF858</f>
        <v>0.98575499125323995</v>
      </c>
      <c r="AG889" s="97">
        <f t="shared" ref="AG889" si="5098">AG888/AG858</f>
        <v>0.98039859126351636</v>
      </c>
    </row>
    <row r="890" spans="2:34" ht="6" customHeight="1" x14ac:dyDescent="0.2">
      <c r="B890" s="9">
        <f>G848</f>
        <v>18</v>
      </c>
      <c r="C890" s="9" t="str">
        <f t="shared" si="4806"/>
        <v xml:space="preserve">18 - </v>
      </c>
      <c r="D890" s="9" t="s">
        <v>56</v>
      </c>
      <c r="F890" s="27"/>
      <c r="R890" s="15"/>
      <c r="AD890" s="15"/>
      <c r="AE890" s="15"/>
      <c r="AF890" s="11"/>
      <c r="AG890" s="15"/>
    </row>
    <row r="891" spans="2:34" s="24" customFormat="1" x14ac:dyDescent="0.2">
      <c r="B891" s="9">
        <f>G848</f>
        <v>18</v>
      </c>
      <c r="C891" s="9" t="str">
        <f t="shared" si="4806"/>
        <v>18 - Production per Vet Workday - YoY Change</v>
      </c>
      <c r="D891" s="9" t="s">
        <v>56</v>
      </c>
      <c r="E891" s="49"/>
      <c r="F891" s="24" t="s">
        <v>55</v>
      </c>
      <c r="G891" s="88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151">
        <f>S857/G857-1</f>
        <v>8.2348646003851389E-3</v>
      </c>
      <c r="T891" s="152">
        <f t="shared" ref="T891" si="5099">T857/H857-1</f>
        <v>2.3964090790267845E-2</v>
      </c>
      <c r="U891" s="152">
        <f t="shared" ref="U891" si="5100">U857/I857-1</f>
        <v>8.6933820820422891E-3</v>
      </c>
      <c r="V891" s="152">
        <f t="shared" ref="V891" si="5101">V857/J857-1</f>
        <v>2.9849261452552511E-4</v>
      </c>
      <c r="W891" s="152">
        <f t="shared" ref="W891" si="5102">W857/K857-1</f>
        <v>-9.1070561959290752E-2</v>
      </c>
      <c r="X891" s="152">
        <f t="shared" ref="X891" si="5103">X857/L857-1</f>
        <v>-6.8468208750658288E-2</v>
      </c>
      <c r="Y891" s="152">
        <f t="shared" ref="Y891" si="5104">Y857/M857-1</f>
        <v>-0.12070834256695528</v>
      </c>
      <c r="Z891" s="152">
        <f t="shared" ref="Z891" si="5105">Z857/N857-1</f>
        <v>-4.381439248233876E-2</v>
      </c>
      <c r="AA891" s="152">
        <f t="shared" ref="AA891" si="5106">AA857/O857-1</f>
        <v>-7.4100102701097903E-3</v>
      </c>
      <c r="AB891" s="152">
        <f t="shared" ref="AB891" si="5107">AB857/P857-1</f>
        <v>3.8795115494454357E-3</v>
      </c>
      <c r="AC891" s="152">
        <f t="shared" ref="AC891" si="5108">AC857/Q857-1</f>
        <v>-1.5281276155691192E-2</v>
      </c>
      <c r="AD891" s="153">
        <f t="shared" ref="AD891" si="5109">AD857/R857-1</f>
        <v>3.1074070166762668E-2</v>
      </c>
      <c r="AF891" s="43"/>
      <c r="AG891" s="104">
        <f>AG857/AF857-1</f>
        <v>-9.2400873779830972E-3</v>
      </c>
    </row>
    <row r="892" spans="2:34" s="24" customFormat="1" ht="6" customHeight="1" x14ac:dyDescent="0.2">
      <c r="D892" s="9" t="s">
        <v>56</v>
      </c>
      <c r="E892" s="49"/>
      <c r="G892" s="28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29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29"/>
      <c r="AE892" s="25"/>
      <c r="AF892" s="28"/>
      <c r="AG892" s="29"/>
    </row>
    <row r="893" spans="2:34" s="24" customFormat="1" ht="6" customHeight="1" x14ac:dyDescent="0.2">
      <c r="D893" s="9" t="s">
        <v>56</v>
      </c>
      <c r="E893" s="49"/>
    </row>
    <row r="894" spans="2:34" x14ac:dyDescent="0.2">
      <c r="D894" s="9" t="s">
        <v>56</v>
      </c>
      <c r="F894" s="16"/>
    </row>
    <row r="895" spans="2:34" ht="15.75" thickBot="1" x14ac:dyDescent="0.4">
      <c r="B895" s="35" t="s">
        <v>52</v>
      </c>
      <c r="C895" s="35"/>
      <c r="D895" s="9" t="s">
        <v>56</v>
      </c>
      <c r="E895" s="48" t="s">
        <v>0</v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74">
        <f ca="1">AG$2</f>
        <v>45999</v>
      </c>
      <c r="AH895" s="1"/>
    </row>
    <row r="896" spans="2:34" x14ac:dyDescent="0.2">
      <c r="B896" s="9">
        <f>G897</f>
        <v>19</v>
      </c>
      <c r="C896" s="9"/>
      <c r="D896" s="9" t="s">
        <v>56</v>
      </c>
      <c r="F896" t="s">
        <v>159</v>
      </c>
      <c r="AG896" s="6" t="s">
        <v>16</v>
      </c>
    </row>
    <row r="897" spans="2:33" x14ac:dyDescent="0.2">
      <c r="B897" s="9">
        <f>G897</f>
        <v>19</v>
      </c>
      <c r="C897" s="9"/>
      <c r="D897" s="9" t="s">
        <v>56</v>
      </c>
      <c r="F897" s="40" t="s">
        <v>53</v>
      </c>
      <c r="G897" s="42">
        <v>19</v>
      </c>
    </row>
    <row r="898" spans="2:33" x14ac:dyDescent="0.2">
      <c r="B898" s="9">
        <f>G897</f>
        <v>19</v>
      </c>
      <c r="C898" s="9"/>
      <c r="D898" s="9" t="s">
        <v>56</v>
      </c>
      <c r="F898" s="39" t="s">
        <v>36</v>
      </c>
      <c r="G898" s="41"/>
      <c r="H898" s="11"/>
    </row>
    <row r="899" spans="2:33" x14ac:dyDescent="0.2">
      <c r="B899" s="9">
        <f>G897</f>
        <v>19</v>
      </c>
      <c r="C899" s="9"/>
      <c r="D899" s="9" t="s">
        <v>56</v>
      </c>
      <c r="G899" s="23"/>
    </row>
    <row r="900" spans="2:33" x14ac:dyDescent="0.2">
      <c r="B900" s="9">
        <f>G897</f>
        <v>19</v>
      </c>
      <c r="C900" s="9"/>
      <c r="D900" s="9" t="s">
        <v>56</v>
      </c>
      <c r="G900" s="20">
        <v>2023</v>
      </c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2"/>
      <c r="S900" s="20">
        <v>2024</v>
      </c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2"/>
      <c r="AF900" s="17" t="s">
        <v>14</v>
      </c>
      <c r="AG900" s="18"/>
    </row>
    <row r="901" spans="2:33" ht="15" customHeight="1" x14ac:dyDescent="0.35">
      <c r="B901" s="9">
        <f>G897</f>
        <v>19</v>
      </c>
      <c r="C901" s="9"/>
      <c r="D901" s="9" t="s">
        <v>56</v>
      </c>
      <c r="G901" s="165">
        <v>44957</v>
      </c>
      <c r="H901" s="166">
        <v>44985</v>
      </c>
      <c r="I901" s="166">
        <v>45016</v>
      </c>
      <c r="J901" s="166">
        <v>45046</v>
      </c>
      <c r="K901" s="166">
        <v>45077</v>
      </c>
      <c r="L901" s="166">
        <v>45107</v>
      </c>
      <c r="M901" s="166">
        <v>45138</v>
      </c>
      <c r="N901" s="166">
        <v>45169</v>
      </c>
      <c r="O901" s="166">
        <v>45199</v>
      </c>
      <c r="P901" s="166">
        <v>45230</v>
      </c>
      <c r="Q901" s="166">
        <v>45260</v>
      </c>
      <c r="R901" s="167">
        <v>45291</v>
      </c>
      <c r="S901" s="165">
        <v>45322</v>
      </c>
      <c r="T901" s="166">
        <v>45351</v>
      </c>
      <c r="U901" s="166">
        <v>45382</v>
      </c>
      <c r="V901" s="166">
        <v>45412</v>
      </c>
      <c r="W901" s="166">
        <v>45443</v>
      </c>
      <c r="X901" s="166">
        <v>45473</v>
      </c>
      <c r="Y901" s="166">
        <v>45504</v>
      </c>
      <c r="Z901" s="166">
        <v>45535</v>
      </c>
      <c r="AA901" s="166">
        <v>45565</v>
      </c>
      <c r="AB901" s="166">
        <v>45596</v>
      </c>
      <c r="AC901" s="166">
        <v>45626</v>
      </c>
      <c r="AD901" s="167">
        <v>45657</v>
      </c>
      <c r="AE901" s="168"/>
      <c r="AF901" s="13">
        <v>45291</v>
      </c>
      <c r="AG901" s="14">
        <v>45657</v>
      </c>
    </row>
    <row r="902" spans="2:33" ht="0.95" customHeight="1" x14ac:dyDescent="0.2">
      <c r="B902" s="9">
        <f>G897</f>
        <v>19</v>
      </c>
      <c r="C902" s="9"/>
      <c r="D902" s="9" t="s">
        <v>56</v>
      </c>
      <c r="G902" s="11"/>
      <c r="S902" s="11"/>
      <c r="AD902" s="15"/>
      <c r="AE902" s="15"/>
      <c r="AF902" s="11"/>
      <c r="AG902" s="15"/>
    </row>
    <row r="903" spans="2:33" x14ac:dyDescent="0.2">
      <c r="B903" s="9">
        <f>G897</f>
        <v>19</v>
      </c>
      <c r="C903" s="9" t="str">
        <f>B903&amp;" - "&amp;F903</f>
        <v>19 - Employed Vets</v>
      </c>
      <c r="D903" s="9" t="s">
        <v>56</v>
      </c>
      <c r="F903" s="7" t="s">
        <v>160</v>
      </c>
      <c r="G903" s="121">
        <v>4</v>
      </c>
      <c r="H903" s="154">
        <f>MAX(MIN(IF(H906/G906&gt;1.1,G903-1,IF(H906/G906&lt;0.9,G903+1,G903)),5),1)</f>
        <v>3</v>
      </c>
      <c r="I903" s="154">
        <f t="shared" ref="I903:AD903" si="5110">MAX(MIN(IF(I906/H906&gt;1.1,H903-1,IF(I906/H906&lt;0.9,H903+1,H903)),5),1)</f>
        <v>3</v>
      </c>
      <c r="J903" s="154">
        <f t="shared" si="5110"/>
        <v>3</v>
      </c>
      <c r="K903" s="154">
        <f t="shared" si="5110"/>
        <v>3</v>
      </c>
      <c r="L903" s="154">
        <f t="shared" si="5110"/>
        <v>3</v>
      </c>
      <c r="M903" s="154">
        <f t="shared" si="5110"/>
        <v>3</v>
      </c>
      <c r="N903" s="154">
        <f t="shared" si="5110"/>
        <v>4</v>
      </c>
      <c r="O903" s="154">
        <f t="shared" si="5110"/>
        <v>4</v>
      </c>
      <c r="P903" s="154">
        <f t="shared" si="5110"/>
        <v>4</v>
      </c>
      <c r="Q903" s="154">
        <f t="shared" si="5110"/>
        <v>5</v>
      </c>
      <c r="R903" s="154">
        <f t="shared" si="5110"/>
        <v>5</v>
      </c>
      <c r="S903" s="155">
        <f t="shared" si="5110"/>
        <v>4</v>
      </c>
      <c r="T903" s="154">
        <f t="shared" si="5110"/>
        <v>3</v>
      </c>
      <c r="U903" s="154">
        <f t="shared" si="5110"/>
        <v>3</v>
      </c>
      <c r="V903" s="154">
        <f t="shared" si="5110"/>
        <v>3</v>
      </c>
      <c r="W903" s="154">
        <f t="shared" si="5110"/>
        <v>2</v>
      </c>
      <c r="X903" s="154">
        <f t="shared" si="5110"/>
        <v>2</v>
      </c>
      <c r="Y903" s="154">
        <f t="shared" si="5110"/>
        <v>2</v>
      </c>
      <c r="Z903" s="154">
        <f t="shared" si="5110"/>
        <v>3</v>
      </c>
      <c r="AA903" s="154">
        <f t="shared" si="5110"/>
        <v>3</v>
      </c>
      <c r="AB903" s="154">
        <f t="shared" si="5110"/>
        <v>3</v>
      </c>
      <c r="AC903" s="154">
        <f t="shared" si="5110"/>
        <v>4</v>
      </c>
      <c r="AD903" s="156">
        <f t="shared" si="5110"/>
        <v>5</v>
      </c>
      <c r="AE903" s="15"/>
      <c r="AF903" s="90">
        <f>AVERAGE(G903:R903)</f>
        <v>3.6666666666666665</v>
      </c>
      <c r="AG903" s="91">
        <f>AVERAGE(S903:AD903)</f>
        <v>3.0833333333333335</v>
      </c>
    </row>
    <row r="904" spans="2:33" x14ac:dyDescent="0.2">
      <c r="B904" s="9">
        <f>G897</f>
        <v>19</v>
      </c>
      <c r="C904" s="9" t="str">
        <f t="shared" ref="C904:C940" si="5111">B904&amp;" - "&amp;F904</f>
        <v>19 - Workdays in Month / Year</v>
      </c>
      <c r="D904" s="9" t="s">
        <v>56</v>
      </c>
      <c r="F904" s="7" t="s">
        <v>54</v>
      </c>
      <c r="G904" s="121">
        <v>22</v>
      </c>
      <c r="H904" s="124">
        <v>21</v>
      </c>
      <c r="I904" s="124">
        <v>24</v>
      </c>
      <c r="J904" s="122">
        <v>21</v>
      </c>
      <c r="K904" s="122">
        <v>23</v>
      </c>
      <c r="L904" s="122">
        <v>23</v>
      </c>
      <c r="M904" s="122">
        <v>22</v>
      </c>
      <c r="N904" s="122">
        <v>24</v>
      </c>
      <c r="O904" s="122">
        <v>22</v>
      </c>
      <c r="P904" s="122">
        <v>22</v>
      </c>
      <c r="Q904" s="122">
        <v>23</v>
      </c>
      <c r="R904" s="122">
        <v>22</v>
      </c>
      <c r="S904" s="121">
        <v>23</v>
      </c>
      <c r="T904" s="122">
        <v>22</v>
      </c>
      <c r="U904" s="122">
        <v>22</v>
      </c>
      <c r="V904" s="122">
        <v>22</v>
      </c>
      <c r="W904" s="122">
        <v>24</v>
      </c>
      <c r="X904" s="122">
        <v>21</v>
      </c>
      <c r="Y904" s="122">
        <v>23</v>
      </c>
      <c r="Z904" s="122">
        <v>23</v>
      </c>
      <c r="AA904" s="122">
        <v>21</v>
      </c>
      <c r="AB904" s="122">
        <v>24</v>
      </c>
      <c r="AC904" s="122">
        <v>22</v>
      </c>
      <c r="AD904" s="123">
        <v>22</v>
      </c>
      <c r="AE904" s="15"/>
      <c r="AF904" s="144">
        <v>269</v>
      </c>
      <c r="AG904" s="145">
        <v>269</v>
      </c>
    </row>
    <row r="905" spans="2:33" x14ac:dyDescent="0.2">
      <c r="B905" s="9">
        <f>G897</f>
        <v>19</v>
      </c>
      <c r="C905" s="9" t="str">
        <f t="shared" si="5111"/>
        <v>19 - Total Vet Days</v>
      </c>
      <c r="D905" s="9" t="s">
        <v>56</v>
      </c>
      <c r="F905" s="8" t="s">
        <v>51</v>
      </c>
      <c r="G905" s="125">
        <f>G903*G904</f>
        <v>88</v>
      </c>
      <c r="H905" s="126">
        <f t="shared" ref="H905" si="5112">H903*H904</f>
        <v>63</v>
      </c>
      <c r="I905" s="126">
        <f t="shared" ref="I905" si="5113">I903*I904</f>
        <v>72</v>
      </c>
      <c r="J905" s="127">
        <f t="shared" ref="J905" si="5114">J903*J904</f>
        <v>63</v>
      </c>
      <c r="K905" s="127">
        <f t="shared" ref="K905" si="5115">K903*K904</f>
        <v>69</v>
      </c>
      <c r="L905" s="127">
        <f t="shared" ref="L905" si="5116">L903*L904</f>
        <v>69</v>
      </c>
      <c r="M905" s="127">
        <f t="shared" ref="M905" si="5117">M903*M904</f>
        <v>66</v>
      </c>
      <c r="N905" s="127">
        <f t="shared" ref="N905" si="5118">N903*N904</f>
        <v>96</v>
      </c>
      <c r="O905" s="127">
        <f t="shared" ref="O905" si="5119">O903*O904</f>
        <v>88</v>
      </c>
      <c r="P905" s="127">
        <f t="shared" ref="P905" si="5120">P903*P904</f>
        <v>88</v>
      </c>
      <c r="Q905" s="127">
        <f t="shared" ref="Q905" si="5121">Q903*Q904</f>
        <v>115</v>
      </c>
      <c r="R905" s="127">
        <f t="shared" ref="R905" si="5122">R903*R904</f>
        <v>110</v>
      </c>
      <c r="S905" s="125">
        <f t="shared" ref="S905" si="5123">S903*S904</f>
        <v>92</v>
      </c>
      <c r="T905" s="127">
        <f t="shared" ref="T905" si="5124">T903*T904</f>
        <v>66</v>
      </c>
      <c r="U905" s="127">
        <f t="shared" ref="U905" si="5125">U903*U904</f>
        <v>66</v>
      </c>
      <c r="V905" s="127">
        <f t="shared" ref="V905" si="5126">V903*V904</f>
        <v>66</v>
      </c>
      <c r="W905" s="127">
        <f t="shared" ref="W905" si="5127">W903*W904</f>
        <v>48</v>
      </c>
      <c r="X905" s="127">
        <f t="shared" ref="X905" si="5128">X903*X904</f>
        <v>42</v>
      </c>
      <c r="Y905" s="127">
        <f t="shared" ref="Y905" si="5129">Y903*Y904</f>
        <v>46</v>
      </c>
      <c r="Z905" s="127">
        <f t="shared" ref="Z905" si="5130">Z903*Z904</f>
        <v>69</v>
      </c>
      <c r="AA905" s="127">
        <f t="shared" ref="AA905" si="5131">AA903*AA904</f>
        <v>63</v>
      </c>
      <c r="AB905" s="127">
        <f t="shared" ref="AB905" si="5132">AB903*AB904</f>
        <v>72</v>
      </c>
      <c r="AC905" s="127">
        <f t="shared" ref="AC905" si="5133">AC903*AC904</f>
        <v>88</v>
      </c>
      <c r="AD905" s="128">
        <f t="shared" ref="AD905" si="5134">AD903*AD904</f>
        <v>110</v>
      </c>
      <c r="AF905" s="119">
        <f>SUM(G905:R905)</f>
        <v>987</v>
      </c>
      <c r="AG905" s="120">
        <f>SUM(S905:AD905)</f>
        <v>828</v>
      </c>
    </row>
    <row r="906" spans="2:33" x14ac:dyDescent="0.2">
      <c r="B906" s="9">
        <f>G897</f>
        <v>19</v>
      </c>
      <c r="C906" s="9" t="str">
        <f t="shared" si="5111"/>
        <v>19 - Production per Vet Workday</v>
      </c>
      <c r="D906" s="9" t="s">
        <v>56</v>
      </c>
      <c r="F906" s="7" t="s">
        <v>50</v>
      </c>
      <c r="G906" s="129">
        <v>4.2706749476564978</v>
      </c>
      <c r="H906" s="130">
        <v>4.7259334499947538</v>
      </c>
      <c r="I906" s="130">
        <v>5.1203920272056962</v>
      </c>
      <c r="J906" s="130">
        <v>5.5877622542452396</v>
      </c>
      <c r="K906" s="130">
        <v>6.0919019328435464</v>
      </c>
      <c r="L906" s="130">
        <v>5.8612484528881792</v>
      </c>
      <c r="M906" s="130">
        <v>5.4362141671746489</v>
      </c>
      <c r="N906" s="130">
        <v>4.6931457028639585</v>
      </c>
      <c r="O906" s="130">
        <v>4.5802875302004784</v>
      </c>
      <c r="P906" s="130">
        <v>4.6303586517369046</v>
      </c>
      <c r="Q906" s="130">
        <v>3.9184181591317966</v>
      </c>
      <c r="R906" s="130">
        <v>3.2487233352479086</v>
      </c>
      <c r="S906" s="129">
        <v>4.5031527942006138</v>
      </c>
      <c r="T906" s="130">
        <v>4.9951875295996455</v>
      </c>
      <c r="U906" s="130">
        <v>5.3351624885590727</v>
      </c>
      <c r="V906" s="130">
        <v>5.5014199550900695</v>
      </c>
      <c r="W906" s="130">
        <v>6.1881784316305568</v>
      </c>
      <c r="X906" s="130">
        <v>5.9393388197184684</v>
      </c>
      <c r="Y906" s="130">
        <v>5.5292130232455854</v>
      </c>
      <c r="Z906" s="130">
        <v>4.9156282040303259</v>
      </c>
      <c r="AA906" s="130">
        <v>4.8263591894621385</v>
      </c>
      <c r="AB906" s="130">
        <v>4.6260495102499721</v>
      </c>
      <c r="AC906" s="130">
        <v>4.1454414864407463</v>
      </c>
      <c r="AD906" s="131">
        <v>3.3656574661961685</v>
      </c>
      <c r="AE906" s="15"/>
      <c r="AF906" s="132">
        <v>4.8506181477581203</v>
      </c>
      <c r="AG906" s="133">
        <v>4.9924464968824198</v>
      </c>
    </row>
    <row r="907" spans="2:33" x14ac:dyDescent="0.2">
      <c r="B907" s="9">
        <f>G897</f>
        <v>19</v>
      </c>
      <c r="C907" s="9" t="str">
        <f t="shared" si="5111"/>
        <v>19 - Total Production</v>
      </c>
      <c r="D907" s="9" t="s">
        <v>56</v>
      </c>
      <c r="F907" s="8" t="s">
        <v>1</v>
      </c>
      <c r="G907" s="134">
        <f>G906*G905</f>
        <v>375.8193953937718</v>
      </c>
      <c r="H907" s="135">
        <f t="shared" ref="H907" si="5135">H906*H905</f>
        <v>297.73380734966952</v>
      </c>
      <c r="I907" s="135">
        <f t="shared" ref="I907" si="5136">I906*I905</f>
        <v>368.66822595881013</v>
      </c>
      <c r="J907" s="135">
        <f t="shared" ref="J907" si="5137">J906*J905</f>
        <v>352.02902201745007</v>
      </c>
      <c r="K907" s="135">
        <f t="shared" ref="K907" si="5138">K906*K905</f>
        <v>420.34123336620468</v>
      </c>
      <c r="L907" s="135">
        <f t="shared" ref="L907" si="5139">L906*L905</f>
        <v>404.42614324928434</v>
      </c>
      <c r="M907" s="135">
        <f t="shared" ref="M907" si="5140">M906*M905</f>
        <v>358.79013503352684</v>
      </c>
      <c r="N907" s="135">
        <f t="shared" ref="N907" si="5141">N906*N905</f>
        <v>450.54198747494002</v>
      </c>
      <c r="O907" s="135">
        <f t="shared" ref="O907" si="5142">O906*O905</f>
        <v>403.06530265764212</v>
      </c>
      <c r="P907" s="135">
        <f t="shared" ref="P907" si="5143">P906*P905</f>
        <v>407.47156135284763</v>
      </c>
      <c r="Q907" s="135">
        <f t="shared" ref="Q907" si="5144">Q906*Q905</f>
        <v>450.61808830015661</v>
      </c>
      <c r="R907" s="135">
        <f t="shared" ref="R907" si="5145">R906*R905</f>
        <v>357.35956687726997</v>
      </c>
      <c r="S907" s="134">
        <f t="shared" ref="S907" si="5146">S906*S905</f>
        <v>414.29005706645648</v>
      </c>
      <c r="T907" s="135">
        <f t="shared" ref="T907" si="5147">T906*T905</f>
        <v>329.68237695357658</v>
      </c>
      <c r="U907" s="135">
        <f t="shared" ref="U907" si="5148">U906*U905</f>
        <v>352.12072424489878</v>
      </c>
      <c r="V907" s="135">
        <f t="shared" ref="V907" si="5149">V906*V905</f>
        <v>363.09371703594456</v>
      </c>
      <c r="W907" s="135">
        <f t="shared" ref="W907" si="5150">W906*W905</f>
        <v>297.03256471826671</v>
      </c>
      <c r="X907" s="135">
        <f t="shared" ref="X907" si="5151">X906*X905</f>
        <v>249.45223042817568</v>
      </c>
      <c r="Y907" s="135">
        <f t="shared" ref="Y907" si="5152">Y906*Y905</f>
        <v>254.34379906929692</v>
      </c>
      <c r="Z907" s="135">
        <f t="shared" ref="Z907" si="5153">Z906*Z905</f>
        <v>339.17834607809249</v>
      </c>
      <c r="AA907" s="135">
        <f t="shared" ref="AA907" si="5154">AA906*AA905</f>
        <v>304.06062893611471</v>
      </c>
      <c r="AB907" s="135">
        <f t="shared" ref="AB907" si="5155">AB906*AB905</f>
        <v>333.07556473799798</v>
      </c>
      <c r="AC907" s="135">
        <f t="shared" ref="AC907" si="5156">AC906*AC905</f>
        <v>364.79885080678565</v>
      </c>
      <c r="AD907" s="136">
        <f t="shared" ref="AD907" si="5157">AD906*AD905</f>
        <v>370.2223212815785</v>
      </c>
      <c r="AE907" s="15"/>
      <c r="AF907" s="94">
        <f>SUM(G907:R907)</f>
        <v>4646.8644690315732</v>
      </c>
      <c r="AG907" s="95">
        <f>SUM(S907:AD907)</f>
        <v>3971.3511813571849</v>
      </c>
    </row>
    <row r="908" spans="2:33" x14ac:dyDescent="0.2">
      <c r="B908" s="9">
        <f>G897</f>
        <v>19</v>
      </c>
      <c r="C908" s="9" t="str">
        <f t="shared" si="5111"/>
        <v>19 - Revenue as a % of Production</v>
      </c>
      <c r="D908" s="9" t="s">
        <v>56</v>
      </c>
      <c r="F908" s="7" t="s">
        <v>2</v>
      </c>
      <c r="G908" s="137">
        <v>0.97360526580716122</v>
      </c>
      <c r="H908" s="138">
        <v>0.97360526580716122</v>
      </c>
      <c r="I908" s="138">
        <v>0.97360526580716122</v>
      </c>
      <c r="J908" s="138">
        <v>0.97360526580716122</v>
      </c>
      <c r="K908" s="138">
        <v>0.97360526580716122</v>
      </c>
      <c r="L908" s="138">
        <v>0.97360526580716122</v>
      </c>
      <c r="M908" s="138">
        <v>0.97360526580716122</v>
      </c>
      <c r="N908" s="138">
        <v>0.97360526580716122</v>
      </c>
      <c r="O908" s="138">
        <v>0.97360526580716122</v>
      </c>
      <c r="P908" s="138">
        <v>0.97360526580716122</v>
      </c>
      <c r="Q908" s="138">
        <v>0.97360526580716122</v>
      </c>
      <c r="R908" s="138">
        <v>0.97360526580716122</v>
      </c>
      <c r="S908" s="137">
        <v>0.98110022738850367</v>
      </c>
      <c r="T908" s="138">
        <v>0.98110022738850367</v>
      </c>
      <c r="U908" s="138">
        <v>0.98110022738850367</v>
      </c>
      <c r="V908" s="138">
        <v>0.98110022738850367</v>
      </c>
      <c r="W908" s="138">
        <v>0.98110022738850367</v>
      </c>
      <c r="X908" s="138">
        <v>0.98110022738850367</v>
      </c>
      <c r="Y908" s="138">
        <v>0.98110022738850367</v>
      </c>
      <c r="Z908" s="138">
        <v>0.98110022738850367</v>
      </c>
      <c r="AA908" s="138">
        <v>0.98110022738850367</v>
      </c>
      <c r="AB908" s="138">
        <v>0.98110022738850367</v>
      </c>
      <c r="AC908" s="138">
        <v>0.98110022738850367</v>
      </c>
      <c r="AD908" s="139">
        <v>0.98110022738850367</v>
      </c>
      <c r="AE908" s="15"/>
      <c r="AF908" s="161">
        <v>0.97360526580716111</v>
      </c>
      <c r="AG908" s="162">
        <v>0.98110022738850378</v>
      </c>
    </row>
    <row r="909" spans="2:33" x14ac:dyDescent="0.2">
      <c r="B909" s="9">
        <f>G897</f>
        <v>19</v>
      </c>
      <c r="C909" s="9" t="str">
        <f t="shared" si="5111"/>
        <v>19 - Total Revenue</v>
      </c>
      <c r="D909" s="9" t="s">
        <v>56</v>
      </c>
      <c r="F909" s="8" t="s">
        <v>3</v>
      </c>
      <c r="G909" s="134">
        <f>G908*G907</f>
        <v>365.89974234783983</v>
      </c>
      <c r="H909" s="135">
        <f t="shared" ref="H909" si="5158">H908*H907</f>
        <v>289.87520264445311</v>
      </c>
      <c r="I909" s="135">
        <f t="shared" ref="I909" si="5159">I908*I907</f>
        <v>358.93732612928193</v>
      </c>
      <c r="J909" s="135">
        <f t="shared" ref="J909" si="5160">J908*J907</f>
        <v>342.73730955313448</v>
      </c>
      <c r="K909" s="135">
        <f t="shared" ref="K909" si="5161">K908*K907</f>
        <v>409.2464382412137</v>
      </c>
      <c r="L909" s="135">
        <f t="shared" ref="L909" si="5162">L908*L907</f>
        <v>393.75142269758453</v>
      </c>
      <c r="M909" s="135">
        <f t="shared" ref="M909" si="5163">M908*M907</f>
        <v>349.31996478830416</v>
      </c>
      <c r="N909" s="135">
        <f t="shared" ref="N909" si="5164">N908*N907</f>
        <v>438.65005147282568</v>
      </c>
      <c r="O909" s="135">
        <f t="shared" ref="O909" si="5165">O908*O907</f>
        <v>392.42650113163756</v>
      </c>
      <c r="P909" s="135">
        <f t="shared" ref="P909" si="5166">P908*P907</f>
        <v>396.71645779979821</v>
      </c>
      <c r="Q909" s="135">
        <f t="shared" ref="Q909" si="5167">Q908*Q907</f>
        <v>438.72414363698886</v>
      </c>
      <c r="R909" s="135">
        <f t="shared" ref="R909" si="5168">R908*R907</f>
        <v>347.92715609827644</v>
      </c>
      <c r="S909" s="134">
        <f t="shared" ref="S909" si="5169">S908*S907</f>
        <v>406.46006919269661</v>
      </c>
      <c r="T909" s="135">
        <f t="shared" ref="T909" si="5170">T908*T907</f>
        <v>323.45145499513637</v>
      </c>
      <c r="U909" s="135">
        <f t="shared" ref="U909" si="5171">U908*U907</f>
        <v>345.46572262487479</v>
      </c>
      <c r="V909" s="135">
        <f t="shared" ref="V909" si="5172">V908*V907</f>
        <v>356.23132834730222</v>
      </c>
      <c r="W909" s="135">
        <f t="shared" ref="W909" si="5173">W908*W907</f>
        <v>291.41871678688193</v>
      </c>
      <c r="X909" s="135">
        <f t="shared" ref="X909" si="5174">X908*X907</f>
        <v>244.73763999565259</v>
      </c>
      <c r="Y909" s="135">
        <f t="shared" ref="Y909" si="5175">Y908*Y907</f>
        <v>249.53675910174309</v>
      </c>
      <c r="Z909" s="135">
        <f t="shared" ref="Z909" si="5176">Z908*Z907</f>
        <v>332.76795246247315</v>
      </c>
      <c r="AA909" s="135">
        <f t="shared" ref="AA909" si="5177">AA908*AA907</f>
        <v>298.31395218911359</v>
      </c>
      <c r="AB909" s="135">
        <f t="shared" ref="AB909" si="5178">AB908*AB907</f>
        <v>326.78051230200407</v>
      </c>
      <c r="AC909" s="135">
        <f t="shared" ref="AC909" si="5179">AC908*AC907</f>
        <v>357.90423547760224</v>
      </c>
      <c r="AD909" s="136">
        <f t="shared" ref="AD909" si="5180">AD908*AD907</f>
        <v>363.22520359365632</v>
      </c>
      <c r="AE909" s="15"/>
      <c r="AF909" s="94">
        <f>SUM(G909:R909)</f>
        <v>4524.2117165413383</v>
      </c>
      <c r="AG909" s="95">
        <f>SUM(S909:AD909)</f>
        <v>3896.2935470691373</v>
      </c>
    </row>
    <row r="910" spans="2:33" x14ac:dyDescent="0.2">
      <c r="B910" s="9">
        <f>G897</f>
        <v>19</v>
      </c>
      <c r="C910" s="9" t="str">
        <f t="shared" si="5111"/>
        <v>19 - % YoY Revenue Growth</v>
      </c>
      <c r="D910" s="9" t="s">
        <v>56</v>
      </c>
      <c r="F910" s="16" t="s">
        <v>174</v>
      </c>
      <c r="G910" s="82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148">
        <f>S909/G909-1</f>
        <v>0.11085093032478399</v>
      </c>
      <c r="T910" s="149">
        <f t="shared" ref="T910" si="5181">T909/H909-1</f>
        <v>0.11583002631607053</v>
      </c>
      <c r="U910" s="149">
        <f t="shared" ref="U910" si="5182">U909/I909-1</f>
        <v>-3.7531910235367838E-2</v>
      </c>
      <c r="V910" s="149">
        <f t="shared" ref="V910" si="5183">V909/J909-1</f>
        <v>3.9371315634593174E-2</v>
      </c>
      <c r="W910" s="149">
        <f t="shared" ref="W910" si="5184">W909/K909-1</f>
        <v>-0.28791385933793512</v>
      </c>
      <c r="X910" s="149">
        <f t="shared" ref="X910" si="5185">X909/L909-1</f>
        <v>-0.3784463346977669</v>
      </c>
      <c r="Y910" s="149">
        <f t="shared" ref="Y910" si="5186">Y909/M909-1</f>
        <v>-0.28564987903577732</v>
      </c>
      <c r="Z910" s="149">
        <f t="shared" ref="Z910" si="5187">Z909/N909-1</f>
        <v>-0.24138170884703958</v>
      </c>
      <c r="AA910" s="149">
        <f t="shared" ref="AA910" si="5188">AA909/O909-1</f>
        <v>-0.23982210342862231</v>
      </c>
      <c r="AB910" s="149">
        <f t="shared" ref="AB910" si="5189">AB909/P909-1</f>
        <v>-0.17628697807411642</v>
      </c>
      <c r="AC910" s="149">
        <f t="shared" ref="AC910" si="5190">AC909/Q909-1</f>
        <v>-0.18421577506402065</v>
      </c>
      <c r="AD910" s="150">
        <f t="shared" ref="AD910" si="5191">AD909/R909-1</f>
        <v>4.3969110278528456E-2</v>
      </c>
      <c r="AE910" s="15"/>
      <c r="AF910" s="11"/>
      <c r="AG910" s="97">
        <f>AG909/AF909-1</f>
        <v>-0.13879062449186863</v>
      </c>
    </row>
    <row r="911" spans="2:33" ht="6" customHeight="1" x14ac:dyDescent="0.2">
      <c r="B911" s="9">
        <f>G897</f>
        <v>19</v>
      </c>
      <c r="C911" s="9" t="str">
        <f t="shared" si="5111"/>
        <v xml:space="preserve">19 - </v>
      </c>
      <c r="D911" s="9" t="s">
        <v>56</v>
      </c>
      <c r="G911" s="11"/>
      <c r="S911" s="11"/>
      <c r="AD911" s="15"/>
      <c r="AE911" s="15"/>
      <c r="AF911" s="11"/>
      <c r="AG911" s="15"/>
    </row>
    <row r="912" spans="2:33" x14ac:dyDescent="0.2">
      <c r="B912" s="9">
        <f>G897</f>
        <v>19</v>
      </c>
      <c r="C912" s="9" t="str">
        <f t="shared" si="5111"/>
        <v>19 - Doctor Compensation</v>
      </c>
      <c r="D912" s="9" t="s">
        <v>56</v>
      </c>
      <c r="F912" t="s">
        <v>4</v>
      </c>
      <c r="G912" s="144">
        <v>-106.68603636600317</v>
      </c>
      <c r="H912" s="70">
        <v>-109.67156409642057</v>
      </c>
      <c r="I912" s="70">
        <v>-134.72049212983555</v>
      </c>
      <c r="J912" s="70">
        <v>-130.82551051075347</v>
      </c>
      <c r="K912" s="70">
        <v>-155.06321447757355</v>
      </c>
      <c r="L912" s="70">
        <v>-153.54973843669524</v>
      </c>
      <c r="M912" s="70">
        <v>-136.85070394905105</v>
      </c>
      <c r="N912" s="70">
        <v>-130.70915405721351</v>
      </c>
      <c r="O912" s="70">
        <v>-115.41155817572536</v>
      </c>
      <c r="P912" s="70">
        <v>-114.53992555726411</v>
      </c>
      <c r="Q912" s="70">
        <v>-100.9832608975946</v>
      </c>
      <c r="R912" s="70">
        <v>-80.010312628673034</v>
      </c>
      <c r="S912" s="144">
        <v>-140.94509302911914</v>
      </c>
      <c r="T912" s="70">
        <v>-99.341385775779045</v>
      </c>
      <c r="U912" s="70">
        <v>-105.03415103770935</v>
      </c>
      <c r="V912" s="70">
        <v>-106.88477753376219</v>
      </c>
      <c r="W912" s="70">
        <v>-87.925303798216248</v>
      </c>
      <c r="X912" s="70">
        <v>-71.832094349639121</v>
      </c>
      <c r="Y912" s="70">
        <v>-74.358524662615096</v>
      </c>
      <c r="Z912" s="70">
        <v>-99.472217063665752</v>
      </c>
      <c r="AA912" s="70">
        <v>-130.74784626623992</v>
      </c>
      <c r="AB912" s="70">
        <v>-143.28667285683747</v>
      </c>
      <c r="AC912" s="70">
        <v>-120.71100797227169</v>
      </c>
      <c r="AD912" s="145">
        <v>-98.38875232858426</v>
      </c>
      <c r="AE912" s="15"/>
      <c r="AF912" s="92">
        <f>SUM(G912:R912)</f>
        <v>-1469.0214712828033</v>
      </c>
      <c r="AG912" s="93">
        <f>SUM(S912:AD912)</f>
        <v>-1278.9278266744393</v>
      </c>
    </row>
    <row r="913" spans="2:33" x14ac:dyDescent="0.2">
      <c r="B913" s="9">
        <f>G897</f>
        <v>19</v>
      </c>
      <c r="C913" s="9" t="str">
        <f t="shared" si="5111"/>
        <v>19 - % of Revenue - Doctor Compensation</v>
      </c>
      <c r="D913" s="9" t="s">
        <v>56</v>
      </c>
      <c r="F913" s="16" t="str">
        <f>"% of Revenue - "&amp;F912</f>
        <v>% of Revenue - Doctor Compensation</v>
      </c>
      <c r="G913" s="148">
        <f>G912/G909</f>
        <v>-0.29157177231511383</v>
      </c>
      <c r="H913" s="149">
        <f t="shared" ref="H913" si="5192">H912/H909</f>
        <v>-0.37834062070821006</v>
      </c>
      <c r="I913" s="149">
        <f t="shared" ref="I913" si="5193">I912/I909</f>
        <v>-0.37533151980218399</v>
      </c>
      <c r="J913" s="149">
        <f t="shared" ref="J913" si="5194">J912/J909</f>
        <v>-0.3817078178075376</v>
      </c>
      <c r="K913" s="149">
        <f t="shared" ref="K913" si="5195">K912/K909</f>
        <v>-0.37889936231082805</v>
      </c>
      <c r="L913" s="149">
        <f t="shared" ref="L913" si="5196">L912/L909</f>
        <v>-0.3899661806546082</v>
      </c>
      <c r="M913" s="149">
        <f t="shared" ref="M913" si="5197">M912/M909</f>
        <v>-0.3917631906094623</v>
      </c>
      <c r="N913" s="149">
        <f t="shared" ref="N913" si="5198">N912/N909</f>
        <v>-0.29798048266115595</v>
      </c>
      <c r="O913" s="149">
        <f t="shared" ref="O913" si="5199">O912/O909</f>
        <v>-0.29409725857686436</v>
      </c>
      <c r="P913" s="149">
        <f t="shared" ref="P913" si="5200">P912/P909</f>
        <v>-0.28871987361579626</v>
      </c>
      <c r="Q913" s="149">
        <f t="shared" ref="Q913" si="5201">Q912/Q909</f>
        <v>-0.23017484303565167</v>
      </c>
      <c r="R913" s="149">
        <f t="shared" ref="R913" si="5202">R912/R909</f>
        <v>-0.2299628276387633</v>
      </c>
      <c r="S913" s="148">
        <f t="shared" ref="S913" si="5203">S912/S909</f>
        <v>-0.34676245887833862</v>
      </c>
      <c r="T913" s="149">
        <f t="shared" ref="T913" si="5204">T912/T909</f>
        <v>-0.30712919741626393</v>
      </c>
      <c r="U913" s="149">
        <f t="shared" ref="U913" si="5205">U912/U909</f>
        <v>-0.3040363896008319</v>
      </c>
      <c r="V913" s="149">
        <f t="shared" ref="V913" si="5206">V912/V909</f>
        <v>-0.30004317146850301</v>
      </c>
      <c r="W913" s="149">
        <f t="shared" ref="W913" si="5207">W912/W909</f>
        <v>-0.30171467628318843</v>
      </c>
      <c r="X913" s="149">
        <f t="shared" ref="X913" si="5208">X912/X909</f>
        <v>-0.29350652539966926</v>
      </c>
      <c r="Y913" s="149">
        <f t="shared" ref="Y913" si="5209">Y912/Y909</f>
        <v>-0.29798625633467113</v>
      </c>
      <c r="Z913" s="149">
        <f t="shared" ref="Z913" si="5210">Z912/Z909</f>
        <v>-0.29892366836281631</v>
      </c>
      <c r="AA913" s="149">
        <f t="shared" ref="AA913" si="5211">AA912/AA909</f>
        <v>-0.43828941055815396</v>
      </c>
      <c r="AB913" s="149">
        <f t="shared" ref="AB913" si="5212">AB912/AB909</f>
        <v>-0.43847985869002731</v>
      </c>
      <c r="AC913" s="149">
        <f t="shared" ref="AC913" si="5213">AC912/AC909</f>
        <v>-0.33727180627295433</v>
      </c>
      <c r="AD913" s="150">
        <f t="shared" ref="AD913" si="5214">AD912/AD909</f>
        <v>-0.27087534497923427</v>
      </c>
      <c r="AE913" s="15"/>
      <c r="AF913" s="96">
        <f t="shared" ref="AF913" si="5215">AF912/AF909</f>
        <v>-0.32470219417711915</v>
      </c>
      <c r="AG913" s="97">
        <f t="shared" ref="AG913" si="5216">AG912/AG909</f>
        <v>-0.32824216430932729</v>
      </c>
    </row>
    <row r="914" spans="2:33" ht="3" customHeight="1" x14ac:dyDescent="0.2">
      <c r="B914" s="9">
        <f>G897</f>
        <v>19</v>
      </c>
      <c r="C914" s="9" t="str">
        <f t="shared" si="5111"/>
        <v xml:space="preserve">19 - </v>
      </c>
      <c r="D914" s="9" t="s">
        <v>56</v>
      </c>
      <c r="F914" s="16"/>
      <c r="G914" s="36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6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8"/>
      <c r="AE914" s="15"/>
      <c r="AF914" s="36"/>
      <c r="AG914" s="38"/>
    </row>
    <row r="915" spans="2:33" x14ac:dyDescent="0.2">
      <c r="B915" s="9">
        <f>G897</f>
        <v>19</v>
      </c>
      <c r="C915" s="9" t="str">
        <f t="shared" si="5111"/>
        <v>19 - Administrative Staff Compensation</v>
      </c>
      <c r="D915" s="9" t="s">
        <v>56</v>
      </c>
      <c r="F915" t="s">
        <v>5</v>
      </c>
      <c r="G915" s="144">
        <v>-75.917443322239464</v>
      </c>
      <c r="H915" s="70">
        <v>-76.747294271621314</v>
      </c>
      <c r="I915" s="70">
        <v>-93.904843943407698</v>
      </c>
      <c r="J915" s="70">
        <v>-90.793256399496343</v>
      </c>
      <c r="K915" s="70">
        <v>-109.49898693433357</v>
      </c>
      <c r="L915" s="70">
        <v>-100.72940407635059</v>
      </c>
      <c r="M915" s="70">
        <v>-84.760393907865776</v>
      </c>
      <c r="N915" s="70">
        <v>-78.402240618615835</v>
      </c>
      <c r="O915" s="70">
        <v>-67.459858018703187</v>
      </c>
      <c r="P915" s="70">
        <v>-69.302734345661804</v>
      </c>
      <c r="Q915" s="70">
        <v>-64.268104282979195</v>
      </c>
      <c r="R915" s="70">
        <v>-50.932227839659056</v>
      </c>
      <c r="S915" s="144">
        <v>-75.689580874635595</v>
      </c>
      <c r="T915" s="70">
        <v>-78.602018028572445</v>
      </c>
      <c r="U915" s="70">
        <v>-83.301001054163052</v>
      </c>
      <c r="V915" s="70">
        <v>-89.362273783088909</v>
      </c>
      <c r="W915" s="70">
        <v>-108.7219899537366</v>
      </c>
      <c r="X915" s="70">
        <v>-94.510658215092704</v>
      </c>
      <c r="Y915" s="70">
        <v>-94.189296590416205</v>
      </c>
      <c r="Z915" s="70">
        <v>-82.858139703695301</v>
      </c>
      <c r="AA915" s="70">
        <v>-71.792686435778634</v>
      </c>
      <c r="AB915" s="70">
        <v>-79.679005123854282</v>
      </c>
      <c r="AC915" s="70">
        <v>-67.167204990951305</v>
      </c>
      <c r="AD915" s="145">
        <v>-56.048852840623503</v>
      </c>
      <c r="AE915" s="15"/>
      <c r="AF915" s="92">
        <f>SUM(G915:R915)</f>
        <v>-962.71678796093374</v>
      </c>
      <c r="AG915" s="93">
        <f>SUM(S915:AD915)</f>
        <v>-981.92270759460848</v>
      </c>
    </row>
    <row r="916" spans="2:33" x14ac:dyDescent="0.2">
      <c r="B916" s="9">
        <f>G897</f>
        <v>19</v>
      </c>
      <c r="C916" s="9" t="str">
        <f t="shared" si="5111"/>
        <v>19 - % of Revenue - Administrative Staff Compensation</v>
      </c>
      <c r="D916" s="9" t="s">
        <v>56</v>
      </c>
      <c r="F916" s="16" t="str">
        <f>"% of Revenue - "&amp;F915</f>
        <v>% of Revenue - Administrative Staff Compensation</v>
      </c>
      <c r="G916" s="148">
        <f>G915/G909</f>
        <v>-0.20748154353732537</v>
      </c>
      <c r="H916" s="149">
        <f t="shared" ref="H916" si="5217">H915/H909</f>
        <v>-0.26475977790261634</v>
      </c>
      <c r="I916" s="149">
        <f t="shared" ref="I916" si="5218">I915/I909</f>
        <v>-0.26161905465798529</v>
      </c>
      <c r="J916" s="149">
        <f t="shared" ref="J916" si="5219">J915/J909</f>
        <v>-0.26490625289051201</v>
      </c>
      <c r="K916" s="149">
        <f t="shared" ref="K916" si="5220">K915/K909</f>
        <v>-0.26756246775150633</v>
      </c>
      <c r="L916" s="149">
        <f t="shared" ref="L916" si="5221">L915/L909</f>
        <v>-0.2558197844372348</v>
      </c>
      <c r="M916" s="149">
        <f t="shared" ref="M916" si="5222">M915/M909</f>
        <v>-0.242644001064275</v>
      </c>
      <c r="N916" s="149">
        <f t="shared" ref="N916" si="5223">N915/N909</f>
        <v>-0.17873528193002583</v>
      </c>
      <c r="O916" s="149">
        <f t="shared" ref="O916" si="5224">O915/O909</f>
        <v>-0.17190444025612353</v>
      </c>
      <c r="P916" s="149">
        <f t="shared" ref="P916" si="5225">P915/P909</f>
        <v>-0.17469084779093089</v>
      </c>
      <c r="Q916" s="149">
        <f t="shared" ref="Q916" si="5226">Q915/Q909</f>
        <v>-0.14648864261310451</v>
      </c>
      <c r="R916" s="149">
        <f t="shared" ref="R916" si="5227">R915/R909</f>
        <v>-0.14638761863495531</v>
      </c>
      <c r="S916" s="148">
        <f t="shared" ref="S916" si="5228">S915/S909</f>
        <v>-0.18621652312604489</v>
      </c>
      <c r="T916" s="149">
        <f t="shared" ref="T916" si="5229">T915/T909</f>
        <v>-0.24301024717837288</v>
      </c>
      <c r="U916" s="149">
        <f t="shared" ref="U916" si="5230">U915/U909</f>
        <v>-0.24112667509018182</v>
      </c>
      <c r="V916" s="149">
        <f t="shared" ref="V916" si="5231">V915/V909</f>
        <v>-0.25085461797443753</v>
      </c>
      <c r="W916" s="149">
        <f t="shared" ref="W916" si="5232">W915/W909</f>
        <v>-0.37307826742386735</v>
      </c>
      <c r="X916" s="149">
        <f t="shared" ref="X916" si="5233">X915/X909</f>
        <v>-0.38617132295944157</v>
      </c>
      <c r="Y916" s="149">
        <f t="shared" ref="Y916" si="5234">Y915/Y909</f>
        <v>-0.37745659969885481</v>
      </c>
      <c r="Z916" s="149">
        <f t="shared" ref="Z916" si="5235">Z915/Z909</f>
        <v>-0.2489967531144375</v>
      </c>
      <c r="AA916" s="149">
        <f t="shared" ref="AA916" si="5236">AA915/AA909</f>
        <v>-0.24066151083093248</v>
      </c>
      <c r="AB916" s="149">
        <f t="shared" ref="AB916" si="5237">AB915/AB909</f>
        <v>-0.24383034521414951</v>
      </c>
      <c r="AC916" s="149">
        <f t="shared" ref="AC916" si="5238">AC915/AC909</f>
        <v>-0.18766809200042187</v>
      </c>
      <c r="AD916" s="150">
        <f t="shared" ref="AD916" si="5239">AD915/AD909</f>
        <v>-0.15430882077039432</v>
      </c>
      <c r="AE916" s="15"/>
      <c r="AF916" s="96">
        <f t="shared" ref="AF916" si="5240">AF915/AF909</f>
        <v>-0.21279216099482406</v>
      </c>
      <c r="AG916" s="97">
        <f t="shared" ref="AG916" si="5241">AG915/AG909</f>
        <v>-0.25201456094939989</v>
      </c>
    </row>
    <row r="917" spans="2:33" ht="3" customHeight="1" x14ac:dyDescent="0.2">
      <c r="B917" s="9">
        <f>G897</f>
        <v>19</v>
      </c>
      <c r="C917" s="9" t="str">
        <f t="shared" si="5111"/>
        <v xml:space="preserve">19 - </v>
      </c>
      <c r="D917" s="9" t="s">
        <v>56</v>
      </c>
      <c r="F917" s="16"/>
      <c r="G917" s="36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6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8"/>
      <c r="AE917" s="15"/>
      <c r="AF917" s="36"/>
      <c r="AG917" s="38"/>
    </row>
    <row r="918" spans="2:33" x14ac:dyDescent="0.2">
      <c r="B918" s="9">
        <f>G897</f>
        <v>19</v>
      </c>
      <c r="C918" s="9" t="str">
        <f t="shared" si="5111"/>
        <v>19 - Office Supplies</v>
      </c>
      <c r="D918" s="9" t="s">
        <v>56</v>
      </c>
      <c r="F918" t="s">
        <v>6</v>
      </c>
      <c r="G918" s="144">
        <v>-27.431225859968194</v>
      </c>
      <c r="H918" s="70">
        <v>-27.605790999182503</v>
      </c>
      <c r="I918" s="70">
        <v>-36.173408757865474</v>
      </c>
      <c r="J918" s="70">
        <v>-33.55546962943103</v>
      </c>
      <c r="K918" s="70">
        <v>-40.738902188104653</v>
      </c>
      <c r="L918" s="70">
        <v>-40.005894307620991</v>
      </c>
      <c r="M918" s="70">
        <v>-37.325808677419808</v>
      </c>
      <c r="N918" s="70">
        <v>-35.96080296022275</v>
      </c>
      <c r="O918" s="70">
        <v>-32.665020229786379</v>
      </c>
      <c r="P918" s="70">
        <v>-31.564191918027831</v>
      </c>
      <c r="Q918" s="70">
        <v>-28.553186133518462</v>
      </c>
      <c r="R918" s="70">
        <v>-23.064949936230942</v>
      </c>
      <c r="S918" s="144">
        <v>-34.067708788137914</v>
      </c>
      <c r="T918" s="70">
        <v>-37.4339166718499</v>
      </c>
      <c r="U918" s="70">
        <v>-38.406393234000348</v>
      </c>
      <c r="V918" s="70">
        <v>-40.266627713962734</v>
      </c>
      <c r="W918" s="70">
        <v>-49.031085418723912</v>
      </c>
      <c r="X918" s="70">
        <v>-40.846452954100123</v>
      </c>
      <c r="Y918" s="70">
        <v>-39.732792383555577</v>
      </c>
      <c r="Z918" s="70">
        <v>-33.638349919784986</v>
      </c>
      <c r="AA918" s="70">
        <v>-28.793061266159189</v>
      </c>
      <c r="AB918" s="70">
        <v>-30.634509887089397</v>
      </c>
      <c r="AC918" s="70">
        <v>-25.282033140726437</v>
      </c>
      <c r="AD918" s="145">
        <v>-21.599457231087708</v>
      </c>
      <c r="AE918" s="15"/>
      <c r="AF918" s="92">
        <f>SUM(G918:R918)</f>
        <v>-394.64465159737904</v>
      </c>
      <c r="AG918" s="93">
        <f>SUM(S918:AD918)</f>
        <v>-419.7323886091782</v>
      </c>
    </row>
    <row r="919" spans="2:33" x14ac:dyDescent="0.2">
      <c r="B919" s="9">
        <f>G897</f>
        <v>19</v>
      </c>
      <c r="C919" s="9" t="str">
        <f t="shared" si="5111"/>
        <v>19 - % of Revenue - Office Supplies</v>
      </c>
      <c r="D919" s="9" t="s">
        <v>56</v>
      </c>
      <c r="F919" s="16" t="str">
        <f>"% of Revenue - "&amp;F918</f>
        <v>% of Revenue - Office Supplies</v>
      </c>
      <c r="G919" s="148">
        <f>G918/G909</f>
        <v>-7.4969240710453702E-2</v>
      </c>
      <c r="H919" s="149">
        <f t="shared" ref="H919" si="5242">H918/H909</f>
        <v>-9.5233365073460349E-2</v>
      </c>
      <c r="I919" s="149">
        <f t="shared" ref="I919" si="5243">I918/I909</f>
        <v>-0.10077917821462945</v>
      </c>
      <c r="J919" s="149">
        <f t="shared" ref="J919" si="5244">J918/J909</f>
        <v>-9.7904338670281046E-2</v>
      </c>
      <c r="K919" s="149">
        <f t="shared" ref="K919" si="5245">K918/K909</f>
        <v>-9.9546137440279348E-2</v>
      </c>
      <c r="L919" s="149">
        <f t="shared" ref="L919" si="5246">L918/L909</f>
        <v>-0.10160190414942825</v>
      </c>
      <c r="M919" s="149">
        <f t="shared" ref="M919" si="5247">M918/M909</f>
        <v>-0.10685277808281041</v>
      </c>
      <c r="N919" s="149">
        <f t="shared" ref="N919" si="5248">N918/N909</f>
        <v>-8.1980619492644735E-2</v>
      </c>
      <c r="O919" s="149">
        <f t="shared" ref="O919" si="5249">O918/O909</f>
        <v>-8.3238568586959563E-2</v>
      </c>
      <c r="P919" s="149">
        <f t="shared" ref="P919" si="5250">P918/P909</f>
        <v>-7.9563605939324572E-2</v>
      </c>
      <c r="Q919" s="149">
        <f t="shared" ref="Q919" si="5251">Q918/Q909</f>
        <v>-6.5082322337710385E-2</v>
      </c>
      <c r="R919" s="149">
        <f t="shared" ref="R919" si="5252">R918/R909</f>
        <v>-6.6292468213420955E-2</v>
      </c>
      <c r="S919" s="148">
        <f t="shared" ref="S919" si="5253">S918/S909</f>
        <v>-8.3815634967052383E-2</v>
      </c>
      <c r="T919" s="149">
        <f t="shared" ref="T919" si="5254">T918/T909</f>
        <v>-0.11573271999166855</v>
      </c>
      <c r="U919" s="149">
        <f t="shared" ref="U919" si="5255">U918/U909</f>
        <v>-0.11117280447445163</v>
      </c>
      <c r="V919" s="149">
        <f t="shared" ref="V919" si="5256">V918/V909</f>
        <v>-0.11303505477964422</v>
      </c>
      <c r="W919" s="149">
        <f t="shared" ref="W919" si="5257">W918/W909</f>
        <v>-0.16824960990608212</v>
      </c>
      <c r="X919" s="149">
        <f t="shared" ref="X919" si="5258">X918/X909</f>
        <v>-0.1668989410653208</v>
      </c>
      <c r="Y919" s="149">
        <f t="shared" ref="Y919" si="5259">Y918/Y909</f>
        <v>-0.15922620990423061</v>
      </c>
      <c r="Z919" s="149">
        <f t="shared" ref="Z919" si="5260">Z918/Z909</f>
        <v>-0.10108650689125012</v>
      </c>
      <c r="AA919" s="149">
        <f t="shared" ref="AA919" si="5261">AA918/AA909</f>
        <v>-9.6519324875244422E-2</v>
      </c>
      <c r="AB919" s="149">
        <f t="shared" ref="AB919" si="5262">AB918/AB909</f>
        <v>-9.3746440604076137E-2</v>
      </c>
      <c r="AC919" s="149">
        <f t="shared" ref="AC919" si="5263">AC918/AC909</f>
        <v>-7.0639100168761751E-2</v>
      </c>
      <c r="AD919" s="150">
        <f t="shared" ref="AD919" si="5264">AD918/AD909</f>
        <v>-5.9465744715367377E-2</v>
      </c>
      <c r="AE919" s="15"/>
      <c r="AF919" s="96">
        <f t="shared" ref="AF919" si="5265">AF918/AF909</f>
        <v>-8.7229483570471875E-2</v>
      </c>
      <c r="AG919" s="97">
        <f t="shared" ref="AG919" si="5266">AG918/AG909</f>
        <v>-0.10772606928574684</v>
      </c>
    </row>
    <row r="920" spans="2:33" ht="6" customHeight="1" x14ac:dyDescent="0.2">
      <c r="B920" s="9">
        <f>G897</f>
        <v>19</v>
      </c>
      <c r="C920" s="9" t="str">
        <f t="shared" si="5111"/>
        <v xml:space="preserve">19 - </v>
      </c>
      <c r="D920" s="9" t="s">
        <v>56</v>
      </c>
      <c r="F920" s="16"/>
      <c r="G920" s="11"/>
      <c r="S920" s="11"/>
      <c r="AD920" s="15"/>
      <c r="AE920" s="15"/>
      <c r="AF920" s="11"/>
      <c r="AG920" s="15"/>
    </row>
    <row r="921" spans="2:33" x14ac:dyDescent="0.2">
      <c r="B921" s="9">
        <f>G897</f>
        <v>19</v>
      </c>
      <c r="C921" s="9" t="str">
        <f t="shared" si="5111"/>
        <v>19 - Office Gross Profit</v>
      </c>
      <c r="D921" s="9" t="s">
        <v>56</v>
      </c>
      <c r="F921" s="8" t="s">
        <v>11</v>
      </c>
      <c r="G921" s="134">
        <f>G909+G912+G915+G918</f>
        <v>155.86503679962897</v>
      </c>
      <c r="H921" s="135">
        <f t="shared" ref="H921:AD921" si="5267">H909+H912+H915+H918</f>
        <v>75.850553277228713</v>
      </c>
      <c r="I921" s="135">
        <f t="shared" si="5267"/>
        <v>94.138581298173193</v>
      </c>
      <c r="J921" s="135">
        <f t="shared" si="5267"/>
        <v>87.563073013453632</v>
      </c>
      <c r="K921" s="135">
        <f t="shared" si="5267"/>
        <v>103.94533464120192</v>
      </c>
      <c r="L921" s="135">
        <f t="shared" si="5267"/>
        <v>99.466385876917712</v>
      </c>
      <c r="M921" s="135">
        <f t="shared" si="5267"/>
        <v>90.383058253967533</v>
      </c>
      <c r="N921" s="135">
        <f t="shared" si="5267"/>
        <v>193.57785383677361</v>
      </c>
      <c r="O921" s="135">
        <f t="shared" si="5267"/>
        <v>176.89006470742265</v>
      </c>
      <c r="P921" s="135">
        <f t="shared" si="5267"/>
        <v>181.30960597884447</v>
      </c>
      <c r="Q921" s="135">
        <f t="shared" si="5267"/>
        <v>244.91959232289656</v>
      </c>
      <c r="R921" s="135">
        <f t="shared" si="5267"/>
        <v>193.91966569371343</v>
      </c>
      <c r="S921" s="134">
        <f t="shared" si="5267"/>
        <v>155.75768650080394</v>
      </c>
      <c r="T921" s="135">
        <f t="shared" si="5267"/>
        <v>108.074134518935</v>
      </c>
      <c r="U921" s="135">
        <f t="shared" si="5267"/>
        <v>118.72417729900201</v>
      </c>
      <c r="V921" s="135">
        <f t="shared" si="5267"/>
        <v>119.71764931648839</v>
      </c>
      <c r="W921" s="135">
        <f t="shared" si="5267"/>
        <v>45.740337616205174</v>
      </c>
      <c r="X921" s="135">
        <f t="shared" si="5267"/>
        <v>37.548434476820653</v>
      </c>
      <c r="Y921" s="135">
        <f t="shared" si="5267"/>
        <v>41.256145465156223</v>
      </c>
      <c r="Z921" s="135">
        <f t="shared" si="5267"/>
        <v>116.79924577532708</v>
      </c>
      <c r="AA921" s="135">
        <f t="shared" si="5267"/>
        <v>66.980358220935855</v>
      </c>
      <c r="AB921" s="135">
        <f t="shared" si="5267"/>
        <v>73.180324434222925</v>
      </c>
      <c r="AC921" s="135">
        <f t="shared" si="5267"/>
        <v>144.74398937365279</v>
      </c>
      <c r="AD921" s="136">
        <f t="shared" si="5267"/>
        <v>187.18814119336085</v>
      </c>
      <c r="AE921" s="15"/>
      <c r="AF921" s="98">
        <f>SUM(G921:R921)</f>
        <v>1697.8288057002223</v>
      </c>
      <c r="AG921" s="95">
        <f>SUM(S921:AD921)</f>
        <v>1215.7106241909109</v>
      </c>
    </row>
    <row r="922" spans="2:33" x14ac:dyDescent="0.2">
      <c r="B922" s="9">
        <f>G897</f>
        <v>19</v>
      </c>
      <c r="C922" s="9" t="str">
        <f t="shared" si="5111"/>
        <v>19 - % of Revenue - Office Gross Profit</v>
      </c>
      <c r="D922" s="9" t="s">
        <v>56</v>
      </c>
      <c r="F922" s="16" t="str">
        <f>"% of Revenue - "&amp;F921</f>
        <v>% of Revenue - Office Gross Profit</v>
      </c>
      <c r="G922" s="148">
        <f>G921/G909</f>
        <v>0.42597744343710697</v>
      </c>
      <c r="H922" s="149">
        <f t="shared" ref="H922" si="5268">H921/H909</f>
        <v>0.26166623631571317</v>
      </c>
      <c r="I922" s="149">
        <f t="shared" ref="I922" si="5269">I921/I909</f>
        <v>0.26227024732520127</v>
      </c>
      <c r="J922" s="149">
        <f t="shared" ref="J922" si="5270">J921/J909</f>
        <v>0.25548159063166931</v>
      </c>
      <c r="K922" s="149">
        <f t="shared" ref="K922" si="5271">K921/K909</f>
        <v>0.25399203249738628</v>
      </c>
      <c r="L922" s="149">
        <f t="shared" ref="L922" si="5272">L921/L909</f>
        <v>0.25261213075872879</v>
      </c>
      <c r="M922" s="149">
        <f t="shared" ref="M922" si="5273">M921/M909</f>
        <v>0.25874003024345238</v>
      </c>
      <c r="N922" s="149">
        <f t="shared" ref="N922" si="5274">N921/N909</f>
        <v>0.44130361591617351</v>
      </c>
      <c r="O922" s="149">
        <f t="shared" ref="O922" si="5275">O921/O909</f>
        <v>0.45075973258005259</v>
      </c>
      <c r="P922" s="149">
        <f t="shared" ref="P922" si="5276">P921/P909</f>
        <v>0.45702567265394833</v>
      </c>
      <c r="Q922" s="149">
        <f t="shared" ref="Q922" si="5277">Q921/Q909</f>
        <v>0.55825419201353332</v>
      </c>
      <c r="R922" s="149">
        <f t="shared" ref="R922" si="5278">R921/R909</f>
        <v>0.55735708551286045</v>
      </c>
      <c r="S922" s="148">
        <f t="shared" ref="S922" si="5279">S921/S909</f>
        <v>0.38320538302856405</v>
      </c>
      <c r="T922" s="149">
        <f t="shared" ref="T922" si="5280">T921/T909</f>
        <v>0.33412783541369467</v>
      </c>
      <c r="U922" s="149">
        <f t="shared" ref="U922" si="5281">U921/U909</f>
        <v>0.34366413083453462</v>
      </c>
      <c r="V922" s="149">
        <f t="shared" ref="V922" si="5282">V921/V909</f>
        <v>0.33606715577741531</v>
      </c>
      <c r="W922" s="149">
        <f t="shared" ref="W922" si="5283">W921/W909</f>
        <v>0.1569574463868621</v>
      </c>
      <c r="X922" s="149">
        <f t="shared" ref="X922" si="5284">X921/X909</f>
        <v>0.15342321057556838</v>
      </c>
      <c r="Y922" s="149">
        <f t="shared" ref="Y922" si="5285">Y921/Y909</f>
        <v>0.16533093406224347</v>
      </c>
      <c r="Z922" s="149">
        <f t="shared" ref="Z922" si="5286">Z921/Z909</f>
        <v>0.35099307163149596</v>
      </c>
      <c r="AA922" s="149">
        <f t="shared" ref="AA922" si="5287">AA921/AA909</f>
        <v>0.22452975373566914</v>
      </c>
      <c r="AB922" s="149">
        <f t="shared" ref="AB922" si="5288">AB921/AB909</f>
        <v>0.22394335549174707</v>
      </c>
      <c r="AC922" s="149">
        <f t="shared" ref="AC922" si="5289">AC921/AC909</f>
        <v>0.40442100155786204</v>
      </c>
      <c r="AD922" s="150">
        <f t="shared" ref="AD922" si="5290">AD921/AD909</f>
        <v>0.51535008953500405</v>
      </c>
      <c r="AE922" s="15"/>
      <c r="AF922" s="111">
        <f t="shared" ref="AF922" si="5291">AF921/AF909</f>
        <v>0.37527616125758489</v>
      </c>
      <c r="AG922" s="97">
        <f t="shared" ref="AG922" si="5292">AG921/AG909</f>
        <v>0.31201720545552597</v>
      </c>
    </row>
    <row r="923" spans="2:33" ht="6" customHeight="1" x14ac:dyDescent="0.2">
      <c r="B923" s="9">
        <f>G897</f>
        <v>19</v>
      </c>
      <c r="C923" s="9" t="str">
        <f t="shared" si="5111"/>
        <v xml:space="preserve">19 - </v>
      </c>
      <c r="D923" s="9" t="s">
        <v>56</v>
      </c>
      <c r="F923" s="16"/>
      <c r="G923" s="11"/>
      <c r="S923" s="11"/>
      <c r="AD923" s="15"/>
      <c r="AE923" s="15"/>
      <c r="AF923" s="11"/>
      <c r="AG923" s="15"/>
    </row>
    <row r="924" spans="2:33" x14ac:dyDescent="0.2">
      <c r="B924" s="9">
        <f>G897</f>
        <v>19</v>
      </c>
      <c r="C924" s="9" t="str">
        <f t="shared" si="5111"/>
        <v>19 - General and Administrative Expense</v>
      </c>
      <c r="D924" s="9" t="s">
        <v>56</v>
      </c>
      <c r="F924" t="s">
        <v>10</v>
      </c>
      <c r="G924" s="144">
        <v>-20.132779757704338</v>
      </c>
      <c r="H924" s="70">
        <v>-21.115766254844136</v>
      </c>
      <c r="I924" s="70">
        <v>-25.410151858459987</v>
      </c>
      <c r="J924" s="70">
        <v>-23.196810026633973</v>
      </c>
      <c r="K924" s="70">
        <v>-27.726967551883362</v>
      </c>
      <c r="L924" s="70">
        <v>-27.926986314333003</v>
      </c>
      <c r="M924" s="70">
        <v>-23.299314764236236</v>
      </c>
      <c r="N924" s="70">
        <v>-23.147408775124287</v>
      </c>
      <c r="O924" s="70">
        <v>-20.637572299992453</v>
      </c>
      <c r="P924" s="70">
        <v>-21.919978737354711</v>
      </c>
      <c r="Q924" s="70">
        <v>-20.857438438677065</v>
      </c>
      <c r="R924" s="70">
        <v>-16.681119435714482</v>
      </c>
      <c r="S924" s="144">
        <v>-25.153908140089865</v>
      </c>
      <c r="T924" s="70">
        <v>-28.562183816599688</v>
      </c>
      <c r="U924" s="70">
        <v>-29.44716169578092</v>
      </c>
      <c r="V924" s="70">
        <v>-29.322602660710125</v>
      </c>
      <c r="W924" s="70">
        <v>-34.547651444767808</v>
      </c>
      <c r="X924" s="70">
        <v>-30.965395462434589</v>
      </c>
      <c r="Y924" s="70">
        <v>-32.468415051908458</v>
      </c>
      <c r="Z924" s="70">
        <v>-30.240191470143078</v>
      </c>
      <c r="AA924" s="70">
        <v>-26.623252291202842</v>
      </c>
      <c r="AB924" s="70">
        <v>-28.909872098260983</v>
      </c>
      <c r="AC924" s="70">
        <v>-23.727800239117371</v>
      </c>
      <c r="AD924" s="145">
        <v>-20.061327248224725</v>
      </c>
      <c r="AE924" s="15"/>
      <c r="AF924" s="144">
        <v>-272.05229421495801</v>
      </c>
      <c r="AG924" s="145">
        <v>-340.02976161924039</v>
      </c>
    </row>
    <row r="925" spans="2:33" x14ac:dyDescent="0.2">
      <c r="B925" s="9">
        <f>G897</f>
        <v>19</v>
      </c>
      <c r="C925" s="9" t="str">
        <f t="shared" si="5111"/>
        <v>19 - % of Revenue - General and Administrative Expense</v>
      </c>
      <c r="D925" s="9" t="s">
        <v>56</v>
      </c>
      <c r="F925" s="16" t="str">
        <f>"% of Revenue - "&amp;F924</f>
        <v>% of Revenue - General and Administrative Expense</v>
      </c>
      <c r="G925" s="148">
        <f>G924/G909</f>
        <v>-5.5022667216215917E-2</v>
      </c>
      <c r="H925" s="149">
        <f t="shared" ref="H925" si="5293">H924/H909</f>
        <v>-7.2844334604032043E-2</v>
      </c>
      <c r="I925" s="149">
        <f t="shared" ref="I925" si="5294">I924/I909</f>
        <v>-7.0792726219027352E-2</v>
      </c>
      <c r="J925" s="149">
        <f t="shared" ref="J925" si="5295">J924/J909</f>
        <v>-6.7681018027708414E-2</v>
      </c>
      <c r="K925" s="149">
        <f t="shared" ref="K925" si="5296">K924/K909</f>
        <v>-6.7751273953765789E-2</v>
      </c>
      <c r="L925" s="149">
        <f t="shared" ref="L925" si="5297">L924/L909</f>
        <v>-7.0925423260710219E-2</v>
      </c>
      <c r="M925" s="149">
        <f t="shared" ref="M925" si="5298">M924/M909</f>
        <v>-6.6699064218548598E-2</v>
      </c>
      <c r="N925" s="149">
        <f t="shared" ref="N925" si="5299">N924/N909</f>
        <v>-5.2769647917294882E-2</v>
      </c>
      <c r="O925" s="149">
        <f t="shared" ref="O925" si="5300">O924/O909</f>
        <v>-5.2589649884704597E-2</v>
      </c>
      <c r="P925" s="149">
        <f t="shared" ref="P925" si="5301">P924/P909</f>
        <v>-5.5253514963618078E-2</v>
      </c>
      <c r="Q925" s="149">
        <f t="shared" ref="Q925" si="5302">Q924/Q909</f>
        <v>-4.7541122915576356E-2</v>
      </c>
      <c r="R925" s="149">
        <f t="shared" ref="R925" si="5303">R924/R909</f>
        <v>-4.7944287024846911E-2</v>
      </c>
      <c r="S925" s="148">
        <f t="shared" ref="S925" si="5304">S924/S909</f>
        <v>-6.1885311858677995E-2</v>
      </c>
      <c r="T925" s="149">
        <f t="shared" ref="T925" si="5305">T924/T909</f>
        <v>-8.8304391201545734E-2</v>
      </c>
      <c r="U925" s="149">
        <f t="shared" ref="U925" si="5306">U924/U909</f>
        <v>-8.5239025950358122E-2</v>
      </c>
      <c r="V925" s="149">
        <f t="shared" ref="V925" si="5307">V924/V909</f>
        <v>-8.2313374280553187E-2</v>
      </c>
      <c r="W925" s="149">
        <f t="shared" ref="W925" si="5308">W924/W909</f>
        <v>-0.11854987155829434</v>
      </c>
      <c r="X925" s="149">
        <f t="shared" ref="X925" si="5309">X924/X909</f>
        <v>-0.12652485928598742</v>
      </c>
      <c r="Y925" s="149">
        <f t="shared" ref="Y925" si="5310">Y924/Y909</f>
        <v>-0.13011475811734086</v>
      </c>
      <c r="Z925" s="149">
        <f t="shared" ref="Z925" si="5311">Z924/Z909</f>
        <v>-9.0874710879958673E-2</v>
      </c>
      <c r="AA925" s="149">
        <f t="shared" ref="AA925" si="5312">AA924/AA909</f>
        <v>-8.9245749640047875E-2</v>
      </c>
      <c r="AB925" s="149">
        <f t="shared" ref="AB925" si="5313">AB924/AB909</f>
        <v>-8.8468776472028582E-2</v>
      </c>
      <c r="AC925" s="149">
        <f t="shared" ref="AC925" si="5314">AC924/AC909</f>
        <v>-6.6296505844514561E-2</v>
      </c>
      <c r="AD925" s="150">
        <f t="shared" ref="AD925" si="5315">AD924/AD909</f>
        <v>-5.5231099190648489E-2</v>
      </c>
      <c r="AE925" s="15"/>
      <c r="AF925" s="96">
        <f t="shared" ref="AF925" si="5316">AF924/AF909</f>
        <v>-6.013252943496996E-2</v>
      </c>
      <c r="AG925" s="97">
        <f t="shared" ref="AG925" si="5317">AG924/AG909</f>
        <v>-8.727005743061042E-2</v>
      </c>
    </row>
    <row r="926" spans="2:33" ht="3" customHeight="1" x14ac:dyDescent="0.2">
      <c r="B926" s="9">
        <f>G897</f>
        <v>19</v>
      </c>
      <c r="C926" s="9" t="str">
        <f t="shared" si="5111"/>
        <v xml:space="preserve">19 - </v>
      </c>
      <c r="D926" s="9" t="s">
        <v>56</v>
      </c>
      <c r="F926" s="16"/>
      <c r="G926" s="36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6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8"/>
      <c r="AE926" s="15"/>
      <c r="AF926" s="36"/>
      <c r="AG926" s="38"/>
    </row>
    <row r="927" spans="2:33" x14ac:dyDescent="0.2">
      <c r="B927" s="9">
        <f>G897</f>
        <v>19</v>
      </c>
      <c r="C927" s="9" t="str">
        <f t="shared" si="5111"/>
        <v>19 - Marketing</v>
      </c>
      <c r="D927" s="9" t="s">
        <v>56</v>
      </c>
      <c r="F927" t="s">
        <v>7</v>
      </c>
      <c r="G927" s="144">
        <v>-6.0784877982915901</v>
      </c>
      <c r="H927" s="70">
        <v>-8.2020885181478516</v>
      </c>
      <c r="I927" s="70">
        <v>-12.205672382074889</v>
      </c>
      <c r="J927" s="70">
        <v>-9.914858700857021</v>
      </c>
      <c r="K927" s="70">
        <v>-9.7273221705857242</v>
      </c>
      <c r="L927" s="70">
        <v>-8.8864120119186563</v>
      </c>
      <c r="M927" s="70">
        <v>-7.6909322660641344</v>
      </c>
      <c r="N927" s="70">
        <v>-8.0568151998738067</v>
      </c>
      <c r="O927" s="70">
        <v>-8.4745625944876455</v>
      </c>
      <c r="P927" s="70">
        <v>-8.2231789233662642</v>
      </c>
      <c r="Q927" s="70">
        <v>-8.1709410272611738</v>
      </c>
      <c r="R927" s="70">
        <v>-5.4717382689690712</v>
      </c>
      <c r="S927" s="144">
        <v>-8.8898278575409169</v>
      </c>
      <c r="T927" s="70">
        <v>-8.6562416302066456</v>
      </c>
      <c r="U927" s="70">
        <v>-7.7258384631650108</v>
      </c>
      <c r="V927" s="70">
        <v>-10.217130869606613</v>
      </c>
      <c r="W927" s="70">
        <v>-14.915050163168399</v>
      </c>
      <c r="X927" s="70">
        <v>-10.202544157452282</v>
      </c>
      <c r="Y927" s="70">
        <v>-9.7400628604809665</v>
      </c>
      <c r="Z927" s="70">
        <v>-8.7716777919708573</v>
      </c>
      <c r="AA927" s="70">
        <v>-7.9621711363793732</v>
      </c>
      <c r="AB927" s="70">
        <v>-9.9764095114776588</v>
      </c>
      <c r="AC927" s="70">
        <v>-9.4502404076022817</v>
      </c>
      <c r="AD927" s="145">
        <v>-6.6660965672271901</v>
      </c>
      <c r="AE927" s="15"/>
      <c r="AF927" s="144">
        <v>-101.10300986189785</v>
      </c>
      <c r="AG927" s="145">
        <v>-113.17329141627818</v>
      </c>
    </row>
    <row r="928" spans="2:33" x14ac:dyDescent="0.2">
      <c r="B928" s="9">
        <f>G897</f>
        <v>19</v>
      </c>
      <c r="C928" s="9" t="str">
        <f t="shared" si="5111"/>
        <v>19 - % of Revenue - Marketing</v>
      </c>
      <c r="D928" s="9" t="s">
        <v>56</v>
      </c>
      <c r="F928" s="16" t="str">
        <f>"% of Revenue - "&amp;F927</f>
        <v>% of Revenue - Marketing</v>
      </c>
      <c r="G928" s="148">
        <f>G927/G909</f>
        <v>-1.6612440772131296E-2</v>
      </c>
      <c r="H928" s="149">
        <f t="shared" ref="H928" si="5318">H927/H909</f>
        <v>-2.8295240307975346E-2</v>
      </c>
      <c r="I928" s="149">
        <f t="shared" ref="I928" si="5319">I927/I909</f>
        <v>-3.4005023979252175E-2</v>
      </c>
      <c r="J928" s="149">
        <f t="shared" ref="J928" si="5320">J927/J909</f>
        <v>-2.8928448769654367E-2</v>
      </c>
      <c r="K928" s="149">
        <f t="shared" ref="K928" si="5321">K927/K909</f>
        <v>-2.3768862136931659E-2</v>
      </c>
      <c r="L928" s="149">
        <f t="shared" ref="L928" si="5322">L927/L909</f>
        <v>-2.2568583882282871E-2</v>
      </c>
      <c r="M928" s="149">
        <f t="shared" ref="M928" si="5323">M927/M909</f>
        <v>-2.2016870036973165E-2</v>
      </c>
      <c r="N928" s="149">
        <f t="shared" ref="N928" si="5324">N927/N909</f>
        <v>-1.8367295690088218E-2</v>
      </c>
      <c r="O928" s="149">
        <f t="shared" ref="O928" si="5325">O927/O909</f>
        <v>-2.1595286174734909E-2</v>
      </c>
      <c r="P928" s="149">
        <f t="shared" ref="P928" si="5326">P927/P909</f>
        <v>-2.0728101296760587E-2</v>
      </c>
      <c r="Q928" s="149">
        <f t="shared" ref="Q928" si="5327">Q927/Q909</f>
        <v>-1.8624324979073893E-2</v>
      </c>
      <c r="R928" s="149">
        <f t="shared" ref="R928" si="5328">R927/R909</f>
        <v>-1.572667776304161E-2</v>
      </c>
      <c r="S928" s="148">
        <f t="shared" ref="S928" si="5329">S927/S909</f>
        <v>-2.1871343660393817E-2</v>
      </c>
      <c r="T928" s="149">
        <f t="shared" ref="T928" si="5330">T927/T909</f>
        <v>-2.6762104472019786E-2</v>
      </c>
      <c r="U928" s="149">
        <f t="shared" ref="U928" si="5331">U927/U909</f>
        <v>-2.2363545663701464E-2</v>
      </c>
      <c r="V928" s="149">
        <f t="shared" ref="V928" si="5332">V927/V909</f>
        <v>-2.8681168826469917E-2</v>
      </c>
      <c r="W928" s="149">
        <f t="shared" ref="W928" si="5333">W927/W909</f>
        <v>-5.1180824374008747E-2</v>
      </c>
      <c r="X928" s="149">
        <f t="shared" ref="X928" si="5334">X927/X909</f>
        <v>-4.1687678926843927E-2</v>
      </c>
      <c r="Y928" s="149">
        <f t="shared" ref="Y928" si="5335">Y927/Y909</f>
        <v>-3.9032577386763571E-2</v>
      </c>
      <c r="Z928" s="149">
        <f t="shared" ref="Z928" si="5336">Z927/Z909</f>
        <v>-2.6359743259712052E-2</v>
      </c>
      <c r="AA928" s="149">
        <f t="shared" ref="AA928" si="5337">AA927/AA909</f>
        <v>-2.6690575743945837E-2</v>
      </c>
      <c r="AB928" s="149">
        <f t="shared" ref="AB928" si="5338">AB927/AB909</f>
        <v>-3.0529389409420044E-2</v>
      </c>
      <c r="AC928" s="149">
        <f t="shared" ref="AC928" si="5339">AC927/AC909</f>
        <v>-2.6404382711457688E-2</v>
      </c>
      <c r="AD928" s="150">
        <f t="shared" ref="AD928" si="5340">AD927/AD909</f>
        <v>-1.8352516568989577E-2</v>
      </c>
      <c r="AE928" s="15"/>
      <c r="AF928" s="96">
        <f t="shared" ref="AF928" si="5341">AF927/AF909</f>
        <v>-2.23470996046111E-2</v>
      </c>
      <c r="AG928" s="97">
        <f t="shared" ref="AG928" si="5342">AG927/AG909</f>
        <v>-2.9046397569661861E-2</v>
      </c>
    </row>
    <row r="929" spans="2:34" ht="3" customHeight="1" x14ac:dyDescent="0.2">
      <c r="B929" s="9">
        <f>G897</f>
        <v>19</v>
      </c>
      <c r="C929" s="9" t="str">
        <f t="shared" si="5111"/>
        <v xml:space="preserve">19 - </v>
      </c>
      <c r="D929" s="9" t="s">
        <v>56</v>
      </c>
      <c r="F929" s="16"/>
      <c r="G929" s="36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6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8"/>
      <c r="AE929" s="15"/>
      <c r="AF929" s="36"/>
      <c r="AG929" s="38"/>
    </row>
    <row r="930" spans="2:34" x14ac:dyDescent="0.2">
      <c r="B930" s="9">
        <f>G897</f>
        <v>19</v>
      </c>
      <c r="C930" s="9" t="str">
        <f t="shared" si="5111"/>
        <v>19 - Office Rent</v>
      </c>
      <c r="D930" s="9" t="s">
        <v>56</v>
      </c>
      <c r="F930" t="s">
        <v>162</v>
      </c>
      <c r="G930" s="144">
        <v>-31.165826827633726</v>
      </c>
      <c r="H930" s="70">
        <v>-31.165826827633726</v>
      </c>
      <c r="I930" s="70">
        <v>-31.165826827633726</v>
      </c>
      <c r="J930" s="70">
        <v>-32.100801632462733</v>
      </c>
      <c r="K930" s="70">
        <v>-32.100801632462733</v>
      </c>
      <c r="L930" s="70">
        <v>-32.100801632462733</v>
      </c>
      <c r="M930" s="70">
        <v>-32.100801632462733</v>
      </c>
      <c r="N930" s="70">
        <v>-32.100801632462733</v>
      </c>
      <c r="O930" s="70">
        <v>-32.100801632462733</v>
      </c>
      <c r="P930" s="70">
        <v>-32.100801632462733</v>
      </c>
      <c r="Q930" s="70">
        <v>-32.100801632462733</v>
      </c>
      <c r="R930" s="70">
        <v>-32.100801632462733</v>
      </c>
      <c r="S930" s="144">
        <v>-32.101095576919661</v>
      </c>
      <c r="T930" s="70">
        <v>-32.101095576919661</v>
      </c>
      <c r="U930" s="70">
        <v>-32.101095576919661</v>
      </c>
      <c r="V930" s="70">
        <v>-33.064128444227251</v>
      </c>
      <c r="W930" s="70">
        <v>-33.064128444227251</v>
      </c>
      <c r="X930" s="70">
        <v>-33.064128444227251</v>
      </c>
      <c r="Y930" s="70">
        <v>-33.064128444227251</v>
      </c>
      <c r="Z930" s="70">
        <v>-33.064128444227251</v>
      </c>
      <c r="AA930" s="70">
        <v>-33.064128444227251</v>
      </c>
      <c r="AB930" s="70">
        <v>-33.064128444227251</v>
      </c>
      <c r="AC930" s="70">
        <v>-33.064128444227251</v>
      </c>
      <c r="AD930" s="145">
        <v>-33.064128444227251</v>
      </c>
      <c r="AE930" s="15"/>
      <c r="AF930" s="144">
        <v>-382.40469517506568</v>
      </c>
      <c r="AG930" s="145">
        <v>-393.88044272880433</v>
      </c>
    </row>
    <row r="931" spans="2:34" x14ac:dyDescent="0.2">
      <c r="B931" s="9">
        <f>G897</f>
        <v>19</v>
      </c>
      <c r="C931" s="9" t="str">
        <f t="shared" si="5111"/>
        <v>19 - % YoY Growth</v>
      </c>
      <c r="D931" s="9" t="s">
        <v>56</v>
      </c>
      <c r="F931" s="16" t="s">
        <v>8</v>
      </c>
      <c r="G931" s="82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148">
        <f>S930/G930-1</f>
        <v>3.000943162710068E-2</v>
      </c>
      <c r="T931" s="149">
        <f t="shared" ref="T931" si="5343">T930/H930-1</f>
        <v>3.000943162710068E-2</v>
      </c>
      <c r="U931" s="149">
        <f t="shared" ref="U931" si="5344">U930/I930-1</f>
        <v>3.000943162710068E-2</v>
      </c>
      <c r="V931" s="149">
        <f t="shared" ref="V931" si="5345">V930/J930-1</f>
        <v>3.0009431627100902E-2</v>
      </c>
      <c r="W931" s="149">
        <f t="shared" ref="W931" si="5346">W930/K930-1</f>
        <v>3.0009431627100902E-2</v>
      </c>
      <c r="X931" s="149">
        <f t="shared" ref="X931" si="5347">X930/L930-1</f>
        <v>3.0009431627100902E-2</v>
      </c>
      <c r="Y931" s="149">
        <f t="shared" ref="Y931" si="5348">Y930/M930-1</f>
        <v>3.0009431627100902E-2</v>
      </c>
      <c r="Z931" s="149">
        <f t="shared" ref="Z931" si="5349">Z930/N930-1</f>
        <v>3.0009431627100902E-2</v>
      </c>
      <c r="AA931" s="149">
        <f t="shared" ref="AA931" si="5350">AA930/O930-1</f>
        <v>3.0009431627100902E-2</v>
      </c>
      <c r="AB931" s="149">
        <f t="shared" ref="AB931" si="5351">AB930/P930-1</f>
        <v>3.0009431627100902E-2</v>
      </c>
      <c r="AC931" s="149">
        <f t="shared" ref="AC931" si="5352">AC930/Q930-1</f>
        <v>3.0009431627100902E-2</v>
      </c>
      <c r="AD931" s="150">
        <f t="shared" ref="AD931" si="5353">AD930/R930-1</f>
        <v>3.0009431627100902E-2</v>
      </c>
      <c r="AE931" s="15"/>
      <c r="AF931" s="11"/>
      <c r="AG931" s="97">
        <f>AG930/AF930-1</f>
        <v>3.0009431627101346E-2</v>
      </c>
    </row>
    <row r="932" spans="2:34" ht="6" customHeight="1" x14ac:dyDescent="0.2">
      <c r="B932" s="9">
        <f>G897</f>
        <v>19</v>
      </c>
      <c r="C932" s="9" t="str">
        <f t="shared" si="5111"/>
        <v xml:space="preserve">19 - </v>
      </c>
      <c r="D932" s="9" t="s">
        <v>56</v>
      </c>
      <c r="F932" s="16"/>
      <c r="G932" s="11"/>
      <c r="S932" s="11"/>
      <c r="AD932" s="15"/>
      <c r="AE932" s="15"/>
      <c r="AF932" s="11"/>
      <c r="AG932" s="15"/>
    </row>
    <row r="933" spans="2:34" x14ac:dyDescent="0.2">
      <c r="B933" s="9">
        <f>G897</f>
        <v>19</v>
      </c>
      <c r="C933" s="9" t="str">
        <f t="shared" si="5111"/>
        <v>19 - Office EBITDA</v>
      </c>
      <c r="D933" s="9" t="s">
        <v>56</v>
      </c>
      <c r="F933" s="8" t="s">
        <v>12</v>
      </c>
      <c r="G933" s="134">
        <f>G921+G924+G927+G930</f>
        <v>98.487942415999342</v>
      </c>
      <c r="H933" s="135">
        <f t="shared" ref="H933:AD933" si="5354">H921+H924+H927+H930</f>
        <v>15.366871676603001</v>
      </c>
      <c r="I933" s="135">
        <f t="shared" si="5354"/>
        <v>25.356930230004597</v>
      </c>
      <c r="J933" s="135">
        <f t="shared" si="5354"/>
        <v>22.350602653499905</v>
      </c>
      <c r="K933" s="135">
        <f t="shared" si="5354"/>
        <v>34.390243286270106</v>
      </c>
      <c r="L933" s="135">
        <f t="shared" si="5354"/>
        <v>30.552185918203314</v>
      </c>
      <c r="M933" s="135">
        <f t="shared" si="5354"/>
        <v>27.292009591204419</v>
      </c>
      <c r="N933" s="135">
        <f t="shared" si="5354"/>
        <v>130.27282822931278</v>
      </c>
      <c r="O933" s="135">
        <f t="shared" si="5354"/>
        <v>115.67712818047981</v>
      </c>
      <c r="P933" s="135">
        <f t="shared" si="5354"/>
        <v>119.06564668566075</v>
      </c>
      <c r="Q933" s="135">
        <f t="shared" si="5354"/>
        <v>183.79041122449559</v>
      </c>
      <c r="R933" s="135">
        <f t="shared" si="5354"/>
        <v>139.66600635656715</v>
      </c>
      <c r="S933" s="134">
        <f t="shared" si="5354"/>
        <v>89.61285492625349</v>
      </c>
      <c r="T933" s="135">
        <f t="shared" si="5354"/>
        <v>38.754613495209</v>
      </c>
      <c r="U933" s="135">
        <f t="shared" si="5354"/>
        <v>49.450081563136422</v>
      </c>
      <c r="V933" s="135">
        <f t="shared" si="5354"/>
        <v>47.113787341944388</v>
      </c>
      <c r="W933" s="135">
        <f t="shared" si="5354"/>
        <v>-36.78649243595828</v>
      </c>
      <c r="X933" s="135">
        <f t="shared" si="5354"/>
        <v>-36.683633587293471</v>
      </c>
      <c r="Y933" s="135">
        <f t="shared" si="5354"/>
        <v>-34.016460891460454</v>
      </c>
      <c r="Z933" s="135">
        <f t="shared" si="5354"/>
        <v>44.723248068985896</v>
      </c>
      <c r="AA933" s="135">
        <f t="shared" si="5354"/>
        <v>-0.66919365087361626</v>
      </c>
      <c r="AB933" s="135">
        <f t="shared" si="5354"/>
        <v>1.2299143802570285</v>
      </c>
      <c r="AC933" s="135">
        <f t="shared" si="5354"/>
        <v>78.501820282705893</v>
      </c>
      <c r="AD933" s="136">
        <f t="shared" si="5354"/>
        <v>127.39658893368168</v>
      </c>
      <c r="AE933" s="15"/>
      <c r="AF933" s="94">
        <f>SUM(G933:R933)</f>
        <v>942.26880644830067</v>
      </c>
      <c r="AG933" s="95">
        <f>SUM(S933:AD933)</f>
        <v>368.627128426588</v>
      </c>
    </row>
    <row r="934" spans="2:34" x14ac:dyDescent="0.2">
      <c r="B934" s="9">
        <f>G897</f>
        <v>19</v>
      </c>
      <c r="C934" s="9" t="str">
        <f t="shared" si="5111"/>
        <v>19 - % of Revenue - Office EBITDA</v>
      </c>
      <c r="D934" s="9" t="s">
        <v>56</v>
      </c>
      <c r="F934" s="16" t="str">
        <f>"% of Revenue - "&amp;F933</f>
        <v>% of Revenue - Office EBITDA</v>
      </c>
      <c r="G934" s="148">
        <f>G933/G909</f>
        <v>0.26916647107767711</v>
      </c>
      <c r="H934" s="149">
        <f t="shared" ref="H934" si="5355">H933/H909</f>
        <v>5.3012025645571559E-2</v>
      </c>
      <c r="I934" s="149">
        <f t="shared" ref="I934" si="5356">I933/I909</f>
        <v>7.0644450671790954E-2</v>
      </c>
      <c r="J934" s="149">
        <f t="shared" ref="J934" si="5357">J933/J909</f>
        <v>6.5212050251082732E-2</v>
      </c>
      <c r="K934" s="149">
        <f t="shared" ref="K934" si="5358">K933/K909</f>
        <v>8.4033091244645544E-2</v>
      </c>
      <c r="L934" s="149">
        <f t="shared" ref="L934" si="5359">L933/L909</f>
        <v>7.7592572768095142E-2</v>
      </c>
      <c r="M934" s="149">
        <f t="shared" ref="M934" si="5360">M933/M909</f>
        <v>7.8128971551179441E-2</v>
      </c>
      <c r="N934" s="149">
        <f t="shared" ref="N934" si="5361">N933/N909</f>
        <v>0.29698578124385144</v>
      </c>
      <c r="O934" s="149">
        <f t="shared" ref="O934" si="5362">O933/O909</f>
        <v>0.2947739967787662</v>
      </c>
      <c r="P934" s="149">
        <f t="shared" ref="P934" si="5363">P933/P909</f>
        <v>0.3001278226419003</v>
      </c>
      <c r="Q934" s="149">
        <f t="shared" ref="Q934" si="5364">Q933/Q909</f>
        <v>0.41892021191468387</v>
      </c>
      <c r="R934" s="149">
        <f t="shared" ref="R934" si="5365">R933/R909</f>
        <v>0.40142312523922885</v>
      </c>
      <c r="S934" s="148">
        <f t="shared" ref="S934" si="5366">S933/S909</f>
        <v>0.22047148470018438</v>
      </c>
      <c r="T934" s="149">
        <f t="shared" ref="T934" si="5367">T933/T909</f>
        <v>0.11981585767110474</v>
      </c>
      <c r="U934" s="149">
        <f t="shared" ref="U934" si="5368">U933/U909</f>
        <v>0.14314034164492775</v>
      </c>
      <c r="V934" s="149">
        <f t="shared" ref="V934" si="5369">V933/V909</f>
        <v>0.13225615939093244</v>
      </c>
      <c r="W934" s="149">
        <f t="shared" ref="W934" si="5370">W933/W909</f>
        <v>-0.12623242886235303</v>
      </c>
      <c r="X934" s="149">
        <f t="shared" ref="X934" si="5371">X933/X909</f>
        <v>-0.14988962706327111</v>
      </c>
      <c r="Y934" s="149">
        <f t="shared" ref="Y934" si="5372">Y933/Y909</f>
        <v>-0.13631843666604243</v>
      </c>
      <c r="Z934" s="149">
        <f t="shared" ref="Z934" si="5373">Z933/Z909</f>
        <v>0.13439770187614272</v>
      </c>
      <c r="AA934" s="149">
        <f t="shared" ref="AA934" si="5374">AA933/AA909</f>
        <v>-2.2432529419521975E-3</v>
      </c>
      <c r="AB934" s="149">
        <f t="shared" ref="AB934" si="5375">AB933/AB909</f>
        <v>3.763732333953764E-3</v>
      </c>
      <c r="AC934" s="149">
        <f t="shared" ref="AC934" si="5376">AC933/AC909</f>
        <v>0.21933750009398412</v>
      </c>
      <c r="AD934" s="150">
        <f t="shared" ref="AD934" si="5377">AD933/AD909</f>
        <v>0.35073719464743291</v>
      </c>
      <c r="AE934" s="15"/>
      <c r="AF934" s="96">
        <f t="shared" ref="AF934" si="5378">AF933/AF909</f>
        <v>0.20827248269642093</v>
      </c>
      <c r="AG934" s="97">
        <f t="shared" ref="AG934" si="5379">AG933/AG909</f>
        <v>9.4609690972559293E-2</v>
      </c>
    </row>
    <row r="935" spans="2:34" ht="6" customHeight="1" x14ac:dyDescent="0.2">
      <c r="B935" s="9">
        <f>G897</f>
        <v>19</v>
      </c>
      <c r="C935" s="9" t="str">
        <f t="shared" si="5111"/>
        <v xml:space="preserve">19 - </v>
      </c>
      <c r="D935" s="9" t="s">
        <v>56</v>
      </c>
      <c r="G935" s="11"/>
      <c r="S935" s="11"/>
      <c r="AD935" s="15"/>
      <c r="AE935" s="15"/>
      <c r="AF935" s="11"/>
      <c r="AG935" s="15"/>
    </row>
    <row r="936" spans="2:34" x14ac:dyDescent="0.2">
      <c r="B936" s="9">
        <f>G897</f>
        <v>19</v>
      </c>
      <c r="C936" s="9" t="str">
        <f t="shared" si="5111"/>
        <v>19 - Memo:</v>
      </c>
      <c r="D936" s="9" t="s">
        <v>56</v>
      </c>
      <c r="F936" s="6" t="s">
        <v>13</v>
      </c>
      <c r="G936" s="11"/>
      <c r="S936" s="11"/>
      <c r="AD936" s="15"/>
      <c r="AE936" s="15"/>
      <c r="AF936" s="11"/>
      <c r="AG936" s="15"/>
    </row>
    <row r="937" spans="2:34" s="24" customFormat="1" x14ac:dyDescent="0.2">
      <c r="B937" s="9">
        <f>G897</f>
        <v>19</v>
      </c>
      <c r="C937" s="9" t="str">
        <f t="shared" si="5111"/>
        <v>19 - Collections</v>
      </c>
      <c r="D937" s="9" t="s">
        <v>56</v>
      </c>
      <c r="E937" s="49"/>
      <c r="F937" s="24" t="s">
        <v>15</v>
      </c>
      <c r="G937" s="169">
        <f>G938*G907</f>
        <v>369.3983927631383</v>
      </c>
      <c r="H937" s="170">
        <f t="shared" ref="H937" si="5380">H938*H907</f>
        <v>297.09385739918218</v>
      </c>
      <c r="I937" s="170">
        <f t="shared" ref="I937" si="5381">I938*I907</f>
        <v>357.84602924196179</v>
      </c>
      <c r="J937" s="170">
        <f t="shared" ref="J937" si="5382">J938*J907</f>
        <v>346.03286760066493</v>
      </c>
      <c r="K937" s="170">
        <f t="shared" ref="K937" si="5383">K938*K907</f>
        <v>403.80542921343221</v>
      </c>
      <c r="L937" s="170">
        <f t="shared" ref="L937" si="5384">L938*L907</f>
        <v>394.54350042575538</v>
      </c>
      <c r="M937" s="170">
        <f t="shared" ref="M937" si="5385">M938*M907</f>
        <v>357.01875995022795</v>
      </c>
      <c r="N937" s="170">
        <f t="shared" ref="N937" si="5386">N938*N907</f>
        <v>443.21769069267117</v>
      </c>
      <c r="O937" s="170">
        <f t="shared" ref="O937" si="5387">O938*O907</f>
        <v>401.17657483055922</v>
      </c>
      <c r="P937" s="170">
        <f t="shared" ref="P937" si="5388">P938*P907</f>
        <v>399.43413940201731</v>
      </c>
      <c r="Q937" s="170">
        <f t="shared" ref="Q937" si="5389">Q938*Q907</f>
        <v>435.75873728554762</v>
      </c>
      <c r="R937" s="170">
        <f t="shared" ref="R937" si="5390">R938*R907</f>
        <v>352.1876271869458</v>
      </c>
      <c r="S937" s="169">
        <f t="shared" ref="S937" si="5391">S938*S907</f>
        <v>404.6237301223332</v>
      </c>
      <c r="T937" s="170">
        <f t="shared" ref="T937" si="5392">T938*T907</f>
        <v>321.224978516367</v>
      </c>
      <c r="U937" s="170">
        <f t="shared" ref="U937" si="5393">U938*U907</f>
        <v>347.77475593268588</v>
      </c>
      <c r="V937" s="170">
        <f t="shared" ref="V937" si="5394">V938*V907</f>
        <v>351.34029042423811</v>
      </c>
      <c r="W937" s="170">
        <f t="shared" ref="W937" si="5395">W938*W907</f>
        <v>288.21570975799119</v>
      </c>
      <c r="X937" s="170">
        <f t="shared" ref="X937" si="5396">X938*X907</f>
        <v>239.85057971333791</v>
      </c>
      <c r="Y937" s="170">
        <f t="shared" ref="Y937" si="5397">Y938*Y907</f>
        <v>248.71061262031378</v>
      </c>
      <c r="Z937" s="170">
        <f t="shared" ref="Z937" si="5398">Z938*Z907</f>
        <v>334.77221977006405</v>
      </c>
      <c r="AA937" s="170">
        <f t="shared" ref="AA937" si="5399">AA938*AA907</f>
        <v>302.46533690614689</v>
      </c>
      <c r="AB937" s="170">
        <f t="shared" ref="AB937" si="5400">AB938*AB907</f>
        <v>322.79621867113963</v>
      </c>
      <c r="AC937" s="170">
        <f t="shared" ref="AC937" si="5401">AC938*AC907</f>
        <v>355.68955625868352</v>
      </c>
      <c r="AD937" s="171">
        <f t="shared" ref="AD937" si="5402">AD938*AD907</f>
        <v>357.16575570957389</v>
      </c>
      <c r="AE937" s="26"/>
      <c r="AF937" s="68">
        <f>SUM(G937:R937)</f>
        <v>4557.5136059921042</v>
      </c>
      <c r="AG937" s="99">
        <f>SUM(S937:AD937)</f>
        <v>3874.629744402876</v>
      </c>
    </row>
    <row r="938" spans="2:34" x14ac:dyDescent="0.2">
      <c r="B938" s="9">
        <f>G897</f>
        <v>19</v>
      </c>
      <c r="C938" s="9" t="str">
        <f t="shared" si="5111"/>
        <v>19 - Collections as a % of Production</v>
      </c>
      <c r="D938" s="9" t="s">
        <v>56</v>
      </c>
      <c r="F938" s="16" t="s">
        <v>17</v>
      </c>
      <c r="G938" s="140">
        <v>0.9829146587181703</v>
      </c>
      <c r="H938" s="141">
        <v>0.99785059696047296</v>
      </c>
      <c r="I938" s="141">
        <v>0.97064516018785563</v>
      </c>
      <c r="J938" s="141">
        <v>0.98296687476952427</v>
      </c>
      <c r="K938" s="141">
        <v>0.9606609991117232</v>
      </c>
      <c r="L938" s="141">
        <v>0.97556378837399393</v>
      </c>
      <c r="M938" s="141">
        <v>0.99506292143976216</v>
      </c>
      <c r="N938" s="141">
        <v>0.98374336468989754</v>
      </c>
      <c r="O938" s="141">
        <v>0.99531408976503455</v>
      </c>
      <c r="P938" s="141">
        <v>0.98027488857346201</v>
      </c>
      <c r="Q938" s="141">
        <v>0.96702451277386103</v>
      </c>
      <c r="R938" s="141">
        <v>0.98552735068626163</v>
      </c>
      <c r="S938" s="140">
        <v>0.97666773126883732</v>
      </c>
      <c r="T938" s="141">
        <v>0.97434682886188828</v>
      </c>
      <c r="U938" s="141">
        <v>0.98765773209874952</v>
      </c>
      <c r="V938" s="141">
        <v>0.96762977143296891</v>
      </c>
      <c r="W938" s="141">
        <v>0.97031687428400915</v>
      </c>
      <c r="X938" s="141">
        <v>0.96150906047880635</v>
      </c>
      <c r="Y938" s="141">
        <v>0.97785207868406354</v>
      </c>
      <c r="Z938" s="141">
        <v>0.98700941154122501</v>
      </c>
      <c r="AA938" s="141">
        <v>0.99475337522141671</v>
      </c>
      <c r="AB938" s="141">
        <v>0.96913809611058011</v>
      </c>
      <c r="AC938" s="141">
        <v>0.97502926742242724</v>
      </c>
      <c r="AD938" s="142">
        <v>0.96473317565832495</v>
      </c>
      <c r="AE938" s="15"/>
      <c r="AF938" s="96">
        <f t="shared" ref="AF938" si="5403">AF937/AF907</f>
        <v>0.98077179490924771</v>
      </c>
      <c r="AG938" s="97">
        <f t="shared" ref="AG938" si="5404">AG937/AG907</f>
        <v>0.97564520674768052</v>
      </c>
    </row>
    <row r="939" spans="2:34" ht="6" customHeight="1" x14ac:dyDescent="0.2">
      <c r="B939" s="9">
        <f>G897</f>
        <v>19</v>
      </c>
      <c r="C939" s="9" t="str">
        <f t="shared" si="5111"/>
        <v xml:space="preserve">19 - </v>
      </c>
      <c r="D939" s="9" t="s">
        <v>56</v>
      </c>
      <c r="F939" s="27"/>
      <c r="R939" s="15"/>
      <c r="AD939" s="15"/>
      <c r="AE939" s="15"/>
      <c r="AF939" s="11"/>
      <c r="AG939" s="15"/>
    </row>
    <row r="940" spans="2:34" s="24" customFormat="1" x14ac:dyDescent="0.2">
      <c r="B940" s="9">
        <f>G897</f>
        <v>19</v>
      </c>
      <c r="C940" s="9" t="str">
        <f t="shared" si="5111"/>
        <v>19 - Production per Vet Workday - YoY Change</v>
      </c>
      <c r="D940" s="9" t="s">
        <v>56</v>
      </c>
      <c r="E940" s="49"/>
      <c r="F940" s="24" t="s">
        <v>55</v>
      </c>
      <c r="G940" s="88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151">
        <f>S906/G906-1</f>
        <v>5.4435856016549877E-2</v>
      </c>
      <c r="T940" s="152">
        <f t="shared" ref="T940" si="5405">T906/H906-1</f>
        <v>5.6973734914779861E-2</v>
      </c>
      <c r="U940" s="152">
        <f t="shared" ref="U940" si="5406">U906/I906-1</f>
        <v>4.1944144161669028E-2</v>
      </c>
      <c r="V940" s="152">
        <f t="shared" ref="V940" si="5407">V906/J906-1</f>
        <v>-1.5452035220283822E-2</v>
      </c>
      <c r="W940" s="152">
        <f t="shared" ref="W940" si="5408">W906/K906-1</f>
        <v>1.5804013237302961E-2</v>
      </c>
      <c r="X940" s="152">
        <f t="shared" ref="X940" si="5409">X906/L906-1</f>
        <v>1.3323162711488479E-2</v>
      </c>
      <c r="Y940" s="152">
        <f t="shared" ref="Y940" si="5410">Y906/M906-1</f>
        <v>1.7107283342972179E-2</v>
      </c>
      <c r="Z940" s="152">
        <f t="shared" ref="Z940" si="5411">Z906/N906-1</f>
        <v>4.7405837204372192E-2</v>
      </c>
      <c r="AA940" s="152">
        <f t="shared" ref="AA940" si="5412">AA906/O906-1</f>
        <v>5.3724063749091666E-2</v>
      </c>
      <c r="AB940" s="152">
        <f t="shared" ref="AB940" si="5413">AB906/P906-1</f>
        <v>-9.3062801632359804E-4</v>
      </c>
      <c r="AC940" s="152">
        <f t="shared" ref="AC940" si="5414">AC906/Q906-1</f>
        <v>5.7937493674552476E-2</v>
      </c>
      <c r="AD940" s="153">
        <f t="shared" ref="AD940" si="5415">AD906/R906-1</f>
        <v>3.5993871709403935E-2</v>
      </c>
      <c r="AF940" s="43"/>
      <c r="AG940" s="104">
        <f>AG906/AF906-1</f>
        <v>2.9239231950231037E-2</v>
      </c>
    </row>
    <row r="941" spans="2:34" s="24" customFormat="1" ht="6" customHeight="1" x14ac:dyDescent="0.2">
      <c r="D941" s="9" t="s">
        <v>56</v>
      </c>
      <c r="E941" s="49"/>
      <c r="G941" s="28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29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29"/>
      <c r="AE941" s="25"/>
      <c r="AF941" s="28"/>
      <c r="AG941" s="29"/>
    </row>
    <row r="942" spans="2:34" s="24" customFormat="1" ht="6" customHeight="1" x14ac:dyDescent="0.2">
      <c r="D942" s="9" t="s">
        <v>56</v>
      </c>
      <c r="E942" s="49"/>
    </row>
    <row r="943" spans="2:34" s="24" customFormat="1" ht="12" customHeight="1" x14ac:dyDescent="0.2">
      <c r="D943" s="9" t="s">
        <v>56</v>
      </c>
      <c r="E943" s="49"/>
    </row>
    <row r="944" spans="2:34" ht="15.75" thickBot="1" x14ac:dyDescent="0.4">
      <c r="B944" s="35" t="s">
        <v>52</v>
      </c>
      <c r="C944" s="35"/>
      <c r="D944" s="9" t="s">
        <v>56</v>
      </c>
      <c r="E944" s="48" t="s">
        <v>0</v>
      </c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74">
        <f ca="1">AG$2</f>
        <v>45999</v>
      </c>
      <c r="AH944" s="1"/>
    </row>
    <row r="945" spans="2:33" x14ac:dyDescent="0.2">
      <c r="B945" s="9">
        <f>G946</f>
        <v>20</v>
      </c>
      <c r="C945" s="9"/>
      <c r="D945" s="9" t="s">
        <v>56</v>
      </c>
      <c r="F945" t="s">
        <v>159</v>
      </c>
      <c r="AG945" s="6" t="s">
        <v>16</v>
      </c>
    </row>
    <row r="946" spans="2:33" x14ac:dyDescent="0.2">
      <c r="B946" s="9">
        <f>G946</f>
        <v>20</v>
      </c>
      <c r="C946" s="9"/>
      <c r="D946" s="9" t="s">
        <v>56</v>
      </c>
      <c r="F946" s="40" t="s">
        <v>53</v>
      </c>
      <c r="G946" s="42">
        <v>20</v>
      </c>
    </row>
    <row r="947" spans="2:33" x14ac:dyDescent="0.2">
      <c r="B947" s="9">
        <f>G946</f>
        <v>20</v>
      </c>
      <c r="C947" s="9"/>
      <c r="D947" s="9" t="s">
        <v>56</v>
      </c>
      <c r="F947" s="39" t="s">
        <v>37</v>
      </c>
      <c r="G947" s="41"/>
      <c r="H947" s="11"/>
    </row>
    <row r="948" spans="2:33" x14ac:dyDescent="0.2">
      <c r="B948" s="9">
        <f>G946</f>
        <v>20</v>
      </c>
      <c r="C948" s="9"/>
      <c r="D948" s="9" t="s">
        <v>56</v>
      </c>
      <c r="G948" s="23"/>
    </row>
    <row r="949" spans="2:33" x14ac:dyDescent="0.2">
      <c r="B949" s="9">
        <f>G946</f>
        <v>20</v>
      </c>
      <c r="C949" s="9"/>
      <c r="D949" s="9" t="s">
        <v>56</v>
      </c>
      <c r="G949" s="20">
        <v>2023</v>
      </c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2"/>
      <c r="S949" s="20">
        <v>2024</v>
      </c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2"/>
      <c r="AF949" s="17" t="s">
        <v>14</v>
      </c>
      <c r="AG949" s="18"/>
    </row>
    <row r="950" spans="2:33" ht="15" customHeight="1" x14ac:dyDescent="0.35">
      <c r="B950" s="9">
        <f>G946</f>
        <v>20</v>
      </c>
      <c r="C950" s="9"/>
      <c r="D950" s="9" t="s">
        <v>56</v>
      </c>
      <c r="G950" s="165">
        <v>44957</v>
      </c>
      <c r="H950" s="166">
        <v>44985</v>
      </c>
      <c r="I950" s="166">
        <v>45016</v>
      </c>
      <c r="J950" s="166">
        <v>45046</v>
      </c>
      <c r="K950" s="166">
        <v>45077</v>
      </c>
      <c r="L950" s="166">
        <v>45107</v>
      </c>
      <c r="M950" s="166">
        <v>45138</v>
      </c>
      <c r="N950" s="166">
        <v>45169</v>
      </c>
      <c r="O950" s="166">
        <v>45199</v>
      </c>
      <c r="P950" s="166">
        <v>45230</v>
      </c>
      <c r="Q950" s="166">
        <v>45260</v>
      </c>
      <c r="R950" s="167">
        <v>45291</v>
      </c>
      <c r="S950" s="165">
        <v>45322</v>
      </c>
      <c r="T950" s="166">
        <v>45351</v>
      </c>
      <c r="U950" s="166">
        <v>45382</v>
      </c>
      <c r="V950" s="166">
        <v>45412</v>
      </c>
      <c r="W950" s="166">
        <v>45443</v>
      </c>
      <c r="X950" s="166">
        <v>45473</v>
      </c>
      <c r="Y950" s="166">
        <v>45504</v>
      </c>
      <c r="Z950" s="166">
        <v>45535</v>
      </c>
      <c r="AA950" s="166">
        <v>45565</v>
      </c>
      <c r="AB950" s="166">
        <v>45596</v>
      </c>
      <c r="AC950" s="166">
        <v>45626</v>
      </c>
      <c r="AD950" s="167">
        <v>45657</v>
      </c>
      <c r="AE950" s="168"/>
      <c r="AF950" s="13">
        <v>45291</v>
      </c>
      <c r="AG950" s="14">
        <v>45657</v>
      </c>
    </row>
    <row r="951" spans="2:33" ht="0.95" customHeight="1" x14ac:dyDescent="0.2">
      <c r="B951" s="9">
        <f>G946</f>
        <v>20</v>
      </c>
      <c r="C951" s="9"/>
      <c r="D951" s="9" t="s">
        <v>56</v>
      </c>
      <c r="G951" s="11"/>
      <c r="S951" s="11"/>
      <c r="AD951" s="15"/>
      <c r="AE951" s="15"/>
      <c r="AF951" s="11"/>
      <c r="AG951" s="15"/>
    </row>
    <row r="952" spans="2:33" x14ac:dyDescent="0.2">
      <c r="B952" s="9">
        <f>G946</f>
        <v>20</v>
      </c>
      <c r="C952" s="9" t="str">
        <f>B952&amp;" - "&amp;F952</f>
        <v>20 - Employed Vets</v>
      </c>
      <c r="D952" s="9" t="s">
        <v>56</v>
      </c>
      <c r="F952" s="7" t="s">
        <v>160</v>
      </c>
      <c r="G952" s="121">
        <v>1</v>
      </c>
      <c r="H952" s="154">
        <f>MAX(MIN(IF(H955/G955&gt;1.1,G952-1,IF(H955/G955&lt;0.9,G952+1,G952)),5),1)</f>
        <v>1</v>
      </c>
      <c r="I952" s="154">
        <f t="shared" ref="I952:AD952" si="5416">MAX(MIN(IF(I955/H955&gt;1.1,H952-1,IF(I955/H955&lt;0.9,H952+1,H952)),5),1)</f>
        <v>1</v>
      </c>
      <c r="J952" s="154">
        <f t="shared" si="5416"/>
        <v>1</v>
      </c>
      <c r="K952" s="154">
        <f t="shared" si="5416"/>
        <v>1</v>
      </c>
      <c r="L952" s="154">
        <f t="shared" si="5416"/>
        <v>1</v>
      </c>
      <c r="M952" s="154">
        <f t="shared" si="5416"/>
        <v>2</v>
      </c>
      <c r="N952" s="154">
        <f t="shared" si="5416"/>
        <v>3</v>
      </c>
      <c r="O952" s="154">
        <f t="shared" si="5416"/>
        <v>3</v>
      </c>
      <c r="P952" s="154">
        <f t="shared" si="5416"/>
        <v>3</v>
      </c>
      <c r="Q952" s="154">
        <f t="shared" si="5416"/>
        <v>4</v>
      </c>
      <c r="R952" s="154">
        <f t="shared" si="5416"/>
        <v>5</v>
      </c>
      <c r="S952" s="155">
        <f t="shared" si="5416"/>
        <v>4</v>
      </c>
      <c r="T952" s="154">
        <f t="shared" si="5416"/>
        <v>4</v>
      </c>
      <c r="U952" s="154">
        <f t="shared" si="5416"/>
        <v>4</v>
      </c>
      <c r="V952" s="154">
        <f t="shared" si="5416"/>
        <v>3</v>
      </c>
      <c r="W952" s="154">
        <f t="shared" si="5416"/>
        <v>3</v>
      </c>
      <c r="X952" s="154">
        <f t="shared" si="5416"/>
        <v>3</v>
      </c>
      <c r="Y952" s="154">
        <f t="shared" si="5416"/>
        <v>4</v>
      </c>
      <c r="Z952" s="154">
        <f t="shared" si="5416"/>
        <v>4</v>
      </c>
      <c r="AA952" s="154">
        <f t="shared" si="5416"/>
        <v>4</v>
      </c>
      <c r="AB952" s="154">
        <f t="shared" si="5416"/>
        <v>4</v>
      </c>
      <c r="AC952" s="154">
        <f t="shared" si="5416"/>
        <v>5</v>
      </c>
      <c r="AD952" s="156">
        <f t="shared" si="5416"/>
        <v>5</v>
      </c>
      <c r="AE952" s="15"/>
      <c r="AF952" s="90">
        <f>AVERAGE(G952:R952)</f>
        <v>2.1666666666666665</v>
      </c>
      <c r="AG952" s="91">
        <f>AVERAGE(S952:AD952)</f>
        <v>3.9166666666666665</v>
      </c>
    </row>
    <row r="953" spans="2:33" x14ac:dyDescent="0.2">
      <c r="B953" s="9">
        <f>G946</f>
        <v>20</v>
      </c>
      <c r="C953" s="9" t="str">
        <f t="shared" ref="C953:C989" si="5417">B953&amp;" - "&amp;F953</f>
        <v>20 - Workdays in Month / Year</v>
      </c>
      <c r="D953" s="9" t="s">
        <v>56</v>
      </c>
      <c r="F953" s="7" t="s">
        <v>54</v>
      </c>
      <c r="G953" s="121">
        <v>22</v>
      </c>
      <c r="H953" s="124">
        <v>21</v>
      </c>
      <c r="I953" s="124">
        <v>24</v>
      </c>
      <c r="J953" s="122">
        <v>21</v>
      </c>
      <c r="K953" s="122">
        <v>23</v>
      </c>
      <c r="L953" s="122">
        <v>23</v>
      </c>
      <c r="M953" s="122">
        <v>22</v>
      </c>
      <c r="N953" s="122">
        <v>24</v>
      </c>
      <c r="O953" s="122">
        <v>22</v>
      </c>
      <c r="P953" s="122">
        <v>22</v>
      </c>
      <c r="Q953" s="122">
        <v>23</v>
      </c>
      <c r="R953" s="122">
        <v>22</v>
      </c>
      <c r="S953" s="121">
        <v>23</v>
      </c>
      <c r="T953" s="122">
        <v>22</v>
      </c>
      <c r="U953" s="122">
        <v>22</v>
      </c>
      <c r="V953" s="122">
        <v>22</v>
      </c>
      <c r="W953" s="122">
        <v>24</v>
      </c>
      <c r="X953" s="122">
        <v>21</v>
      </c>
      <c r="Y953" s="122">
        <v>23</v>
      </c>
      <c r="Z953" s="122">
        <v>23</v>
      </c>
      <c r="AA953" s="122">
        <v>21</v>
      </c>
      <c r="AB953" s="122">
        <v>24</v>
      </c>
      <c r="AC953" s="122">
        <v>22</v>
      </c>
      <c r="AD953" s="123">
        <v>22</v>
      </c>
      <c r="AE953" s="15"/>
      <c r="AF953" s="144">
        <v>269</v>
      </c>
      <c r="AG953" s="145">
        <v>269</v>
      </c>
    </row>
    <row r="954" spans="2:33" x14ac:dyDescent="0.2">
      <c r="B954" s="9">
        <f>G946</f>
        <v>20</v>
      </c>
      <c r="C954" s="9" t="str">
        <f t="shared" si="5417"/>
        <v>20 - Total Vet Days</v>
      </c>
      <c r="D954" s="9" t="s">
        <v>56</v>
      </c>
      <c r="F954" s="8" t="s">
        <v>51</v>
      </c>
      <c r="G954" s="125">
        <f>G952*G953</f>
        <v>22</v>
      </c>
      <c r="H954" s="126">
        <f t="shared" ref="H954" si="5418">H952*H953</f>
        <v>21</v>
      </c>
      <c r="I954" s="126">
        <f t="shared" ref="I954" si="5419">I952*I953</f>
        <v>24</v>
      </c>
      <c r="J954" s="127">
        <f t="shared" ref="J954" si="5420">J952*J953</f>
        <v>21</v>
      </c>
      <c r="K954" s="127">
        <f t="shared" ref="K954" si="5421">K952*K953</f>
        <v>23</v>
      </c>
      <c r="L954" s="127">
        <f t="shared" ref="L954" si="5422">L952*L953</f>
        <v>23</v>
      </c>
      <c r="M954" s="127">
        <f t="shared" ref="M954" si="5423">M952*M953</f>
        <v>44</v>
      </c>
      <c r="N954" s="127">
        <f t="shared" ref="N954" si="5424">N952*N953</f>
        <v>72</v>
      </c>
      <c r="O954" s="127">
        <f t="shared" ref="O954" si="5425">O952*O953</f>
        <v>66</v>
      </c>
      <c r="P954" s="127">
        <f t="shared" ref="P954" si="5426">P952*P953</f>
        <v>66</v>
      </c>
      <c r="Q954" s="127">
        <f t="shared" ref="Q954" si="5427">Q952*Q953</f>
        <v>92</v>
      </c>
      <c r="R954" s="127">
        <f t="shared" ref="R954" si="5428">R952*R953</f>
        <v>110</v>
      </c>
      <c r="S954" s="125">
        <f t="shared" ref="S954" si="5429">S952*S953</f>
        <v>92</v>
      </c>
      <c r="T954" s="127">
        <f t="shared" ref="T954" si="5430">T952*T953</f>
        <v>88</v>
      </c>
      <c r="U954" s="127">
        <f t="shared" ref="U954" si="5431">U952*U953</f>
        <v>88</v>
      </c>
      <c r="V954" s="127">
        <f t="shared" ref="V954" si="5432">V952*V953</f>
        <v>66</v>
      </c>
      <c r="W954" s="127">
        <f t="shared" ref="W954" si="5433">W952*W953</f>
        <v>72</v>
      </c>
      <c r="X954" s="127">
        <f t="shared" ref="X954" si="5434">X952*X953</f>
        <v>63</v>
      </c>
      <c r="Y954" s="127">
        <f t="shared" ref="Y954" si="5435">Y952*Y953</f>
        <v>92</v>
      </c>
      <c r="Z954" s="127">
        <f t="shared" ref="Z954" si="5436">Z952*Z953</f>
        <v>92</v>
      </c>
      <c r="AA954" s="127">
        <f t="shared" ref="AA954" si="5437">AA952*AA953</f>
        <v>84</v>
      </c>
      <c r="AB954" s="127">
        <f t="shared" ref="AB954" si="5438">AB952*AB953</f>
        <v>96</v>
      </c>
      <c r="AC954" s="127">
        <f t="shared" ref="AC954" si="5439">AC952*AC953</f>
        <v>110</v>
      </c>
      <c r="AD954" s="128">
        <f t="shared" ref="AD954" si="5440">AD952*AD953</f>
        <v>110</v>
      </c>
      <c r="AF954" s="119">
        <f>SUM(G954:R954)</f>
        <v>584</v>
      </c>
      <c r="AG954" s="120">
        <f>SUM(S954:AD954)</f>
        <v>1053</v>
      </c>
    </row>
    <row r="955" spans="2:33" x14ac:dyDescent="0.2">
      <c r="B955" s="9">
        <f>G946</f>
        <v>20</v>
      </c>
      <c r="C955" s="9" t="str">
        <f t="shared" si="5417"/>
        <v>20 - Production per Vet Workday</v>
      </c>
      <c r="D955" s="9" t="s">
        <v>56</v>
      </c>
      <c r="F955" s="7" t="s">
        <v>50</v>
      </c>
      <c r="G955" s="129">
        <v>7.2326990859922971</v>
      </c>
      <c r="H955" s="130">
        <v>7.6102970587177339</v>
      </c>
      <c r="I955" s="130">
        <v>8.6070625904643467</v>
      </c>
      <c r="J955" s="130">
        <v>8.898710940070611</v>
      </c>
      <c r="K955" s="130">
        <v>9.8830729178235064</v>
      </c>
      <c r="L955" s="130">
        <v>10.027233618475206</v>
      </c>
      <c r="M955" s="130">
        <v>8.8494395694501797</v>
      </c>
      <c r="N955" s="130">
        <v>7.441664757354066</v>
      </c>
      <c r="O955" s="130">
        <v>7.1616603235730896</v>
      </c>
      <c r="P955" s="130">
        <v>7.2120901317553301</v>
      </c>
      <c r="Q955" s="130">
        <v>6.2785545598864116</v>
      </c>
      <c r="R955" s="130">
        <v>5.1471769890911334</v>
      </c>
      <c r="S955" s="129">
        <v>7.5010287113390817</v>
      </c>
      <c r="T955" s="130">
        <v>8.1720898254592456</v>
      </c>
      <c r="U955" s="130">
        <v>7.791477514294666</v>
      </c>
      <c r="V955" s="130">
        <v>8.8906495767151572</v>
      </c>
      <c r="W955" s="130">
        <v>9.6972728990212431</v>
      </c>
      <c r="X955" s="130">
        <v>8.9651740246075082</v>
      </c>
      <c r="Y955" s="130">
        <v>7.8598278299533719</v>
      </c>
      <c r="Z955" s="130">
        <v>7.9039789982504676</v>
      </c>
      <c r="AA955" s="130">
        <v>7.6348293775183196</v>
      </c>
      <c r="AB955" s="130">
        <v>7.3685141089468775</v>
      </c>
      <c r="AC955" s="130">
        <v>6.175699218744974</v>
      </c>
      <c r="AD955" s="131">
        <v>4.7439477222913053</v>
      </c>
      <c r="AE955" s="15"/>
      <c r="AF955" s="132">
        <v>7.8716352555071376</v>
      </c>
      <c r="AG955" s="133">
        <v>7.8199577578741009</v>
      </c>
    </row>
    <row r="956" spans="2:33" x14ac:dyDescent="0.2">
      <c r="B956" s="9">
        <f>G946</f>
        <v>20</v>
      </c>
      <c r="C956" s="9" t="str">
        <f t="shared" si="5417"/>
        <v>20 - Total Production</v>
      </c>
      <c r="D956" s="9" t="s">
        <v>56</v>
      </c>
      <c r="F956" s="8" t="s">
        <v>1</v>
      </c>
      <c r="G956" s="134">
        <f>G955*G954</f>
        <v>159.11937989183053</v>
      </c>
      <c r="H956" s="135">
        <f t="shared" ref="H956" si="5441">H955*H954</f>
        <v>159.8162382330724</v>
      </c>
      <c r="I956" s="135">
        <f t="shared" ref="I956" si="5442">I955*I954</f>
        <v>206.56950217114434</v>
      </c>
      <c r="J956" s="135">
        <f t="shared" ref="J956" si="5443">J955*J954</f>
        <v>186.87292974148284</v>
      </c>
      <c r="K956" s="135">
        <f t="shared" ref="K956" si="5444">K955*K954</f>
        <v>227.31067710994066</v>
      </c>
      <c r="L956" s="135">
        <f t="shared" ref="L956" si="5445">L955*L954</f>
        <v>230.62637322492975</v>
      </c>
      <c r="M956" s="135">
        <f t="shared" ref="M956" si="5446">M955*M954</f>
        <v>389.37534105580789</v>
      </c>
      <c r="N956" s="135">
        <f t="shared" ref="N956" si="5447">N955*N954</f>
        <v>535.79986252949277</v>
      </c>
      <c r="O956" s="135">
        <f t="shared" ref="O956" si="5448">O955*O954</f>
        <v>472.66958135582394</v>
      </c>
      <c r="P956" s="135">
        <f t="shared" ref="P956" si="5449">P955*P954</f>
        <v>475.99794869585179</v>
      </c>
      <c r="Q956" s="135">
        <f t="shared" ref="Q956" si="5450">Q955*Q954</f>
        <v>577.62701950954988</v>
      </c>
      <c r="R956" s="135">
        <f t="shared" ref="R956" si="5451">R955*R954</f>
        <v>566.18946880002466</v>
      </c>
      <c r="S956" s="134">
        <f t="shared" ref="S956" si="5452">S955*S954</f>
        <v>690.09464144319554</v>
      </c>
      <c r="T956" s="135">
        <f t="shared" ref="T956" si="5453">T955*T954</f>
        <v>719.14390464041367</v>
      </c>
      <c r="U956" s="135">
        <f t="shared" ref="U956" si="5454">U955*U954</f>
        <v>685.65002125793058</v>
      </c>
      <c r="V956" s="135">
        <f t="shared" ref="V956" si="5455">V955*V954</f>
        <v>586.78287206320033</v>
      </c>
      <c r="W956" s="135">
        <f t="shared" ref="W956" si="5456">W955*W954</f>
        <v>698.2036487295295</v>
      </c>
      <c r="X956" s="135">
        <f t="shared" ref="X956" si="5457">X955*X954</f>
        <v>564.80596355027296</v>
      </c>
      <c r="Y956" s="135">
        <f t="shared" ref="Y956" si="5458">Y955*Y954</f>
        <v>723.10416035571018</v>
      </c>
      <c r="Z956" s="135">
        <f t="shared" ref="Z956" si="5459">Z955*Z954</f>
        <v>727.16606783904297</v>
      </c>
      <c r="AA956" s="135">
        <f t="shared" ref="AA956" si="5460">AA955*AA954</f>
        <v>641.32566771153881</v>
      </c>
      <c r="AB956" s="135">
        <f t="shared" ref="AB956" si="5461">AB955*AB954</f>
        <v>707.3773544589003</v>
      </c>
      <c r="AC956" s="135">
        <f t="shared" ref="AC956" si="5462">AC955*AC954</f>
        <v>679.32691406194715</v>
      </c>
      <c r="AD956" s="136">
        <f t="shared" ref="AD956" si="5463">AD955*AD954</f>
        <v>521.83424945204354</v>
      </c>
      <c r="AE956" s="15"/>
      <c r="AF956" s="94">
        <f>SUM(G956:R956)</f>
        <v>4187.9743223189516</v>
      </c>
      <c r="AG956" s="95">
        <f>SUM(S956:AD956)</f>
        <v>7944.8154655637254</v>
      </c>
    </row>
    <row r="957" spans="2:33" x14ac:dyDescent="0.2">
      <c r="B957" s="9">
        <f>G946</f>
        <v>20</v>
      </c>
      <c r="C957" s="9" t="str">
        <f t="shared" si="5417"/>
        <v>20 - Revenue as a % of Production</v>
      </c>
      <c r="D957" s="9" t="s">
        <v>56</v>
      </c>
      <c r="F957" s="7" t="s">
        <v>2</v>
      </c>
      <c r="G957" s="137">
        <v>0.97756915575235392</v>
      </c>
      <c r="H957" s="138">
        <v>0.97756915575235392</v>
      </c>
      <c r="I957" s="138">
        <v>0.97756915575235392</v>
      </c>
      <c r="J957" s="138">
        <v>0.97756915575235392</v>
      </c>
      <c r="K957" s="138">
        <v>0.97756915575235392</v>
      </c>
      <c r="L957" s="138">
        <v>0.97756915575235392</v>
      </c>
      <c r="M957" s="138">
        <v>0.97756915575235392</v>
      </c>
      <c r="N957" s="138">
        <v>0.97756915575235392</v>
      </c>
      <c r="O957" s="138">
        <v>0.97756915575235392</v>
      </c>
      <c r="P957" s="138">
        <v>0.97756915575235392</v>
      </c>
      <c r="Q957" s="138">
        <v>0.97756915575235392</v>
      </c>
      <c r="R957" s="138">
        <v>0.97756915575235392</v>
      </c>
      <c r="S957" s="137">
        <v>0.96997562457365927</v>
      </c>
      <c r="T957" s="138">
        <v>0.96997562457365927</v>
      </c>
      <c r="U957" s="138">
        <v>0.96997562457365927</v>
      </c>
      <c r="V957" s="138">
        <v>0.96997562457365927</v>
      </c>
      <c r="W957" s="138">
        <v>0.96997562457365927</v>
      </c>
      <c r="X957" s="138">
        <v>0.96997562457365927</v>
      </c>
      <c r="Y957" s="138">
        <v>0.96997562457365927</v>
      </c>
      <c r="Z957" s="138">
        <v>0.96997562457365927</v>
      </c>
      <c r="AA957" s="138">
        <v>0.96997562457365927</v>
      </c>
      <c r="AB957" s="138">
        <v>0.96997562457365927</v>
      </c>
      <c r="AC957" s="138">
        <v>0.96997562457365927</v>
      </c>
      <c r="AD957" s="139">
        <v>0.96997562457365927</v>
      </c>
      <c r="AE957" s="15"/>
      <c r="AF957" s="161">
        <v>0.97756915575235392</v>
      </c>
      <c r="AG957" s="162">
        <v>0.96997562457365927</v>
      </c>
    </row>
    <row r="958" spans="2:33" x14ac:dyDescent="0.2">
      <c r="B958" s="9">
        <f>G946</f>
        <v>20</v>
      </c>
      <c r="C958" s="9" t="str">
        <f t="shared" si="5417"/>
        <v>20 - Total Revenue</v>
      </c>
      <c r="D958" s="9" t="s">
        <v>56</v>
      </c>
      <c r="F958" s="8" t="s">
        <v>3</v>
      </c>
      <c r="G958" s="134">
        <f>G957*G956</f>
        <v>155.55019786469487</v>
      </c>
      <c r="H958" s="135">
        <f t="shared" ref="H958" si="5464">H957*H956</f>
        <v>156.23142508502164</v>
      </c>
      <c r="I958" s="135">
        <f t="shared" ref="I958" si="5465">I957*I956</f>
        <v>201.93597384162962</v>
      </c>
      <c r="J958" s="135">
        <f t="shared" ref="J958" si="5466">J957*J956</f>
        <v>182.68121216035033</v>
      </c>
      <c r="K958" s="135">
        <f t="shared" ref="K958" si="5467">K957*K956</f>
        <v>222.21190671586061</v>
      </c>
      <c r="L958" s="135">
        <f t="shared" ref="L958" si="5468">L957*L956</f>
        <v>225.45322896772186</v>
      </c>
      <c r="M958" s="135">
        <f t="shared" ref="M958" si="5469">M957*M956</f>
        <v>380.64132342671098</v>
      </c>
      <c r="N958" s="135">
        <f t="shared" ref="N958" si="5470">N957*N956</f>
        <v>523.78141926518356</v>
      </c>
      <c r="O958" s="135">
        <f t="shared" ref="O958" si="5471">O957*O956</f>
        <v>462.06720359583136</v>
      </c>
      <c r="P958" s="135">
        <f t="shared" ref="P958" si="5472">P957*P956</f>
        <v>465.32091284645611</v>
      </c>
      <c r="Q958" s="135">
        <f t="shared" ref="Q958" si="5473">Q957*Q956</f>
        <v>564.6703578016992</v>
      </c>
      <c r="R958" s="135">
        <f t="shared" ref="R958" si="5474">R957*R956</f>
        <v>553.48936101071388</v>
      </c>
      <c r="S958" s="134">
        <f t="shared" ref="S958" si="5475">S957*S956</f>
        <v>669.37498084879905</v>
      </c>
      <c r="T958" s="135">
        <f t="shared" ref="T958" si="5476">T957*T956</f>
        <v>697.55205806192532</v>
      </c>
      <c r="U958" s="135">
        <f t="shared" ref="U958" si="5477">U957*U956</f>
        <v>665.06380760860395</v>
      </c>
      <c r="V958" s="135">
        <f t="shared" ref="V958" si="5478">V957*V956</f>
        <v>569.16508281862832</v>
      </c>
      <c r="W958" s="135">
        <f t="shared" ref="W958" si="5479">W957*W956</f>
        <v>677.24052025603316</v>
      </c>
      <c r="X958" s="135">
        <f t="shared" ref="X958" si="5480">X957*X956</f>
        <v>547.84801725760349</v>
      </c>
      <c r="Y958" s="135">
        <f t="shared" ref="Y958" si="5481">Y957*Y956</f>
        <v>701.39340957284139</v>
      </c>
      <c r="Z958" s="135">
        <f t="shared" ref="Z958" si="5482">Z957*Z956</f>
        <v>705.33336082094763</v>
      </c>
      <c r="AA958" s="135">
        <f t="shared" ref="AA958" si="5483">AA957*AA956</f>
        <v>622.0702650936189</v>
      </c>
      <c r="AB958" s="135">
        <f t="shared" ref="AB958" si="5484">AB957*AB956</f>
        <v>686.13879120053457</v>
      </c>
      <c r="AC958" s="135">
        <f t="shared" ref="AC958" si="5485">AC957*AC956</f>
        <v>658.93054775693372</v>
      </c>
      <c r="AD958" s="136">
        <f t="shared" ref="AD958" si="5486">AD957*AD956</f>
        <v>506.16650203617263</v>
      </c>
      <c r="AE958" s="15"/>
      <c r="AF958" s="94">
        <f>SUM(G958:R958)</f>
        <v>4094.0345225818737</v>
      </c>
      <c r="AG958" s="95">
        <f>SUM(S958:AD958)</f>
        <v>7706.277343332642</v>
      </c>
    </row>
    <row r="959" spans="2:33" x14ac:dyDescent="0.2">
      <c r="B959" s="9">
        <f>G946</f>
        <v>20</v>
      </c>
      <c r="C959" s="9" t="str">
        <f t="shared" si="5417"/>
        <v>20 - % YoY Revenue Growth</v>
      </c>
      <c r="D959" s="9" t="s">
        <v>56</v>
      </c>
      <c r="F959" s="16" t="s">
        <v>174</v>
      </c>
      <c r="G959" s="82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148">
        <f>S958/G958-1</f>
        <v>3.3032730915010085</v>
      </c>
      <c r="T959" s="149">
        <f t="shared" ref="T959" si="5487">T958/H958-1</f>
        <v>3.4648639521934541</v>
      </c>
      <c r="U959" s="149">
        <f t="shared" ref="U959" si="5488">U958/I958-1</f>
        <v>2.2934389794766687</v>
      </c>
      <c r="V959" s="149">
        <f t="shared" ref="V959" si="5489">V958/J958-1</f>
        <v>2.1156191492699192</v>
      </c>
      <c r="W959" s="149">
        <f t="shared" ref="W959" si="5490">W958/K958-1</f>
        <v>2.0477238158169966</v>
      </c>
      <c r="X959" s="149">
        <f t="shared" ref="X959" si="5491">X958/L958-1</f>
        <v>1.4299852335937886</v>
      </c>
      <c r="Y959" s="149">
        <f t="shared" ref="Y959" si="5492">Y958/M958-1</f>
        <v>0.84266228180001668</v>
      </c>
      <c r="Z959" s="149">
        <f t="shared" ref="Z959" si="5493">Z958/N958-1</f>
        <v>0.3466177586262309</v>
      </c>
      <c r="AA959" s="149">
        <f t="shared" ref="AA959" si="5494">AA958/O958-1</f>
        <v>0.34627660273794647</v>
      </c>
      <c r="AB959" s="149">
        <f t="shared" ref="AB959" si="5495">AB958/P958-1</f>
        <v>0.47454965435207641</v>
      </c>
      <c r="AC959" s="149">
        <f t="shared" ref="AC959" si="5496">AC958/Q958-1</f>
        <v>0.16692958759548837</v>
      </c>
      <c r="AD959" s="150">
        <f t="shared" ref="AD959" si="5497">AD958/R958-1</f>
        <v>-8.54991302599315E-2</v>
      </c>
      <c r="AE959" s="15"/>
      <c r="AF959" s="11"/>
      <c r="AG959" s="97">
        <f>AG958/AF958-1</f>
        <v>0.88231860303726339</v>
      </c>
    </row>
    <row r="960" spans="2:33" ht="6" customHeight="1" x14ac:dyDescent="0.2">
      <c r="B960" s="9">
        <f>G946</f>
        <v>20</v>
      </c>
      <c r="C960" s="9" t="str">
        <f t="shared" si="5417"/>
        <v xml:space="preserve">20 - </v>
      </c>
      <c r="D960" s="9" t="s">
        <v>56</v>
      </c>
      <c r="G960" s="11"/>
      <c r="S960" s="11"/>
      <c r="AD960" s="15"/>
      <c r="AE960" s="15"/>
      <c r="AF960" s="11"/>
      <c r="AG960" s="15"/>
    </row>
    <row r="961" spans="2:33" x14ac:dyDescent="0.2">
      <c r="B961" s="9">
        <f>G946</f>
        <v>20</v>
      </c>
      <c r="C961" s="9" t="str">
        <f t="shared" si="5417"/>
        <v>20 - Doctor Compensation</v>
      </c>
      <c r="D961" s="9" t="s">
        <v>56</v>
      </c>
      <c r="F961" t="s">
        <v>4</v>
      </c>
      <c r="G961" s="144">
        <v>-59.369234364554892</v>
      </c>
      <c r="H961" s="70">
        <v>-61.116714500426994</v>
      </c>
      <c r="I961" s="70">
        <v>-79.331478968769332</v>
      </c>
      <c r="J961" s="70">
        <v>-71.733867913106337</v>
      </c>
      <c r="K961" s="70">
        <v>-89.709758641078864</v>
      </c>
      <c r="L961" s="70">
        <v>-92.259460487828122</v>
      </c>
      <c r="M961" s="70">
        <v>-75.735093492089547</v>
      </c>
      <c r="N961" s="70">
        <v>-69.282092635884936</v>
      </c>
      <c r="O961" s="70">
        <v>-60.310965584384491</v>
      </c>
      <c r="P961" s="70">
        <v>-60.143725786518736</v>
      </c>
      <c r="Q961" s="70">
        <v>-53.112275007490389</v>
      </c>
      <c r="R961" s="70">
        <v>-40.570665587430355</v>
      </c>
      <c r="S961" s="144">
        <v>-141.13922672903561</v>
      </c>
      <c r="T961" s="70">
        <v>-150.73409412047747</v>
      </c>
      <c r="U961" s="70">
        <v>-146.47332942959369</v>
      </c>
      <c r="V961" s="70">
        <v>-169.49116029857768</v>
      </c>
      <c r="W961" s="70">
        <v>-225.53237747001762</v>
      </c>
      <c r="X961" s="70">
        <v>-164.24905124239757</v>
      </c>
      <c r="Y961" s="70">
        <v>-158.09549825251707</v>
      </c>
      <c r="Z961" s="70">
        <v>-159.50156841464312</v>
      </c>
      <c r="AA961" s="70">
        <v>-141.80920392399292</v>
      </c>
      <c r="AB961" s="70">
        <v>-156.20177125232902</v>
      </c>
      <c r="AC961" s="70">
        <v>-117.28987203590138</v>
      </c>
      <c r="AD961" s="145">
        <v>-89.825931240418456</v>
      </c>
      <c r="AE961" s="15"/>
      <c r="AF961" s="92">
        <f>SUM(G961:R961)</f>
        <v>-812.67533296956299</v>
      </c>
      <c r="AG961" s="93">
        <f>SUM(S961:AD961)</f>
        <v>-1820.3430844099018</v>
      </c>
    </row>
    <row r="962" spans="2:33" x14ac:dyDescent="0.2">
      <c r="B962" s="9">
        <f>G946</f>
        <v>20</v>
      </c>
      <c r="C962" s="9" t="str">
        <f t="shared" si="5417"/>
        <v>20 - % of Revenue - Doctor Compensation</v>
      </c>
      <c r="D962" s="9" t="s">
        <v>56</v>
      </c>
      <c r="F962" s="16" t="str">
        <f>"% of Revenue - "&amp;F961</f>
        <v>% of Revenue - Doctor Compensation</v>
      </c>
      <c r="G962" s="148">
        <f>G961/G958</f>
        <v>-0.38167250945059639</v>
      </c>
      <c r="H962" s="149">
        <f t="shared" ref="H962" si="5498">H961/H958</f>
        <v>-0.39119347767049478</v>
      </c>
      <c r="I962" s="149">
        <f t="shared" ref="I962" si="5499">I961/I958</f>
        <v>-0.39285461356670343</v>
      </c>
      <c r="J962" s="149">
        <f t="shared" ref="J962" si="5500">J961/J958</f>
        <v>-0.39267238850014413</v>
      </c>
      <c r="K962" s="149">
        <f t="shared" ref="K962" si="5501">K961/K958</f>
        <v>-0.40371265413688895</v>
      </c>
      <c r="L962" s="149">
        <f t="shared" ref="L962" si="5502">L961/L958</f>
        <v>-0.40921773846511161</v>
      </c>
      <c r="M962" s="149">
        <f t="shared" ref="M962" si="5503">M961/M958</f>
        <v>-0.1989670822134782</v>
      </c>
      <c r="N962" s="149">
        <f t="shared" ref="N962" si="5504">N961/N958</f>
        <v>-0.13227291020189538</v>
      </c>
      <c r="O962" s="149">
        <f t="shared" ref="O962" si="5505">O961/O958</f>
        <v>-0.13052422919229362</v>
      </c>
      <c r="P962" s="149">
        <f t="shared" ref="P962" si="5506">P961/P958</f>
        <v>-0.12925214432897111</v>
      </c>
      <c r="Q962" s="149">
        <f t="shared" ref="Q962" si="5507">Q961/Q958</f>
        <v>-9.4058904055562886E-2</v>
      </c>
      <c r="R962" s="149">
        <f t="shared" ref="R962" si="5508">R961/R958</f>
        <v>-7.3299811062935732E-2</v>
      </c>
      <c r="S962" s="148">
        <f t="shared" ref="S962" si="5509">S961/S958</f>
        <v>-0.21085225884908995</v>
      </c>
      <c r="T962" s="149">
        <f t="shared" ref="T962" si="5510">T961/T958</f>
        <v>-0.21609010019879552</v>
      </c>
      <c r="U962" s="149">
        <f t="shared" ref="U962" si="5511">U961/U958</f>
        <v>-0.22023951349310916</v>
      </c>
      <c r="V962" s="149">
        <f t="shared" ref="V962" si="5512">V961/V958</f>
        <v>-0.29778910445317708</v>
      </c>
      <c r="W962" s="149">
        <f t="shared" ref="W962" si="5513">W961/W958</f>
        <v>-0.33301666206380315</v>
      </c>
      <c r="X962" s="149">
        <f t="shared" ref="X962" si="5514">X961/X958</f>
        <v>-0.29980769495998022</v>
      </c>
      <c r="Y962" s="149">
        <f t="shared" ref="Y962" si="5515">Y961/Y958</f>
        <v>-0.2254020298662337</v>
      </c>
      <c r="Z962" s="149">
        <f t="shared" ref="Z962" si="5516">Z961/Z958</f>
        <v>-0.22613643033841041</v>
      </c>
      <c r="AA962" s="149">
        <f t="shared" ref="AA962" si="5517">AA961/AA958</f>
        <v>-0.22796332163964025</v>
      </c>
      <c r="AB962" s="149">
        <f t="shared" ref="AB962" si="5518">AB961/AB958</f>
        <v>-0.22765331629045976</v>
      </c>
      <c r="AC962" s="149">
        <f t="shared" ref="AC962" si="5519">AC961/AC958</f>
        <v>-0.17800035593306149</v>
      </c>
      <c r="AD962" s="150">
        <f t="shared" ref="AD962" si="5520">AD961/AD958</f>
        <v>-0.17746320801371235</v>
      </c>
      <c r="AE962" s="15"/>
      <c r="AF962" s="96">
        <f t="shared" ref="AF962" si="5521">AF961/AF958</f>
        <v>-0.1985023156221592</v>
      </c>
      <c r="AG962" s="97">
        <f t="shared" ref="AG962" si="5522">AG961/AG958</f>
        <v>-0.23621562050123149</v>
      </c>
    </row>
    <row r="963" spans="2:33" ht="3" customHeight="1" x14ac:dyDescent="0.2">
      <c r="B963" s="9">
        <f>G946</f>
        <v>20</v>
      </c>
      <c r="C963" s="9" t="str">
        <f t="shared" si="5417"/>
        <v xml:space="preserve">20 - </v>
      </c>
      <c r="D963" s="9" t="s">
        <v>56</v>
      </c>
      <c r="F963" s="16"/>
      <c r="G963" s="36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6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8"/>
      <c r="AE963" s="15"/>
      <c r="AF963" s="36"/>
      <c r="AG963" s="38"/>
    </row>
    <row r="964" spans="2:33" x14ac:dyDescent="0.2">
      <c r="B964" s="9">
        <f>G946</f>
        <v>20</v>
      </c>
      <c r="C964" s="9" t="str">
        <f t="shared" si="5417"/>
        <v>20 - Administrative Staff Compensation</v>
      </c>
      <c r="D964" s="9" t="s">
        <v>56</v>
      </c>
      <c r="F964" t="s">
        <v>5</v>
      </c>
      <c r="G964" s="144">
        <v>-28.787822143448679</v>
      </c>
      <c r="H964" s="70">
        <v>-29.681632234403743</v>
      </c>
      <c r="I964" s="70">
        <v>-39.303227006884974</v>
      </c>
      <c r="J964" s="70">
        <v>-37.361404672355526</v>
      </c>
      <c r="K964" s="70">
        <v>-46.618326543811655</v>
      </c>
      <c r="L964" s="70">
        <v>-48.687068124353786</v>
      </c>
      <c r="M964" s="70">
        <v>-40.25441912332851</v>
      </c>
      <c r="N964" s="70">
        <v>-35.442411360994981</v>
      </c>
      <c r="O964" s="70">
        <v>-32.421881097692633</v>
      </c>
      <c r="P964" s="70">
        <v>-32.784785497289583</v>
      </c>
      <c r="Q964" s="70">
        <v>-28.552957633084208</v>
      </c>
      <c r="R964" s="70">
        <v>-23.254648754455445</v>
      </c>
      <c r="S964" s="144">
        <v>-63.253959347363264</v>
      </c>
      <c r="T964" s="70">
        <v>-68.647467128876798</v>
      </c>
      <c r="U964" s="70">
        <v>-66.828987534984634</v>
      </c>
      <c r="V964" s="70">
        <v>-73.898395103325882</v>
      </c>
      <c r="W964" s="70">
        <v>-95.953472168037891</v>
      </c>
      <c r="X964" s="70">
        <v>-72.560678717766862</v>
      </c>
      <c r="Y964" s="70">
        <v>-70.20588740493308</v>
      </c>
      <c r="Z964" s="70">
        <v>-72.398434105162778</v>
      </c>
      <c r="AA964" s="70">
        <v>-64.741417750876195</v>
      </c>
      <c r="AB964" s="70">
        <v>-73.064283536380017</v>
      </c>
      <c r="AC964" s="70">
        <v>-58.184040395427843</v>
      </c>
      <c r="AD964" s="145">
        <v>-43.606022179226095</v>
      </c>
      <c r="AE964" s="15"/>
      <c r="AF964" s="92">
        <f>SUM(G964:R964)</f>
        <v>-423.15058419210368</v>
      </c>
      <c r="AG964" s="93">
        <f>SUM(S964:AD964)</f>
        <v>-823.34304537236119</v>
      </c>
    </row>
    <row r="965" spans="2:33" x14ac:dyDescent="0.2">
      <c r="B965" s="9">
        <f>G946</f>
        <v>20</v>
      </c>
      <c r="C965" s="9" t="str">
        <f t="shared" si="5417"/>
        <v>20 - % of Revenue - Administrative Staff Compensation</v>
      </c>
      <c r="D965" s="9" t="s">
        <v>56</v>
      </c>
      <c r="F965" s="16" t="str">
        <f>"% of Revenue - "&amp;F964</f>
        <v>% of Revenue - Administrative Staff Compensation</v>
      </c>
      <c r="G965" s="148">
        <f>G964/G958</f>
        <v>-0.18507094519088768</v>
      </c>
      <c r="H965" s="149">
        <f t="shared" ref="H965" si="5523">H964/H958</f>
        <v>-0.18998503161736446</v>
      </c>
      <c r="I965" s="149">
        <f t="shared" ref="I965" si="5524">I964/I958</f>
        <v>-0.19463212155407703</v>
      </c>
      <c r="J965" s="149">
        <f t="shared" ref="J965" si="5525">J964/J958</f>
        <v>-0.20451695185578891</v>
      </c>
      <c r="K965" s="149">
        <f t="shared" ref="K965" si="5526">K964/K958</f>
        <v>-0.20979220795500345</v>
      </c>
      <c r="L965" s="149">
        <f t="shared" ref="L965" si="5527">L964/L958</f>
        <v>-0.21595196638910999</v>
      </c>
      <c r="M965" s="149">
        <f t="shared" ref="M965" si="5528">M964/M958</f>
        <v>-0.10575420125418708</v>
      </c>
      <c r="N965" s="149">
        <f t="shared" ref="N965" si="5529">N964/N958</f>
        <v>-6.7666415908218688E-2</v>
      </c>
      <c r="O965" s="149">
        <f t="shared" ref="O965" si="5530">O964/O958</f>
        <v>-7.0167025154314874E-2</v>
      </c>
      <c r="P965" s="149">
        <f t="shared" ref="P965" si="5531">P964/P958</f>
        <v>-7.0456290684935793E-2</v>
      </c>
      <c r="Q965" s="149">
        <f t="shared" ref="Q965" si="5532">Q964/Q958</f>
        <v>-5.0565710132621178E-2</v>
      </c>
      <c r="R965" s="149">
        <f t="shared" ref="R965" si="5533">R964/R958</f>
        <v>-4.2014626463624666E-2</v>
      </c>
      <c r="S965" s="148">
        <f t="shared" ref="S965" si="5534">S964/S958</f>
        <v>-9.4497047480254281E-2</v>
      </c>
      <c r="T965" s="149">
        <f t="shared" ref="T965" si="5535">T964/T958</f>
        <v>-9.8411962713731399E-2</v>
      </c>
      <c r="U965" s="149">
        <f t="shared" ref="U965" si="5536">U964/U958</f>
        <v>-0.10048507642489861</v>
      </c>
      <c r="V965" s="149">
        <f t="shared" ref="V965" si="5537">V964/V958</f>
        <v>-0.1298364873989899</v>
      </c>
      <c r="W965" s="149">
        <f t="shared" ref="W965" si="5538">W964/W958</f>
        <v>-0.1416830052220773</v>
      </c>
      <c r="X965" s="149">
        <f t="shared" ref="X965" si="5539">X964/X958</f>
        <v>-0.13244673053849554</v>
      </c>
      <c r="Y965" s="149">
        <f t="shared" ref="Y965" si="5540">Y964/Y958</f>
        <v>-0.10009487749206179</v>
      </c>
      <c r="Z965" s="149">
        <f t="shared" ref="Z965" si="5541">Z964/Z958</f>
        <v>-0.10264427875763199</v>
      </c>
      <c r="AA965" s="149">
        <f t="shared" ref="AA965" si="5542">AA964/AA958</f>
        <v>-0.10407412375052662</v>
      </c>
      <c r="AB965" s="149">
        <f t="shared" ref="AB965" si="5543">AB964/AB958</f>
        <v>-0.10648615771823614</v>
      </c>
      <c r="AC965" s="149">
        <f t="shared" ref="AC965" si="5544">AC964/AC958</f>
        <v>-8.8300717873062956E-2</v>
      </c>
      <c r="AD965" s="150">
        <f t="shared" ref="AD965" si="5545">AD964/AD958</f>
        <v>-8.6149561466060509E-2</v>
      </c>
      <c r="AE965" s="15"/>
      <c r="AF965" s="96">
        <f t="shared" ref="AF965" si="5546">AF964/AF958</f>
        <v>-0.10335784465374923</v>
      </c>
      <c r="AG965" s="97">
        <f t="shared" ref="AG965" si="5547">AG964/AG958</f>
        <v>-0.10684056759061565</v>
      </c>
    </row>
    <row r="966" spans="2:33" ht="3" customHeight="1" x14ac:dyDescent="0.2">
      <c r="B966" s="9">
        <f>G946</f>
        <v>20</v>
      </c>
      <c r="C966" s="9" t="str">
        <f t="shared" si="5417"/>
        <v xml:space="preserve">20 - </v>
      </c>
      <c r="D966" s="9" t="s">
        <v>56</v>
      </c>
      <c r="F966" s="16"/>
      <c r="G966" s="36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6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8"/>
      <c r="AE966" s="15"/>
      <c r="AF966" s="36"/>
      <c r="AG966" s="38"/>
    </row>
    <row r="967" spans="2:33" x14ac:dyDescent="0.2">
      <c r="B967" s="9">
        <f>G946</f>
        <v>20</v>
      </c>
      <c r="C967" s="9" t="str">
        <f t="shared" si="5417"/>
        <v>20 - Office Supplies</v>
      </c>
      <c r="D967" s="9" t="s">
        <v>56</v>
      </c>
      <c r="F967" t="s">
        <v>6</v>
      </c>
      <c r="G967" s="144">
        <v>-11.572306480391514</v>
      </c>
      <c r="H967" s="70">
        <v>-12.078152707627465</v>
      </c>
      <c r="I967" s="70">
        <v>-16.441132233888933</v>
      </c>
      <c r="J967" s="70">
        <v>-14.353023510817419</v>
      </c>
      <c r="K967" s="70">
        <v>-16.659402525032402</v>
      </c>
      <c r="L967" s="70">
        <v>-16.601694073004065</v>
      </c>
      <c r="M967" s="70">
        <v>-14.342074374433228</v>
      </c>
      <c r="N967" s="70">
        <v>-13.654113402792959</v>
      </c>
      <c r="O967" s="70">
        <v>-12.034170476339479</v>
      </c>
      <c r="P967" s="70">
        <v>-12.348212838467482</v>
      </c>
      <c r="Q967" s="70">
        <v>-10.579190003041923</v>
      </c>
      <c r="R967" s="70">
        <v>-8.1860782807270329</v>
      </c>
      <c r="S967" s="144">
        <v>-18.504019627250887</v>
      </c>
      <c r="T967" s="70">
        <v>-19.360494407098692</v>
      </c>
      <c r="U967" s="70">
        <v>-18.819769620716801</v>
      </c>
      <c r="V967" s="70">
        <v>-22.428510018452119</v>
      </c>
      <c r="W967" s="70">
        <v>-29.579973646142911</v>
      </c>
      <c r="X967" s="70">
        <v>-21.794736653482335</v>
      </c>
      <c r="Y967" s="70">
        <v>-20.719354174032048</v>
      </c>
      <c r="Z967" s="70">
        <v>-21.276713145461326</v>
      </c>
      <c r="AA967" s="70">
        <v>-19.484510743166489</v>
      </c>
      <c r="AB967" s="70">
        <v>-21.93443187027972</v>
      </c>
      <c r="AC967" s="70">
        <v>-16.609921727637609</v>
      </c>
      <c r="AD967" s="145">
        <v>-12.310595438329724</v>
      </c>
      <c r="AE967" s="15"/>
      <c r="AF967" s="92">
        <f>SUM(G967:R967)</f>
        <v>-158.84955090656391</v>
      </c>
      <c r="AG967" s="93">
        <f>SUM(S967:AD967)</f>
        <v>-242.82303107205067</v>
      </c>
    </row>
    <row r="968" spans="2:33" x14ac:dyDescent="0.2">
      <c r="B968" s="9">
        <f>G946</f>
        <v>20</v>
      </c>
      <c r="C968" s="9" t="str">
        <f t="shared" si="5417"/>
        <v>20 - % of Revenue - Office Supplies</v>
      </c>
      <c r="D968" s="9" t="s">
        <v>56</v>
      </c>
      <c r="F968" s="16" t="str">
        <f>"% of Revenue - "&amp;F967</f>
        <v>% of Revenue - Office Supplies</v>
      </c>
      <c r="G968" s="148">
        <f>G967/G958</f>
        <v>-7.4395961170410529E-2</v>
      </c>
      <c r="H968" s="149">
        <f t="shared" ref="H968" si="5548">H967/H958</f>
        <v>-7.7309367824395736E-2</v>
      </c>
      <c r="I968" s="149">
        <f t="shared" ref="I968" si="5549">I967/I958</f>
        <v>-8.1417549934827665E-2</v>
      </c>
      <c r="J968" s="149">
        <f t="shared" ref="J968" si="5550">J967/J958</f>
        <v>-7.8568689911138231E-2</v>
      </c>
      <c r="K968" s="149">
        <f t="shared" ref="K968" si="5551">K967/K958</f>
        <v>-7.4970791490190286E-2</v>
      </c>
      <c r="L968" s="149">
        <f t="shared" ref="L968" si="5552">L967/L958</f>
        <v>-7.3636976276711161E-2</v>
      </c>
      <c r="M968" s="149">
        <f t="shared" ref="M968" si="5553">M967/M958</f>
        <v>-3.7678710880151359E-2</v>
      </c>
      <c r="N968" s="149">
        <f t="shared" ref="N968" si="5554">N967/N958</f>
        <v>-2.6068342443205422E-2</v>
      </c>
      <c r="O968" s="149">
        <f t="shared" ref="O968" si="5555">O967/O958</f>
        <v>-2.6044199594104343E-2</v>
      </c>
      <c r="P968" s="149">
        <f t="shared" ref="P968" si="5556">P967/P958</f>
        <v>-2.6536982322438781E-2</v>
      </c>
      <c r="Q968" s="149">
        <f t="shared" ref="Q968" si="5557">Q967/Q958</f>
        <v>-1.8735160889669224E-2</v>
      </c>
      <c r="R968" s="149">
        <f t="shared" ref="R968" si="5558">R967/R958</f>
        <v>-1.4789946939140129E-2</v>
      </c>
      <c r="S968" s="148">
        <f t="shared" ref="S968" si="5559">S967/S958</f>
        <v>-2.764372759165112E-2</v>
      </c>
      <c r="T968" s="149">
        <f t="shared" ref="T968" si="5560">T967/T958</f>
        <v>-2.7754909735181313E-2</v>
      </c>
      <c r="U968" s="149">
        <f t="shared" ref="U968" si="5561">U967/U958</f>
        <v>-2.8297690244771832E-2</v>
      </c>
      <c r="V968" s="149">
        <f t="shared" ref="V968" si="5562">V967/V958</f>
        <v>-3.9405983774305507E-2</v>
      </c>
      <c r="W968" s="149">
        <f t="shared" ref="W968" si="5563">W967/W958</f>
        <v>-4.3677205898666693E-2</v>
      </c>
      <c r="X968" s="149">
        <f t="shared" ref="X968" si="5564">X967/X958</f>
        <v>-3.9782450546378884E-2</v>
      </c>
      <c r="Y968" s="149">
        <f t="shared" ref="Y968" si="5565">Y967/Y958</f>
        <v>-2.9540274960168832E-2</v>
      </c>
      <c r="Z968" s="149">
        <f t="shared" ref="Z968" si="5566">Z967/Z958</f>
        <v>-3.0165471147851355E-2</v>
      </c>
      <c r="AA968" s="149">
        <f t="shared" ref="AA968" si="5567">AA967/AA958</f>
        <v>-3.1322041635013939E-2</v>
      </c>
      <c r="AB968" s="149">
        <f t="shared" ref="AB968" si="5568">AB967/AB958</f>
        <v>-3.1967922746214544E-2</v>
      </c>
      <c r="AC968" s="149">
        <f t="shared" ref="AC968" si="5569">AC967/AC958</f>
        <v>-2.5207393683870725E-2</v>
      </c>
      <c r="AD968" s="150">
        <f t="shared" ref="AD968" si="5570">AD967/AD958</f>
        <v>-2.4321236962160646E-2</v>
      </c>
      <c r="AE968" s="15"/>
      <c r="AF968" s="96">
        <f t="shared" ref="AF968" si="5571">AF967/AF958</f>
        <v>-3.8800247049794435E-2</v>
      </c>
      <c r="AG968" s="97">
        <f t="shared" ref="AG968" si="5572">AG967/AG958</f>
        <v>-3.150977057452229E-2</v>
      </c>
    </row>
    <row r="969" spans="2:33" ht="6" customHeight="1" x14ac:dyDescent="0.2">
      <c r="B969" s="9">
        <f>G946</f>
        <v>20</v>
      </c>
      <c r="C969" s="9" t="str">
        <f t="shared" si="5417"/>
        <v xml:space="preserve">20 - </v>
      </c>
      <c r="D969" s="9" t="s">
        <v>56</v>
      </c>
      <c r="F969" s="16"/>
      <c r="G969" s="11"/>
      <c r="S969" s="11"/>
      <c r="AD969" s="15"/>
      <c r="AE969" s="15"/>
      <c r="AF969" s="11"/>
      <c r="AG969" s="15"/>
    </row>
    <row r="970" spans="2:33" x14ac:dyDescent="0.2">
      <c r="B970" s="9">
        <f>G946</f>
        <v>20</v>
      </c>
      <c r="C970" s="9" t="str">
        <f t="shared" si="5417"/>
        <v>20 - Office Gross Profit</v>
      </c>
      <c r="D970" s="9" t="s">
        <v>56</v>
      </c>
      <c r="F970" s="8" t="s">
        <v>11</v>
      </c>
      <c r="G970" s="134">
        <f>G958+G961+G964+G967</f>
        <v>55.82083487629977</v>
      </c>
      <c r="H970" s="135">
        <f t="shared" ref="H970:AD970" si="5573">H958+H961+H964+H967</f>
        <v>53.35492564256343</v>
      </c>
      <c r="I970" s="135">
        <f t="shared" si="5573"/>
        <v>66.860135632086383</v>
      </c>
      <c r="J970" s="135">
        <f t="shared" si="5573"/>
        <v>59.232916064071048</v>
      </c>
      <c r="K970" s="135">
        <f t="shared" si="5573"/>
        <v>69.22441900593769</v>
      </c>
      <c r="L970" s="135">
        <f t="shared" si="5573"/>
        <v>67.905006282535865</v>
      </c>
      <c r="M970" s="135">
        <f t="shared" si="5573"/>
        <v>250.30973643685971</v>
      </c>
      <c r="N970" s="135">
        <f t="shared" si="5573"/>
        <v>405.40280186551064</v>
      </c>
      <c r="O970" s="135">
        <f t="shared" si="5573"/>
        <v>357.30018643741477</v>
      </c>
      <c r="P970" s="135">
        <f t="shared" si="5573"/>
        <v>360.04418872418029</v>
      </c>
      <c r="Q970" s="135">
        <f t="shared" si="5573"/>
        <v>472.42593515808272</v>
      </c>
      <c r="R970" s="135">
        <f t="shared" si="5573"/>
        <v>481.47796838810109</v>
      </c>
      <c r="S970" s="134">
        <f t="shared" si="5573"/>
        <v>446.47777514514928</v>
      </c>
      <c r="T970" s="135">
        <f t="shared" si="5573"/>
        <v>458.81000240547235</v>
      </c>
      <c r="U970" s="135">
        <f t="shared" si="5573"/>
        <v>432.94172102330879</v>
      </c>
      <c r="V970" s="135">
        <f t="shared" si="5573"/>
        <v>303.34701739827261</v>
      </c>
      <c r="W970" s="135">
        <f t="shared" si="5573"/>
        <v>326.17469697183475</v>
      </c>
      <c r="X970" s="135">
        <f t="shared" si="5573"/>
        <v>289.24355064395672</v>
      </c>
      <c r="Y970" s="135">
        <f t="shared" si="5573"/>
        <v>452.37266974135923</v>
      </c>
      <c r="Z970" s="135">
        <f t="shared" si="5573"/>
        <v>452.15664515568045</v>
      </c>
      <c r="AA970" s="135">
        <f t="shared" si="5573"/>
        <v>396.03513267558327</v>
      </c>
      <c r="AB970" s="135">
        <f t="shared" si="5573"/>
        <v>434.93830454154579</v>
      </c>
      <c r="AC970" s="135">
        <f t="shared" si="5573"/>
        <v>466.84671359796698</v>
      </c>
      <c r="AD970" s="136">
        <f t="shared" si="5573"/>
        <v>360.42395317819836</v>
      </c>
      <c r="AE970" s="15"/>
      <c r="AF970" s="98">
        <f>SUM(G970:R970)</f>
        <v>2699.3590545136435</v>
      </c>
      <c r="AG970" s="95">
        <f>SUM(S970:AD970)</f>
        <v>4819.7681824783285</v>
      </c>
    </row>
    <row r="971" spans="2:33" x14ac:dyDescent="0.2">
      <c r="B971" s="9">
        <f>G946</f>
        <v>20</v>
      </c>
      <c r="C971" s="9" t="str">
        <f t="shared" si="5417"/>
        <v>20 - % of Revenue - Office Gross Profit</v>
      </c>
      <c r="D971" s="9" t="s">
        <v>56</v>
      </c>
      <c r="F971" s="16" t="str">
        <f>"% of Revenue - "&amp;F970</f>
        <v>% of Revenue - Office Gross Profit</v>
      </c>
      <c r="G971" s="148">
        <f>G970/G958</f>
        <v>0.35886058418810529</v>
      </c>
      <c r="H971" s="149">
        <f t="shared" ref="H971" si="5574">H970/H958</f>
        <v>0.34151212288774496</v>
      </c>
      <c r="I971" s="149">
        <f t="shared" ref="I971" si="5575">I970/I958</f>
        <v>0.33109571494439194</v>
      </c>
      <c r="J971" s="149">
        <f t="shared" ref="J971" si="5576">J970/J958</f>
        <v>0.32424196973292874</v>
      </c>
      <c r="K971" s="149">
        <f t="shared" ref="K971" si="5577">K970/K958</f>
        <v>0.31152434641791732</v>
      </c>
      <c r="L971" s="149">
        <f t="shared" ref="L971" si="5578">L970/L958</f>
        <v>0.30119331886906719</v>
      </c>
      <c r="M971" s="149">
        <f t="shared" ref="M971" si="5579">M970/M958</f>
        <v>0.65760000565218335</v>
      </c>
      <c r="N971" s="149">
        <f t="shared" ref="N971" si="5580">N970/N958</f>
        <v>0.77399233144668045</v>
      </c>
      <c r="O971" s="149">
        <f t="shared" ref="O971" si="5581">O970/O958</f>
        <v>0.77326454605928718</v>
      </c>
      <c r="P971" s="149">
        <f t="shared" ref="P971" si="5582">P970/P958</f>
        <v>0.77375458266365427</v>
      </c>
      <c r="Q971" s="149">
        <f t="shared" ref="Q971" si="5583">Q970/Q958</f>
        <v>0.83664022492214685</v>
      </c>
      <c r="R971" s="149">
        <f t="shared" ref="R971" si="5584">R970/R958</f>
        <v>0.8698956155342995</v>
      </c>
      <c r="S971" s="148">
        <f t="shared" ref="S971" si="5585">S970/S958</f>
        <v>0.66700696607900467</v>
      </c>
      <c r="T971" s="149">
        <f t="shared" ref="T971" si="5586">T970/T958</f>
        <v>0.65774302735229173</v>
      </c>
      <c r="U971" s="149">
        <f t="shared" ref="U971" si="5587">U970/U958</f>
        <v>0.6509777198372203</v>
      </c>
      <c r="V971" s="149">
        <f t="shared" ref="V971" si="5588">V970/V958</f>
        <v>0.53296842437352743</v>
      </c>
      <c r="W971" s="149">
        <f t="shared" ref="W971" si="5589">W970/W958</f>
        <v>0.48162312681545288</v>
      </c>
      <c r="X971" s="149">
        <f t="shared" ref="X971" si="5590">X970/X958</f>
        <v>0.52796312395514533</v>
      </c>
      <c r="Y971" s="149">
        <f t="shared" ref="Y971" si="5591">Y970/Y958</f>
        <v>0.64496281768153574</v>
      </c>
      <c r="Z971" s="149">
        <f t="shared" ref="Z971" si="5592">Z970/Z958</f>
        <v>0.64105381975610631</v>
      </c>
      <c r="AA971" s="149">
        <f t="shared" ref="AA971" si="5593">AA970/AA958</f>
        <v>0.63664051297481916</v>
      </c>
      <c r="AB971" s="149">
        <f t="shared" ref="AB971" si="5594">AB970/AB958</f>
        <v>0.63389260324508956</v>
      </c>
      <c r="AC971" s="149">
        <f t="shared" ref="AC971" si="5595">AC970/AC958</f>
        <v>0.70849153251000496</v>
      </c>
      <c r="AD971" s="150">
        <f t="shared" ref="AD971" si="5596">AD970/AD958</f>
        <v>0.71206599355806655</v>
      </c>
      <c r="AE971" s="15"/>
      <c r="AF971" s="111">
        <f t="shared" ref="AF971" si="5597">AF970/AF958</f>
        <v>0.6593395926742972</v>
      </c>
      <c r="AG971" s="97">
        <f t="shared" ref="AG971" si="5598">AG970/AG958</f>
        <v>0.62543404133363056</v>
      </c>
    </row>
    <row r="972" spans="2:33" ht="6" customHeight="1" x14ac:dyDescent="0.2">
      <c r="B972" s="9">
        <f>G946</f>
        <v>20</v>
      </c>
      <c r="C972" s="9" t="str">
        <f t="shared" si="5417"/>
        <v xml:space="preserve">20 - </v>
      </c>
      <c r="D972" s="9" t="s">
        <v>56</v>
      </c>
      <c r="F972" s="16"/>
      <c r="G972" s="11"/>
      <c r="S972" s="11"/>
      <c r="AD972" s="15"/>
      <c r="AE972" s="15"/>
      <c r="AF972" s="11"/>
      <c r="AG972" s="15"/>
    </row>
    <row r="973" spans="2:33" x14ac:dyDescent="0.2">
      <c r="B973" s="9">
        <f>G946</f>
        <v>20</v>
      </c>
      <c r="C973" s="9" t="str">
        <f t="shared" si="5417"/>
        <v>20 - General and Administrative Expense</v>
      </c>
      <c r="D973" s="9" t="s">
        <v>56</v>
      </c>
      <c r="F973" t="s">
        <v>10</v>
      </c>
      <c r="G973" s="144">
        <v>-10.89541547359428</v>
      </c>
      <c r="H973" s="70">
        <v>-11.068739880183269</v>
      </c>
      <c r="I973" s="70">
        <v>-13.399835926798058</v>
      </c>
      <c r="J973" s="70">
        <v>-11.224816078959801</v>
      </c>
      <c r="K973" s="70">
        <v>-13.878017551104232</v>
      </c>
      <c r="L973" s="70">
        <v>-14.926479932508329</v>
      </c>
      <c r="M973" s="70">
        <v>-12.34571023745074</v>
      </c>
      <c r="N973" s="70">
        <v>-10.858752590074085</v>
      </c>
      <c r="O973" s="70">
        <v>-10.072431206098745</v>
      </c>
      <c r="P973" s="70">
        <v>-10.730561227055244</v>
      </c>
      <c r="Q973" s="70">
        <v>-9.2634653067840453</v>
      </c>
      <c r="R973" s="70">
        <v>-7.1313069615823625</v>
      </c>
      <c r="S973" s="144">
        <v>-10.050455987047073</v>
      </c>
      <c r="T973" s="70">
        <v>-9.6391776343146045</v>
      </c>
      <c r="U973" s="70">
        <v>-9.0575971689547217</v>
      </c>
      <c r="V973" s="70">
        <v>-9.63151799500117</v>
      </c>
      <c r="W973" s="70">
        <v>-13.532839708158797</v>
      </c>
      <c r="X973" s="70">
        <v>-10.85160322084085</v>
      </c>
      <c r="Y973" s="70">
        <v>-10.357276860982306</v>
      </c>
      <c r="Z973" s="70">
        <v>-9.6955676912736273</v>
      </c>
      <c r="AA973" s="70">
        <v>-8.2678897676148448</v>
      </c>
      <c r="AB973" s="70">
        <v>-8.4359275193795646</v>
      </c>
      <c r="AC973" s="70">
        <v>-6.2035713484216854</v>
      </c>
      <c r="AD973" s="145">
        <v>-4.8589621973901718</v>
      </c>
      <c r="AE973" s="15"/>
      <c r="AF973" s="144">
        <v>-135.79553237219321</v>
      </c>
      <c r="AG973" s="145">
        <v>-110.58238709937942</v>
      </c>
    </row>
    <row r="974" spans="2:33" x14ac:dyDescent="0.2">
      <c r="B974" s="9">
        <f>G946</f>
        <v>20</v>
      </c>
      <c r="C974" s="9" t="str">
        <f t="shared" si="5417"/>
        <v>20 - % of Revenue - General and Administrative Expense</v>
      </c>
      <c r="D974" s="9" t="s">
        <v>56</v>
      </c>
      <c r="F974" s="16" t="str">
        <f>"% of Revenue - "&amp;F973</f>
        <v>% of Revenue - General and Administrative Expense</v>
      </c>
      <c r="G974" s="148">
        <f>G973/G958</f>
        <v>-7.0044369105024498E-2</v>
      </c>
      <c r="H974" s="149">
        <f t="shared" ref="H974" si="5599">H973/H958</f>
        <v>-7.0848357647378721E-2</v>
      </c>
      <c r="I974" s="149">
        <f t="shared" ref="I974" si="5600">I973/I958</f>
        <v>-6.6356853966530099E-2</v>
      </c>
      <c r="J974" s="149">
        <f t="shared" ref="J974" si="5601">J973/J958</f>
        <v>-6.1444830293260276E-2</v>
      </c>
      <c r="K974" s="149">
        <f t="shared" ref="K974" si="5602">K973/K958</f>
        <v>-6.2453978079805905E-2</v>
      </c>
      <c r="L974" s="149">
        <f t="shared" ref="L974" si="5603">L973/L958</f>
        <v>-6.6206547587949402E-2</v>
      </c>
      <c r="M974" s="149">
        <f t="shared" ref="M974" si="5604">M973/M958</f>
        <v>-3.2433972555341313E-2</v>
      </c>
      <c r="N974" s="149">
        <f t="shared" ref="N974" si="5605">N973/N958</f>
        <v>-2.0731458182132349E-2</v>
      </c>
      <c r="O974" s="149">
        <f t="shared" ref="O974" si="5606">O973/O958</f>
        <v>-2.1798628268170851E-2</v>
      </c>
      <c r="P974" s="149">
        <f t="shared" ref="P974" si="5607">P973/P958</f>
        <v>-2.3060560853399796E-2</v>
      </c>
      <c r="Q974" s="149">
        <f t="shared" ref="Q974" si="5608">Q973/Q958</f>
        <v>-1.6405085159503251E-2</v>
      </c>
      <c r="R974" s="149">
        <f t="shared" ref="R974" si="5609">R973/R958</f>
        <v>-1.288427106992635E-2</v>
      </c>
      <c r="S974" s="148">
        <f t="shared" ref="S974" si="5610">S973/S958</f>
        <v>-1.501468724496189E-2</v>
      </c>
      <c r="T974" s="149">
        <f t="shared" ref="T974" si="5611">T973/T958</f>
        <v>-1.3818578159020907E-2</v>
      </c>
      <c r="U974" s="149">
        <f t="shared" ref="U974" si="5612">U973/U958</f>
        <v>-1.3619140096532209E-2</v>
      </c>
      <c r="V974" s="149">
        <f t="shared" ref="V974" si="5613">V973/V958</f>
        <v>-1.6922187052135759E-2</v>
      </c>
      <c r="W974" s="149">
        <f t="shared" ref="W974" si="5614">W973/W958</f>
        <v>-1.99823243048757E-2</v>
      </c>
      <c r="X974" s="149">
        <f t="shared" ref="X974" si="5615">X973/X958</f>
        <v>-1.9807689138242005E-2</v>
      </c>
      <c r="Y974" s="149">
        <f t="shared" ref="Y974" si="5616">Y973/Y958</f>
        <v>-1.4766715397696759E-2</v>
      </c>
      <c r="Z974" s="149">
        <f t="shared" ref="Z974" si="5617">Z973/Z958</f>
        <v>-1.3746078421682503E-2</v>
      </c>
      <c r="AA974" s="149">
        <f t="shared" ref="AA974" si="5618">AA973/AA958</f>
        <v>-1.3290925851230911E-2</v>
      </c>
      <c r="AB974" s="149">
        <f t="shared" ref="AB974" si="5619">AB973/AB958</f>
        <v>-1.2294782961650154E-2</v>
      </c>
      <c r="AC974" s="149">
        <f t="shared" ref="AC974" si="5620">AC973/AC958</f>
        <v>-9.4146057874221652E-3</v>
      </c>
      <c r="AD974" s="150">
        <f t="shared" ref="AD974" si="5621">AD973/AD958</f>
        <v>-9.599533311358743E-3</v>
      </c>
      <c r="AE974" s="15"/>
      <c r="AF974" s="96">
        <f t="shared" ref="AF974" si="5622">AF973/AF958</f>
        <v>-3.3169122444662413E-2</v>
      </c>
      <c r="AG974" s="97">
        <f t="shared" ref="AG974" si="5623">AG973/AG958</f>
        <v>-1.4349650573509877E-2</v>
      </c>
    </row>
    <row r="975" spans="2:33" ht="3" customHeight="1" x14ac:dyDescent="0.2">
      <c r="B975" s="9">
        <f>G946</f>
        <v>20</v>
      </c>
      <c r="C975" s="9" t="str">
        <f t="shared" si="5417"/>
        <v xml:space="preserve">20 - </v>
      </c>
      <c r="D975" s="9" t="s">
        <v>56</v>
      </c>
      <c r="F975" s="16"/>
      <c r="G975" s="36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6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8"/>
      <c r="AE975" s="15"/>
      <c r="AF975" s="36"/>
      <c r="AG975" s="38"/>
    </row>
    <row r="976" spans="2:33" x14ac:dyDescent="0.2">
      <c r="B976" s="9">
        <f>G946</f>
        <v>20</v>
      </c>
      <c r="C976" s="9" t="str">
        <f t="shared" si="5417"/>
        <v>20 - Marketing</v>
      </c>
      <c r="D976" s="9" t="s">
        <v>56</v>
      </c>
      <c r="F976" t="s">
        <v>7</v>
      </c>
      <c r="G976" s="144">
        <v>-2.896169433921616</v>
      </c>
      <c r="H976" s="70">
        <v>-3.2426909875987202</v>
      </c>
      <c r="I976" s="70">
        <v>-4.6554209619483267</v>
      </c>
      <c r="J976" s="70">
        <v>-3.4974431806139767</v>
      </c>
      <c r="K976" s="70">
        <v>-5.1075065406828903</v>
      </c>
      <c r="L976" s="70">
        <v>-6.307675667857005</v>
      </c>
      <c r="M976" s="70">
        <v>-5.3578380963075238</v>
      </c>
      <c r="N976" s="70">
        <v>-4.4365151400437339</v>
      </c>
      <c r="O976" s="70">
        <v>-4.3142570897994474</v>
      </c>
      <c r="P976" s="70">
        <v>-4.6229512281478726</v>
      </c>
      <c r="Q976" s="70">
        <v>-3.871726281216525</v>
      </c>
      <c r="R976" s="70">
        <v>-2.7981733178359343</v>
      </c>
      <c r="S976" s="144">
        <v>-3.5673966375207025</v>
      </c>
      <c r="T976" s="70">
        <v>-3.9721129886805824</v>
      </c>
      <c r="U976" s="70">
        <v>-3.8381941793075574</v>
      </c>
      <c r="V976" s="70">
        <v>-3.8545060267150162</v>
      </c>
      <c r="W976" s="70">
        <v>-4.2892296335938251</v>
      </c>
      <c r="X976" s="70">
        <v>-2.9582804405229925</v>
      </c>
      <c r="Y976" s="70">
        <v>-2.9180275161130473</v>
      </c>
      <c r="Z976" s="70">
        <v>-3.2151305078529542</v>
      </c>
      <c r="AA976" s="70">
        <v>-2.4901497385902678</v>
      </c>
      <c r="AB976" s="70">
        <v>-3.5250886432160753</v>
      </c>
      <c r="AC976" s="70">
        <v>-2.1072680732797147</v>
      </c>
      <c r="AD976" s="145">
        <v>-2.0850757846752468</v>
      </c>
      <c r="AE976" s="15"/>
      <c r="AF976" s="144">
        <v>-51.108367925973567</v>
      </c>
      <c r="AG976" s="145">
        <v>-38.820460170067982</v>
      </c>
    </row>
    <row r="977" spans="2:33" x14ac:dyDescent="0.2">
      <c r="B977" s="9">
        <f>G946</f>
        <v>20</v>
      </c>
      <c r="C977" s="9" t="str">
        <f t="shared" si="5417"/>
        <v>20 - % of Revenue - Marketing</v>
      </c>
      <c r="D977" s="9" t="s">
        <v>56</v>
      </c>
      <c r="F977" s="16" t="str">
        <f>"% of Revenue - "&amp;F976</f>
        <v>% of Revenue - Marketing</v>
      </c>
      <c r="G977" s="148">
        <f>G976/G958</f>
        <v>-1.8618873352002067E-2</v>
      </c>
      <c r="H977" s="149">
        <f t="shared" ref="H977" si="5624">H976/H958</f>
        <v>-2.0755689745734811E-2</v>
      </c>
      <c r="I977" s="149">
        <f t="shared" ref="I977" si="5625">I976/I958</f>
        <v>-2.3053945631298901E-2</v>
      </c>
      <c r="J977" s="149">
        <f t="shared" ref="J977" si="5626">J976/J958</f>
        <v>-1.9145062260393038E-2</v>
      </c>
      <c r="K977" s="149">
        <f t="shared" ref="K977" si="5627">K976/K958</f>
        <v>-2.2984846384553958E-2</v>
      </c>
      <c r="L977" s="149">
        <f t="shared" ref="L977" si="5628">L976/L958</f>
        <v>-2.7977757057363214E-2</v>
      </c>
      <c r="M977" s="149">
        <f t="shared" ref="M977" si="5629">M976/M958</f>
        <v>-1.407581827446837E-2</v>
      </c>
      <c r="N977" s="149">
        <f t="shared" ref="N977" si="5630">N976/N958</f>
        <v>-8.4701651812463113E-3</v>
      </c>
      <c r="O977" s="149">
        <f t="shared" ref="O977" si="5631">O976/O958</f>
        <v>-9.336860647597733E-3</v>
      </c>
      <c r="P977" s="149">
        <f t="shared" ref="P977" si="5632">P976/P958</f>
        <v>-9.9349741232742043E-3</v>
      </c>
      <c r="Q977" s="149">
        <f t="shared" ref="Q977" si="5633">Q976/Q958</f>
        <v>-6.8566132925578444E-3</v>
      </c>
      <c r="R977" s="149">
        <f t="shared" ref="R977" si="5634">R976/R958</f>
        <v>-5.0555141886128689E-3</v>
      </c>
      <c r="S977" s="148">
        <f t="shared" ref="S977" si="5635">S976/S958</f>
        <v>-5.3294442421452249E-3</v>
      </c>
      <c r="T977" s="149">
        <f t="shared" ref="T977" si="5636">T976/T958</f>
        <v>-5.6943606470270889E-3</v>
      </c>
      <c r="U977" s="149">
        <f t="shared" ref="U977" si="5637">U976/U958</f>
        <v>-5.7711668194796268E-3</v>
      </c>
      <c r="V977" s="149">
        <f t="shared" ref="V977" si="5638">V976/V958</f>
        <v>-6.772210986005449E-3</v>
      </c>
      <c r="W977" s="149">
        <f t="shared" ref="W977" si="5639">W976/W958</f>
        <v>-6.3333919121854477E-3</v>
      </c>
      <c r="X977" s="149">
        <f t="shared" ref="X977" si="5640">X976/X958</f>
        <v>-5.3998195618767389E-3</v>
      </c>
      <c r="Y977" s="149">
        <f t="shared" ref="Y977" si="5641">Y976/Y958</f>
        <v>-4.1603292478755508E-3</v>
      </c>
      <c r="Z977" s="149">
        <f t="shared" ref="Z977" si="5642">Z976/Z958</f>
        <v>-4.5583133968182333E-3</v>
      </c>
      <c r="AA977" s="149">
        <f t="shared" ref="AA977" si="5643">AA976/AA958</f>
        <v>-4.0030039664659279E-3</v>
      </c>
      <c r="AB977" s="149">
        <f t="shared" ref="AB977" si="5644">AB976/AB958</f>
        <v>-5.1375737510019519E-3</v>
      </c>
      <c r="AC977" s="149">
        <f t="shared" ref="AC977" si="5645">AC976/AC958</f>
        <v>-3.1980124164118183E-3</v>
      </c>
      <c r="AD977" s="150">
        <f t="shared" ref="AD977" si="5646">AD976/AD958</f>
        <v>-4.119347638153738E-3</v>
      </c>
      <c r="AE977" s="15"/>
      <c r="AF977" s="96">
        <f t="shared" ref="AF977" si="5647">AF976/AF958</f>
        <v>-1.2483619188863712E-2</v>
      </c>
      <c r="AG977" s="97">
        <f t="shared" ref="AG977" si="5648">AG976/AG958</f>
        <v>-5.0375114261433729E-3</v>
      </c>
    </row>
    <row r="978" spans="2:33" ht="3" customHeight="1" x14ac:dyDescent="0.2">
      <c r="B978" s="9">
        <f>G946</f>
        <v>20</v>
      </c>
      <c r="C978" s="9" t="str">
        <f t="shared" si="5417"/>
        <v xml:space="preserve">20 - </v>
      </c>
      <c r="D978" s="9" t="s">
        <v>56</v>
      </c>
      <c r="F978" s="16"/>
      <c r="G978" s="36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6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8"/>
      <c r="AE978" s="15"/>
      <c r="AF978" s="36"/>
      <c r="AG978" s="38"/>
    </row>
    <row r="979" spans="2:33" x14ac:dyDescent="0.2">
      <c r="B979" s="9">
        <f>G946</f>
        <v>20</v>
      </c>
      <c r="C979" s="9" t="str">
        <f t="shared" si="5417"/>
        <v>20 - Office Rent</v>
      </c>
      <c r="D979" s="9" t="s">
        <v>56</v>
      </c>
      <c r="F979" t="s">
        <v>162</v>
      </c>
      <c r="G979" s="144">
        <v>-16.322498573136304</v>
      </c>
      <c r="H979" s="70">
        <v>-16.322498573136304</v>
      </c>
      <c r="I979" s="70">
        <v>-16.812173530330391</v>
      </c>
      <c r="J979" s="70">
        <v>-16.812173530330391</v>
      </c>
      <c r="K979" s="70">
        <v>-16.812173530330391</v>
      </c>
      <c r="L979" s="70">
        <v>-16.812173530330391</v>
      </c>
      <c r="M979" s="70">
        <v>-16.812173530330391</v>
      </c>
      <c r="N979" s="70">
        <v>-16.812173530330391</v>
      </c>
      <c r="O979" s="70">
        <v>-16.812173530330391</v>
      </c>
      <c r="P979" s="70">
        <v>-16.812173530330391</v>
      </c>
      <c r="Q979" s="70">
        <v>-16.812173530330391</v>
      </c>
      <c r="R979" s="70">
        <v>-16.812173530330391</v>
      </c>
      <c r="S979" s="144">
        <v>-16.812527041649751</v>
      </c>
      <c r="T979" s="70">
        <v>-16.812527041649751</v>
      </c>
      <c r="U979" s="70">
        <v>-17.316902852899247</v>
      </c>
      <c r="V979" s="70">
        <v>-17.316902852899247</v>
      </c>
      <c r="W979" s="70">
        <v>-17.316902852899247</v>
      </c>
      <c r="X979" s="70">
        <v>-17.316902852899247</v>
      </c>
      <c r="Y979" s="70">
        <v>-17.316902852899247</v>
      </c>
      <c r="Z979" s="70">
        <v>-17.316902852899247</v>
      </c>
      <c r="AA979" s="70">
        <v>-17.316902852899247</v>
      </c>
      <c r="AB979" s="70">
        <v>-17.316902852899247</v>
      </c>
      <c r="AC979" s="70">
        <v>-17.316902852899247</v>
      </c>
      <c r="AD979" s="145">
        <v>-17.316902852899247</v>
      </c>
      <c r="AE979" s="15"/>
      <c r="AF979" s="144">
        <v>-200.76673244957658</v>
      </c>
      <c r="AG979" s="145">
        <v>-206.79408261229202</v>
      </c>
    </row>
    <row r="980" spans="2:33" x14ac:dyDescent="0.2">
      <c r="B980" s="9">
        <f>G946</f>
        <v>20</v>
      </c>
      <c r="C980" s="9" t="str">
        <f t="shared" si="5417"/>
        <v>20 - % YoY Growth</v>
      </c>
      <c r="D980" s="9" t="s">
        <v>56</v>
      </c>
      <c r="F980" s="16" t="s">
        <v>8</v>
      </c>
      <c r="G980" s="82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148">
        <f>S979/G979-1</f>
        <v>3.0021657917001843E-2</v>
      </c>
      <c r="T980" s="149">
        <f t="shared" ref="T980" si="5649">T979/H979-1</f>
        <v>3.0021657917001843E-2</v>
      </c>
      <c r="U980" s="149">
        <f t="shared" ref="U980" si="5650">U979/I979-1</f>
        <v>3.0021657917002065E-2</v>
      </c>
      <c r="V980" s="149">
        <f t="shared" ref="V980" si="5651">V979/J979-1</f>
        <v>3.0021657917002065E-2</v>
      </c>
      <c r="W980" s="149">
        <f t="shared" ref="W980" si="5652">W979/K979-1</f>
        <v>3.0021657917002065E-2</v>
      </c>
      <c r="X980" s="149">
        <f t="shared" ref="X980" si="5653">X979/L979-1</f>
        <v>3.0021657917002065E-2</v>
      </c>
      <c r="Y980" s="149">
        <f t="shared" ref="Y980" si="5654">Y979/M979-1</f>
        <v>3.0021657917002065E-2</v>
      </c>
      <c r="Z980" s="149">
        <f t="shared" ref="Z980" si="5655">Z979/N979-1</f>
        <v>3.0021657917002065E-2</v>
      </c>
      <c r="AA980" s="149">
        <f t="shared" ref="AA980" si="5656">AA979/O979-1</f>
        <v>3.0021657917002065E-2</v>
      </c>
      <c r="AB980" s="149">
        <f t="shared" ref="AB980" si="5657">AB979/P979-1</f>
        <v>3.0021657917002065E-2</v>
      </c>
      <c r="AC980" s="149">
        <f t="shared" ref="AC980" si="5658">AC979/Q979-1</f>
        <v>3.0021657917002065E-2</v>
      </c>
      <c r="AD980" s="150">
        <f t="shared" ref="AD980" si="5659">AD979/R979-1</f>
        <v>3.0021657917002065E-2</v>
      </c>
      <c r="AE980" s="15"/>
      <c r="AF980" s="11"/>
      <c r="AG980" s="97">
        <f>AG979/AF979-1</f>
        <v>3.0021657917001843E-2</v>
      </c>
    </row>
    <row r="981" spans="2:33" ht="6" customHeight="1" x14ac:dyDescent="0.2">
      <c r="B981" s="9">
        <f>G946</f>
        <v>20</v>
      </c>
      <c r="C981" s="9" t="str">
        <f t="shared" si="5417"/>
        <v xml:space="preserve">20 - </v>
      </c>
      <c r="D981" s="9" t="s">
        <v>56</v>
      </c>
      <c r="F981" s="16"/>
      <c r="G981" s="11"/>
      <c r="S981" s="11"/>
      <c r="AD981" s="15"/>
      <c r="AE981" s="15"/>
      <c r="AF981" s="11"/>
      <c r="AG981" s="15"/>
    </row>
    <row r="982" spans="2:33" x14ac:dyDescent="0.2">
      <c r="B982" s="9">
        <f>G946</f>
        <v>20</v>
      </c>
      <c r="C982" s="9" t="str">
        <f t="shared" si="5417"/>
        <v>20 - Office EBITDA</v>
      </c>
      <c r="D982" s="9" t="s">
        <v>56</v>
      </c>
      <c r="F982" s="8" t="s">
        <v>12</v>
      </c>
      <c r="G982" s="134">
        <f>G970+G973+G976+G979</f>
        <v>25.706751395647569</v>
      </c>
      <c r="H982" s="135">
        <f t="shared" ref="H982:AD982" si="5660">H970+H973+H976+H979</f>
        <v>22.720996201645132</v>
      </c>
      <c r="I982" s="135">
        <f t="shared" si="5660"/>
        <v>31.992705213009607</v>
      </c>
      <c r="J982" s="135">
        <f t="shared" si="5660"/>
        <v>27.698483274166875</v>
      </c>
      <c r="K982" s="135">
        <f t="shared" si="5660"/>
        <v>33.426721383820173</v>
      </c>
      <c r="L982" s="135">
        <f t="shared" si="5660"/>
        <v>29.858677151840141</v>
      </c>
      <c r="M982" s="135">
        <f t="shared" si="5660"/>
        <v>215.79401457277106</v>
      </c>
      <c r="N982" s="135">
        <f t="shared" si="5660"/>
        <v>373.29536060506246</v>
      </c>
      <c r="O982" s="135">
        <f t="shared" si="5660"/>
        <v>326.10132461118616</v>
      </c>
      <c r="P982" s="135">
        <f t="shared" si="5660"/>
        <v>327.87850273864677</v>
      </c>
      <c r="Q982" s="135">
        <f t="shared" si="5660"/>
        <v>442.47857003975179</v>
      </c>
      <c r="R982" s="135">
        <f t="shared" si="5660"/>
        <v>454.73631457835239</v>
      </c>
      <c r="S982" s="134">
        <f t="shared" si="5660"/>
        <v>416.04739547893178</v>
      </c>
      <c r="T982" s="135">
        <f t="shared" si="5660"/>
        <v>428.38618474082745</v>
      </c>
      <c r="U982" s="135">
        <f t="shared" si="5660"/>
        <v>402.72902682214726</v>
      </c>
      <c r="V982" s="135">
        <f t="shared" si="5660"/>
        <v>272.54409052365719</v>
      </c>
      <c r="W982" s="135">
        <f t="shared" si="5660"/>
        <v>291.03572477718285</v>
      </c>
      <c r="X982" s="135">
        <f t="shared" si="5660"/>
        <v>258.11676412969365</v>
      </c>
      <c r="Y982" s="135">
        <f t="shared" si="5660"/>
        <v>421.78046251136459</v>
      </c>
      <c r="Z982" s="135">
        <f t="shared" si="5660"/>
        <v>421.92904410365458</v>
      </c>
      <c r="AA982" s="135">
        <f t="shared" si="5660"/>
        <v>367.96019031647887</v>
      </c>
      <c r="AB982" s="135">
        <f t="shared" si="5660"/>
        <v>405.6603855260509</v>
      </c>
      <c r="AC982" s="135">
        <f t="shared" si="5660"/>
        <v>441.2189713233663</v>
      </c>
      <c r="AD982" s="136">
        <f t="shared" si="5660"/>
        <v>336.16301234323367</v>
      </c>
      <c r="AE982" s="15"/>
      <c r="AF982" s="94">
        <f>SUM(G982:R982)</f>
        <v>2311.6884217658999</v>
      </c>
      <c r="AG982" s="95">
        <f>SUM(S982:AD982)</f>
        <v>4463.5712525965891</v>
      </c>
    </row>
    <row r="983" spans="2:33" x14ac:dyDescent="0.2">
      <c r="B983" s="9">
        <f>G946</f>
        <v>20</v>
      </c>
      <c r="C983" s="9" t="str">
        <f t="shared" si="5417"/>
        <v>20 - % of Revenue - Office EBITDA</v>
      </c>
      <c r="D983" s="9" t="s">
        <v>56</v>
      </c>
      <c r="F983" s="16" t="str">
        <f>"% of Revenue - "&amp;F982</f>
        <v>% of Revenue - Office EBITDA</v>
      </c>
      <c r="G983" s="148">
        <f>G982/G958</f>
        <v>0.16526337959408161</v>
      </c>
      <c r="H983" s="149">
        <f t="shared" ref="H983" si="5661">H982/H958</f>
        <v>0.14543166452767292</v>
      </c>
      <c r="I983" s="149">
        <f t="shared" ref="I983" si="5662">I982/I958</f>
        <v>0.15842994491957246</v>
      </c>
      <c r="J983" s="149">
        <f t="shared" ref="J983" si="5663">J982/J958</f>
        <v>0.15162195907619797</v>
      </c>
      <c r="K983" s="149">
        <f t="shared" ref="K983" si="5664">K982/K958</f>
        <v>0.15042722902586167</v>
      </c>
      <c r="L983" s="149">
        <f t="shared" ref="L983" si="5665">L982/L958</f>
        <v>0.13243845425746822</v>
      </c>
      <c r="M983" s="149">
        <f t="shared" ref="M983" si="5666">M982/M958</f>
        <v>0.56692219496846152</v>
      </c>
      <c r="N983" s="149">
        <f t="shared" ref="N983" si="5667">N982/N958</f>
        <v>0.71269301826086351</v>
      </c>
      <c r="O983" s="149">
        <f t="shared" ref="O983" si="5668">O982/O958</f>
        <v>0.70574436374936034</v>
      </c>
      <c r="P983" s="149">
        <f t="shared" ref="P983" si="5669">P982/P958</f>
        <v>0.7046287705681481</v>
      </c>
      <c r="Q983" s="149">
        <f t="shared" ref="Q983" si="5670">Q982/Q958</f>
        <v>0.78360509618806895</v>
      </c>
      <c r="R983" s="149">
        <f t="shared" ref="R983" si="5671">R982/R958</f>
        <v>0.8215809491766366</v>
      </c>
      <c r="S983" s="148">
        <f t="shared" ref="S983" si="5672">S982/S958</f>
        <v>0.62154608012292911</v>
      </c>
      <c r="T983" s="149">
        <f t="shared" ref="T983" si="5673">T982/T958</f>
        <v>0.6141279059960818</v>
      </c>
      <c r="U983" s="149">
        <f t="shared" ref="U983" si="5674">U982/U958</f>
        <v>0.60554945587891162</v>
      </c>
      <c r="V983" s="149">
        <f t="shared" ref="V983" si="5675">V982/V958</f>
        <v>0.47884892933691581</v>
      </c>
      <c r="W983" s="149">
        <f t="shared" ref="W983" si="5676">W982/W958</f>
        <v>0.42973761325910587</v>
      </c>
      <c r="X983" s="149">
        <f t="shared" ref="X983" si="5677">X982/X958</f>
        <v>0.4711466611155492</v>
      </c>
      <c r="Y983" s="149">
        <f t="shared" ref="Y983" si="5678">Y982/Y958</f>
        <v>0.60134648651494305</v>
      </c>
      <c r="Z983" s="149">
        <f t="shared" ref="Z983" si="5679">Z982/Z958</f>
        <v>0.59819805433924933</v>
      </c>
      <c r="AA983" s="149">
        <f t="shared" ref="AA983" si="5680">AA982/AA958</f>
        <v>0.59150904803511617</v>
      </c>
      <c r="AB983" s="149">
        <f t="shared" ref="AB983" si="5681">AB982/AB958</f>
        <v>0.59122205409239204</v>
      </c>
      <c r="AC983" s="149">
        <f t="shared" ref="AC983" si="5682">AC982/AC958</f>
        <v>0.66959859855537185</v>
      </c>
      <c r="AD983" s="150">
        <f t="shared" ref="AD983" si="5683">AD982/AD958</f>
        <v>0.6641352420417781</v>
      </c>
      <c r="AE983" s="15"/>
      <c r="AF983" s="96">
        <f t="shared" ref="AF983" si="5684">AF982/AF958</f>
        <v>0.5646480040691132</v>
      </c>
      <c r="AG983" s="97">
        <f t="shared" ref="AG983" si="5685">AG982/AG958</f>
        <v>0.57921238150848608</v>
      </c>
    </row>
    <row r="984" spans="2:33" ht="6" customHeight="1" x14ac:dyDescent="0.2">
      <c r="B984" s="9">
        <f>G946</f>
        <v>20</v>
      </c>
      <c r="C984" s="9" t="str">
        <f t="shared" si="5417"/>
        <v xml:space="preserve">20 - </v>
      </c>
      <c r="D984" s="9" t="s">
        <v>56</v>
      </c>
      <c r="G984" s="11"/>
      <c r="S984" s="11"/>
      <c r="AD984" s="15"/>
      <c r="AE984" s="15"/>
      <c r="AF984" s="11"/>
      <c r="AG984" s="15"/>
    </row>
    <row r="985" spans="2:33" x14ac:dyDescent="0.2">
      <c r="B985" s="9">
        <f>G946</f>
        <v>20</v>
      </c>
      <c r="C985" s="9" t="str">
        <f t="shared" si="5417"/>
        <v>20 - Memo:</v>
      </c>
      <c r="D985" s="9" t="s">
        <v>56</v>
      </c>
      <c r="F985" s="6" t="s">
        <v>13</v>
      </c>
      <c r="G985" s="11"/>
      <c r="S985" s="11"/>
      <c r="AD985" s="15"/>
      <c r="AE985" s="15"/>
      <c r="AF985" s="11"/>
      <c r="AG985" s="15"/>
    </row>
    <row r="986" spans="2:33" s="24" customFormat="1" x14ac:dyDescent="0.2">
      <c r="B986" s="9">
        <f>G946</f>
        <v>20</v>
      </c>
      <c r="C986" s="9" t="str">
        <f t="shared" si="5417"/>
        <v>20 - Collections</v>
      </c>
      <c r="D986" s="9" t="s">
        <v>56</v>
      </c>
      <c r="E986" s="49"/>
      <c r="F986" s="24" t="s">
        <v>15</v>
      </c>
      <c r="G986" s="169">
        <f>G987*G956</f>
        <v>153.67166714689611</v>
      </c>
      <c r="H986" s="170">
        <f t="shared" ref="H986" si="5686">H987*H956</f>
        <v>156.61510940109289</v>
      </c>
      <c r="I986" s="170">
        <f t="shared" ref="I986" si="5687">I987*I956</f>
        <v>201.14497370224694</v>
      </c>
      <c r="J986" s="170">
        <f t="shared" ref="J986" si="5688">J987*J956</f>
        <v>180.93000361226956</v>
      </c>
      <c r="K986" s="170">
        <f t="shared" ref="K986" si="5689">K987*K956</f>
        <v>219.74459975928792</v>
      </c>
      <c r="L986" s="170">
        <f t="shared" ref="L986" si="5690">L987*L956</f>
        <v>223.31547077627167</v>
      </c>
      <c r="M986" s="170">
        <f t="shared" ref="M986" si="5691">M987*M956</f>
        <v>376.59768847254696</v>
      </c>
      <c r="N986" s="170">
        <f t="shared" ref="N986" si="5692">N987*N956</f>
        <v>533.40594438390679</v>
      </c>
      <c r="O986" s="170">
        <f t="shared" ref="O986" si="5693">O987*O956</f>
        <v>461.03274252765164</v>
      </c>
      <c r="P986" s="170">
        <f t="shared" ref="P986" si="5694">P987*P956</f>
        <v>473.81281198473209</v>
      </c>
      <c r="Q986" s="170">
        <f t="shared" ref="Q986" si="5695">Q987*Q956</f>
        <v>568.92015757139779</v>
      </c>
      <c r="R986" s="170">
        <f t="shared" ref="R986" si="5696">R987*R956</f>
        <v>564.54959970860114</v>
      </c>
      <c r="S986" s="169">
        <f t="shared" ref="S986" si="5697">S987*S956</f>
        <v>683.27536475401041</v>
      </c>
      <c r="T986" s="170">
        <f t="shared" ref="T986" si="5698">T987*T956</f>
        <v>702.79110577537608</v>
      </c>
      <c r="U986" s="170">
        <f t="shared" ref="U986" si="5699">U987*U956</f>
        <v>675.60110114288022</v>
      </c>
      <c r="V986" s="170">
        <f t="shared" ref="V986" si="5700">V987*V956</f>
        <v>584.73434127619703</v>
      </c>
      <c r="W986" s="170">
        <f t="shared" ref="W986" si="5701">W987*W956</f>
        <v>672.36316909230163</v>
      </c>
      <c r="X986" s="170">
        <f t="shared" ref="X986" si="5702">X987*X956</f>
        <v>558.79773889865112</v>
      </c>
      <c r="Y986" s="170">
        <f t="shared" ref="Y986" si="5703">Y987*Y956</f>
        <v>715.28525417680521</v>
      </c>
      <c r="Z986" s="170">
        <f t="shared" ref="Z986" si="5704">Z987*Z956</f>
        <v>705.61352006164088</v>
      </c>
      <c r="AA986" s="170">
        <f t="shared" ref="AA986" si="5705">AA987*AA956</f>
        <v>621.5021437170609</v>
      </c>
      <c r="AB986" s="170">
        <f t="shared" ref="AB986" si="5706">AB987*AB956</f>
        <v>699.41322625597411</v>
      </c>
      <c r="AC986" s="170">
        <f t="shared" ref="AC986" si="5707">AC987*AC956</f>
        <v>656.62524542537892</v>
      </c>
      <c r="AD986" s="171">
        <f t="shared" ref="AD986" si="5708">AD987*AD956</f>
        <v>504.70357902190614</v>
      </c>
      <c r="AE986" s="26"/>
      <c r="AF986" s="68">
        <f>SUM(G986:R986)</f>
        <v>4113.7407690469017</v>
      </c>
      <c r="AG986" s="99">
        <f>SUM(S986:AD986)</f>
        <v>7780.7057895981825</v>
      </c>
    </row>
    <row r="987" spans="2:33" x14ac:dyDescent="0.2">
      <c r="B987" s="9">
        <f>G946</f>
        <v>20</v>
      </c>
      <c r="C987" s="9" t="str">
        <f t="shared" si="5417"/>
        <v>20 - Collections as a % of Production</v>
      </c>
      <c r="D987" s="9" t="s">
        <v>56</v>
      </c>
      <c r="F987" s="16" t="s">
        <v>17</v>
      </c>
      <c r="G987" s="140">
        <v>0.96576336114031003</v>
      </c>
      <c r="H987" s="141">
        <v>0.97996994005508342</v>
      </c>
      <c r="I987" s="141">
        <v>0.97373993541213488</v>
      </c>
      <c r="J987" s="141">
        <v>0.968198036294317</v>
      </c>
      <c r="K987" s="141">
        <v>0.96671481759304545</v>
      </c>
      <c r="L987" s="141">
        <v>0.9682997987332187</v>
      </c>
      <c r="M987" s="141">
        <v>0.96718422756661016</v>
      </c>
      <c r="N987" s="141">
        <v>0.99553206651773962</v>
      </c>
      <c r="O987" s="141">
        <v>0.97538060563408213</v>
      </c>
      <c r="P987" s="141">
        <v>0.99540935687410714</v>
      </c>
      <c r="Q987" s="141">
        <v>0.98492649816564171</v>
      </c>
      <c r="R987" s="141">
        <v>0.9971036743320234</v>
      </c>
      <c r="S987" s="140">
        <v>0.99011834568817414</v>
      </c>
      <c r="T987" s="141">
        <v>0.97726074189113188</v>
      </c>
      <c r="U987" s="141">
        <v>0.98534395128200525</v>
      </c>
      <c r="V987" s="141">
        <v>0.99650887767088292</v>
      </c>
      <c r="W987" s="141">
        <v>0.96299005356925882</v>
      </c>
      <c r="X987" s="141">
        <v>0.98936232079800446</v>
      </c>
      <c r="Y987" s="141">
        <v>0.98918702642360856</v>
      </c>
      <c r="Z987" s="141">
        <v>0.97036090003284814</v>
      </c>
      <c r="AA987" s="141">
        <v>0.96908976984312079</v>
      </c>
      <c r="AB987" s="141">
        <v>0.98874132999491016</v>
      </c>
      <c r="AC987" s="141">
        <v>0.96658211508090186</v>
      </c>
      <c r="AD987" s="142">
        <v>0.96717219989273295</v>
      </c>
      <c r="AE987" s="15"/>
      <c r="AF987" s="96">
        <f t="shared" ref="AF987" si="5709">AF986/AF956</f>
        <v>0.98227459206795098</v>
      </c>
      <c r="AG987" s="97">
        <f t="shared" ref="AG987" si="5710">AG986/AG956</f>
        <v>0.97934380267523324</v>
      </c>
    </row>
    <row r="988" spans="2:33" ht="6" customHeight="1" x14ac:dyDescent="0.2">
      <c r="B988" s="9">
        <f>G946</f>
        <v>20</v>
      </c>
      <c r="C988" s="9" t="str">
        <f t="shared" si="5417"/>
        <v xml:space="preserve">20 - </v>
      </c>
      <c r="D988" s="9" t="s">
        <v>56</v>
      </c>
      <c r="F988" s="27"/>
      <c r="R988" s="15"/>
      <c r="AD988" s="15"/>
      <c r="AE988" s="15"/>
      <c r="AF988" s="11"/>
      <c r="AG988" s="15"/>
    </row>
    <row r="989" spans="2:33" s="24" customFormat="1" x14ac:dyDescent="0.2">
      <c r="B989" s="9">
        <f>G946</f>
        <v>20</v>
      </c>
      <c r="C989" s="9" t="str">
        <f t="shared" si="5417"/>
        <v>20 - Production per Vet Workday - YoY Change</v>
      </c>
      <c r="D989" s="9" t="s">
        <v>56</v>
      </c>
      <c r="E989" s="49"/>
      <c r="F989" s="24" t="s">
        <v>55</v>
      </c>
      <c r="G989" s="88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151">
        <f>S955/G955-1</f>
        <v>3.7099514601189876E-2</v>
      </c>
      <c r="T989" s="152">
        <f t="shared" ref="T989" si="5711">T955/H955-1</f>
        <v>7.3820083816303672E-2</v>
      </c>
      <c r="U989" s="152">
        <f t="shared" ref="U989" si="5712">U955/I955-1</f>
        <v>-9.475765600604058E-2</v>
      </c>
      <c r="V989" s="152">
        <f t="shared" ref="V989" si="5713">V955/J955-1</f>
        <v>-9.0590237279808417E-4</v>
      </c>
      <c r="W989" s="152">
        <f t="shared" ref="W989" si="5714">W955/K955-1</f>
        <v>-1.8799822721856541E-2</v>
      </c>
      <c r="X989" s="152">
        <f t="shared" ref="X989" si="5715">X955/L955-1</f>
        <v>-0.10591750768734953</v>
      </c>
      <c r="Y989" s="152">
        <f t="shared" ref="Y989" si="5716">Y955/M955-1</f>
        <v>-0.1118276170745458</v>
      </c>
      <c r="Z989" s="152">
        <f t="shared" ref="Z989" si="5717">Z955/N955-1</f>
        <v>6.2125109900917019E-2</v>
      </c>
      <c r="AA989" s="152">
        <f t="shared" ref="AA989" si="5718">AA955/O955-1</f>
        <v>6.6069742569018874E-2</v>
      </c>
      <c r="AB989" s="152">
        <f t="shared" ref="AB989" si="5719">AB955/P955-1</f>
        <v>2.168913232279257E-2</v>
      </c>
      <c r="AC989" s="152">
        <f t="shared" ref="AC989" si="5720">AC955/Q955-1</f>
        <v>-1.638200961071179E-2</v>
      </c>
      <c r="AD989" s="153">
        <f t="shared" ref="AD989" si="5721">AD955/R955-1</f>
        <v>-7.8339887603326552E-2</v>
      </c>
      <c r="AF989" s="43"/>
      <c r="AG989" s="104">
        <f>AG955/AF955-1</f>
        <v>-6.5650269550894258E-3</v>
      </c>
    </row>
    <row r="990" spans="2:33" s="24" customFormat="1" ht="6" customHeight="1" x14ac:dyDescent="0.2">
      <c r="D990" s="9" t="s">
        <v>56</v>
      </c>
      <c r="E990" s="49"/>
      <c r="G990" s="28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29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29"/>
      <c r="AE990" s="25"/>
      <c r="AF990" s="28"/>
      <c r="AG990" s="29"/>
    </row>
    <row r="991" spans="2:33" s="24" customFormat="1" ht="6" customHeight="1" x14ac:dyDescent="0.2">
      <c r="D991" s="9" t="s">
        <v>56</v>
      </c>
      <c r="E991" s="49"/>
    </row>
    <row r="992" spans="2:33" x14ac:dyDescent="0.2">
      <c r="D992" s="9" t="s">
        <v>56</v>
      </c>
      <c r="F992" s="16"/>
    </row>
    <row r="993" spans="2:34" ht="15.75" thickBot="1" x14ac:dyDescent="0.4">
      <c r="B993" s="35" t="s">
        <v>52</v>
      </c>
      <c r="C993" s="35"/>
      <c r="D993" s="9" t="s">
        <v>56</v>
      </c>
      <c r="E993" s="48" t="s">
        <v>0</v>
      </c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74">
        <f ca="1">AG$2</f>
        <v>45999</v>
      </c>
      <c r="AH993" s="1"/>
    </row>
    <row r="994" spans="2:34" x14ac:dyDescent="0.2">
      <c r="B994" s="9">
        <f>G995</f>
        <v>21</v>
      </c>
      <c r="C994" s="9"/>
      <c r="D994" s="9" t="s">
        <v>56</v>
      </c>
      <c r="F994" t="s">
        <v>159</v>
      </c>
      <c r="AG994" s="6" t="s">
        <v>16</v>
      </c>
    </row>
    <row r="995" spans="2:34" x14ac:dyDescent="0.2">
      <c r="B995" s="9">
        <f>G995</f>
        <v>21</v>
      </c>
      <c r="C995" s="9"/>
      <c r="D995" s="9" t="s">
        <v>56</v>
      </c>
      <c r="F995" s="40" t="s">
        <v>53</v>
      </c>
      <c r="G995" s="42">
        <v>21</v>
      </c>
    </row>
    <row r="996" spans="2:34" x14ac:dyDescent="0.2">
      <c r="B996" s="9">
        <f>G995</f>
        <v>21</v>
      </c>
      <c r="C996" s="9"/>
      <c r="D996" s="9" t="s">
        <v>56</v>
      </c>
      <c r="F996" s="39" t="s">
        <v>38</v>
      </c>
      <c r="G996" s="41"/>
      <c r="H996" s="11"/>
    </row>
    <row r="997" spans="2:34" x14ac:dyDescent="0.2">
      <c r="B997" s="9">
        <f>G995</f>
        <v>21</v>
      </c>
      <c r="C997" s="9"/>
      <c r="D997" s="9" t="s">
        <v>56</v>
      </c>
      <c r="G997" s="23"/>
    </row>
    <row r="998" spans="2:34" x14ac:dyDescent="0.2">
      <c r="B998" s="9">
        <f>G995</f>
        <v>21</v>
      </c>
      <c r="C998" s="9"/>
      <c r="D998" s="9" t="s">
        <v>56</v>
      </c>
      <c r="G998" s="20">
        <v>2023</v>
      </c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2"/>
      <c r="S998" s="20">
        <v>2024</v>
      </c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2"/>
      <c r="AF998" s="17" t="s">
        <v>14</v>
      </c>
      <c r="AG998" s="18"/>
    </row>
    <row r="999" spans="2:34" ht="15" customHeight="1" x14ac:dyDescent="0.35">
      <c r="B999" s="9">
        <f>G995</f>
        <v>21</v>
      </c>
      <c r="C999" s="9"/>
      <c r="D999" s="9" t="s">
        <v>56</v>
      </c>
      <c r="G999" s="165">
        <v>44957</v>
      </c>
      <c r="H999" s="166">
        <v>44985</v>
      </c>
      <c r="I999" s="166">
        <v>45016</v>
      </c>
      <c r="J999" s="166">
        <v>45046</v>
      </c>
      <c r="K999" s="166">
        <v>45077</v>
      </c>
      <c r="L999" s="166">
        <v>45107</v>
      </c>
      <c r="M999" s="166">
        <v>45138</v>
      </c>
      <c r="N999" s="166">
        <v>45169</v>
      </c>
      <c r="O999" s="166">
        <v>45199</v>
      </c>
      <c r="P999" s="166">
        <v>45230</v>
      </c>
      <c r="Q999" s="166">
        <v>45260</v>
      </c>
      <c r="R999" s="167">
        <v>45291</v>
      </c>
      <c r="S999" s="165">
        <v>45322</v>
      </c>
      <c r="T999" s="166">
        <v>45351</v>
      </c>
      <c r="U999" s="166">
        <v>45382</v>
      </c>
      <c r="V999" s="166">
        <v>45412</v>
      </c>
      <c r="W999" s="166">
        <v>45443</v>
      </c>
      <c r="X999" s="166">
        <v>45473</v>
      </c>
      <c r="Y999" s="166">
        <v>45504</v>
      </c>
      <c r="Z999" s="166">
        <v>45535</v>
      </c>
      <c r="AA999" s="166">
        <v>45565</v>
      </c>
      <c r="AB999" s="166">
        <v>45596</v>
      </c>
      <c r="AC999" s="166">
        <v>45626</v>
      </c>
      <c r="AD999" s="167">
        <v>45657</v>
      </c>
      <c r="AE999" s="168"/>
      <c r="AF999" s="13">
        <v>45291</v>
      </c>
      <c r="AG999" s="14">
        <v>45657</v>
      </c>
    </row>
    <row r="1000" spans="2:34" ht="0.95" customHeight="1" x14ac:dyDescent="0.2">
      <c r="B1000" s="9">
        <f>G995</f>
        <v>21</v>
      </c>
      <c r="C1000" s="9"/>
      <c r="D1000" s="9" t="s">
        <v>56</v>
      </c>
      <c r="G1000" s="11"/>
      <c r="S1000" s="11"/>
      <c r="AD1000" s="15"/>
      <c r="AE1000" s="15"/>
      <c r="AF1000" s="11"/>
      <c r="AG1000" s="15"/>
    </row>
    <row r="1001" spans="2:34" x14ac:dyDescent="0.2">
      <c r="B1001" s="9">
        <f>G995</f>
        <v>21</v>
      </c>
      <c r="C1001" s="9" t="str">
        <f>B1001&amp;" - "&amp;F1001</f>
        <v>21 - Employed Vets</v>
      </c>
      <c r="D1001" s="9" t="s">
        <v>56</v>
      </c>
      <c r="F1001" s="7" t="s">
        <v>160</v>
      </c>
      <c r="G1001" s="121">
        <v>4</v>
      </c>
      <c r="H1001" s="154">
        <f>MAX(MIN(IF(H1004/G1004&gt;1.1,G1001-1,IF(H1004/G1004&lt;0.9,G1001+1,G1001)),5),1)</f>
        <v>3</v>
      </c>
      <c r="I1001" s="154">
        <f t="shared" ref="I1001:AD1001" si="5722">MAX(MIN(IF(I1004/H1004&gt;1.1,H1001-1,IF(I1004/H1004&lt;0.9,H1001+1,H1001)),5),1)</f>
        <v>2</v>
      </c>
      <c r="J1001" s="154">
        <f t="shared" si="5722"/>
        <v>2</v>
      </c>
      <c r="K1001" s="154">
        <f t="shared" si="5722"/>
        <v>2</v>
      </c>
      <c r="L1001" s="154">
        <f t="shared" si="5722"/>
        <v>2</v>
      </c>
      <c r="M1001" s="154">
        <f t="shared" si="5722"/>
        <v>3</v>
      </c>
      <c r="N1001" s="154">
        <f t="shared" si="5722"/>
        <v>4</v>
      </c>
      <c r="O1001" s="154">
        <f t="shared" si="5722"/>
        <v>4</v>
      </c>
      <c r="P1001" s="154">
        <f t="shared" si="5722"/>
        <v>4</v>
      </c>
      <c r="Q1001" s="154">
        <f t="shared" si="5722"/>
        <v>5</v>
      </c>
      <c r="R1001" s="154">
        <f t="shared" si="5722"/>
        <v>5</v>
      </c>
      <c r="S1001" s="155">
        <f t="shared" si="5722"/>
        <v>4</v>
      </c>
      <c r="T1001" s="154">
        <f t="shared" si="5722"/>
        <v>4</v>
      </c>
      <c r="U1001" s="154">
        <f t="shared" si="5722"/>
        <v>3</v>
      </c>
      <c r="V1001" s="154">
        <f t="shared" si="5722"/>
        <v>2</v>
      </c>
      <c r="W1001" s="154">
        <f t="shared" si="5722"/>
        <v>2</v>
      </c>
      <c r="X1001" s="154">
        <f t="shared" si="5722"/>
        <v>2</v>
      </c>
      <c r="Y1001" s="154">
        <f t="shared" si="5722"/>
        <v>2</v>
      </c>
      <c r="Z1001" s="154">
        <f t="shared" si="5722"/>
        <v>3</v>
      </c>
      <c r="AA1001" s="154">
        <f t="shared" si="5722"/>
        <v>3</v>
      </c>
      <c r="AB1001" s="154">
        <f t="shared" si="5722"/>
        <v>3</v>
      </c>
      <c r="AC1001" s="154">
        <f t="shared" si="5722"/>
        <v>4</v>
      </c>
      <c r="AD1001" s="156">
        <f t="shared" si="5722"/>
        <v>5</v>
      </c>
      <c r="AE1001" s="15"/>
      <c r="AF1001" s="90">
        <f>AVERAGE(G1001:R1001)</f>
        <v>3.3333333333333335</v>
      </c>
      <c r="AG1001" s="91">
        <f>AVERAGE(S1001:AD1001)</f>
        <v>3.0833333333333335</v>
      </c>
    </row>
    <row r="1002" spans="2:34" x14ac:dyDescent="0.2">
      <c r="B1002" s="9">
        <f>G995</f>
        <v>21</v>
      </c>
      <c r="C1002" s="9" t="str">
        <f t="shared" ref="C1002:C1038" si="5723">B1002&amp;" - "&amp;F1002</f>
        <v>21 - Workdays in Month / Year</v>
      </c>
      <c r="D1002" s="9" t="s">
        <v>56</v>
      </c>
      <c r="F1002" s="7" t="s">
        <v>54</v>
      </c>
      <c r="G1002" s="121">
        <v>22</v>
      </c>
      <c r="H1002" s="124">
        <v>21</v>
      </c>
      <c r="I1002" s="124">
        <v>24</v>
      </c>
      <c r="J1002" s="122">
        <v>21</v>
      </c>
      <c r="K1002" s="122">
        <v>23</v>
      </c>
      <c r="L1002" s="122">
        <v>23</v>
      </c>
      <c r="M1002" s="122">
        <v>22</v>
      </c>
      <c r="N1002" s="122">
        <v>24</v>
      </c>
      <c r="O1002" s="122">
        <v>22</v>
      </c>
      <c r="P1002" s="122">
        <v>22</v>
      </c>
      <c r="Q1002" s="122">
        <v>23</v>
      </c>
      <c r="R1002" s="122">
        <v>22</v>
      </c>
      <c r="S1002" s="121">
        <v>23</v>
      </c>
      <c r="T1002" s="122">
        <v>22</v>
      </c>
      <c r="U1002" s="122">
        <v>22</v>
      </c>
      <c r="V1002" s="122">
        <v>22</v>
      </c>
      <c r="W1002" s="122">
        <v>24</v>
      </c>
      <c r="X1002" s="122">
        <v>21</v>
      </c>
      <c r="Y1002" s="122">
        <v>23</v>
      </c>
      <c r="Z1002" s="122">
        <v>23</v>
      </c>
      <c r="AA1002" s="122">
        <v>21</v>
      </c>
      <c r="AB1002" s="122">
        <v>24</v>
      </c>
      <c r="AC1002" s="122">
        <v>22</v>
      </c>
      <c r="AD1002" s="123">
        <v>22</v>
      </c>
      <c r="AE1002" s="15"/>
      <c r="AF1002" s="144">
        <v>269</v>
      </c>
      <c r="AG1002" s="145">
        <v>269</v>
      </c>
    </row>
    <row r="1003" spans="2:34" x14ac:dyDescent="0.2">
      <c r="B1003" s="9">
        <f>G995</f>
        <v>21</v>
      </c>
      <c r="C1003" s="9" t="str">
        <f t="shared" si="5723"/>
        <v>21 - Total Vet Days</v>
      </c>
      <c r="D1003" s="9" t="s">
        <v>56</v>
      </c>
      <c r="F1003" s="8" t="s">
        <v>51</v>
      </c>
      <c r="G1003" s="125">
        <f>G1001*G1002</f>
        <v>88</v>
      </c>
      <c r="H1003" s="126">
        <f t="shared" ref="H1003" si="5724">H1001*H1002</f>
        <v>63</v>
      </c>
      <c r="I1003" s="126">
        <f t="shared" ref="I1003" si="5725">I1001*I1002</f>
        <v>48</v>
      </c>
      <c r="J1003" s="127">
        <f t="shared" ref="J1003" si="5726">J1001*J1002</f>
        <v>42</v>
      </c>
      <c r="K1003" s="127">
        <f t="shared" ref="K1003" si="5727">K1001*K1002</f>
        <v>46</v>
      </c>
      <c r="L1003" s="127">
        <f t="shared" ref="L1003" si="5728">L1001*L1002</f>
        <v>46</v>
      </c>
      <c r="M1003" s="127">
        <f t="shared" ref="M1003" si="5729">M1001*M1002</f>
        <v>66</v>
      </c>
      <c r="N1003" s="127">
        <f t="shared" ref="N1003" si="5730">N1001*N1002</f>
        <v>96</v>
      </c>
      <c r="O1003" s="127">
        <f t="shared" ref="O1003" si="5731">O1001*O1002</f>
        <v>88</v>
      </c>
      <c r="P1003" s="127">
        <f t="shared" ref="P1003" si="5732">P1001*P1002</f>
        <v>88</v>
      </c>
      <c r="Q1003" s="127">
        <f t="shared" ref="Q1003" si="5733">Q1001*Q1002</f>
        <v>115</v>
      </c>
      <c r="R1003" s="127">
        <f t="shared" ref="R1003" si="5734">R1001*R1002</f>
        <v>110</v>
      </c>
      <c r="S1003" s="125">
        <f t="shared" ref="S1003" si="5735">S1001*S1002</f>
        <v>92</v>
      </c>
      <c r="T1003" s="127">
        <f t="shared" ref="T1003" si="5736">T1001*T1002</f>
        <v>88</v>
      </c>
      <c r="U1003" s="127">
        <f t="shared" ref="U1003" si="5737">U1001*U1002</f>
        <v>66</v>
      </c>
      <c r="V1003" s="127">
        <f t="shared" ref="V1003" si="5738">V1001*V1002</f>
        <v>44</v>
      </c>
      <c r="W1003" s="127">
        <f t="shared" ref="W1003" si="5739">W1001*W1002</f>
        <v>48</v>
      </c>
      <c r="X1003" s="127">
        <f t="shared" ref="X1003" si="5740">X1001*X1002</f>
        <v>42</v>
      </c>
      <c r="Y1003" s="127">
        <f t="shared" ref="Y1003" si="5741">Y1001*Y1002</f>
        <v>46</v>
      </c>
      <c r="Z1003" s="127">
        <f t="shared" ref="Z1003" si="5742">Z1001*Z1002</f>
        <v>69</v>
      </c>
      <c r="AA1003" s="127">
        <f t="shared" ref="AA1003" si="5743">AA1001*AA1002</f>
        <v>63</v>
      </c>
      <c r="AB1003" s="127">
        <f t="shared" ref="AB1003" si="5744">AB1001*AB1002</f>
        <v>72</v>
      </c>
      <c r="AC1003" s="127">
        <f t="shared" ref="AC1003" si="5745">AC1001*AC1002</f>
        <v>88</v>
      </c>
      <c r="AD1003" s="128">
        <f t="shared" ref="AD1003" si="5746">AD1001*AD1002</f>
        <v>110</v>
      </c>
      <c r="AF1003" s="119">
        <f>SUM(G1003:R1003)</f>
        <v>896</v>
      </c>
      <c r="AG1003" s="120">
        <f>SUM(S1003:AD1003)</f>
        <v>828</v>
      </c>
    </row>
    <row r="1004" spans="2:34" x14ac:dyDescent="0.2">
      <c r="B1004" s="9">
        <f>G995</f>
        <v>21</v>
      </c>
      <c r="C1004" s="9" t="str">
        <f t="shared" si="5723"/>
        <v>21 - Production per Vet Workday</v>
      </c>
      <c r="D1004" s="9" t="s">
        <v>56</v>
      </c>
      <c r="F1004" s="7" t="s">
        <v>50</v>
      </c>
      <c r="G1004" s="129">
        <v>4.8092439918806278</v>
      </c>
      <c r="H1004" s="130">
        <v>5.3068778801166454</v>
      </c>
      <c r="I1004" s="130">
        <v>6.1264291009089016</v>
      </c>
      <c r="J1004" s="130">
        <v>6.3519939379836767</v>
      </c>
      <c r="K1004" s="130">
        <v>6.7492958038865947</v>
      </c>
      <c r="L1004" s="130">
        <v>6.3299006517230048</v>
      </c>
      <c r="M1004" s="130">
        <v>5.5180412900153062</v>
      </c>
      <c r="N1004" s="130">
        <v>4.7802400492193637</v>
      </c>
      <c r="O1004" s="130">
        <v>4.5950618443275317</v>
      </c>
      <c r="P1004" s="130">
        <v>4.4946603020347906</v>
      </c>
      <c r="Q1004" s="130">
        <v>3.6513864208674631</v>
      </c>
      <c r="R1004" s="130">
        <v>2.71893073754091</v>
      </c>
      <c r="S1004" s="129">
        <v>4.7386763243156977</v>
      </c>
      <c r="T1004" s="130">
        <v>4.6081934162434166</v>
      </c>
      <c r="U1004" s="130">
        <v>5.3799574058777413</v>
      </c>
      <c r="V1004" s="130">
        <v>6.5106822825386317</v>
      </c>
      <c r="W1004" s="130">
        <v>6.3472786034228745</v>
      </c>
      <c r="X1004" s="130">
        <v>6.3047314627554689</v>
      </c>
      <c r="Y1004" s="130">
        <v>5.8400816579873664</v>
      </c>
      <c r="Z1004" s="130">
        <v>4.4565459656037447</v>
      </c>
      <c r="AA1004" s="130">
        <v>4.1579689867093199</v>
      </c>
      <c r="AB1004" s="130">
        <v>4.4514134299594401</v>
      </c>
      <c r="AC1004" s="130">
        <v>3.7300681888819485</v>
      </c>
      <c r="AD1004" s="131">
        <v>2.7112117323325413</v>
      </c>
      <c r="AE1004" s="15"/>
      <c r="AF1004" s="132">
        <v>5.1241279315603698</v>
      </c>
      <c r="AG1004" s="133">
        <v>4.9419323256915506</v>
      </c>
    </row>
    <row r="1005" spans="2:34" x14ac:dyDescent="0.2">
      <c r="B1005" s="9">
        <f>G995</f>
        <v>21</v>
      </c>
      <c r="C1005" s="9" t="str">
        <f t="shared" si="5723"/>
        <v>21 - Total Production</v>
      </c>
      <c r="D1005" s="9" t="s">
        <v>56</v>
      </c>
      <c r="F1005" s="8" t="s">
        <v>1</v>
      </c>
      <c r="G1005" s="134">
        <f>G1004*G1003</f>
        <v>423.21347128549525</v>
      </c>
      <c r="H1005" s="135">
        <f t="shared" ref="H1005" si="5747">H1004*H1003</f>
        <v>334.33330644734866</v>
      </c>
      <c r="I1005" s="135">
        <f t="shared" ref="I1005" si="5748">I1004*I1003</f>
        <v>294.06859684362729</v>
      </c>
      <c r="J1005" s="135">
        <f t="shared" ref="J1005" si="5749">J1004*J1003</f>
        <v>266.78374539531444</v>
      </c>
      <c r="K1005" s="135">
        <f t="shared" ref="K1005" si="5750">K1004*K1003</f>
        <v>310.46760697878335</v>
      </c>
      <c r="L1005" s="135">
        <f t="shared" ref="L1005" si="5751">L1004*L1003</f>
        <v>291.17542997925824</v>
      </c>
      <c r="M1005" s="135">
        <f t="shared" ref="M1005" si="5752">M1004*M1003</f>
        <v>364.1907251410102</v>
      </c>
      <c r="N1005" s="135">
        <f t="shared" ref="N1005" si="5753">N1004*N1003</f>
        <v>458.90304472505892</v>
      </c>
      <c r="O1005" s="135">
        <f t="shared" ref="O1005" si="5754">O1004*O1003</f>
        <v>404.36544230082279</v>
      </c>
      <c r="P1005" s="135">
        <f t="shared" ref="P1005" si="5755">P1004*P1003</f>
        <v>395.53010657906157</v>
      </c>
      <c r="Q1005" s="135">
        <f t="shared" ref="Q1005" si="5756">Q1004*Q1003</f>
        <v>419.90943839975824</v>
      </c>
      <c r="R1005" s="135">
        <f t="shared" ref="R1005" si="5757">R1004*R1003</f>
        <v>299.08238112950011</v>
      </c>
      <c r="S1005" s="134">
        <f t="shared" ref="S1005" si="5758">S1004*S1003</f>
        <v>435.95822183704422</v>
      </c>
      <c r="T1005" s="135">
        <f t="shared" ref="T1005" si="5759">T1004*T1003</f>
        <v>405.52102062942066</v>
      </c>
      <c r="U1005" s="135">
        <f t="shared" ref="U1005" si="5760">U1004*U1003</f>
        <v>355.07718878793094</v>
      </c>
      <c r="V1005" s="135">
        <f t="shared" ref="V1005" si="5761">V1004*V1003</f>
        <v>286.47002043169982</v>
      </c>
      <c r="W1005" s="135">
        <f t="shared" ref="W1005" si="5762">W1004*W1003</f>
        <v>304.66937296429796</v>
      </c>
      <c r="X1005" s="135">
        <f t="shared" ref="X1005" si="5763">X1004*X1003</f>
        <v>264.7987214357297</v>
      </c>
      <c r="Y1005" s="135">
        <f t="shared" ref="Y1005" si="5764">Y1004*Y1003</f>
        <v>268.64375626741884</v>
      </c>
      <c r="Z1005" s="135">
        <f t="shared" ref="Z1005" si="5765">Z1004*Z1003</f>
        <v>307.50167162665838</v>
      </c>
      <c r="AA1005" s="135">
        <f t="shared" ref="AA1005" si="5766">AA1004*AA1003</f>
        <v>261.95204616268717</v>
      </c>
      <c r="AB1005" s="135">
        <f t="shared" ref="AB1005" si="5767">AB1004*AB1003</f>
        <v>320.50176695707967</v>
      </c>
      <c r="AC1005" s="135">
        <f t="shared" ref="AC1005" si="5768">AC1004*AC1003</f>
        <v>328.24600062161147</v>
      </c>
      <c r="AD1005" s="136">
        <f t="shared" ref="AD1005" si="5769">AD1004*AD1003</f>
        <v>298.23329055657956</v>
      </c>
      <c r="AE1005" s="15"/>
      <c r="AF1005" s="94">
        <f>SUM(G1005:R1005)</f>
        <v>4262.0232952050392</v>
      </c>
      <c r="AG1005" s="95">
        <f>SUM(S1005:AD1005)</f>
        <v>3837.5730782781584</v>
      </c>
    </row>
    <row r="1006" spans="2:34" x14ac:dyDescent="0.2">
      <c r="B1006" s="9">
        <f>G995</f>
        <v>21</v>
      </c>
      <c r="C1006" s="9" t="str">
        <f t="shared" si="5723"/>
        <v>21 - Revenue as a % of Production</v>
      </c>
      <c r="D1006" s="9" t="s">
        <v>56</v>
      </c>
      <c r="F1006" s="7" t="s">
        <v>2</v>
      </c>
      <c r="G1006" s="137">
        <v>0.98801662544124846</v>
      </c>
      <c r="H1006" s="138">
        <v>0.98801662544124846</v>
      </c>
      <c r="I1006" s="138">
        <v>0.98801662544124846</v>
      </c>
      <c r="J1006" s="138">
        <v>0.98801662544124846</v>
      </c>
      <c r="K1006" s="138">
        <v>0.98801662544124846</v>
      </c>
      <c r="L1006" s="138">
        <v>0.98801662544124846</v>
      </c>
      <c r="M1006" s="138">
        <v>0.98801662544124846</v>
      </c>
      <c r="N1006" s="138">
        <v>0.98801662544124846</v>
      </c>
      <c r="O1006" s="138">
        <v>0.98801662544124846</v>
      </c>
      <c r="P1006" s="138">
        <v>0.98801662544124846</v>
      </c>
      <c r="Q1006" s="138">
        <v>0.98801662544124846</v>
      </c>
      <c r="R1006" s="138">
        <v>0.98801662544124846</v>
      </c>
      <c r="S1006" s="137">
        <v>0.97300427886042717</v>
      </c>
      <c r="T1006" s="138">
        <v>0.97300427886042717</v>
      </c>
      <c r="U1006" s="138">
        <v>0.97300427886042717</v>
      </c>
      <c r="V1006" s="138">
        <v>0.97300427886042717</v>
      </c>
      <c r="W1006" s="138">
        <v>0.97300427886042717</v>
      </c>
      <c r="X1006" s="138">
        <v>0.97300427886042717</v>
      </c>
      <c r="Y1006" s="138">
        <v>0.97300427886042717</v>
      </c>
      <c r="Z1006" s="138">
        <v>0.97300427886042717</v>
      </c>
      <c r="AA1006" s="138">
        <v>0.97300427886042717</v>
      </c>
      <c r="AB1006" s="138">
        <v>0.97300427886042717</v>
      </c>
      <c r="AC1006" s="138">
        <v>0.97300427886042717</v>
      </c>
      <c r="AD1006" s="139">
        <v>0.97300427886042717</v>
      </c>
      <c r="AE1006" s="15"/>
      <c r="AF1006" s="161">
        <v>0.98801662544124824</v>
      </c>
      <c r="AG1006" s="162">
        <v>0.97300427886042717</v>
      </c>
    </row>
    <row r="1007" spans="2:34" x14ac:dyDescent="0.2">
      <c r="B1007" s="9">
        <f>G995</f>
        <v>21</v>
      </c>
      <c r="C1007" s="9" t="str">
        <f t="shared" si="5723"/>
        <v>21 - Total Revenue</v>
      </c>
      <c r="D1007" s="9" t="s">
        <v>56</v>
      </c>
      <c r="F1007" s="8" t="s">
        <v>3</v>
      </c>
      <c r="G1007" s="134">
        <f>G1006*G1005</f>
        <v>418.14194574077175</v>
      </c>
      <c r="H1007" s="135">
        <f t="shared" ref="H1007" si="5770">H1006*H1005</f>
        <v>330.3268652087242</v>
      </c>
      <c r="I1007" s="135">
        <f t="shared" ref="I1007" si="5771">I1006*I1005</f>
        <v>290.54466270168359</v>
      </c>
      <c r="J1007" s="135">
        <f t="shared" ref="J1007" si="5772">J1006*J1005</f>
        <v>263.58677584805577</v>
      </c>
      <c r="K1007" s="135">
        <f t="shared" ref="K1007" si="5773">K1006*K1005</f>
        <v>306.74715735599733</v>
      </c>
      <c r="L1007" s="135">
        <f t="shared" ref="L1007" si="5774">L1006*L1005</f>
        <v>287.68616573951124</v>
      </c>
      <c r="M1007" s="135">
        <f t="shared" ref="M1007" si="5775">M1006*M1005</f>
        <v>359.82649127082215</v>
      </c>
      <c r="N1007" s="135">
        <f t="shared" ref="N1007" si="5776">N1006*N1005</f>
        <v>453.403837653967</v>
      </c>
      <c r="O1007" s="135">
        <f t="shared" ref="O1007" si="5777">O1006*O1005</f>
        <v>399.51977974711679</v>
      </c>
      <c r="P1007" s="135">
        <f t="shared" ref="P1007" si="5778">P1006*P1005</f>
        <v>390.79032116266177</v>
      </c>
      <c r="Q1007" s="135">
        <f t="shared" ref="Q1007" si="5779">Q1006*Q1005</f>
        <v>414.87750631865896</v>
      </c>
      <c r="R1007" s="135">
        <f t="shared" ref="R1007" si="5780">R1006*R1005</f>
        <v>295.498364932502</v>
      </c>
      <c r="S1007" s="134">
        <f t="shared" ref="S1007" si="5781">S1006*S1005</f>
        <v>424.18921525182736</v>
      </c>
      <c r="T1007" s="135">
        <f t="shared" ref="T1007" si="5782">T1006*T1005</f>
        <v>394.57368824027384</v>
      </c>
      <c r="U1007" s="135">
        <f t="shared" ref="U1007" si="5783">U1006*U1005</f>
        <v>345.49162401638847</v>
      </c>
      <c r="V1007" s="135">
        <f t="shared" ref="V1007" si="5784">V1006*V1005</f>
        <v>278.73655564527792</v>
      </c>
      <c r="W1007" s="135">
        <f t="shared" ref="W1007" si="5785">W1006*W1005</f>
        <v>296.44460353198525</v>
      </c>
      <c r="X1007" s="135">
        <f t="shared" ref="X1007" si="5786">X1006*X1005</f>
        <v>257.65028899373533</v>
      </c>
      <c r="Y1007" s="135">
        <f t="shared" ref="Y1007" si="5787">Y1006*Y1005</f>
        <v>261.39152433733625</v>
      </c>
      <c r="Z1007" s="135">
        <f t="shared" ref="Z1007" si="5788">Z1006*Z1005</f>
        <v>299.20044224947259</v>
      </c>
      <c r="AA1007" s="135">
        <f t="shared" ref="AA1007" si="5789">AA1006*AA1005</f>
        <v>254.88046177253875</v>
      </c>
      <c r="AB1007" s="135">
        <f t="shared" ref="AB1007" si="5790">AB1006*AB1005</f>
        <v>311.849590631566</v>
      </c>
      <c r="AC1007" s="135">
        <f t="shared" ref="AC1007" si="5791">AC1006*AC1005</f>
        <v>319.38476312365037</v>
      </c>
      <c r="AD1007" s="136">
        <f t="shared" ref="AD1007" si="5792">AD1006*AD1005</f>
        <v>290.18226781017694</v>
      </c>
      <c r="AE1007" s="15"/>
      <c r="AF1007" s="94">
        <f>SUM(G1007:R1007)</f>
        <v>4210.9498736804726</v>
      </c>
      <c r="AG1007" s="95">
        <f>SUM(S1007:AD1007)</f>
        <v>3733.9750256042294</v>
      </c>
    </row>
    <row r="1008" spans="2:34" x14ac:dyDescent="0.2">
      <c r="B1008" s="9">
        <f>G995</f>
        <v>21</v>
      </c>
      <c r="C1008" s="9" t="str">
        <f t="shared" si="5723"/>
        <v>21 - % YoY Revenue Growth</v>
      </c>
      <c r="D1008" s="9" t="s">
        <v>56</v>
      </c>
      <c r="F1008" s="16" t="s">
        <v>174</v>
      </c>
      <c r="G1008" s="82"/>
      <c r="H1008" s="83"/>
      <c r="I1008" s="83"/>
      <c r="J1008" s="83"/>
      <c r="K1008" s="83"/>
      <c r="L1008" s="83"/>
      <c r="M1008" s="83"/>
      <c r="N1008" s="83"/>
      <c r="O1008" s="83"/>
      <c r="P1008" s="83"/>
      <c r="Q1008" s="83"/>
      <c r="R1008" s="83"/>
      <c r="S1008" s="148">
        <f>S1007/G1007-1</f>
        <v>1.4462240807586069E-2</v>
      </c>
      <c r="T1008" s="149">
        <f t="shared" ref="T1008" si="5793">T1007/H1007-1</f>
        <v>0.19449469540103514</v>
      </c>
      <c r="U1008" s="149">
        <f t="shared" ref="U1008" si="5794">U1007/I1007-1</f>
        <v>0.18911709065232984</v>
      </c>
      <c r="V1008" s="149">
        <f t="shared" ref="V1008" si="5795">V1007/J1007-1</f>
        <v>5.7475492647458326E-2</v>
      </c>
      <c r="W1008" s="149">
        <f t="shared" ref="W1008" si="5796">W1007/K1007-1</f>
        <v>-3.358646878039484E-2</v>
      </c>
      <c r="X1008" s="149">
        <f t="shared" ref="X1008" si="5797">X1007/L1007-1</f>
        <v>-0.10440500907844219</v>
      </c>
      <c r="Y1008" s="149">
        <f t="shared" ref="Y1008" si="5798">Y1007/M1007-1</f>
        <v>-0.27356231217395044</v>
      </c>
      <c r="Z1008" s="149">
        <f t="shared" ref="Z1008" si="5799">Z1007/N1007-1</f>
        <v>-0.34010165463614983</v>
      </c>
      <c r="AA1008" s="149">
        <f t="shared" ref="AA1008" si="5800">AA1007/O1007-1</f>
        <v>-0.36203293380400359</v>
      </c>
      <c r="AB1008" s="149">
        <f t="shared" ref="AB1008" si="5801">AB1007/P1007-1</f>
        <v>-0.20200277810421419</v>
      </c>
      <c r="AC1008" s="149">
        <f t="shared" ref="AC1008" si="5802">AC1007/Q1007-1</f>
        <v>-0.23017093416884971</v>
      </c>
      <c r="AD1008" s="150">
        <f t="shared" ref="AD1008" si="5803">AD1007/R1007-1</f>
        <v>-1.7990275931101585E-2</v>
      </c>
      <c r="AE1008" s="15"/>
      <c r="AF1008" s="11"/>
      <c r="AG1008" s="97">
        <f>AG1007/AF1007-1</f>
        <v>-0.11327013200927882</v>
      </c>
    </row>
    <row r="1009" spans="2:33" ht="6" customHeight="1" x14ac:dyDescent="0.2">
      <c r="B1009" s="9">
        <f>G995</f>
        <v>21</v>
      </c>
      <c r="C1009" s="9" t="str">
        <f t="shared" si="5723"/>
        <v xml:space="preserve">21 - </v>
      </c>
      <c r="D1009" s="9" t="s">
        <v>56</v>
      </c>
      <c r="G1009" s="11"/>
      <c r="S1009" s="11"/>
      <c r="AD1009" s="15"/>
      <c r="AE1009" s="15"/>
      <c r="AF1009" s="11"/>
      <c r="AG1009" s="15"/>
    </row>
    <row r="1010" spans="2:33" x14ac:dyDescent="0.2">
      <c r="B1010" s="9">
        <f>G995</f>
        <v>21</v>
      </c>
      <c r="C1010" s="9" t="str">
        <f t="shared" si="5723"/>
        <v>21 - Doctor Compensation</v>
      </c>
      <c r="D1010" s="9" t="s">
        <v>56</v>
      </c>
      <c r="F1010" t="s">
        <v>4</v>
      </c>
      <c r="G1010" s="144">
        <v>-139.95013260816177</v>
      </c>
      <c r="H1010" s="70">
        <v>-149.61512948510415</v>
      </c>
      <c r="I1010" s="70">
        <v>-97.459813590566981</v>
      </c>
      <c r="J1010" s="70">
        <v>-86.131646425730025</v>
      </c>
      <c r="K1010" s="70">
        <v>-100.03731410840727</v>
      </c>
      <c r="L1010" s="70">
        <v>-96.058670416935641</v>
      </c>
      <c r="M1010" s="70">
        <v>-81.41662245511128</v>
      </c>
      <c r="N1010" s="70">
        <v>-79.079221541197484</v>
      </c>
      <c r="O1010" s="70">
        <v>-147.22537619227535</v>
      </c>
      <c r="P1010" s="70">
        <v>-145.66215687206159</v>
      </c>
      <c r="Q1010" s="70">
        <v>-124.01706022171659</v>
      </c>
      <c r="R1010" s="70">
        <v>-89.883120785774267</v>
      </c>
      <c r="S1010" s="144">
        <v>-164.11872817774804</v>
      </c>
      <c r="T1010" s="70">
        <v>-149.1625543548214</v>
      </c>
      <c r="U1010" s="70">
        <v>-118.21899190900598</v>
      </c>
      <c r="V1010" s="70">
        <v>-97.1934322988253</v>
      </c>
      <c r="W1010" s="70">
        <v>-102.32562931788426</v>
      </c>
      <c r="X1010" s="70">
        <v>-90.782975362812735</v>
      </c>
      <c r="Y1010" s="70">
        <v>-90.806440217063709</v>
      </c>
      <c r="Z1010" s="70">
        <v>-106.55617500099669</v>
      </c>
      <c r="AA1010" s="70">
        <v>-92.824445672781749</v>
      </c>
      <c r="AB1010" s="70">
        <v>-112.17551181051856</v>
      </c>
      <c r="AC1010" s="70">
        <v>-128.44569809806487</v>
      </c>
      <c r="AD1010" s="145">
        <v>-92.131622521286161</v>
      </c>
      <c r="AE1010" s="15"/>
      <c r="AF1010" s="92">
        <f>SUM(G1010:R1010)</f>
        <v>-1336.5362647030422</v>
      </c>
      <c r="AG1010" s="93">
        <f>SUM(S1010:AD1010)</f>
        <v>-1344.7422047418092</v>
      </c>
    </row>
    <row r="1011" spans="2:33" x14ac:dyDescent="0.2">
      <c r="B1011" s="9">
        <f>G995</f>
        <v>21</v>
      </c>
      <c r="C1011" s="9" t="str">
        <f t="shared" si="5723"/>
        <v>21 - % of Revenue - Doctor Compensation</v>
      </c>
      <c r="D1011" s="9" t="s">
        <v>56</v>
      </c>
      <c r="F1011" s="16" t="str">
        <f>"% of Revenue - "&amp;F1010</f>
        <v>% of Revenue - Doctor Compensation</v>
      </c>
      <c r="G1011" s="148">
        <f>G1010/G1007</f>
        <v>-0.33469527282231626</v>
      </c>
      <c r="H1011" s="149">
        <f t="shared" ref="H1011" si="5804">H1010/H1007</f>
        <v>-0.45293055225940093</v>
      </c>
      <c r="I1011" s="149">
        <f t="shared" ref="I1011" si="5805">I1010/I1007</f>
        <v>-0.33543832016846831</v>
      </c>
      <c r="J1011" s="149">
        <f t="shared" ref="J1011" si="5806">J1010/J1007</f>
        <v>-0.32676770732755006</v>
      </c>
      <c r="K1011" s="149">
        <f t="shared" ref="K1011" si="5807">K1010/K1007</f>
        <v>-0.32612303556674316</v>
      </c>
      <c r="L1011" s="149">
        <f t="shared" ref="L1011" si="5808">L1010/L1007</f>
        <v>-0.33390090263816535</v>
      </c>
      <c r="M1011" s="149">
        <f t="shared" ref="M1011" si="5809">M1010/M1007</f>
        <v>-0.22626633788848344</v>
      </c>
      <c r="N1011" s="149">
        <f t="shared" ref="N1011" si="5810">N1010/N1007</f>
        <v>-0.17441233393694808</v>
      </c>
      <c r="O1011" s="149">
        <f t="shared" ref="O1011" si="5811">O1010/O1007</f>
        <v>-0.36850585041237333</v>
      </c>
      <c r="P1011" s="149">
        <f t="shared" ref="P1011" si="5812">P1010/P1007</f>
        <v>-0.37273737087114672</v>
      </c>
      <c r="Q1011" s="149">
        <f t="shared" ref="Q1011" si="5813">Q1010/Q1007</f>
        <v>-0.29892452189601626</v>
      </c>
      <c r="R1011" s="149">
        <f t="shared" ref="R1011" si="5814">R1010/R1007</f>
        <v>-0.30417468064943592</v>
      </c>
      <c r="S1011" s="148">
        <f t="shared" ref="S1011" si="5815">S1010/S1007</f>
        <v>-0.38689981328336243</v>
      </c>
      <c r="T1011" s="149">
        <f t="shared" ref="T1011" si="5816">T1010/T1007</f>
        <v>-0.37803472152453699</v>
      </c>
      <c r="U1011" s="149">
        <f t="shared" ref="U1011" si="5817">U1010/U1007</f>
        <v>-0.34217614463324364</v>
      </c>
      <c r="V1011" s="149">
        <f t="shared" ref="V1011" si="5818">V1010/V1007</f>
        <v>-0.34869280806681968</v>
      </c>
      <c r="W1011" s="149">
        <f t="shared" ref="W1011" si="5819">W1010/W1007</f>
        <v>-0.34517622550293353</v>
      </c>
      <c r="X1011" s="149">
        <f t="shared" ref="X1011" si="5820">X1010/X1007</f>
        <v>-0.35234959649131264</v>
      </c>
      <c r="Y1011" s="149">
        <f t="shared" ref="Y1011" si="5821">Y1010/Y1007</f>
        <v>-0.34739626867118445</v>
      </c>
      <c r="Z1011" s="149">
        <f t="shared" ref="Z1011" si="5822">Z1010/Z1007</f>
        <v>-0.35613642212517327</v>
      </c>
      <c r="AA1011" s="149">
        <f t="shared" ref="AA1011" si="5823">AA1010/AA1007</f>
        <v>-0.36418815717471686</v>
      </c>
      <c r="AB1011" s="149">
        <f t="shared" ref="AB1011" si="5824">AB1010/AB1007</f>
        <v>-0.35971030644400642</v>
      </c>
      <c r="AC1011" s="149">
        <f t="shared" ref="AC1011" si="5825">AC1010/AC1007</f>
        <v>-0.40216601706931426</v>
      </c>
      <c r="AD1011" s="150">
        <f t="shared" ref="AD1011" si="5826">AD1010/AD1007</f>
        <v>-0.31749570094873669</v>
      </c>
      <c r="AE1011" s="15"/>
      <c r="AF1011" s="96">
        <f t="shared" ref="AF1011" si="5827">AF1010/AF1007</f>
        <v>-0.31739543447352342</v>
      </c>
      <c r="AG1011" s="97">
        <f t="shared" ref="AG1011" si="5828">AG1010/AG1007</f>
        <v>-0.36013690384129016</v>
      </c>
    </row>
    <row r="1012" spans="2:33" ht="3" customHeight="1" x14ac:dyDescent="0.2">
      <c r="B1012" s="9">
        <f>G995</f>
        <v>21</v>
      </c>
      <c r="C1012" s="9" t="str">
        <f t="shared" si="5723"/>
        <v xml:space="preserve">21 - </v>
      </c>
      <c r="D1012" s="9" t="s">
        <v>56</v>
      </c>
      <c r="F1012" s="16"/>
      <c r="G1012" s="36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6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8"/>
      <c r="AE1012" s="15"/>
      <c r="AF1012" s="36"/>
      <c r="AG1012" s="38"/>
    </row>
    <row r="1013" spans="2:33" x14ac:dyDescent="0.2">
      <c r="B1013" s="9">
        <f>G995</f>
        <v>21</v>
      </c>
      <c r="C1013" s="9" t="str">
        <f t="shared" si="5723"/>
        <v>21 - Administrative Staff Compensation</v>
      </c>
      <c r="D1013" s="9" t="s">
        <v>56</v>
      </c>
      <c r="F1013" t="s">
        <v>5</v>
      </c>
      <c r="G1013" s="144">
        <v>-74.701793880450296</v>
      </c>
      <c r="H1013" s="70">
        <v>-74.877778687956678</v>
      </c>
      <c r="I1013" s="70">
        <v>-81.3395769243091</v>
      </c>
      <c r="J1013" s="70">
        <v>-76.13257304151314</v>
      </c>
      <c r="K1013" s="70">
        <v>-86.344883377721686</v>
      </c>
      <c r="L1013" s="70">
        <v>-82.779402136709876</v>
      </c>
      <c r="M1013" s="70">
        <v>-85.149828677527069</v>
      </c>
      <c r="N1013" s="70">
        <v>-76.097246860606759</v>
      </c>
      <c r="O1013" s="70">
        <v>-66.826572246665748</v>
      </c>
      <c r="P1013" s="70">
        <v>-66.901220048661671</v>
      </c>
      <c r="Q1013" s="70">
        <v>-55.684310873131842</v>
      </c>
      <c r="R1013" s="70">
        <v>-41.217764077419616</v>
      </c>
      <c r="S1013" s="144">
        <v>-70.592966252016026</v>
      </c>
      <c r="T1013" s="70">
        <v>-68.99320474583881</v>
      </c>
      <c r="U1013" s="70">
        <v>-81.136846660053081</v>
      </c>
      <c r="V1013" s="70">
        <v>-97.083866218680839</v>
      </c>
      <c r="W1013" s="70">
        <v>-97.490984390634225</v>
      </c>
      <c r="X1013" s="70">
        <v>-84.612264365087412</v>
      </c>
      <c r="Y1013" s="70">
        <v>-87.930274193450074</v>
      </c>
      <c r="Z1013" s="70">
        <v>-63.244189092224609</v>
      </c>
      <c r="AA1013" s="70">
        <v>-57.262986212385059</v>
      </c>
      <c r="AB1013" s="70">
        <v>-69.379504761968363</v>
      </c>
      <c r="AC1013" s="70">
        <v>-51.911650805146969</v>
      </c>
      <c r="AD1013" s="145">
        <v>-39.625351768158623</v>
      </c>
      <c r="AE1013" s="15"/>
      <c r="AF1013" s="92">
        <f>SUM(G1013:R1013)</f>
        <v>-868.05295083267345</v>
      </c>
      <c r="AG1013" s="93">
        <f>SUM(S1013:AD1013)</f>
        <v>-869.26408946564402</v>
      </c>
    </row>
    <row r="1014" spans="2:33" x14ac:dyDescent="0.2">
      <c r="B1014" s="9">
        <f>G995</f>
        <v>21</v>
      </c>
      <c r="C1014" s="9" t="str">
        <f t="shared" si="5723"/>
        <v>21 - % of Revenue - Administrative Staff Compensation</v>
      </c>
      <c r="D1014" s="9" t="s">
        <v>56</v>
      </c>
      <c r="F1014" s="16" t="str">
        <f>"% of Revenue - "&amp;F1013</f>
        <v>% of Revenue - Administrative Staff Compensation</v>
      </c>
      <c r="G1014" s="148">
        <f>G1013/G1007</f>
        <v>-0.17865175843124306</v>
      </c>
      <c r="H1014" s="149">
        <f t="shared" ref="H1014" si="5829">H1013/H1007</f>
        <v>-0.22667783512141385</v>
      </c>
      <c r="I1014" s="149">
        <f t="shared" ref="I1014" si="5830">I1013/I1007</f>
        <v>-0.27995550208342468</v>
      </c>
      <c r="J1014" s="149">
        <f t="shared" ref="J1014" si="5831">J1013/J1007</f>
        <v>-0.28883305240396301</v>
      </c>
      <c r="K1014" s="149">
        <f t="shared" ref="K1014" si="5832">K1013/K1007</f>
        <v>-0.28148552091556495</v>
      </c>
      <c r="L1014" s="149">
        <f t="shared" ref="L1014" si="5833">L1013/L1007</f>
        <v>-0.28774203279438693</v>
      </c>
      <c r="M1014" s="149">
        <f t="shared" ref="M1014" si="5834">M1013/M1007</f>
        <v>-0.23664135560669253</v>
      </c>
      <c r="N1014" s="149">
        <f t="shared" ref="N1014" si="5835">N1013/N1007</f>
        <v>-0.16783547147363004</v>
      </c>
      <c r="O1014" s="149">
        <f t="shared" ref="O1014" si="5836">O1013/O1007</f>
        <v>-0.16726724341148974</v>
      </c>
      <c r="P1014" s="149">
        <f t="shared" ref="P1014" si="5837">P1013/P1007</f>
        <v>-0.17119466994376978</v>
      </c>
      <c r="Q1014" s="149">
        <f t="shared" ref="Q1014" si="5838">Q1013/Q1007</f>
        <v>-0.13421867906803764</v>
      </c>
      <c r="R1014" s="149">
        <f t="shared" ref="R1014" si="5839">R1013/R1007</f>
        <v>-0.13948559101785424</v>
      </c>
      <c r="S1014" s="148">
        <f t="shared" ref="S1014" si="5840">S1013/S1007</f>
        <v>-0.16641857858198322</v>
      </c>
      <c r="T1014" s="149">
        <f t="shared" ref="T1014" si="5841">T1013/T1007</f>
        <v>-0.17485505699464104</v>
      </c>
      <c r="U1014" s="149">
        <f t="shared" ref="U1014" si="5842">U1013/U1007</f>
        <v>-0.23484461277765836</v>
      </c>
      <c r="V1014" s="149">
        <f t="shared" ref="V1014" si="5843">V1013/V1007</f>
        <v>-0.34829972693725342</v>
      </c>
      <c r="W1014" s="149">
        <f t="shared" ref="W1014" si="5844">W1013/W1007</f>
        <v>-0.3288674620117189</v>
      </c>
      <c r="X1014" s="149">
        <f t="shared" ref="X1014" si="5845">X1013/X1007</f>
        <v>-0.32839964859167975</v>
      </c>
      <c r="Y1014" s="149">
        <f t="shared" ref="Y1014" si="5846">Y1013/Y1007</f>
        <v>-0.33639298143413604</v>
      </c>
      <c r="Z1014" s="149">
        <f t="shared" ref="Z1014" si="5847">Z1013/Z1007</f>
        <v>-0.2113773249021195</v>
      </c>
      <c r="AA1014" s="149">
        <f t="shared" ref="AA1014" si="5848">AA1013/AA1007</f>
        <v>-0.22466604860237532</v>
      </c>
      <c r="AB1014" s="149">
        <f t="shared" ref="AB1014" si="5849">AB1013/AB1007</f>
        <v>-0.22247745979547115</v>
      </c>
      <c r="AC1014" s="149">
        <f t="shared" ref="AC1014" si="5850">AC1013/AC1007</f>
        <v>-0.16253640373272685</v>
      </c>
      <c r="AD1014" s="150">
        <f t="shared" ref="AD1014" si="5851">AD1013/AD1007</f>
        <v>-0.13655331894393902</v>
      </c>
      <c r="AE1014" s="15"/>
      <c r="AF1014" s="96">
        <f t="shared" ref="AF1014" si="5852">AF1013/AF1007</f>
        <v>-0.2061418389846503</v>
      </c>
      <c r="AG1014" s="97">
        <f t="shared" ref="AG1014" si="5853">AG1013/AG1007</f>
        <v>-0.23279858153978422</v>
      </c>
    </row>
    <row r="1015" spans="2:33" ht="3" customHeight="1" x14ac:dyDescent="0.2">
      <c r="B1015" s="9">
        <f>G995</f>
        <v>21</v>
      </c>
      <c r="C1015" s="9" t="str">
        <f t="shared" si="5723"/>
        <v xml:space="preserve">21 - </v>
      </c>
      <c r="D1015" s="9" t="s">
        <v>56</v>
      </c>
      <c r="F1015" s="16"/>
      <c r="G1015" s="36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6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8"/>
      <c r="AE1015" s="15"/>
      <c r="AF1015" s="36"/>
      <c r="AG1015" s="38"/>
    </row>
    <row r="1016" spans="2:33" x14ac:dyDescent="0.2">
      <c r="B1016" s="9">
        <f>G995</f>
        <v>21</v>
      </c>
      <c r="C1016" s="9" t="str">
        <f t="shared" si="5723"/>
        <v>21 - Office Supplies</v>
      </c>
      <c r="D1016" s="9" t="s">
        <v>56</v>
      </c>
      <c r="F1016" t="s">
        <v>6</v>
      </c>
      <c r="G1016" s="144">
        <v>-37.412671267774009</v>
      </c>
      <c r="H1016" s="70">
        <v>-39.024376134059267</v>
      </c>
      <c r="I1016" s="70">
        <v>-50.328226809628703</v>
      </c>
      <c r="J1016" s="70">
        <v>-46.599211813648658</v>
      </c>
      <c r="K1016" s="70">
        <v>-56.769152367789815</v>
      </c>
      <c r="L1016" s="70">
        <v>-53.668795259455045</v>
      </c>
      <c r="M1016" s="70">
        <v>-42.940106810894491</v>
      </c>
      <c r="N1016" s="70">
        <v>-40.633939190638365</v>
      </c>
      <c r="O1016" s="70">
        <v>-37.405725761719602</v>
      </c>
      <c r="P1016" s="70">
        <v>-37.367858199947669</v>
      </c>
      <c r="Q1016" s="70">
        <v>-30.820835504602112</v>
      </c>
      <c r="R1016" s="70">
        <v>-22.59044958617579</v>
      </c>
      <c r="S1016" s="144">
        <v>-41.812428734985367</v>
      </c>
      <c r="T1016" s="70">
        <v>-37.559821065479241</v>
      </c>
      <c r="U1016" s="70">
        <v>-43.099467432603994</v>
      </c>
      <c r="V1016" s="70">
        <v>-50.976843228109161</v>
      </c>
      <c r="W1016" s="70">
        <v>-53.534466585466795</v>
      </c>
      <c r="X1016" s="70">
        <v>-48.03682995646674</v>
      </c>
      <c r="Y1016" s="70">
        <v>-50.353889303724515</v>
      </c>
      <c r="Z1016" s="70">
        <v>-38.474445811734689</v>
      </c>
      <c r="AA1016" s="70">
        <v>-32.432553745404881</v>
      </c>
      <c r="AB1016" s="70">
        <v>-40.121772579084201</v>
      </c>
      <c r="AC1016" s="70">
        <v>-31.151457946258834</v>
      </c>
      <c r="AD1016" s="145">
        <v>-22.174347394211114</v>
      </c>
      <c r="AE1016" s="15"/>
      <c r="AF1016" s="92">
        <f>SUM(G1016:R1016)</f>
        <v>-495.56134870633349</v>
      </c>
      <c r="AG1016" s="93">
        <f>SUM(S1016:AD1016)</f>
        <v>-489.72832378352956</v>
      </c>
    </row>
    <row r="1017" spans="2:33" x14ac:dyDescent="0.2">
      <c r="B1017" s="9">
        <f>G995</f>
        <v>21</v>
      </c>
      <c r="C1017" s="9" t="str">
        <f t="shared" si="5723"/>
        <v>21 - % of Revenue - Office Supplies</v>
      </c>
      <c r="D1017" s="9" t="s">
        <v>56</v>
      </c>
      <c r="F1017" s="16" t="str">
        <f>"% of Revenue - "&amp;F1016</f>
        <v>% of Revenue - Office Supplies</v>
      </c>
      <c r="G1017" s="148">
        <f>G1016/G1007</f>
        <v>-8.9473614519812131E-2</v>
      </c>
      <c r="H1017" s="149">
        <f t="shared" ref="H1017" si="5854">H1016/H1007</f>
        <v>-0.11813866882852797</v>
      </c>
      <c r="I1017" s="149">
        <f t="shared" ref="I1017" si="5855">I1016/I1007</f>
        <v>-0.17322027650290431</v>
      </c>
      <c r="J1017" s="149">
        <f t="shared" ref="J1017" si="5856">J1016/J1007</f>
        <v>-0.17678888352316549</v>
      </c>
      <c r="K1017" s="149">
        <f t="shared" ref="K1017" si="5857">K1016/K1007</f>
        <v>-0.18506822640871623</v>
      </c>
      <c r="L1017" s="149">
        <f t="shared" ref="L1017" si="5858">L1016/L1007</f>
        <v>-0.18655327106709077</v>
      </c>
      <c r="M1017" s="149">
        <f t="shared" ref="M1017" si="5859">M1016/M1007</f>
        <v>-0.11933559049318515</v>
      </c>
      <c r="N1017" s="149">
        <f t="shared" ref="N1017" si="5860">N1016/N1007</f>
        <v>-8.9619751347693177E-2</v>
      </c>
      <c r="O1017" s="149">
        <f t="shared" ref="O1017" si="5861">O1016/O1007</f>
        <v>-9.3626718019809249E-2</v>
      </c>
      <c r="P1017" s="149">
        <f t="shared" ref="P1017" si="5862">P1016/P1007</f>
        <v>-9.5621247959193315E-2</v>
      </c>
      <c r="Q1017" s="149">
        <f t="shared" ref="Q1017" si="5863">Q1016/Q1007</f>
        <v>-7.4289001054998763E-2</v>
      </c>
      <c r="R1017" s="149">
        <f t="shared" ref="R1017" si="5864">R1016/R1007</f>
        <v>-7.6448644957260323E-2</v>
      </c>
      <c r="S1017" s="148">
        <f t="shared" ref="S1017" si="5865">S1016/S1007</f>
        <v>-9.8570230528286035E-2</v>
      </c>
      <c r="T1017" s="149">
        <f t="shared" ref="T1017" si="5866">T1016/T1007</f>
        <v>-9.5190891295841698E-2</v>
      </c>
      <c r="U1017" s="149">
        <f t="shared" ref="U1017" si="5867">U1016/U1007</f>
        <v>-0.12474822669090109</v>
      </c>
      <c r="V1017" s="149">
        <f t="shared" ref="V1017" si="5868">V1016/V1007</f>
        <v>-0.18288538835567247</v>
      </c>
      <c r="W1017" s="149">
        <f t="shared" ref="W1017" si="5869">W1016/W1007</f>
        <v>-0.18058843354755361</v>
      </c>
      <c r="X1017" s="149">
        <f t="shared" ref="X1017" si="5870">X1016/X1007</f>
        <v>-0.18644197972405432</v>
      </c>
      <c r="Y1017" s="149">
        <f t="shared" ref="Y1017" si="5871">Y1016/Y1007</f>
        <v>-0.19263780427226401</v>
      </c>
      <c r="Z1017" s="149">
        <f t="shared" ref="Z1017" si="5872">Z1016/Z1007</f>
        <v>-0.12859087213398834</v>
      </c>
      <c r="AA1017" s="149">
        <f t="shared" ref="AA1017" si="5873">AA1016/AA1007</f>
        <v>-0.12724613538384297</v>
      </c>
      <c r="AB1017" s="149">
        <f t="shared" ref="AB1017" si="5874">AB1016/AB1007</f>
        <v>-0.12865744828405429</v>
      </c>
      <c r="AC1017" s="149">
        <f t="shared" ref="AC1017" si="5875">AC1016/AC1007</f>
        <v>-9.7535829955039191E-2</v>
      </c>
      <c r="AD1017" s="150">
        <f t="shared" ref="AD1017" si="5876">AD1016/AD1007</f>
        <v>-7.6415239158295123E-2</v>
      </c>
      <c r="AE1017" s="15"/>
      <c r="AF1017" s="96">
        <f t="shared" ref="AF1017" si="5877">AF1016/AF1007</f>
        <v>-0.11768398189769969</v>
      </c>
      <c r="AG1017" s="97">
        <f t="shared" ref="AG1017" si="5878">AG1016/AG1007</f>
        <v>-0.13115468647364134</v>
      </c>
    </row>
    <row r="1018" spans="2:33" ht="6" customHeight="1" x14ac:dyDescent="0.2">
      <c r="B1018" s="9">
        <f>G995</f>
        <v>21</v>
      </c>
      <c r="C1018" s="9" t="str">
        <f t="shared" si="5723"/>
        <v xml:space="preserve">21 - </v>
      </c>
      <c r="D1018" s="9" t="s">
        <v>56</v>
      </c>
      <c r="F1018" s="16"/>
      <c r="G1018" s="11"/>
      <c r="S1018" s="11"/>
      <c r="AD1018" s="15"/>
      <c r="AE1018" s="15"/>
      <c r="AF1018" s="11"/>
      <c r="AG1018" s="15"/>
    </row>
    <row r="1019" spans="2:33" x14ac:dyDescent="0.2">
      <c r="B1019" s="9">
        <f>G995</f>
        <v>21</v>
      </c>
      <c r="C1019" s="9" t="str">
        <f t="shared" si="5723"/>
        <v>21 - Office Gross Profit</v>
      </c>
      <c r="D1019" s="9" t="s">
        <v>56</v>
      </c>
      <c r="F1019" s="8" t="s">
        <v>11</v>
      </c>
      <c r="G1019" s="134">
        <f>G1007+G1010+G1013+G1016</f>
        <v>166.07734798438568</v>
      </c>
      <c r="H1019" s="135">
        <f t="shared" ref="H1019:AD1019" si="5879">H1007+H1010+H1013+H1016</f>
        <v>66.809580901604107</v>
      </c>
      <c r="I1019" s="135">
        <f t="shared" si="5879"/>
        <v>61.417045377178823</v>
      </c>
      <c r="J1019" s="135">
        <f t="shared" si="5879"/>
        <v>54.723344567163942</v>
      </c>
      <c r="K1019" s="135">
        <f t="shared" si="5879"/>
        <v>63.595807502078571</v>
      </c>
      <c r="L1019" s="135">
        <f t="shared" si="5879"/>
        <v>55.17929792641069</v>
      </c>
      <c r="M1019" s="135">
        <f t="shared" si="5879"/>
        <v>150.31993332728931</v>
      </c>
      <c r="N1019" s="135">
        <f t="shared" si="5879"/>
        <v>257.59343006152432</v>
      </c>
      <c r="O1019" s="135">
        <f t="shared" si="5879"/>
        <v>148.06210554645608</v>
      </c>
      <c r="P1019" s="135">
        <f t="shared" si="5879"/>
        <v>140.85908604199082</v>
      </c>
      <c r="Q1019" s="135">
        <f t="shared" si="5879"/>
        <v>204.35529971920843</v>
      </c>
      <c r="R1019" s="135">
        <f t="shared" si="5879"/>
        <v>141.80703048313231</v>
      </c>
      <c r="S1019" s="134">
        <f t="shared" si="5879"/>
        <v>147.66509208707794</v>
      </c>
      <c r="T1019" s="135">
        <f t="shared" si="5879"/>
        <v>138.85810807413441</v>
      </c>
      <c r="U1019" s="135">
        <f t="shared" si="5879"/>
        <v>103.0363180147254</v>
      </c>
      <c r="V1019" s="135">
        <f t="shared" si="5879"/>
        <v>33.482413899662603</v>
      </c>
      <c r="W1019" s="135">
        <f t="shared" si="5879"/>
        <v>43.093523237999982</v>
      </c>
      <c r="X1019" s="135">
        <f t="shared" si="5879"/>
        <v>34.218219309368429</v>
      </c>
      <c r="Y1019" s="135">
        <f t="shared" si="5879"/>
        <v>32.300920623097952</v>
      </c>
      <c r="Z1019" s="135">
        <f t="shared" si="5879"/>
        <v>90.9256323445166</v>
      </c>
      <c r="AA1019" s="135">
        <f t="shared" si="5879"/>
        <v>72.360476141967069</v>
      </c>
      <c r="AB1019" s="135">
        <f t="shared" si="5879"/>
        <v>90.172801479994888</v>
      </c>
      <c r="AC1019" s="135">
        <f t="shared" si="5879"/>
        <v>107.87595627417971</v>
      </c>
      <c r="AD1019" s="136">
        <f t="shared" si="5879"/>
        <v>136.25094612652106</v>
      </c>
      <c r="AE1019" s="15"/>
      <c r="AF1019" s="98">
        <f>SUM(G1019:R1019)</f>
        <v>1510.7993094384231</v>
      </c>
      <c r="AG1019" s="95">
        <f>SUM(S1019:AD1019)</f>
        <v>1030.2404076132459</v>
      </c>
    </row>
    <row r="1020" spans="2:33" x14ac:dyDescent="0.2">
      <c r="B1020" s="9">
        <f>G995</f>
        <v>21</v>
      </c>
      <c r="C1020" s="9" t="str">
        <f t="shared" si="5723"/>
        <v>21 - % of Revenue - Office Gross Profit</v>
      </c>
      <c r="D1020" s="9" t="s">
        <v>56</v>
      </c>
      <c r="F1020" s="16" t="str">
        <f>"% of Revenue - "&amp;F1019</f>
        <v>% of Revenue - Office Gross Profit</v>
      </c>
      <c r="G1020" s="148">
        <f>G1019/G1007</f>
        <v>0.39717935422662859</v>
      </c>
      <c r="H1020" s="149">
        <f t="shared" ref="H1020" si="5880">H1019/H1007</f>
        <v>0.20225294379065725</v>
      </c>
      <c r="I1020" s="149">
        <f t="shared" ref="I1020" si="5881">I1019/I1007</f>
        <v>0.21138590124520273</v>
      </c>
      <c r="J1020" s="149">
        <f t="shared" ref="J1020" si="5882">J1019/J1007</f>
        <v>0.20761035674532147</v>
      </c>
      <c r="K1020" s="149">
        <f t="shared" ref="K1020" si="5883">K1019/K1007</f>
        <v>0.20732321710897572</v>
      </c>
      <c r="L1020" s="149">
        <f t="shared" ref="L1020" si="5884">L1019/L1007</f>
        <v>0.19180379350035701</v>
      </c>
      <c r="M1020" s="149">
        <f t="shared" ref="M1020" si="5885">M1019/M1007</f>
        <v>0.41775671601163888</v>
      </c>
      <c r="N1020" s="149">
        <f t="shared" ref="N1020" si="5886">N1019/N1007</f>
        <v>0.56813244324172851</v>
      </c>
      <c r="O1020" s="149">
        <f t="shared" ref="O1020" si="5887">O1019/O1007</f>
        <v>0.37060018815632773</v>
      </c>
      <c r="P1020" s="149">
        <f t="shared" ref="P1020" si="5888">P1019/P1007</f>
        <v>0.36044671122589017</v>
      </c>
      <c r="Q1020" s="149">
        <f t="shared" ref="Q1020" si="5889">Q1019/Q1007</f>
        <v>0.49256779798094741</v>
      </c>
      <c r="R1020" s="149">
        <f t="shared" ref="R1020" si="5890">R1019/R1007</f>
        <v>0.47989108337544945</v>
      </c>
      <c r="S1020" s="148">
        <f t="shared" ref="S1020" si="5891">S1019/S1007</f>
        <v>0.34811137760636834</v>
      </c>
      <c r="T1020" s="149">
        <f t="shared" ref="T1020" si="5892">T1019/T1007</f>
        <v>0.35191933018498028</v>
      </c>
      <c r="U1020" s="149">
        <f t="shared" ref="U1020" si="5893">U1019/U1007</f>
        <v>0.29823101589819684</v>
      </c>
      <c r="V1020" s="149">
        <f t="shared" ref="V1020" si="5894">V1019/V1007</f>
        <v>0.12012207664025439</v>
      </c>
      <c r="W1020" s="149">
        <f t="shared" ref="W1020" si="5895">W1019/W1007</f>
        <v>0.14536787893779404</v>
      </c>
      <c r="X1020" s="149">
        <f t="shared" ref="X1020" si="5896">X1019/X1007</f>
        <v>0.13280877519295323</v>
      </c>
      <c r="Y1020" s="149">
        <f t="shared" ref="Y1020" si="5897">Y1019/Y1007</f>
        <v>0.12357294562241551</v>
      </c>
      <c r="Z1020" s="149">
        <f t="shared" ref="Z1020" si="5898">Z1019/Z1007</f>
        <v>0.30389538083871892</v>
      </c>
      <c r="AA1020" s="149">
        <f t="shared" ref="AA1020" si="5899">AA1019/AA1007</f>
        <v>0.28389965883906487</v>
      </c>
      <c r="AB1020" s="149">
        <f t="shared" ref="AB1020" si="5900">AB1019/AB1007</f>
        <v>0.28915478547646817</v>
      </c>
      <c r="AC1020" s="149">
        <f t="shared" ref="AC1020" si="5901">AC1019/AC1007</f>
        <v>0.33776174924291974</v>
      </c>
      <c r="AD1020" s="150">
        <f t="shared" ref="AD1020" si="5902">AD1019/AD1007</f>
        <v>0.46953574094902922</v>
      </c>
      <c r="AE1020" s="15"/>
      <c r="AF1020" s="111">
        <f t="shared" ref="AF1020" si="5903">AF1019/AF1007</f>
        <v>0.35877874464412651</v>
      </c>
      <c r="AG1020" s="97">
        <f t="shared" ref="AG1020" si="5904">AG1019/AG1007</f>
        <v>0.27590982814528414</v>
      </c>
    </row>
    <row r="1021" spans="2:33" ht="6" customHeight="1" x14ac:dyDescent="0.2">
      <c r="B1021" s="9">
        <f>G995</f>
        <v>21</v>
      </c>
      <c r="C1021" s="9" t="str">
        <f t="shared" si="5723"/>
        <v xml:space="preserve">21 - </v>
      </c>
      <c r="D1021" s="9" t="s">
        <v>56</v>
      </c>
      <c r="F1021" s="16"/>
      <c r="G1021" s="11"/>
      <c r="S1021" s="11"/>
      <c r="AD1021" s="15"/>
      <c r="AE1021" s="15"/>
      <c r="AF1021" s="11"/>
      <c r="AG1021" s="15"/>
    </row>
    <row r="1022" spans="2:33" x14ac:dyDescent="0.2">
      <c r="B1022" s="9">
        <f>G995</f>
        <v>21</v>
      </c>
      <c r="C1022" s="9" t="str">
        <f t="shared" si="5723"/>
        <v>21 - General and Administrative Expense</v>
      </c>
      <c r="D1022" s="9" t="s">
        <v>56</v>
      </c>
      <c r="F1022" t="s">
        <v>10</v>
      </c>
      <c r="G1022" s="144">
        <v>-26.409397185805268</v>
      </c>
      <c r="H1022" s="70">
        <v>-28.676315193427129</v>
      </c>
      <c r="I1022" s="70">
        <v>-37.497174503755225</v>
      </c>
      <c r="J1022" s="70">
        <v>-33.283208431555046</v>
      </c>
      <c r="K1022" s="70">
        <v>-40.424809419298363</v>
      </c>
      <c r="L1022" s="70">
        <v>-37.413925318936677</v>
      </c>
      <c r="M1022" s="70">
        <v>-31.518725065604297</v>
      </c>
      <c r="N1022" s="70">
        <v>-27.84415404357657</v>
      </c>
      <c r="O1022" s="70">
        <v>-25.896705643191478</v>
      </c>
      <c r="P1022" s="70">
        <v>-24.052888600714759</v>
      </c>
      <c r="Q1022" s="70">
        <v>-21.739900053184407</v>
      </c>
      <c r="R1022" s="70">
        <v>-15.946199246802466</v>
      </c>
      <c r="S1022" s="144">
        <v>-28.353355848917005</v>
      </c>
      <c r="T1022" s="70">
        <v>-28.125178010275874</v>
      </c>
      <c r="U1022" s="70">
        <v>-33.686379314343078</v>
      </c>
      <c r="V1022" s="70">
        <v>-42.197338728959885</v>
      </c>
      <c r="W1022" s="70">
        <v>-47.641408389792957</v>
      </c>
      <c r="X1022" s="70">
        <v>-42.749702834839724</v>
      </c>
      <c r="Y1022" s="70">
        <v>-42.598989849067884</v>
      </c>
      <c r="Z1022" s="70">
        <v>-32.077340152389908</v>
      </c>
      <c r="AA1022" s="70">
        <v>-28.278934007891586</v>
      </c>
      <c r="AB1022" s="70">
        <v>-35.062005406483841</v>
      </c>
      <c r="AC1022" s="70">
        <v>-27.868756163427101</v>
      </c>
      <c r="AD1022" s="145">
        <v>-20.310853927848282</v>
      </c>
      <c r="AE1022" s="15"/>
      <c r="AF1022" s="144">
        <v>-350.70340270585166</v>
      </c>
      <c r="AG1022" s="145">
        <v>-408.9502426342371</v>
      </c>
    </row>
    <row r="1023" spans="2:33" x14ac:dyDescent="0.2">
      <c r="B1023" s="9">
        <f>G995</f>
        <v>21</v>
      </c>
      <c r="C1023" s="9" t="str">
        <f t="shared" si="5723"/>
        <v>21 - % of Revenue - General and Administrative Expense</v>
      </c>
      <c r="D1023" s="9" t="s">
        <v>56</v>
      </c>
      <c r="F1023" s="16" t="str">
        <f>"% of Revenue - "&amp;F1022</f>
        <v>% of Revenue - General and Administrative Expense</v>
      </c>
      <c r="G1023" s="148">
        <f>G1022/G1007</f>
        <v>-6.31589283371677E-2</v>
      </c>
      <c r="H1023" s="149">
        <f t="shared" ref="H1023" si="5905">H1022/H1007</f>
        <v>-8.6811937549515925E-2</v>
      </c>
      <c r="I1023" s="149">
        <f t="shared" ref="I1023" si="5906">I1022/I1007</f>
        <v>-0.12905821141259582</v>
      </c>
      <c r="J1023" s="149">
        <f t="shared" ref="J1023" si="5907">J1022/J1007</f>
        <v>-0.12627040307492932</v>
      </c>
      <c r="K1023" s="149">
        <f t="shared" ref="K1023" si="5908">K1022/K1007</f>
        <v>-0.13178544103795262</v>
      </c>
      <c r="L1023" s="149">
        <f t="shared" ref="L1023" si="5909">L1022/L1007</f>
        <v>-0.13005117998205568</v>
      </c>
      <c r="M1023" s="149">
        <f t="shared" ref="M1023" si="5910">M1022/M1007</f>
        <v>-8.7594231748439666E-2</v>
      </c>
      <c r="N1023" s="149">
        <f t="shared" ref="N1023" si="5911">N1022/N1007</f>
        <v>-6.1411377079756725E-2</v>
      </c>
      <c r="O1023" s="149">
        <f t="shared" ref="O1023" si="5912">O1022/O1007</f>
        <v>-6.4819583299688593E-2</v>
      </c>
      <c r="P1023" s="149">
        <f t="shared" ref="P1023" si="5913">P1022/P1007</f>
        <v>-6.1549345769756243E-2</v>
      </c>
      <c r="Q1023" s="149">
        <f t="shared" ref="Q1023" si="5914">Q1022/Q1007</f>
        <v>-5.2400768231783655E-2</v>
      </c>
      <c r="R1023" s="149">
        <f t="shared" ref="R1023" si="5915">R1022/R1007</f>
        <v>-5.3963747821227072E-2</v>
      </c>
      <c r="S1023" s="148">
        <f t="shared" ref="S1023" si="5916">S1022/S1007</f>
        <v>-6.6841293530021828E-2</v>
      </c>
      <c r="T1023" s="149">
        <f t="shared" ref="T1023" si="5917">T1022/T1007</f>
        <v>-7.1279912595563585E-2</v>
      </c>
      <c r="U1023" s="149">
        <f t="shared" ref="U1023" si="5918">U1022/U1007</f>
        <v>-9.7502738048275112E-2</v>
      </c>
      <c r="V1023" s="149">
        <f t="shared" ref="V1023" si="5919">V1022/V1007</f>
        <v>-0.15138788893789917</v>
      </c>
      <c r="W1023" s="149">
        <f t="shared" ref="W1023" si="5920">W1022/W1007</f>
        <v>-0.16070931237124925</v>
      </c>
      <c r="X1023" s="149">
        <f t="shared" ref="X1023" si="5921">X1022/X1007</f>
        <v>-0.16592142396502091</v>
      </c>
      <c r="Y1023" s="149">
        <f t="shared" ref="Y1023" si="5922">Y1022/Y1007</f>
        <v>-0.16297005022279215</v>
      </c>
      <c r="Z1023" s="149">
        <f t="shared" ref="Z1023" si="5923">Z1022/Z1007</f>
        <v>-0.10721020300379069</v>
      </c>
      <c r="AA1023" s="149">
        <f t="shared" ref="AA1023" si="5924">AA1022/AA1007</f>
        <v>-0.11094979117359087</v>
      </c>
      <c r="AB1023" s="149">
        <f t="shared" ref="AB1023" si="5925">AB1022/AB1007</f>
        <v>-0.11243242402683724</v>
      </c>
      <c r="AC1023" s="149">
        <f t="shared" ref="AC1023" si="5926">AC1022/AC1007</f>
        <v>-8.7257625851855883E-2</v>
      </c>
      <c r="AD1023" s="150">
        <f t="shared" ref="AD1023" si="5927">AD1022/AD1007</f>
        <v>-6.9993435784762179E-2</v>
      </c>
      <c r="AE1023" s="15"/>
      <c r="AF1023" s="96">
        <f t="shared" ref="AF1023" si="5928">AF1022/AF1007</f>
        <v>-8.3283680220901879E-2</v>
      </c>
      <c r="AG1023" s="97">
        <f t="shared" ref="AG1023" si="5929">AG1022/AG1007</f>
        <v>-0.10952141881775469</v>
      </c>
    </row>
    <row r="1024" spans="2:33" ht="3" customHeight="1" x14ac:dyDescent="0.2">
      <c r="B1024" s="9">
        <f>G995</f>
        <v>21</v>
      </c>
      <c r="C1024" s="9" t="str">
        <f t="shared" si="5723"/>
        <v xml:space="preserve">21 - </v>
      </c>
      <c r="D1024" s="9" t="s">
        <v>56</v>
      </c>
      <c r="F1024" s="16"/>
      <c r="G1024" s="36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6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8"/>
      <c r="AE1024" s="15"/>
      <c r="AF1024" s="36"/>
      <c r="AG1024" s="38"/>
    </row>
    <row r="1025" spans="2:33" x14ac:dyDescent="0.2">
      <c r="B1025" s="9">
        <f>G995</f>
        <v>21</v>
      </c>
      <c r="C1025" s="9" t="str">
        <f t="shared" si="5723"/>
        <v>21 - Marketing</v>
      </c>
      <c r="D1025" s="9" t="s">
        <v>56</v>
      </c>
      <c r="F1025" t="s">
        <v>7</v>
      </c>
      <c r="G1025" s="144">
        <v>-17.910342771188041</v>
      </c>
      <c r="H1025" s="70">
        <v>-17.031970609310619</v>
      </c>
      <c r="I1025" s="70">
        <v>-23.846186090841627</v>
      </c>
      <c r="J1025" s="70">
        <v>-22.512514312106614</v>
      </c>
      <c r="K1025" s="70">
        <v>-24.15926154220455</v>
      </c>
      <c r="L1025" s="70">
        <v>-20.891427863176297</v>
      </c>
      <c r="M1025" s="70">
        <v>-15.463715472783813</v>
      </c>
      <c r="N1025" s="70">
        <v>-12.854569496174602</v>
      </c>
      <c r="O1025" s="70">
        <v>-10.81888169928729</v>
      </c>
      <c r="P1025" s="70">
        <v>-12.44723516702658</v>
      </c>
      <c r="Q1025" s="70">
        <v>-11.12364785128276</v>
      </c>
      <c r="R1025" s="70">
        <v>-7.9696203867253468</v>
      </c>
      <c r="S1025" s="144">
        <v>-13.274494996865487</v>
      </c>
      <c r="T1025" s="70">
        <v>-11.58955963983211</v>
      </c>
      <c r="U1025" s="70">
        <v>-12.937910378722744</v>
      </c>
      <c r="V1025" s="70">
        <v>-13.057261831496287</v>
      </c>
      <c r="W1025" s="70">
        <v>-15.885315091656249</v>
      </c>
      <c r="X1025" s="70">
        <v>-16.309004079336528</v>
      </c>
      <c r="Y1025" s="70">
        <v>-15.351006068426654</v>
      </c>
      <c r="Z1025" s="70">
        <v>-13.693560715081555</v>
      </c>
      <c r="AA1025" s="70">
        <v>-11.506453449977982</v>
      </c>
      <c r="AB1025" s="70">
        <v>-14.826370698543093</v>
      </c>
      <c r="AC1025" s="70">
        <v>-12.187378241421635</v>
      </c>
      <c r="AD1025" s="145">
        <v>-7.7824461335878441</v>
      </c>
      <c r="AE1025" s="15"/>
      <c r="AF1025" s="144">
        <v>-197.02937326210812</v>
      </c>
      <c r="AG1025" s="145">
        <v>-158.40076132494821</v>
      </c>
    </row>
    <row r="1026" spans="2:33" x14ac:dyDescent="0.2">
      <c r="B1026" s="9">
        <f>G995</f>
        <v>21</v>
      </c>
      <c r="C1026" s="9" t="str">
        <f t="shared" si="5723"/>
        <v>21 - % of Revenue - Marketing</v>
      </c>
      <c r="D1026" s="9" t="s">
        <v>56</v>
      </c>
      <c r="F1026" s="16" t="str">
        <f>"% of Revenue - "&amp;F1025</f>
        <v>% of Revenue - Marketing</v>
      </c>
      <c r="G1026" s="148">
        <f>G1025/G1007</f>
        <v>-4.2833164559605334E-2</v>
      </c>
      <c r="H1026" s="149">
        <f t="shared" ref="H1026" si="5930">H1025/H1007</f>
        <v>-5.1560960984958333E-2</v>
      </c>
      <c r="I1026" s="149">
        <f t="shared" ref="I1026" si="5931">I1025/I1007</f>
        <v>-8.2074080690739348E-2</v>
      </c>
      <c r="J1026" s="149">
        <f t="shared" ref="J1026" si="5932">J1025/J1007</f>
        <v>-8.5408360262670846E-2</v>
      </c>
      <c r="K1026" s="149">
        <f t="shared" ref="K1026" si="5933">K1025/K1007</f>
        <v>-7.875952869602755E-2</v>
      </c>
      <c r="L1026" s="149">
        <f t="shared" ref="L1026" si="5934">L1025/L1007</f>
        <v>-7.2618812967505303E-2</v>
      </c>
      <c r="M1026" s="149">
        <f t="shared" ref="M1026" si="5935">M1025/M1007</f>
        <v>-4.2975478037121789E-2</v>
      </c>
      <c r="N1026" s="149">
        <f t="shared" ref="N1026" si="5936">N1025/N1007</f>
        <v>-2.8351258698399179E-2</v>
      </c>
      <c r="O1026" s="149">
        <f t="shared" ref="O1026" si="5937">O1025/O1007</f>
        <v>-2.7079714816961743E-2</v>
      </c>
      <c r="P1026" s="149">
        <f t="shared" ref="P1026" si="5938">P1025/P1007</f>
        <v>-3.18514417910713E-2</v>
      </c>
      <c r="Q1026" s="149">
        <f t="shared" ref="Q1026" si="5939">Q1025/Q1007</f>
        <v>-2.6811884669252019E-2</v>
      </c>
      <c r="R1026" s="149">
        <f t="shared" ref="R1026" si="5940">R1025/R1007</f>
        <v>-2.6970099778879569E-2</v>
      </c>
      <c r="S1026" s="148">
        <f t="shared" ref="S1026" si="5941">S1025/S1007</f>
        <v>-3.1293805970490904E-2</v>
      </c>
      <c r="T1026" s="149">
        <f t="shared" ref="T1026" si="5942">T1025/T1007</f>
        <v>-2.9372358029039942E-2</v>
      </c>
      <c r="U1026" s="149">
        <f t="shared" ref="U1026" si="5943">U1025/U1007</f>
        <v>-3.7447826457607643E-2</v>
      </c>
      <c r="V1026" s="149">
        <f t="shared" ref="V1026" si="5944">V1025/V1007</f>
        <v>-4.6844454259932271E-2</v>
      </c>
      <c r="W1026" s="149">
        <f t="shared" ref="W1026" si="5945">W1025/W1007</f>
        <v>-5.3586116604555707E-2</v>
      </c>
      <c r="X1026" s="149">
        <f t="shared" ref="X1026" si="5946">X1025/X1007</f>
        <v>-6.329899393100652E-2</v>
      </c>
      <c r="Y1026" s="149">
        <f t="shared" ref="Y1026" si="5947">Y1025/Y1007</f>
        <v>-5.8728017701964834E-2</v>
      </c>
      <c r="Z1026" s="149">
        <f t="shared" ref="Z1026" si="5948">Z1025/Z1007</f>
        <v>-4.5767180730514757E-2</v>
      </c>
      <c r="AA1026" s="149">
        <f t="shared" ref="AA1026" si="5949">AA1025/AA1007</f>
        <v>-4.5144509586798415E-2</v>
      </c>
      <c r="AB1026" s="149">
        <f t="shared" ref="AB1026" si="5950">AB1025/AB1007</f>
        <v>-4.7543338660526492E-2</v>
      </c>
      <c r="AC1026" s="149">
        <f t="shared" ref="AC1026" si="5951">AC1025/AC1007</f>
        <v>-3.8158921929232016E-2</v>
      </c>
      <c r="AD1026" s="150">
        <f t="shared" ref="AD1026" si="5952">AD1025/AD1007</f>
        <v>-2.6819165045187186E-2</v>
      </c>
      <c r="AE1026" s="15"/>
      <c r="AF1026" s="96">
        <f t="shared" ref="AF1026" si="5953">AF1025/AF1007</f>
        <v>-4.6789769332946173E-2</v>
      </c>
      <c r="AG1026" s="97">
        <f t="shared" ref="AG1026" si="5954">AG1025/AG1007</f>
        <v>-4.2421483871418211E-2</v>
      </c>
    </row>
    <row r="1027" spans="2:33" ht="3" customHeight="1" x14ac:dyDescent="0.2">
      <c r="B1027" s="9">
        <f>G995</f>
        <v>21</v>
      </c>
      <c r="C1027" s="9" t="str">
        <f t="shared" si="5723"/>
        <v xml:space="preserve">21 - </v>
      </c>
      <c r="D1027" s="9" t="s">
        <v>56</v>
      </c>
      <c r="F1027" s="16"/>
      <c r="G1027" s="36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6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8"/>
      <c r="AE1027" s="15"/>
      <c r="AF1027" s="36"/>
      <c r="AG1027" s="38"/>
    </row>
    <row r="1028" spans="2:33" x14ac:dyDescent="0.2">
      <c r="B1028" s="9">
        <f>G995</f>
        <v>21</v>
      </c>
      <c r="C1028" s="9" t="str">
        <f t="shared" si="5723"/>
        <v>21 - Office Rent</v>
      </c>
      <c r="D1028" s="9" t="s">
        <v>56</v>
      </c>
      <c r="F1028" t="s">
        <v>162</v>
      </c>
      <c r="G1028" s="144">
        <v>-30.547400820322121</v>
      </c>
      <c r="H1028" s="70">
        <v>-30.547400820322121</v>
      </c>
      <c r="I1028" s="70">
        <v>-30.547400820322121</v>
      </c>
      <c r="J1028" s="70">
        <v>-30.547400820322121</v>
      </c>
      <c r="K1028" s="70">
        <v>-30.547400820322121</v>
      </c>
      <c r="L1028" s="70">
        <v>-30.547400820322121</v>
      </c>
      <c r="M1028" s="70">
        <v>-31.463822844931787</v>
      </c>
      <c r="N1028" s="70">
        <v>-31.463822844931787</v>
      </c>
      <c r="O1028" s="70">
        <v>-31.463822844931787</v>
      </c>
      <c r="P1028" s="70">
        <v>-31.463822844931787</v>
      </c>
      <c r="Q1028" s="70">
        <v>-31.463822844931787</v>
      </c>
      <c r="R1028" s="70">
        <v>-31.463822844931787</v>
      </c>
      <c r="S1028" s="144">
        <v>-31.464220868205167</v>
      </c>
      <c r="T1028" s="70">
        <v>-31.464220868205167</v>
      </c>
      <c r="U1028" s="70">
        <v>-31.464220868205167</v>
      </c>
      <c r="V1028" s="70">
        <v>-31.464220868205167</v>
      </c>
      <c r="W1028" s="70">
        <v>-31.464220868205167</v>
      </c>
      <c r="X1028" s="70">
        <v>-31.464220868205167</v>
      </c>
      <c r="Y1028" s="70">
        <v>-32.408147494251317</v>
      </c>
      <c r="Z1028" s="70">
        <v>-32.408147494251317</v>
      </c>
      <c r="AA1028" s="70">
        <v>-32.408147494251317</v>
      </c>
      <c r="AB1028" s="70">
        <v>-32.408147494251317</v>
      </c>
      <c r="AC1028" s="70">
        <v>-32.408147494251317</v>
      </c>
      <c r="AD1028" s="145">
        <v>-32.408147494251317</v>
      </c>
      <c r="AE1028" s="15"/>
      <c r="AF1028" s="144">
        <v>-372.06734199152339</v>
      </c>
      <c r="AG1028" s="145">
        <v>-383.23421017473885</v>
      </c>
    </row>
    <row r="1029" spans="2:33" x14ac:dyDescent="0.2">
      <c r="B1029" s="9">
        <f>G995</f>
        <v>21</v>
      </c>
      <c r="C1029" s="9" t="str">
        <f t="shared" si="5723"/>
        <v>21 - % YoY Growth</v>
      </c>
      <c r="D1029" s="9" t="s">
        <v>56</v>
      </c>
      <c r="F1029" s="16" t="s">
        <v>8</v>
      </c>
      <c r="G1029" s="82"/>
      <c r="H1029" s="83"/>
      <c r="I1029" s="83"/>
      <c r="J1029" s="83"/>
      <c r="K1029" s="83"/>
      <c r="L1029" s="83"/>
      <c r="M1029" s="83"/>
      <c r="N1029" s="83"/>
      <c r="O1029" s="83"/>
      <c r="P1029" s="83"/>
      <c r="Q1029" s="83"/>
      <c r="R1029" s="83"/>
      <c r="S1029" s="148">
        <f>S1028/G1028-1</f>
        <v>3.0013029693613635E-2</v>
      </c>
      <c r="T1029" s="149">
        <f t="shared" ref="T1029" si="5955">T1028/H1028-1</f>
        <v>3.0013029693613635E-2</v>
      </c>
      <c r="U1029" s="149">
        <f t="shared" ref="U1029" si="5956">U1028/I1028-1</f>
        <v>3.0013029693613635E-2</v>
      </c>
      <c r="V1029" s="149">
        <f t="shared" ref="V1029" si="5957">V1028/J1028-1</f>
        <v>3.0013029693613635E-2</v>
      </c>
      <c r="W1029" s="149">
        <f t="shared" ref="W1029" si="5958">W1028/K1028-1</f>
        <v>3.0013029693613635E-2</v>
      </c>
      <c r="X1029" s="149">
        <f t="shared" ref="X1029" si="5959">X1028/L1028-1</f>
        <v>3.0013029693613635E-2</v>
      </c>
      <c r="Y1029" s="149">
        <f t="shared" ref="Y1029" si="5960">Y1028/M1028-1</f>
        <v>3.0013029693613413E-2</v>
      </c>
      <c r="Z1029" s="149">
        <f t="shared" ref="Z1029" si="5961">Z1028/N1028-1</f>
        <v>3.0013029693613413E-2</v>
      </c>
      <c r="AA1029" s="149">
        <f t="shared" ref="AA1029" si="5962">AA1028/O1028-1</f>
        <v>3.0013029693613413E-2</v>
      </c>
      <c r="AB1029" s="149">
        <f t="shared" ref="AB1029" si="5963">AB1028/P1028-1</f>
        <v>3.0013029693613413E-2</v>
      </c>
      <c r="AC1029" s="149">
        <f t="shared" ref="AC1029" si="5964">AC1028/Q1028-1</f>
        <v>3.0013029693613413E-2</v>
      </c>
      <c r="AD1029" s="150">
        <f t="shared" ref="AD1029" si="5965">AD1028/R1028-1</f>
        <v>3.0013029693613413E-2</v>
      </c>
      <c r="AE1029" s="15"/>
      <c r="AF1029" s="11"/>
      <c r="AG1029" s="97">
        <f>AG1028/AF1028-1</f>
        <v>3.0013029693613635E-2</v>
      </c>
    </row>
    <row r="1030" spans="2:33" ht="6" customHeight="1" x14ac:dyDescent="0.2">
      <c r="B1030" s="9">
        <f>G995</f>
        <v>21</v>
      </c>
      <c r="C1030" s="9" t="str">
        <f t="shared" si="5723"/>
        <v xml:space="preserve">21 - </v>
      </c>
      <c r="D1030" s="9" t="s">
        <v>56</v>
      </c>
      <c r="F1030" s="16"/>
      <c r="G1030" s="11"/>
      <c r="S1030" s="11"/>
      <c r="AD1030" s="15"/>
      <c r="AE1030" s="15"/>
      <c r="AF1030" s="11"/>
      <c r="AG1030" s="15"/>
    </row>
    <row r="1031" spans="2:33" x14ac:dyDescent="0.2">
      <c r="B1031" s="9">
        <f>G995</f>
        <v>21</v>
      </c>
      <c r="C1031" s="9" t="str">
        <f t="shared" si="5723"/>
        <v>21 - Office EBITDA</v>
      </c>
      <c r="D1031" s="9" t="s">
        <v>56</v>
      </c>
      <c r="F1031" s="8" t="s">
        <v>12</v>
      </c>
      <c r="G1031" s="134">
        <f>G1019+G1022+G1025+G1028</f>
        <v>91.210207207070255</v>
      </c>
      <c r="H1031" s="135">
        <f t="shared" ref="H1031:AD1031" si="5966">H1019+H1022+H1025+H1028</f>
        <v>-9.446105721455762</v>
      </c>
      <c r="I1031" s="135">
        <f t="shared" si="5966"/>
        <v>-30.47371603774015</v>
      </c>
      <c r="J1031" s="135">
        <f t="shared" si="5966"/>
        <v>-31.619778996819839</v>
      </c>
      <c r="K1031" s="135">
        <f t="shared" si="5966"/>
        <v>-31.535664279746463</v>
      </c>
      <c r="L1031" s="135">
        <f t="shared" si="5966"/>
        <v>-33.673456076024408</v>
      </c>
      <c r="M1031" s="135">
        <f t="shared" si="5966"/>
        <v>71.873669943969404</v>
      </c>
      <c r="N1031" s="135">
        <f t="shared" si="5966"/>
        <v>185.43088367684135</v>
      </c>
      <c r="O1031" s="135">
        <f t="shared" si="5966"/>
        <v>79.882695359045528</v>
      </c>
      <c r="P1031" s="135">
        <f t="shared" si="5966"/>
        <v>72.895139429317695</v>
      </c>
      <c r="Q1031" s="135">
        <f t="shared" si="5966"/>
        <v>140.02792896980947</v>
      </c>
      <c r="R1031" s="135">
        <f t="shared" si="5966"/>
        <v>86.427388004672707</v>
      </c>
      <c r="S1031" s="134">
        <f t="shared" si="5966"/>
        <v>74.573020373090287</v>
      </c>
      <c r="T1031" s="135">
        <f t="shared" si="5966"/>
        <v>67.679149555821255</v>
      </c>
      <c r="U1031" s="135">
        <f t="shared" si="5966"/>
        <v>24.947807453454409</v>
      </c>
      <c r="V1031" s="135">
        <f t="shared" si="5966"/>
        <v>-53.23640752899874</v>
      </c>
      <c r="W1031" s="135">
        <f t="shared" si="5966"/>
        <v>-51.897421111654396</v>
      </c>
      <c r="X1031" s="135">
        <f t="shared" si="5966"/>
        <v>-56.304708473012994</v>
      </c>
      <c r="Y1031" s="135">
        <f t="shared" si="5966"/>
        <v>-58.057222788647906</v>
      </c>
      <c r="Z1031" s="135">
        <f t="shared" si="5966"/>
        <v>12.746583982793823</v>
      </c>
      <c r="AA1031" s="135">
        <f t="shared" si="5966"/>
        <v>0.16694118984618456</v>
      </c>
      <c r="AB1031" s="135">
        <f t="shared" si="5966"/>
        <v>7.8762778807166356</v>
      </c>
      <c r="AC1031" s="135">
        <f t="shared" si="5966"/>
        <v>35.411674375079663</v>
      </c>
      <c r="AD1031" s="136">
        <f t="shared" si="5966"/>
        <v>75.749498570833623</v>
      </c>
      <c r="AE1031" s="15"/>
      <c r="AF1031" s="94">
        <f>SUM(G1031:R1031)</f>
        <v>590.99919147893979</v>
      </c>
      <c r="AG1031" s="95">
        <f>SUM(S1031:AD1031)</f>
        <v>79.655193479321838</v>
      </c>
    </row>
    <row r="1032" spans="2:33" x14ac:dyDescent="0.2">
      <c r="B1032" s="9">
        <f>G995</f>
        <v>21</v>
      </c>
      <c r="C1032" s="9" t="str">
        <f t="shared" si="5723"/>
        <v>21 - % of Revenue - Office EBITDA</v>
      </c>
      <c r="D1032" s="9" t="s">
        <v>56</v>
      </c>
      <c r="F1032" s="16" t="str">
        <f>"% of Revenue - "&amp;F1031</f>
        <v>% of Revenue - Office EBITDA</v>
      </c>
      <c r="G1032" s="148">
        <f>G1031/G1007</f>
        <v>0.2181321633386579</v>
      </c>
      <c r="H1032" s="149">
        <f t="shared" ref="H1032" si="5967">H1031/H1007</f>
        <v>-2.8596238200265772E-2</v>
      </c>
      <c r="I1032" s="149">
        <f t="shared" ref="I1032" si="5968">I1031/I1007</f>
        <v>-0.10488479036019671</v>
      </c>
      <c r="J1032" s="149">
        <f t="shared" ref="J1032" si="5969">J1031/J1007</f>
        <v>-0.11995965615151732</v>
      </c>
      <c r="K1032" s="149">
        <f t="shared" ref="K1032" si="5970">K1031/K1007</f>
        <v>-0.10280670423017987</v>
      </c>
      <c r="L1032" s="149">
        <f t="shared" ref="L1032" si="5971">L1031/L1007</f>
        <v>-0.11704927134561774</v>
      </c>
      <c r="M1032" s="149">
        <f t="shared" ref="M1032" si="5972">M1031/M1007</f>
        <v>0.19974535418481443</v>
      </c>
      <c r="N1032" s="149">
        <f t="shared" ref="N1032" si="5973">N1031/N1007</f>
        <v>0.40897510845146445</v>
      </c>
      <c r="O1032" s="149">
        <f t="shared" ref="O1032" si="5974">O1031/O1007</f>
        <v>0.1999467846363169</v>
      </c>
      <c r="P1032" s="149">
        <f t="shared" ref="P1032" si="5975">P1031/P1007</f>
        <v>0.18653261220094541</v>
      </c>
      <c r="Q1032" s="149">
        <f t="shared" ref="Q1032" si="5976">Q1031/Q1007</f>
        <v>0.33751631948505029</v>
      </c>
      <c r="R1032" s="149">
        <f t="shared" ref="R1032" si="5977">R1031/R1007</f>
        <v>0.29248008876263842</v>
      </c>
      <c r="S1032" s="148">
        <f t="shared" ref="S1032" si="5978">S1031/S1007</f>
        <v>0.17580131151806561</v>
      </c>
      <c r="T1032" s="149">
        <f t="shared" ref="T1032" si="5979">T1031/T1007</f>
        <v>0.17152474068318602</v>
      </c>
      <c r="U1032" s="149">
        <f t="shared" ref="U1032" si="5980">U1031/U1007</f>
        <v>7.2209586916848104E-2</v>
      </c>
      <c r="V1032" s="149">
        <f t="shared" ref="V1032" si="5981">V1031/V1007</f>
        <v>-0.1909918396091102</v>
      </c>
      <c r="W1032" s="149">
        <f t="shared" ref="W1032" si="5982">W1031/W1007</f>
        <v>-0.17506616917064188</v>
      </c>
      <c r="X1032" s="149">
        <f t="shared" ref="X1032" si="5983">X1031/X1007</f>
        <v>-0.218531516859203</v>
      </c>
      <c r="Y1032" s="149">
        <f t="shared" ref="Y1032" si="5984">Y1031/Y1007</f>
        <v>-0.22210828348712153</v>
      </c>
      <c r="Z1032" s="149">
        <f t="shared" ref="Z1032" si="5985">Z1031/Z1007</f>
        <v>4.2602156223304481E-2</v>
      </c>
      <c r="AA1032" s="149">
        <f t="shared" ref="AA1032" si="5986">AA1031/AA1007</f>
        <v>6.5497837176380655E-4</v>
      </c>
      <c r="AB1032" s="149">
        <f t="shared" ref="AB1032" si="5987">AB1031/AB1007</f>
        <v>2.525665614877156E-2</v>
      </c>
      <c r="AC1032" s="149">
        <f t="shared" ref="AC1032" si="5988">AC1031/AC1007</f>
        <v>0.11087465171708887</v>
      </c>
      <c r="AD1032" s="150">
        <f t="shared" ref="AD1032" si="5989">AD1031/AD1007</f>
        <v>0.26104110062433328</v>
      </c>
      <c r="AE1032" s="15"/>
      <c r="AF1032" s="96">
        <f t="shared" ref="AF1032" si="5990">AF1031/AF1007</f>
        <v>0.14034818965023493</v>
      </c>
      <c r="AG1032" s="97">
        <f t="shared" ref="AG1032" si="5991">AG1031/AG1007</f>
        <v>2.1332545861479639E-2</v>
      </c>
    </row>
    <row r="1033" spans="2:33" ht="6" customHeight="1" x14ac:dyDescent="0.2">
      <c r="B1033" s="9">
        <f>G995</f>
        <v>21</v>
      </c>
      <c r="C1033" s="9" t="str">
        <f t="shared" si="5723"/>
        <v xml:space="preserve">21 - </v>
      </c>
      <c r="D1033" s="9" t="s">
        <v>56</v>
      </c>
      <c r="G1033" s="11"/>
      <c r="S1033" s="11"/>
      <c r="AD1033" s="15"/>
      <c r="AE1033" s="15"/>
      <c r="AF1033" s="11"/>
      <c r="AG1033" s="15"/>
    </row>
    <row r="1034" spans="2:33" x14ac:dyDescent="0.2">
      <c r="B1034" s="9">
        <f>G995</f>
        <v>21</v>
      </c>
      <c r="C1034" s="9" t="str">
        <f t="shared" si="5723"/>
        <v>21 - Memo:</v>
      </c>
      <c r="D1034" s="9" t="s">
        <v>56</v>
      </c>
      <c r="F1034" s="6" t="s">
        <v>13</v>
      </c>
      <c r="G1034" s="11"/>
      <c r="S1034" s="11"/>
      <c r="AD1034" s="15"/>
      <c r="AE1034" s="15"/>
      <c r="AF1034" s="11"/>
      <c r="AG1034" s="15"/>
    </row>
    <row r="1035" spans="2:33" s="24" customFormat="1" x14ac:dyDescent="0.2">
      <c r="B1035" s="9">
        <f>G995</f>
        <v>21</v>
      </c>
      <c r="C1035" s="9" t="str">
        <f t="shared" si="5723"/>
        <v>21 - Collections</v>
      </c>
      <c r="D1035" s="9" t="s">
        <v>56</v>
      </c>
      <c r="E1035" s="49"/>
      <c r="F1035" s="24" t="s">
        <v>15</v>
      </c>
      <c r="G1035" s="169">
        <f>G1036*G1005</f>
        <v>414.11688041077224</v>
      </c>
      <c r="H1035" s="170">
        <f t="shared" ref="H1035" si="5992">H1036*H1005</f>
        <v>325.73235899326653</v>
      </c>
      <c r="I1035" s="170">
        <f t="shared" ref="I1035" si="5993">I1036*I1005</f>
        <v>289.83093147879379</v>
      </c>
      <c r="J1035" s="170">
        <f t="shared" ref="J1035" si="5994">J1036*J1005</f>
        <v>263.20890824777928</v>
      </c>
      <c r="K1035" s="170">
        <f t="shared" ref="K1035" si="5995">K1036*K1005</f>
        <v>300.53498448473482</v>
      </c>
      <c r="L1035" s="170">
        <f t="shared" ref="L1035" si="5996">L1036*L1005</f>
        <v>283.68311971519347</v>
      </c>
      <c r="M1035" s="170">
        <f t="shared" ref="M1035" si="5997">M1036*M1005</f>
        <v>350.90310418765114</v>
      </c>
      <c r="N1035" s="170">
        <f t="shared" ref="N1035" si="5998">N1036*N1005</f>
        <v>452.7442307507493</v>
      </c>
      <c r="O1035" s="170">
        <f t="shared" ref="O1035" si="5999">O1036*O1005</f>
        <v>402.12561302656866</v>
      </c>
      <c r="P1035" s="170">
        <f t="shared" ref="P1035" si="6000">P1036*P1005</f>
        <v>392.88605197816327</v>
      </c>
      <c r="Q1035" s="170">
        <f t="shared" ref="Q1035" si="6001">Q1036*Q1005</f>
        <v>409.46731684344434</v>
      </c>
      <c r="R1035" s="170">
        <f t="shared" ref="R1035" si="6002">R1036*R1005</f>
        <v>291.67112885748605</v>
      </c>
      <c r="S1035" s="169">
        <f t="shared" ref="S1035" si="6003">S1036*S1005</f>
        <v>423.01325737558517</v>
      </c>
      <c r="T1035" s="170">
        <f t="shared" ref="T1035" si="6004">T1036*T1005</f>
        <v>399.06195870824513</v>
      </c>
      <c r="U1035" s="170">
        <f t="shared" ref="U1035" si="6005">U1036*U1005</f>
        <v>352.59787654322787</v>
      </c>
      <c r="V1035" s="170">
        <f t="shared" ref="V1035" si="6006">V1036*V1005</f>
        <v>278.88452495043896</v>
      </c>
      <c r="W1035" s="170">
        <f t="shared" ref="W1035" si="6007">W1036*W1005</f>
        <v>295.96305242458425</v>
      </c>
      <c r="X1035" s="170">
        <f t="shared" ref="X1035" si="6008">X1036*X1005</f>
        <v>264.37609571328323</v>
      </c>
      <c r="Y1035" s="170">
        <f t="shared" ref="Y1035" si="6009">Y1036*Y1005</f>
        <v>266.76147210619433</v>
      </c>
      <c r="Z1035" s="170">
        <f t="shared" ref="Z1035" si="6010">Z1036*Z1005</f>
        <v>297.20316508256548</v>
      </c>
      <c r="AA1035" s="170">
        <f t="shared" ref="AA1035" si="6011">AA1036*AA1005</f>
        <v>259.17765135622477</v>
      </c>
      <c r="AB1035" s="170">
        <f t="shared" ref="AB1035" si="6012">AB1036*AB1005</f>
        <v>316.11891833526209</v>
      </c>
      <c r="AC1035" s="170">
        <f t="shared" ref="AC1035" si="6013">AC1036*AC1005</f>
        <v>326.73441719805987</v>
      </c>
      <c r="AD1035" s="171">
        <f t="shared" ref="AD1035" si="6014">AD1036*AD1005</f>
        <v>287.4880366446161</v>
      </c>
      <c r="AE1035" s="26"/>
      <c r="AF1035" s="68">
        <f>SUM(G1035:R1035)</f>
        <v>4176.9046289746029</v>
      </c>
      <c r="AG1035" s="99">
        <f>SUM(S1035:AD1035)</f>
        <v>3767.3804264382875</v>
      </c>
    </row>
    <row r="1036" spans="2:33" x14ac:dyDescent="0.2">
      <c r="B1036" s="9">
        <f>G995</f>
        <v>21</v>
      </c>
      <c r="C1036" s="9" t="str">
        <f t="shared" si="5723"/>
        <v>21 - Collections as a % of Production</v>
      </c>
      <c r="D1036" s="9" t="s">
        <v>56</v>
      </c>
      <c r="F1036" s="16" t="s">
        <v>17</v>
      </c>
      <c r="G1036" s="140">
        <v>0.97850590424947381</v>
      </c>
      <c r="H1036" s="141">
        <v>0.97427433256507867</v>
      </c>
      <c r="I1036" s="141">
        <v>0.98558953451569364</v>
      </c>
      <c r="J1036" s="141">
        <v>0.98660024379582034</v>
      </c>
      <c r="K1036" s="141">
        <v>0.96800754001132461</v>
      </c>
      <c r="L1036" s="141">
        <v>0.97426874147795206</v>
      </c>
      <c r="M1036" s="141">
        <v>0.96351466405901953</v>
      </c>
      <c r="N1036" s="141">
        <v>0.98657926974967114</v>
      </c>
      <c r="O1036" s="141">
        <v>0.99446087860152044</v>
      </c>
      <c r="P1036" s="141">
        <v>0.99331516221668503</v>
      </c>
      <c r="Q1036" s="141">
        <v>0.97513244380476893</v>
      </c>
      <c r="R1036" s="141">
        <v>0.97522003053464712</v>
      </c>
      <c r="S1036" s="140">
        <v>0.97030686929836663</v>
      </c>
      <c r="T1036" s="141">
        <v>0.98407218962126741</v>
      </c>
      <c r="U1036" s="141">
        <v>0.99301754006455245</v>
      </c>
      <c r="V1036" s="141">
        <v>0.97352080517943973</v>
      </c>
      <c r="W1036" s="141">
        <v>0.97142370939682887</v>
      </c>
      <c r="X1036" s="141">
        <v>0.99840397370442346</v>
      </c>
      <c r="Y1036" s="141">
        <v>0.99299338206337917</v>
      </c>
      <c r="Z1036" s="141">
        <v>0.96650910387051014</v>
      </c>
      <c r="AA1036" s="141">
        <v>0.98940876833334845</v>
      </c>
      <c r="AB1036" s="141">
        <v>0.98632504069032323</v>
      </c>
      <c r="AC1036" s="141">
        <v>0.99539496773551217</v>
      </c>
      <c r="AD1036" s="142">
        <v>0.96397030696368591</v>
      </c>
      <c r="AE1036" s="15"/>
      <c r="AF1036" s="96">
        <f t="shared" ref="AF1036" si="6015">AF1035/AF1005</f>
        <v>0.98002857789956277</v>
      </c>
      <c r="AG1036" s="97">
        <f t="shared" ref="AG1036" si="6016">AG1035/AG1005</f>
        <v>0.98170910353807128</v>
      </c>
    </row>
    <row r="1037" spans="2:33" ht="6" customHeight="1" x14ac:dyDescent="0.2">
      <c r="B1037" s="9">
        <f>G995</f>
        <v>21</v>
      </c>
      <c r="C1037" s="9" t="str">
        <f t="shared" si="5723"/>
        <v xml:space="preserve">21 - </v>
      </c>
      <c r="D1037" s="9" t="s">
        <v>56</v>
      </c>
      <c r="F1037" s="27"/>
      <c r="R1037" s="15"/>
      <c r="AD1037" s="15"/>
      <c r="AE1037" s="15"/>
      <c r="AF1037" s="11"/>
      <c r="AG1037" s="15"/>
    </row>
    <row r="1038" spans="2:33" s="24" customFormat="1" x14ac:dyDescent="0.2">
      <c r="B1038" s="9">
        <f>G995</f>
        <v>21</v>
      </c>
      <c r="C1038" s="9" t="str">
        <f t="shared" si="5723"/>
        <v>21 - Production per Vet Workday - YoY Change</v>
      </c>
      <c r="D1038" s="9" t="s">
        <v>56</v>
      </c>
      <c r="E1038" s="49"/>
      <c r="F1038" s="24" t="s">
        <v>55</v>
      </c>
      <c r="G1038" s="88"/>
      <c r="H1038" s="89"/>
      <c r="I1038" s="89"/>
      <c r="J1038" s="89"/>
      <c r="K1038" s="89"/>
      <c r="L1038" s="89"/>
      <c r="M1038" s="89"/>
      <c r="N1038" s="89"/>
      <c r="O1038" s="89"/>
      <c r="P1038" s="89"/>
      <c r="Q1038" s="89"/>
      <c r="R1038" s="89"/>
      <c r="S1038" s="151">
        <f>S1004/G1004-1</f>
        <v>-1.4673339028767995E-2</v>
      </c>
      <c r="T1038" s="152">
        <f t="shared" ref="T1038" si="6017">T1004/H1004-1</f>
        <v>-0.13165640507594867</v>
      </c>
      <c r="U1038" s="152">
        <f t="shared" ref="U1038" si="6018">U1004/I1004-1</f>
        <v>-0.12184450072562103</v>
      </c>
      <c r="V1038" s="152">
        <f t="shared" ref="V1038" si="6019">V1004/J1004-1</f>
        <v>2.4982445843663381E-2</v>
      </c>
      <c r="W1038" s="152">
        <f t="shared" ref="W1038" si="6020">W1004/K1004-1</f>
        <v>-5.9564317840717251E-2</v>
      </c>
      <c r="X1038" s="152">
        <f t="shared" ref="X1038" si="6021">X1004/L1004-1</f>
        <v>-3.9762375987187903E-3</v>
      </c>
      <c r="Y1038" s="152">
        <f t="shared" ref="Y1038" si="6022">Y1004/M1004-1</f>
        <v>5.8361355242988244E-2</v>
      </c>
      <c r="Z1038" s="152">
        <f t="shared" ref="Z1038" si="6023">Z1004/N1004-1</f>
        <v>-6.7715026919721311E-2</v>
      </c>
      <c r="AA1038" s="152">
        <f t="shared" ref="AA1038" si="6024">AA1004/O1004-1</f>
        <v>-9.5122301380511365E-2</v>
      </c>
      <c r="AB1038" s="152">
        <f t="shared" ref="AB1038" si="6025">AB1004/P1004-1</f>
        <v>-9.6218332797635142E-3</v>
      </c>
      <c r="AC1038" s="152">
        <f t="shared" ref="AC1038" si="6026">AC1004/Q1004-1</f>
        <v>2.1548463773876092E-2</v>
      </c>
      <c r="AD1038" s="153">
        <f t="shared" ref="AD1038" si="6027">AD1004/R1004-1</f>
        <v>-2.8389855989306989E-3</v>
      </c>
      <c r="AF1038" s="43"/>
      <c r="AG1038" s="104">
        <f>AG1004/AF1004-1</f>
        <v>-3.5556412389051717E-2</v>
      </c>
    </row>
    <row r="1039" spans="2:33" s="24" customFormat="1" ht="6" customHeight="1" x14ac:dyDescent="0.2">
      <c r="D1039" s="9" t="s">
        <v>56</v>
      </c>
      <c r="E1039" s="49"/>
      <c r="G1039" s="28"/>
      <c r="H1039" s="30"/>
      <c r="I1039" s="30"/>
      <c r="J1039" s="30"/>
      <c r="K1039" s="30"/>
      <c r="L1039" s="30"/>
      <c r="M1039" s="30"/>
      <c r="N1039" s="30"/>
      <c r="O1039" s="30"/>
      <c r="P1039" s="30"/>
      <c r="Q1039" s="30"/>
      <c r="R1039" s="29"/>
      <c r="S1039" s="30"/>
      <c r="T1039" s="30"/>
      <c r="U1039" s="30"/>
      <c r="V1039" s="30"/>
      <c r="W1039" s="30"/>
      <c r="X1039" s="30"/>
      <c r="Y1039" s="30"/>
      <c r="Z1039" s="30"/>
      <c r="AA1039" s="30"/>
      <c r="AB1039" s="30"/>
      <c r="AC1039" s="30"/>
      <c r="AD1039" s="29"/>
      <c r="AE1039" s="25"/>
      <c r="AF1039" s="28"/>
      <c r="AG1039" s="29"/>
    </row>
    <row r="1040" spans="2:33" s="24" customFormat="1" ht="6" customHeight="1" x14ac:dyDescent="0.2">
      <c r="D1040" s="9" t="s">
        <v>56</v>
      </c>
      <c r="E1040" s="49"/>
    </row>
    <row r="1041" spans="2:34" x14ac:dyDescent="0.2">
      <c r="D1041" s="9" t="s">
        <v>56</v>
      </c>
      <c r="F1041" s="16"/>
    </row>
    <row r="1042" spans="2:34" ht="15.75" thickBot="1" x14ac:dyDescent="0.4">
      <c r="B1042" s="35" t="s">
        <v>52</v>
      </c>
      <c r="C1042" s="35"/>
      <c r="D1042" s="9" t="s">
        <v>56</v>
      </c>
      <c r="E1042" s="48" t="s">
        <v>0</v>
      </c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74">
        <f ca="1">AG$2</f>
        <v>45999</v>
      </c>
      <c r="AH1042" s="1"/>
    </row>
    <row r="1043" spans="2:34" x14ac:dyDescent="0.2">
      <c r="B1043" s="9">
        <f>G1044</f>
        <v>22</v>
      </c>
      <c r="C1043" s="9"/>
      <c r="D1043" s="9" t="s">
        <v>56</v>
      </c>
      <c r="F1043" t="s">
        <v>159</v>
      </c>
      <c r="AG1043" s="6" t="s">
        <v>16</v>
      </c>
    </row>
    <row r="1044" spans="2:34" x14ac:dyDescent="0.2">
      <c r="B1044" s="9">
        <f>G1044</f>
        <v>22</v>
      </c>
      <c r="C1044" s="9"/>
      <c r="D1044" s="9" t="s">
        <v>56</v>
      </c>
      <c r="F1044" s="40" t="s">
        <v>53</v>
      </c>
      <c r="G1044" s="42">
        <v>22</v>
      </c>
    </row>
    <row r="1045" spans="2:34" x14ac:dyDescent="0.2">
      <c r="B1045" s="9">
        <f>G1044</f>
        <v>22</v>
      </c>
      <c r="C1045" s="9"/>
      <c r="D1045" s="9" t="s">
        <v>56</v>
      </c>
      <c r="F1045" s="39" t="s">
        <v>39</v>
      </c>
      <c r="G1045" s="41"/>
      <c r="H1045" s="11"/>
    </row>
    <row r="1046" spans="2:34" x14ac:dyDescent="0.2">
      <c r="B1046" s="9">
        <f>G1044</f>
        <v>22</v>
      </c>
      <c r="C1046" s="9"/>
      <c r="D1046" s="9" t="s">
        <v>56</v>
      </c>
      <c r="G1046" s="23"/>
    </row>
    <row r="1047" spans="2:34" x14ac:dyDescent="0.2">
      <c r="B1047" s="9">
        <f>G1044</f>
        <v>22</v>
      </c>
      <c r="C1047" s="9"/>
      <c r="D1047" s="9" t="s">
        <v>56</v>
      </c>
      <c r="G1047" s="20">
        <v>2023</v>
      </c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2"/>
      <c r="S1047" s="20">
        <v>2024</v>
      </c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2"/>
      <c r="AF1047" s="17" t="s">
        <v>14</v>
      </c>
      <c r="AG1047" s="18"/>
    </row>
    <row r="1048" spans="2:34" ht="15" customHeight="1" x14ac:dyDescent="0.35">
      <c r="B1048" s="9">
        <f>G1044</f>
        <v>22</v>
      </c>
      <c r="C1048" s="9"/>
      <c r="D1048" s="9" t="s">
        <v>56</v>
      </c>
      <c r="G1048" s="165">
        <v>44957</v>
      </c>
      <c r="H1048" s="166">
        <v>44985</v>
      </c>
      <c r="I1048" s="166">
        <v>45016</v>
      </c>
      <c r="J1048" s="166">
        <v>45046</v>
      </c>
      <c r="K1048" s="166">
        <v>45077</v>
      </c>
      <c r="L1048" s="166">
        <v>45107</v>
      </c>
      <c r="M1048" s="166">
        <v>45138</v>
      </c>
      <c r="N1048" s="166">
        <v>45169</v>
      </c>
      <c r="O1048" s="166">
        <v>45199</v>
      </c>
      <c r="P1048" s="166">
        <v>45230</v>
      </c>
      <c r="Q1048" s="166">
        <v>45260</v>
      </c>
      <c r="R1048" s="167">
        <v>45291</v>
      </c>
      <c r="S1048" s="165">
        <v>45322</v>
      </c>
      <c r="T1048" s="166">
        <v>45351</v>
      </c>
      <c r="U1048" s="166">
        <v>45382</v>
      </c>
      <c r="V1048" s="166">
        <v>45412</v>
      </c>
      <c r="W1048" s="166">
        <v>45443</v>
      </c>
      <c r="X1048" s="166">
        <v>45473</v>
      </c>
      <c r="Y1048" s="166">
        <v>45504</v>
      </c>
      <c r="Z1048" s="166">
        <v>45535</v>
      </c>
      <c r="AA1048" s="166">
        <v>45565</v>
      </c>
      <c r="AB1048" s="166">
        <v>45596</v>
      </c>
      <c r="AC1048" s="166">
        <v>45626</v>
      </c>
      <c r="AD1048" s="167">
        <v>45657</v>
      </c>
      <c r="AE1048" s="168"/>
      <c r="AF1048" s="13">
        <v>45291</v>
      </c>
      <c r="AG1048" s="14">
        <v>45657</v>
      </c>
    </row>
    <row r="1049" spans="2:34" ht="0.95" customHeight="1" x14ac:dyDescent="0.2">
      <c r="B1049" s="9">
        <f>G1044</f>
        <v>22</v>
      </c>
      <c r="C1049" s="9"/>
      <c r="D1049" s="9" t="s">
        <v>56</v>
      </c>
      <c r="G1049" s="11"/>
      <c r="S1049" s="11"/>
      <c r="AD1049" s="15"/>
      <c r="AE1049" s="15"/>
      <c r="AF1049" s="11"/>
      <c r="AG1049" s="15"/>
    </row>
    <row r="1050" spans="2:34" x14ac:dyDescent="0.2">
      <c r="B1050" s="9">
        <f>G1044</f>
        <v>22</v>
      </c>
      <c r="C1050" s="9" t="str">
        <f>B1050&amp;" - "&amp;F1050</f>
        <v>22 - Employed Vets</v>
      </c>
      <c r="D1050" s="9" t="s">
        <v>56</v>
      </c>
      <c r="F1050" s="7" t="s">
        <v>160</v>
      </c>
      <c r="G1050" s="121">
        <v>4</v>
      </c>
      <c r="H1050" s="154">
        <f>MAX(MIN(IF(H1053/G1053&gt;1.1,G1050-1,IF(H1053/G1053&lt;0.9,G1050+1,G1050)),5),1)</f>
        <v>4</v>
      </c>
      <c r="I1050" s="154">
        <f t="shared" ref="I1050:AD1050" si="6028">MAX(MIN(IF(I1053/H1053&gt;1.1,H1050-1,IF(I1053/H1053&lt;0.9,H1050+1,H1050)),5),1)</f>
        <v>3</v>
      </c>
      <c r="J1050" s="154">
        <f t="shared" si="6028"/>
        <v>3</v>
      </c>
      <c r="K1050" s="154">
        <f t="shared" si="6028"/>
        <v>3</v>
      </c>
      <c r="L1050" s="154">
        <f t="shared" si="6028"/>
        <v>3</v>
      </c>
      <c r="M1050" s="154">
        <f t="shared" si="6028"/>
        <v>3</v>
      </c>
      <c r="N1050" s="154">
        <f t="shared" si="6028"/>
        <v>4</v>
      </c>
      <c r="O1050" s="154">
        <f t="shared" si="6028"/>
        <v>4</v>
      </c>
      <c r="P1050" s="154">
        <f t="shared" si="6028"/>
        <v>4</v>
      </c>
      <c r="Q1050" s="154">
        <f t="shared" si="6028"/>
        <v>5</v>
      </c>
      <c r="R1050" s="154">
        <f t="shared" si="6028"/>
        <v>5</v>
      </c>
      <c r="S1050" s="155">
        <f t="shared" si="6028"/>
        <v>4</v>
      </c>
      <c r="T1050" s="154">
        <f t="shared" si="6028"/>
        <v>4</v>
      </c>
      <c r="U1050" s="154">
        <f t="shared" si="6028"/>
        <v>4</v>
      </c>
      <c r="V1050" s="154">
        <f t="shared" si="6028"/>
        <v>4</v>
      </c>
      <c r="W1050" s="154">
        <f t="shared" si="6028"/>
        <v>4</v>
      </c>
      <c r="X1050" s="154">
        <f t="shared" si="6028"/>
        <v>4</v>
      </c>
      <c r="Y1050" s="154">
        <f t="shared" si="6028"/>
        <v>4</v>
      </c>
      <c r="Z1050" s="154">
        <f t="shared" si="6028"/>
        <v>5</v>
      </c>
      <c r="AA1050" s="154">
        <f t="shared" si="6028"/>
        <v>5</v>
      </c>
      <c r="AB1050" s="154">
        <f t="shared" si="6028"/>
        <v>4</v>
      </c>
      <c r="AC1050" s="154">
        <f t="shared" si="6028"/>
        <v>5</v>
      </c>
      <c r="AD1050" s="156">
        <f t="shared" si="6028"/>
        <v>5</v>
      </c>
      <c r="AE1050" s="15"/>
      <c r="AF1050" s="90">
        <f>AVERAGE(G1050:R1050)</f>
        <v>3.75</v>
      </c>
      <c r="AG1050" s="91">
        <f>AVERAGE(S1050:AD1050)</f>
        <v>4.333333333333333</v>
      </c>
    </row>
    <row r="1051" spans="2:34" x14ac:dyDescent="0.2">
      <c r="B1051" s="9">
        <f>G1044</f>
        <v>22</v>
      </c>
      <c r="C1051" s="9" t="str">
        <f t="shared" ref="C1051:C1087" si="6029">B1051&amp;" - "&amp;F1051</f>
        <v>22 - Workdays in Month / Year</v>
      </c>
      <c r="D1051" s="9" t="s">
        <v>56</v>
      </c>
      <c r="F1051" s="7" t="s">
        <v>54</v>
      </c>
      <c r="G1051" s="121">
        <v>22</v>
      </c>
      <c r="H1051" s="124">
        <v>21</v>
      </c>
      <c r="I1051" s="124">
        <v>24</v>
      </c>
      <c r="J1051" s="122">
        <v>21</v>
      </c>
      <c r="K1051" s="122">
        <v>23</v>
      </c>
      <c r="L1051" s="122">
        <v>23</v>
      </c>
      <c r="M1051" s="122">
        <v>22</v>
      </c>
      <c r="N1051" s="122">
        <v>24</v>
      </c>
      <c r="O1051" s="122">
        <v>22</v>
      </c>
      <c r="P1051" s="122">
        <v>22</v>
      </c>
      <c r="Q1051" s="122">
        <v>23</v>
      </c>
      <c r="R1051" s="122">
        <v>22</v>
      </c>
      <c r="S1051" s="121">
        <v>23</v>
      </c>
      <c r="T1051" s="122">
        <v>22</v>
      </c>
      <c r="U1051" s="122">
        <v>22</v>
      </c>
      <c r="V1051" s="122">
        <v>22</v>
      </c>
      <c r="W1051" s="122">
        <v>24</v>
      </c>
      <c r="X1051" s="122">
        <v>21</v>
      </c>
      <c r="Y1051" s="122">
        <v>23</v>
      </c>
      <c r="Z1051" s="122">
        <v>23</v>
      </c>
      <c r="AA1051" s="122">
        <v>21</v>
      </c>
      <c r="AB1051" s="122">
        <v>24</v>
      </c>
      <c r="AC1051" s="122">
        <v>22</v>
      </c>
      <c r="AD1051" s="123">
        <v>22</v>
      </c>
      <c r="AE1051" s="15"/>
      <c r="AF1051" s="144">
        <v>269</v>
      </c>
      <c r="AG1051" s="145">
        <v>269</v>
      </c>
    </row>
    <row r="1052" spans="2:34" x14ac:dyDescent="0.2">
      <c r="B1052" s="9">
        <f>G1044</f>
        <v>22</v>
      </c>
      <c r="C1052" s="9" t="str">
        <f t="shared" si="6029"/>
        <v>22 - Total Vet Days</v>
      </c>
      <c r="D1052" s="9" t="s">
        <v>56</v>
      </c>
      <c r="F1052" s="8" t="s">
        <v>51</v>
      </c>
      <c r="G1052" s="125">
        <f>G1050*G1051</f>
        <v>88</v>
      </c>
      <c r="H1052" s="126">
        <f t="shared" ref="H1052" si="6030">H1050*H1051</f>
        <v>84</v>
      </c>
      <c r="I1052" s="126">
        <f t="shared" ref="I1052" si="6031">I1050*I1051</f>
        <v>72</v>
      </c>
      <c r="J1052" s="127">
        <f t="shared" ref="J1052" si="6032">J1050*J1051</f>
        <v>63</v>
      </c>
      <c r="K1052" s="127">
        <f t="shared" ref="K1052" si="6033">K1050*K1051</f>
        <v>69</v>
      </c>
      <c r="L1052" s="127">
        <f t="shared" ref="L1052" si="6034">L1050*L1051</f>
        <v>69</v>
      </c>
      <c r="M1052" s="127">
        <f t="shared" ref="M1052" si="6035">M1050*M1051</f>
        <v>66</v>
      </c>
      <c r="N1052" s="127">
        <f t="shared" ref="N1052" si="6036">N1050*N1051</f>
        <v>96</v>
      </c>
      <c r="O1052" s="127">
        <f t="shared" ref="O1052" si="6037">O1050*O1051</f>
        <v>88</v>
      </c>
      <c r="P1052" s="127">
        <f t="shared" ref="P1052" si="6038">P1050*P1051</f>
        <v>88</v>
      </c>
      <c r="Q1052" s="127">
        <f t="shared" ref="Q1052" si="6039">Q1050*Q1051</f>
        <v>115</v>
      </c>
      <c r="R1052" s="127">
        <f t="shared" ref="R1052" si="6040">R1050*R1051</f>
        <v>110</v>
      </c>
      <c r="S1052" s="125">
        <f t="shared" ref="S1052" si="6041">S1050*S1051</f>
        <v>92</v>
      </c>
      <c r="T1052" s="127">
        <f t="shared" ref="T1052" si="6042">T1050*T1051</f>
        <v>88</v>
      </c>
      <c r="U1052" s="127">
        <f t="shared" ref="U1052" si="6043">U1050*U1051</f>
        <v>88</v>
      </c>
      <c r="V1052" s="127">
        <f t="shared" ref="V1052" si="6044">V1050*V1051</f>
        <v>88</v>
      </c>
      <c r="W1052" s="127">
        <f t="shared" ref="W1052" si="6045">W1050*W1051</f>
        <v>96</v>
      </c>
      <c r="X1052" s="127">
        <f t="shared" ref="X1052" si="6046">X1050*X1051</f>
        <v>84</v>
      </c>
      <c r="Y1052" s="127">
        <f t="shared" ref="Y1052" si="6047">Y1050*Y1051</f>
        <v>92</v>
      </c>
      <c r="Z1052" s="127">
        <f t="shared" ref="Z1052" si="6048">Z1050*Z1051</f>
        <v>115</v>
      </c>
      <c r="AA1052" s="127">
        <f t="shared" ref="AA1052" si="6049">AA1050*AA1051</f>
        <v>105</v>
      </c>
      <c r="AB1052" s="127">
        <f t="shared" ref="AB1052" si="6050">AB1050*AB1051</f>
        <v>96</v>
      </c>
      <c r="AC1052" s="127">
        <f t="shared" ref="AC1052" si="6051">AC1050*AC1051</f>
        <v>110</v>
      </c>
      <c r="AD1052" s="128">
        <f t="shared" ref="AD1052" si="6052">AD1050*AD1051</f>
        <v>110</v>
      </c>
      <c r="AF1052" s="119">
        <f>SUM(G1052:R1052)</f>
        <v>1008</v>
      </c>
      <c r="AG1052" s="120">
        <f>SUM(S1052:AD1052)</f>
        <v>1164</v>
      </c>
    </row>
    <row r="1053" spans="2:34" x14ac:dyDescent="0.2">
      <c r="B1053" s="9">
        <f>G1044</f>
        <v>22</v>
      </c>
      <c r="C1053" s="9" t="str">
        <f t="shared" si="6029"/>
        <v>22 - Production per Vet Workday</v>
      </c>
      <c r="D1053" s="9" t="s">
        <v>56</v>
      </c>
      <c r="F1053" s="7" t="s">
        <v>50</v>
      </c>
      <c r="G1053" s="129">
        <v>5.2202260049104261</v>
      </c>
      <c r="H1053" s="130">
        <v>5.4748640956445476</v>
      </c>
      <c r="I1053" s="130">
        <v>6.0758484841587244</v>
      </c>
      <c r="J1053" s="130">
        <v>6.524458781760897</v>
      </c>
      <c r="K1053" s="130">
        <v>7.1406467652202128</v>
      </c>
      <c r="L1053" s="130">
        <v>6.8953981464937879</v>
      </c>
      <c r="M1053" s="130">
        <v>6.5114914165695996</v>
      </c>
      <c r="N1053" s="130">
        <v>5.3934408324965268</v>
      </c>
      <c r="O1053" s="130">
        <v>5.5539086483309283</v>
      </c>
      <c r="P1053" s="130">
        <v>5.7727554284153166</v>
      </c>
      <c r="Q1053" s="130">
        <v>5.1362030716315568</v>
      </c>
      <c r="R1053" s="130">
        <v>4.2772603109494698</v>
      </c>
      <c r="S1053" s="129">
        <v>5.4942604898342031</v>
      </c>
      <c r="T1053" s="130">
        <v>5.7792089098156607</v>
      </c>
      <c r="U1053" s="130">
        <v>6.1540816953577862</v>
      </c>
      <c r="V1053" s="130">
        <v>6.2613142329173979</v>
      </c>
      <c r="W1053" s="130">
        <v>6.6810210597695932</v>
      </c>
      <c r="X1053" s="130">
        <v>6.3772139788836206</v>
      </c>
      <c r="Y1053" s="130">
        <v>6.5809644232992399</v>
      </c>
      <c r="Z1053" s="130">
        <v>5.2785726375590052</v>
      </c>
      <c r="AA1053" s="130">
        <v>5.421693254188229</v>
      </c>
      <c r="AB1053" s="130">
        <v>6.0174646057632613</v>
      </c>
      <c r="AC1053" s="130">
        <v>5.4038160732518179</v>
      </c>
      <c r="AD1053" s="131">
        <v>4.3050336282272035</v>
      </c>
      <c r="AE1053" s="15"/>
      <c r="AF1053" s="132">
        <v>5.834923968193511</v>
      </c>
      <c r="AG1053" s="133">
        <v>5.8199035368169545</v>
      </c>
    </row>
    <row r="1054" spans="2:34" x14ac:dyDescent="0.2">
      <c r="B1054" s="9">
        <f>G1044</f>
        <v>22</v>
      </c>
      <c r="C1054" s="9" t="str">
        <f t="shared" si="6029"/>
        <v>22 - Total Production</v>
      </c>
      <c r="D1054" s="9" t="s">
        <v>56</v>
      </c>
      <c r="F1054" s="8" t="s">
        <v>1</v>
      </c>
      <c r="G1054" s="134">
        <f>G1053*G1052</f>
        <v>459.37988843211747</v>
      </c>
      <c r="H1054" s="135">
        <f t="shared" ref="H1054" si="6053">H1053*H1052</f>
        <v>459.88858403414201</v>
      </c>
      <c r="I1054" s="135">
        <f t="shared" ref="I1054" si="6054">I1053*I1052</f>
        <v>437.46109085942817</v>
      </c>
      <c r="J1054" s="135">
        <f t="shared" ref="J1054" si="6055">J1053*J1052</f>
        <v>411.04090325093654</v>
      </c>
      <c r="K1054" s="135">
        <f t="shared" ref="K1054" si="6056">K1053*K1052</f>
        <v>492.70462680019466</v>
      </c>
      <c r="L1054" s="135">
        <f t="shared" ref="L1054" si="6057">L1053*L1052</f>
        <v>475.78247210807137</v>
      </c>
      <c r="M1054" s="135">
        <f t="shared" ref="M1054" si="6058">M1053*M1052</f>
        <v>429.7584334935936</v>
      </c>
      <c r="N1054" s="135">
        <f t="shared" ref="N1054" si="6059">N1053*N1052</f>
        <v>517.77031991966658</v>
      </c>
      <c r="O1054" s="135">
        <f t="shared" ref="O1054" si="6060">O1053*O1052</f>
        <v>488.74396105312167</v>
      </c>
      <c r="P1054" s="135">
        <f t="shared" ref="P1054" si="6061">P1053*P1052</f>
        <v>508.00247770054784</v>
      </c>
      <c r="Q1054" s="135">
        <f t="shared" ref="Q1054" si="6062">Q1053*Q1052</f>
        <v>590.66335323762905</v>
      </c>
      <c r="R1054" s="135">
        <f t="shared" ref="R1054" si="6063">R1053*R1052</f>
        <v>470.49863420444166</v>
      </c>
      <c r="S1054" s="134">
        <f t="shared" ref="S1054" si="6064">S1053*S1052</f>
        <v>505.47196506474671</v>
      </c>
      <c r="T1054" s="135">
        <f t="shared" ref="T1054" si="6065">T1053*T1052</f>
        <v>508.57038406377814</v>
      </c>
      <c r="U1054" s="135">
        <f t="shared" ref="U1054" si="6066">U1053*U1052</f>
        <v>541.55918919148519</v>
      </c>
      <c r="V1054" s="135">
        <f t="shared" ref="V1054" si="6067">V1053*V1052</f>
        <v>550.99565249673105</v>
      </c>
      <c r="W1054" s="135">
        <f t="shared" ref="W1054" si="6068">W1053*W1052</f>
        <v>641.378021737881</v>
      </c>
      <c r="X1054" s="135">
        <f t="shared" ref="X1054" si="6069">X1053*X1052</f>
        <v>535.68597422622418</v>
      </c>
      <c r="Y1054" s="135">
        <f t="shared" ref="Y1054" si="6070">Y1053*Y1052</f>
        <v>605.44872694353012</v>
      </c>
      <c r="Z1054" s="135">
        <f t="shared" ref="Z1054" si="6071">Z1053*Z1052</f>
        <v>607.03585331928559</v>
      </c>
      <c r="AA1054" s="135">
        <f t="shared" ref="AA1054" si="6072">AA1053*AA1052</f>
        <v>569.27779168976406</v>
      </c>
      <c r="AB1054" s="135">
        <f t="shared" ref="AB1054" si="6073">AB1053*AB1052</f>
        <v>577.67660215327305</v>
      </c>
      <c r="AC1054" s="135">
        <f t="shared" ref="AC1054" si="6074">AC1053*AC1052</f>
        <v>594.41976805769991</v>
      </c>
      <c r="AD1054" s="136">
        <f t="shared" ref="AD1054" si="6075">AD1053*AD1052</f>
        <v>473.5536991049924</v>
      </c>
      <c r="AE1054" s="15"/>
      <c r="AF1054" s="94">
        <f>SUM(G1054:R1054)</f>
        <v>5741.6947450938897</v>
      </c>
      <c r="AG1054" s="95">
        <f>SUM(S1054:AD1054)</f>
        <v>6711.0736280493911</v>
      </c>
    </row>
    <row r="1055" spans="2:34" x14ac:dyDescent="0.2">
      <c r="B1055" s="9">
        <f>G1044</f>
        <v>22</v>
      </c>
      <c r="C1055" s="9" t="str">
        <f t="shared" si="6029"/>
        <v>22 - Revenue as a % of Production</v>
      </c>
      <c r="D1055" s="9" t="s">
        <v>56</v>
      </c>
      <c r="F1055" s="7" t="s">
        <v>2</v>
      </c>
      <c r="G1055" s="137">
        <v>0.98976343684679879</v>
      </c>
      <c r="H1055" s="138">
        <v>0.98976343684679879</v>
      </c>
      <c r="I1055" s="138">
        <v>0.98976343684679879</v>
      </c>
      <c r="J1055" s="138">
        <v>0.98976343684679879</v>
      </c>
      <c r="K1055" s="138">
        <v>0.98976343684679879</v>
      </c>
      <c r="L1055" s="138">
        <v>0.98976343684679879</v>
      </c>
      <c r="M1055" s="138">
        <v>0.98976343684679879</v>
      </c>
      <c r="N1055" s="138">
        <v>0.98976343684679879</v>
      </c>
      <c r="O1055" s="138">
        <v>0.98976343684679879</v>
      </c>
      <c r="P1055" s="138">
        <v>0.98976343684679879</v>
      </c>
      <c r="Q1055" s="138">
        <v>0.98976343684679879</v>
      </c>
      <c r="R1055" s="138">
        <v>0.98976343684679879</v>
      </c>
      <c r="S1055" s="137">
        <v>0.97786682828043414</v>
      </c>
      <c r="T1055" s="138">
        <v>0.97786682828043414</v>
      </c>
      <c r="U1055" s="138">
        <v>0.97786682828043414</v>
      </c>
      <c r="V1055" s="138">
        <v>0.97786682828043414</v>
      </c>
      <c r="W1055" s="138">
        <v>0.97786682828043414</v>
      </c>
      <c r="X1055" s="138">
        <v>0.97786682828043414</v>
      </c>
      <c r="Y1055" s="138">
        <v>0.97786682828043414</v>
      </c>
      <c r="Z1055" s="138">
        <v>0.97786682828043414</v>
      </c>
      <c r="AA1055" s="138">
        <v>0.97786682828043414</v>
      </c>
      <c r="AB1055" s="138">
        <v>0.97786682828043414</v>
      </c>
      <c r="AC1055" s="138">
        <v>0.97786682828043414</v>
      </c>
      <c r="AD1055" s="139">
        <v>0.97786682828043414</v>
      </c>
      <c r="AE1055" s="15"/>
      <c r="AF1055" s="161">
        <v>0.98976343684679902</v>
      </c>
      <c r="AG1055" s="162">
        <v>0.97786682828043414</v>
      </c>
    </row>
    <row r="1056" spans="2:34" x14ac:dyDescent="0.2">
      <c r="B1056" s="9">
        <f>G1044</f>
        <v>22</v>
      </c>
      <c r="C1056" s="9" t="str">
        <f t="shared" si="6029"/>
        <v>22 - Total Revenue</v>
      </c>
      <c r="D1056" s="9" t="s">
        <v>56</v>
      </c>
      <c r="F1056" s="8" t="s">
        <v>3</v>
      </c>
      <c r="G1056" s="134">
        <f>G1055*G1054</f>
        <v>454.67741719287159</v>
      </c>
      <c r="H1056" s="135">
        <f t="shared" ref="H1056" si="6076">H1055*H1054</f>
        <v>455.18090550024021</v>
      </c>
      <c r="I1056" s="135">
        <f t="shared" ref="I1056" si="6077">I1055*I1054</f>
        <v>432.98299277577735</v>
      </c>
      <c r="J1056" s="135">
        <f t="shared" ref="J1056" si="6078">J1055*J1054</f>
        <v>406.83325708625944</v>
      </c>
      <c r="K1056" s="135">
        <f t="shared" ref="K1056" si="6079">K1055*K1054</f>
        <v>487.66102477208005</v>
      </c>
      <c r="L1056" s="135">
        <f t="shared" ref="L1056" si="6080">L1055*L1054</f>
        <v>470.91209478515088</v>
      </c>
      <c r="M1056" s="135">
        <f t="shared" ref="M1056" si="6081">M1055*M1054</f>
        <v>425.35918414851562</v>
      </c>
      <c r="N1056" s="135">
        <f t="shared" ref="N1056" si="6082">N1055*N1054</f>
        <v>512.47013134095573</v>
      </c>
      <c r="O1056" s="135">
        <f t="shared" ref="O1056" si="6083">O1055*O1054</f>
        <v>483.7409026300557</v>
      </c>
      <c r="P1056" s="135">
        <f t="shared" ref="P1056" si="6084">P1055*P1054</f>
        <v>502.80227825558347</v>
      </c>
      <c r="Q1056" s="135">
        <f t="shared" ref="Q1056" si="6085">Q1055*Q1054</f>
        <v>584.61699051993048</v>
      </c>
      <c r="R1056" s="135">
        <f t="shared" ref="R1056" si="6086">R1055*R1054</f>
        <v>465.68234522191295</v>
      </c>
      <c r="S1056" s="134">
        <f t="shared" ref="S1056" si="6087">S1055*S1054</f>
        <v>494.2842672625423</v>
      </c>
      <c r="T1056" s="135">
        <f t="shared" ref="T1056" si="6088">T1055*T1054</f>
        <v>497.31410842180895</v>
      </c>
      <c r="U1056" s="135">
        <f t="shared" ref="U1056" si="6089">U1055*U1054</f>
        <v>529.57276666080122</v>
      </c>
      <c r="V1056" s="135">
        <f t="shared" ref="V1056" si="6090">V1055*V1054</f>
        <v>538.80037110328669</v>
      </c>
      <c r="W1056" s="135">
        <f t="shared" ref="W1056" si="6091">W1055*W1054</f>
        <v>627.18229184560107</v>
      </c>
      <c r="X1056" s="135">
        <f t="shared" ref="X1056" si="6092">X1055*X1054</f>
        <v>523.82954457091228</v>
      </c>
      <c r="Y1056" s="135">
        <f t="shared" ref="Y1056" si="6093">Y1055*Y1054</f>
        <v>592.04822630269643</v>
      </c>
      <c r="Z1056" s="135">
        <f t="shared" ref="Z1056" si="6094">Z1055*Z1054</f>
        <v>593.60022453783665</v>
      </c>
      <c r="AA1056" s="135">
        <f t="shared" ref="AA1056" si="6095">AA1055*AA1054</f>
        <v>556.67786857015926</v>
      </c>
      <c r="AB1056" s="135">
        <f t="shared" ref="AB1056" si="6096">AB1055*AB1054</f>
        <v>564.89078671943935</v>
      </c>
      <c r="AC1056" s="135">
        <f t="shared" ref="AC1056" si="6097">AC1055*AC1054</f>
        <v>581.26337325777433</v>
      </c>
      <c r="AD1056" s="136">
        <f t="shared" ref="AD1056" si="6098">AD1055*AD1054</f>
        <v>463.07245376426596</v>
      </c>
      <c r="AE1056" s="15"/>
      <c r="AF1056" s="94">
        <f>SUM(G1056:R1056)</f>
        <v>5682.9195242293345</v>
      </c>
      <c r="AG1056" s="95">
        <f>SUM(S1056:AD1056)</f>
        <v>6562.5362830171243</v>
      </c>
    </row>
    <row r="1057" spans="2:33" x14ac:dyDescent="0.2">
      <c r="B1057" s="9">
        <f>G1044</f>
        <v>22</v>
      </c>
      <c r="C1057" s="9" t="str">
        <f t="shared" si="6029"/>
        <v>22 - % YoY Revenue Growth</v>
      </c>
      <c r="D1057" s="9" t="s">
        <v>56</v>
      </c>
      <c r="F1057" s="16" t="s">
        <v>174</v>
      </c>
      <c r="G1057" s="82"/>
      <c r="H1057" s="83"/>
      <c r="I1057" s="83"/>
      <c r="J1057" s="83"/>
      <c r="K1057" s="83"/>
      <c r="L1057" s="83"/>
      <c r="M1057" s="83"/>
      <c r="N1057" s="83"/>
      <c r="O1057" s="83"/>
      <c r="P1057" s="83"/>
      <c r="Q1057" s="83"/>
      <c r="R1057" s="83"/>
      <c r="S1057" s="148">
        <f>S1056/G1056-1</f>
        <v>8.7109780631285938E-2</v>
      </c>
      <c r="T1057" s="149">
        <f t="shared" ref="T1057" si="6099">T1056/H1056-1</f>
        <v>9.2563643185481714E-2</v>
      </c>
      <c r="U1057" s="149">
        <f t="shared" ref="U1057" si="6100">U1056/I1056-1</f>
        <v>0.22307983338053061</v>
      </c>
      <c r="V1057" s="149">
        <f t="shared" ref="V1057" si="6101">V1056/J1056-1</f>
        <v>0.32437641642715254</v>
      </c>
      <c r="W1057" s="149">
        <f t="shared" ref="W1057" si="6102">W1056/K1056-1</f>
        <v>0.28610296904233756</v>
      </c>
      <c r="X1057" s="149">
        <f t="shared" ref="X1057" si="6103">X1056/L1056-1</f>
        <v>0.11237224605561358</v>
      </c>
      <c r="Y1057" s="149">
        <f t="shared" ref="Y1057" si="6104">Y1056/M1056-1</f>
        <v>0.39187831923238958</v>
      </c>
      <c r="Z1057" s="149">
        <f t="shared" ref="Z1057" si="6105">Z1056/N1056-1</f>
        <v>0.15831184733555448</v>
      </c>
      <c r="AA1057" s="149">
        <f t="shared" ref="AA1057" si="6106">AA1056/O1056-1</f>
        <v>0.15077692529937381</v>
      </c>
      <c r="AB1057" s="149">
        <f t="shared" ref="AB1057" si="6107">AB1056/P1056-1</f>
        <v>0.12348493861098842</v>
      </c>
      <c r="AC1057" s="149">
        <f t="shared" ref="AC1057" si="6108">AC1056/Q1056-1</f>
        <v>-5.7364348223503114E-3</v>
      </c>
      <c r="AD1057" s="150">
        <f t="shared" ref="AD1057" si="6109">AD1056/R1056-1</f>
        <v>-5.6044457867590047E-3</v>
      </c>
      <c r="AE1057" s="15"/>
      <c r="AF1057" s="11"/>
      <c r="AG1057" s="97">
        <f>AG1056/AF1056-1</f>
        <v>0.15478254707593719</v>
      </c>
    </row>
    <row r="1058" spans="2:33" ht="6" customHeight="1" x14ac:dyDescent="0.2">
      <c r="B1058" s="9">
        <f>G1044</f>
        <v>22</v>
      </c>
      <c r="C1058" s="9" t="str">
        <f t="shared" si="6029"/>
        <v xml:space="preserve">22 - </v>
      </c>
      <c r="D1058" s="9" t="s">
        <v>56</v>
      </c>
      <c r="G1058" s="11"/>
      <c r="S1058" s="11"/>
      <c r="AD1058" s="15"/>
      <c r="AE1058" s="15"/>
      <c r="AF1058" s="11"/>
      <c r="AG1058" s="15"/>
    </row>
    <row r="1059" spans="2:33" x14ac:dyDescent="0.2">
      <c r="B1059" s="9">
        <f>G1044</f>
        <v>22</v>
      </c>
      <c r="C1059" s="9" t="str">
        <f t="shared" si="6029"/>
        <v>22 - Doctor Compensation</v>
      </c>
      <c r="D1059" s="9" t="s">
        <v>56</v>
      </c>
      <c r="F1059" t="s">
        <v>4</v>
      </c>
      <c r="G1059" s="144">
        <v>-144.93727268138829</v>
      </c>
      <c r="H1059" s="70">
        <v>-147.02102998358211</v>
      </c>
      <c r="I1059" s="70">
        <v>-131.87888403343061</v>
      </c>
      <c r="J1059" s="70">
        <v>-121.45469994659031</v>
      </c>
      <c r="K1059" s="70">
        <v>-149.31015972247701</v>
      </c>
      <c r="L1059" s="70">
        <v>-147.98648277551504</v>
      </c>
      <c r="M1059" s="70">
        <v>-131.39311495690924</v>
      </c>
      <c r="N1059" s="70">
        <v>-173.15226676911118</v>
      </c>
      <c r="O1059" s="70">
        <v>-164.22850894061105</v>
      </c>
      <c r="P1059" s="70">
        <v>-167.33438455909993</v>
      </c>
      <c r="Q1059" s="70">
        <v>-153.25755257238296</v>
      </c>
      <c r="R1059" s="70">
        <v>-120.92644103621953</v>
      </c>
      <c r="S1059" s="144">
        <v>-160.98120372320045</v>
      </c>
      <c r="T1059" s="70">
        <v>-162.97433564145746</v>
      </c>
      <c r="U1059" s="70">
        <v>-178.59478531212008</v>
      </c>
      <c r="V1059" s="70">
        <v>-183.46462696415944</v>
      </c>
      <c r="W1059" s="70">
        <v>-210.90066377683326</v>
      </c>
      <c r="X1059" s="70">
        <v>-171.25470734875552</v>
      </c>
      <c r="Y1059" s="70">
        <v>-189.52909145361158</v>
      </c>
      <c r="Z1059" s="70">
        <v>-151.93338739180481</v>
      </c>
      <c r="AA1059" s="70">
        <v>-141.32499758986512</v>
      </c>
      <c r="AB1059" s="70">
        <v>-184.41536826524032</v>
      </c>
      <c r="AC1059" s="70">
        <v>-148.16863674361085</v>
      </c>
      <c r="AD1059" s="145">
        <v>-118.01029945487062</v>
      </c>
      <c r="AE1059" s="15"/>
      <c r="AF1059" s="92">
        <f>SUM(G1059:R1059)</f>
        <v>-1752.8807979773173</v>
      </c>
      <c r="AG1059" s="93">
        <f>SUM(S1059:AD1059)</f>
        <v>-2001.5521036655296</v>
      </c>
    </row>
    <row r="1060" spans="2:33" x14ac:dyDescent="0.2">
      <c r="B1060" s="9">
        <f>G1044</f>
        <v>22</v>
      </c>
      <c r="C1060" s="9" t="str">
        <f t="shared" si="6029"/>
        <v>22 - % of Revenue - Doctor Compensation</v>
      </c>
      <c r="D1060" s="9" t="s">
        <v>56</v>
      </c>
      <c r="F1060" s="16" t="str">
        <f>"% of Revenue - "&amp;F1059</f>
        <v>% of Revenue - Doctor Compensation</v>
      </c>
      <c r="G1060" s="148">
        <f>G1059/G1056</f>
        <v>-0.31876945544429081</v>
      </c>
      <c r="H1060" s="149">
        <f t="shared" ref="H1060" si="6110">H1059/H1056</f>
        <v>-0.32299472189416023</v>
      </c>
      <c r="I1060" s="149">
        <f t="shared" ref="I1060" si="6111">I1059/I1056</f>
        <v>-0.304582134249612</v>
      </c>
      <c r="J1060" s="149">
        <f t="shared" ref="J1060" si="6112">J1059/J1056</f>
        <v>-0.2985368030540303</v>
      </c>
      <c r="K1060" s="149">
        <f t="shared" ref="K1060" si="6113">K1059/K1056</f>
        <v>-0.3061761185287683</v>
      </c>
      <c r="L1060" s="149">
        <f t="shared" ref="L1060" si="6114">L1059/L1056</f>
        <v>-0.3142550051576663</v>
      </c>
      <c r="M1060" s="149">
        <f t="shared" ref="M1060" si="6115">M1059/M1056</f>
        <v>-0.30889920766594492</v>
      </c>
      <c r="N1060" s="149">
        <f t="shared" ref="N1060" si="6116">N1059/N1056</f>
        <v>-0.33787777312217598</v>
      </c>
      <c r="O1060" s="149">
        <f t="shared" ref="O1060" si="6117">O1059/O1056</f>
        <v>-0.33949684231313798</v>
      </c>
      <c r="P1060" s="149">
        <f t="shared" ref="P1060" si="6118">P1059/P1056</f>
        <v>-0.33280355279941837</v>
      </c>
      <c r="Q1060" s="149">
        <f t="shared" ref="Q1060" si="6119">Q1059/Q1056</f>
        <v>-0.26215035665672837</v>
      </c>
      <c r="R1060" s="149">
        <f t="shared" ref="R1060" si="6120">R1059/R1056</f>
        <v>-0.25967581179955213</v>
      </c>
      <c r="S1060" s="148">
        <f t="shared" ref="S1060" si="6121">S1059/S1056</f>
        <v>-0.32568546964836781</v>
      </c>
      <c r="T1060" s="149">
        <f t="shared" ref="T1060" si="6122">T1059/T1056</f>
        <v>-0.32770905325538613</v>
      </c>
      <c r="U1060" s="149">
        <f t="shared" ref="U1060" si="6123">U1059/U1056</f>
        <v>-0.33724314495672048</v>
      </c>
      <c r="V1060" s="149">
        <f t="shared" ref="V1060" si="6124">V1059/V1056</f>
        <v>-0.34050575464245497</v>
      </c>
      <c r="W1060" s="149">
        <f t="shared" ref="W1060" si="6125">W1059/W1056</f>
        <v>-0.33626692991637031</v>
      </c>
      <c r="X1060" s="149">
        <f t="shared" ref="X1060" si="6126">X1059/X1056</f>
        <v>-0.32692830926334338</v>
      </c>
      <c r="Y1060" s="149">
        <f t="shared" ref="Y1060" si="6127">Y1059/Y1056</f>
        <v>-0.32012441391338797</v>
      </c>
      <c r="Z1060" s="149">
        <f t="shared" ref="Z1060" si="6128">Z1059/Z1056</f>
        <v>-0.2559523752035246</v>
      </c>
      <c r="AA1060" s="149">
        <f t="shared" ref="AA1060" si="6129">AA1059/AA1056</f>
        <v>-0.25387213246479845</v>
      </c>
      <c r="AB1060" s="149">
        <f t="shared" ref="AB1060" si="6130">AB1059/AB1056</f>
        <v>-0.32646198628272671</v>
      </c>
      <c r="AC1060" s="149">
        <f t="shared" ref="AC1060" si="6131">AC1059/AC1056</f>
        <v>-0.25490791878589969</v>
      </c>
      <c r="AD1060" s="150">
        <f t="shared" ref="AD1060" si="6132">AD1059/AD1056</f>
        <v>-0.25484197666170305</v>
      </c>
      <c r="AE1060" s="15"/>
      <c r="AF1060" s="96">
        <f t="shared" ref="AF1060" si="6133">AF1059/AF1056</f>
        <v>-0.30844723218476811</v>
      </c>
      <c r="AG1060" s="97">
        <f t="shared" ref="AG1060" si="6134">AG1059/AG1056</f>
        <v>-0.30499672951831919</v>
      </c>
    </row>
    <row r="1061" spans="2:33" ht="3" customHeight="1" x14ac:dyDescent="0.2">
      <c r="B1061" s="9">
        <f>G1044</f>
        <v>22</v>
      </c>
      <c r="C1061" s="9" t="str">
        <f t="shared" si="6029"/>
        <v xml:space="preserve">22 - </v>
      </c>
      <c r="D1061" s="9" t="s">
        <v>56</v>
      </c>
      <c r="F1061" s="16"/>
      <c r="G1061" s="36"/>
      <c r="H1061" s="37"/>
      <c r="I1061" s="37"/>
      <c r="J1061" s="37"/>
      <c r="K1061" s="37"/>
      <c r="L1061" s="37"/>
      <c r="M1061" s="37"/>
      <c r="N1061" s="37"/>
      <c r="O1061" s="37"/>
      <c r="P1061" s="37"/>
      <c r="Q1061" s="37"/>
      <c r="R1061" s="37"/>
      <c r="S1061" s="36"/>
      <c r="T1061" s="37"/>
      <c r="U1061" s="37"/>
      <c r="V1061" s="37"/>
      <c r="W1061" s="37"/>
      <c r="X1061" s="37"/>
      <c r="Y1061" s="37"/>
      <c r="Z1061" s="37"/>
      <c r="AA1061" s="37"/>
      <c r="AB1061" s="37"/>
      <c r="AC1061" s="37"/>
      <c r="AD1061" s="38"/>
      <c r="AE1061" s="15"/>
      <c r="AF1061" s="36"/>
      <c r="AG1061" s="38"/>
    </row>
    <row r="1062" spans="2:33" x14ac:dyDescent="0.2">
      <c r="B1062" s="9">
        <f>G1044</f>
        <v>22</v>
      </c>
      <c r="C1062" s="9" t="str">
        <f t="shared" si="6029"/>
        <v>22 - Administrative Staff Compensation</v>
      </c>
      <c r="D1062" s="9" t="s">
        <v>56</v>
      </c>
      <c r="F1062" t="s">
        <v>5</v>
      </c>
      <c r="G1062" s="144">
        <v>-89.803075350526854</v>
      </c>
      <c r="H1062" s="70">
        <v>-85.964551260079986</v>
      </c>
      <c r="I1062" s="70">
        <v>-113.82196126903689</v>
      </c>
      <c r="J1062" s="70">
        <v>-107.21918728614855</v>
      </c>
      <c r="K1062" s="70">
        <v>-127.43963203193732</v>
      </c>
      <c r="L1062" s="70">
        <v>-118.79049396763988</v>
      </c>
      <c r="M1062" s="70">
        <v>-110.47205674885645</v>
      </c>
      <c r="N1062" s="70">
        <v>-97.04930348726981</v>
      </c>
      <c r="O1062" s="70">
        <v>-96.118177850208298</v>
      </c>
      <c r="P1062" s="70">
        <v>-99.229644494060111</v>
      </c>
      <c r="Q1062" s="70">
        <v>-92.806709362943707</v>
      </c>
      <c r="R1062" s="70">
        <v>-73.749815942446517</v>
      </c>
      <c r="S1062" s="144">
        <v>-115.25783884947469</v>
      </c>
      <c r="T1062" s="70">
        <v>-119.60179088871806</v>
      </c>
      <c r="U1062" s="70">
        <v>-125.02531881983316</v>
      </c>
      <c r="V1062" s="70">
        <v>-122.78301002094511</v>
      </c>
      <c r="W1062" s="70">
        <v>-144.32282525513199</v>
      </c>
      <c r="X1062" s="70">
        <v>-126.28931788979648</v>
      </c>
      <c r="Y1062" s="70">
        <v>-142.24409401212472</v>
      </c>
      <c r="Z1062" s="70">
        <v>-111.03057722284927</v>
      </c>
      <c r="AA1062" s="70">
        <v>-107.87020899294914</v>
      </c>
      <c r="AB1062" s="70">
        <v>-131.66473746597944</v>
      </c>
      <c r="AC1062" s="70">
        <v>-108.18285730721571</v>
      </c>
      <c r="AD1062" s="145">
        <v>-82.658898622056427</v>
      </c>
      <c r="AE1062" s="15"/>
      <c r="AF1062" s="92">
        <f>SUM(G1062:R1062)</f>
        <v>-1212.4646090511544</v>
      </c>
      <c r="AG1062" s="93">
        <f>SUM(S1062:AD1062)</f>
        <v>-1436.9314753470744</v>
      </c>
    </row>
    <row r="1063" spans="2:33" x14ac:dyDescent="0.2">
      <c r="B1063" s="9">
        <f>G1044</f>
        <v>22</v>
      </c>
      <c r="C1063" s="9" t="str">
        <f t="shared" si="6029"/>
        <v>22 - % of Revenue - Administrative Staff Compensation</v>
      </c>
      <c r="D1063" s="9" t="s">
        <v>56</v>
      </c>
      <c r="F1063" s="16" t="str">
        <f>"% of Revenue - "&amp;F1062</f>
        <v>% of Revenue - Administrative Staff Compensation</v>
      </c>
      <c r="G1063" s="148">
        <f>G1062/G1056</f>
        <v>-0.19750942526453408</v>
      </c>
      <c r="H1063" s="149">
        <f t="shared" ref="H1063" si="6135">H1062/H1056</f>
        <v>-0.18885799079292578</v>
      </c>
      <c r="I1063" s="149">
        <f t="shared" ref="I1063" si="6136">I1062/I1056</f>
        <v>-0.26287859608375019</v>
      </c>
      <c r="J1063" s="149">
        <f t="shared" ref="J1063" si="6137">J1062/J1056</f>
        <v>-0.26354577807638585</v>
      </c>
      <c r="K1063" s="149">
        <f t="shared" ref="K1063" si="6138">K1062/K1056</f>
        <v>-0.26132831117988004</v>
      </c>
      <c r="L1063" s="149">
        <f t="shared" ref="L1063" si="6139">L1062/L1056</f>
        <v>-0.25225619660891679</v>
      </c>
      <c r="M1063" s="149">
        <f t="shared" ref="M1063" si="6140">M1062/M1056</f>
        <v>-0.25971475605963346</v>
      </c>
      <c r="N1063" s="149">
        <f t="shared" ref="N1063" si="6141">N1062/N1056</f>
        <v>-0.18937553147405023</v>
      </c>
      <c r="O1063" s="149">
        <f t="shared" ref="O1063" si="6142">O1062/O1056</f>
        <v>-0.19869764439521742</v>
      </c>
      <c r="P1063" s="149">
        <f t="shared" ref="P1063" si="6143">P1062/P1056</f>
        <v>-0.19735321176015017</v>
      </c>
      <c r="Q1063" s="149">
        <f t="shared" ref="Q1063" si="6144">Q1062/Q1056</f>
        <v>-0.15874788257591665</v>
      </c>
      <c r="R1063" s="149">
        <f t="shared" ref="R1063" si="6145">R1062/R1056</f>
        <v>-0.15836936207513366</v>
      </c>
      <c r="S1063" s="148">
        <f t="shared" ref="S1063" si="6146">S1062/S1056</f>
        <v>-0.23318128146744097</v>
      </c>
      <c r="T1063" s="149">
        <f t="shared" ref="T1063" si="6147">T1062/T1056</f>
        <v>-0.24049547129934812</v>
      </c>
      <c r="U1063" s="149">
        <f t="shared" ref="U1063" si="6148">U1062/U1056</f>
        <v>-0.23608713795495007</v>
      </c>
      <c r="V1063" s="149">
        <f t="shared" ref="V1063" si="6149">V1062/V1056</f>
        <v>-0.22788219274891314</v>
      </c>
      <c r="W1063" s="149">
        <f t="shared" ref="W1063" si="6150">W1062/W1056</f>
        <v>-0.23011304230295646</v>
      </c>
      <c r="X1063" s="149">
        <f t="shared" ref="X1063" si="6151">X1062/X1056</f>
        <v>-0.24108857394296962</v>
      </c>
      <c r="Y1063" s="149">
        <f t="shared" ref="Y1063" si="6152">Y1062/Y1056</f>
        <v>-0.24025761364142589</v>
      </c>
      <c r="Z1063" s="149">
        <f t="shared" ref="Z1063" si="6153">Z1062/Z1056</f>
        <v>-0.18704604990554899</v>
      </c>
      <c r="AA1063" s="149">
        <f t="shared" ref="AA1063" si="6154">AA1062/AA1056</f>
        <v>-0.19377491918264403</v>
      </c>
      <c r="AB1063" s="149">
        <f t="shared" ref="AB1063" si="6155">AB1062/AB1056</f>
        <v>-0.23307998742661831</v>
      </c>
      <c r="AC1063" s="149">
        <f t="shared" ref="AC1063" si="6156">AC1062/AC1056</f>
        <v>-0.186116762700683</v>
      </c>
      <c r="AD1063" s="150">
        <f t="shared" ref="AD1063" si="6157">AD1062/AD1056</f>
        <v>-0.17850100551248765</v>
      </c>
      <c r="AE1063" s="15"/>
      <c r="AF1063" s="96">
        <f t="shared" ref="AF1063" si="6158">AF1062/AF1056</f>
        <v>-0.21335241575773992</v>
      </c>
      <c r="AG1063" s="97">
        <f t="shared" ref="AG1063" si="6159">AG1062/AG1056</f>
        <v>-0.21895977612583126</v>
      </c>
    </row>
    <row r="1064" spans="2:33" ht="3" customHeight="1" x14ac:dyDescent="0.2">
      <c r="B1064" s="9">
        <f>G1044</f>
        <v>22</v>
      </c>
      <c r="C1064" s="9" t="str">
        <f t="shared" si="6029"/>
        <v xml:space="preserve">22 - </v>
      </c>
      <c r="D1064" s="9" t="s">
        <v>56</v>
      </c>
      <c r="F1064" s="16"/>
      <c r="G1064" s="36"/>
      <c r="H1064" s="37"/>
      <c r="I1064" s="37"/>
      <c r="J1064" s="37"/>
      <c r="K1064" s="37"/>
      <c r="L1064" s="37"/>
      <c r="M1064" s="37"/>
      <c r="N1064" s="37"/>
      <c r="O1064" s="37"/>
      <c r="P1064" s="37"/>
      <c r="Q1064" s="37"/>
      <c r="R1064" s="37"/>
      <c r="S1064" s="36"/>
      <c r="T1064" s="37"/>
      <c r="U1064" s="37"/>
      <c r="V1064" s="37"/>
      <c r="W1064" s="37"/>
      <c r="X1064" s="37"/>
      <c r="Y1064" s="37"/>
      <c r="Z1064" s="37"/>
      <c r="AA1064" s="37"/>
      <c r="AB1064" s="37"/>
      <c r="AC1064" s="37"/>
      <c r="AD1064" s="38"/>
      <c r="AE1064" s="15"/>
      <c r="AF1064" s="36"/>
      <c r="AG1064" s="38"/>
    </row>
    <row r="1065" spans="2:33" x14ac:dyDescent="0.2">
      <c r="B1065" s="9">
        <f>G1044</f>
        <v>22</v>
      </c>
      <c r="C1065" s="9" t="str">
        <f t="shared" si="6029"/>
        <v>22 - Office Supplies</v>
      </c>
      <c r="D1065" s="9" t="s">
        <v>56</v>
      </c>
      <c r="F1065" t="s">
        <v>6</v>
      </c>
      <c r="G1065" s="144">
        <v>-40.156534296098862</v>
      </c>
      <c r="H1065" s="70">
        <v>-39.070484563304035</v>
      </c>
      <c r="I1065" s="70">
        <v>-48.091792914991046</v>
      </c>
      <c r="J1065" s="70">
        <v>-45.610813965621801</v>
      </c>
      <c r="K1065" s="70">
        <v>-55.195349877025322</v>
      </c>
      <c r="L1065" s="70">
        <v>-53.618195699672007</v>
      </c>
      <c r="M1065" s="70">
        <v>-47.006197760701255</v>
      </c>
      <c r="N1065" s="70">
        <v>-42.741470277176845</v>
      </c>
      <c r="O1065" s="70">
        <v>-40.281619895121544</v>
      </c>
      <c r="P1065" s="70">
        <v>-42.278563375057402</v>
      </c>
      <c r="Q1065" s="70">
        <v>-40.284142834637812</v>
      </c>
      <c r="R1065" s="70">
        <v>-33.600540109847849</v>
      </c>
      <c r="S1065" s="144">
        <v>-44.908824981921128</v>
      </c>
      <c r="T1065" s="70">
        <v>-46.902601164207553</v>
      </c>
      <c r="U1065" s="70">
        <v>-50.003174642196683</v>
      </c>
      <c r="V1065" s="70">
        <v>-49.516560408417419</v>
      </c>
      <c r="W1065" s="70">
        <v>-54.926132421855961</v>
      </c>
      <c r="X1065" s="70">
        <v>-46.259209571445247</v>
      </c>
      <c r="Y1065" s="70">
        <v>-53.079970609338595</v>
      </c>
      <c r="Z1065" s="70">
        <v>-43.998726845038085</v>
      </c>
      <c r="AA1065" s="70">
        <v>-43.395734526265208</v>
      </c>
      <c r="AB1065" s="70">
        <v>-56.607201948160828</v>
      </c>
      <c r="AC1065" s="70">
        <v>-46.732536046768324</v>
      </c>
      <c r="AD1065" s="145">
        <v>-36.263175903849067</v>
      </c>
      <c r="AE1065" s="15"/>
      <c r="AF1065" s="92">
        <f>SUM(G1065:R1065)</f>
        <v>-527.93570556925579</v>
      </c>
      <c r="AG1065" s="93">
        <f>SUM(S1065:AD1065)</f>
        <v>-572.59384906946411</v>
      </c>
    </row>
    <row r="1066" spans="2:33" x14ac:dyDescent="0.2">
      <c r="B1066" s="9">
        <f>G1044</f>
        <v>22</v>
      </c>
      <c r="C1066" s="9" t="str">
        <f t="shared" si="6029"/>
        <v>22 - % of Revenue - Office Supplies</v>
      </c>
      <c r="D1066" s="9" t="s">
        <v>56</v>
      </c>
      <c r="F1066" s="16" t="str">
        <f>"% of Revenue - "&amp;F1065</f>
        <v>% of Revenue - Office Supplies</v>
      </c>
      <c r="G1066" s="148">
        <f>G1065/G1056</f>
        <v>-8.8318734948440794E-2</v>
      </c>
      <c r="H1066" s="149">
        <f t="shared" ref="H1066" si="6160">H1065/H1056</f>
        <v>-8.5835069290452509E-2</v>
      </c>
      <c r="I1066" s="149">
        <f t="shared" ref="I1066" si="6161">I1065/I1056</f>
        <v>-0.11107085894224868</v>
      </c>
      <c r="J1066" s="149">
        <f t="shared" ref="J1066" si="6162">J1065/J1056</f>
        <v>-0.11211181281561526</v>
      </c>
      <c r="K1066" s="149">
        <f t="shared" ref="K1066" si="6163">K1065/K1056</f>
        <v>-0.11318384507521834</v>
      </c>
      <c r="L1066" s="149">
        <f t="shared" ref="L1066" si="6164">L1065/L1056</f>
        <v>-0.1138603070369955</v>
      </c>
      <c r="M1066" s="149">
        <f t="shared" ref="M1066" si="6165">M1065/M1056</f>
        <v>-0.11050942241860441</v>
      </c>
      <c r="N1066" s="149">
        <f t="shared" ref="N1066" si="6166">N1065/N1056</f>
        <v>-8.3402851528804833E-2</v>
      </c>
      <c r="O1066" s="149">
        <f t="shared" ref="O1066" si="6167">O1065/O1056</f>
        <v>-8.3271064481241927E-2</v>
      </c>
      <c r="P1066" s="149">
        <f t="shared" ref="P1066" si="6168">P1065/P1056</f>
        <v>-8.4085862780371987E-2</v>
      </c>
      <c r="Q1066" s="149">
        <f t="shared" ref="Q1066" si="6169">Q1065/Q1056</f>
        <v>-6.8906897144421025E-2</v>
      </c>
      <c r="R1066" s="149">
        <f t="shared" ref="R1066" si="6170">R1065/R1056</f>
        <v>-7.2153347565358281E-2</v>
      </c>
      <c r="S1066" s="148">
        <f t="shared" ref="S1066" si="6171">S1065/S1056</f>
        <v>-9.0856270280736076E-2</v>
      </c>
      <c r="T1066" s="149">
        <f t="shared" ref="T1066" si="6172">T1065/T1056</f>
        <v>-9.4311825001405308E-2</v>
      </c>
      <c r="U1066" s="149">
        <f t="shared" ref="U1066" si="6173">U1065/U1056</f>
        <v>-9.4421725946161453E-2</v>
      </c>
      <c r="V1066" s="149">
        <f t="shared" ref="V1066" si="6174">V1065/V1056</f>
        <v>-9.1901496480085415E-2</v>
      </c>
      <c r="W1066" s="149">
        <f t="shared" ref="W1066" si="6175">W1065/W1056</f>
        <v>-8.7576025560647697E-2</v>
      </c>
      <c r="X1066" s="149">
        <f t="shared" ref="X1066" si="6176">X1065/X1056</f>
        <v>-8.8309661130965486E-2</v>
      </c>
      <c r="Y1066" s="149">
        <f t="shared" ref="Y1066" si="6177">Y1065/Y1056</f>
        <v>-8.9654808934771485E-2</v>
      </c>
      <c r="Z1066" s="149">
        <f t="shared" ref="Z1066" si="6178">Z1065/Z1056</f>
        <v>-7.4121816377839933E-2</v>
      </c>
      <c r="AA1066" s="149">
        <f t="shared" ref="AA1066" si="6179">AA1065/AA1056</f>
        <v>-7.7954840629335984E-2</v>
      </c>
      <c r="AB1066" s="149">
        <f t="shared" ref="AB1066" si="6180">AB1065/AB1056</f>
        <v>-0.10020910816567373</v>
      </c>
      <c r="AC1066" s="149">
        <f t="shared" ref="AC1066" si="6181">AC1065/AC1056</f>
        <v>-8.0398212233551022E-2</v>
      </c>
      <c r="AD1066" s="150">
        <f t="shared" ref="AD1066" si="6182">AD1065/AD1056</f>
        <v>-7.8309939641344736E-2</v>
      </c>
      <c r="AE1066" s="15"/>
      <c r="AF1066" s="96">
        <f t="shared" ref="AF1066" si="6183">AF1065/AF1056</f>
        <v>-9.2898677047665842E-2</v>
      </c>
      <c r="AG1066" s="97">
        <f t="shared" ref="AG1066" si="6184">AG1065/AG1056</f>
        <v>-8.7251913646748516E-2</v>
      </c>
    </row>
    <row r="1067" spans="2:33" ht="6" customHeight="1" x14ac:dyDescent="0.2">
      <c r="B1067" s="9">
        <f>G1044</f>
        <v>22</v>
      </c>
      <c r="C1067" s="9" t="str">
        <f t="shared" si="6029"/>
        <v xml:space="preserve">22 - </v>
      </c>
      <c r="D1067" s="9" t="s">
        <v>56</v>
      </c>
      <c r="F1067" s="16"/>
      <c r="G1067" s="11"/>
      <c r="S1067" s="11"/>
      <c r="AD1067" s="15"/>
      <c r="AE1067" s="15"/>
      <c r="AF1067" s="11"/>
      <c r="AG1067" s="15"/>
    </row>
    <row r="1068" spans="2:33" x14ac:dyDescent="0.2">
      <c r="B1068" s="9">
        <f>G1044</f>
        <v>22</v>
      </c>
      <c r="C1068" s="9" t="str">
        <f t="shared" si="6029"/>
        <v>22 - Office Gross Profit</v>
      </c>
      <c r="D1068" s="9" t="s">
        <v>56</v>
      </c>
      <c r="F1068" s="8" t="s">
        <v>11</v>
      </c>
      <c r="G1068" s="134">
        <f>G1056+G1059+G1062+G1065</f>
        <v>179.7805348648576</v>
      </c>
      <c r="H1068" s="135">
        <f t="shared" ref="H1068:AD1068" si="6185">H1056+H1059+H1062+H1065</f>
        <v>183.12483969327405</v>
      </c>
      <c r="I1068" s="135">
        <f t="shared" si="6185"/>
        <v>139.1903545583188</v>
      </c>
      <c r="J1068" s="135">
        <f t="shared" si="6185"/>
        <v>132.54855588789877</v>
      </c>
      <c r="K1068" s="135">
        <f t="shared" si="6185"/>
        <v>155.71588314064041</v>
      </c>
      <c r="L1068" s="135">
        <f t="shared" si="6185"/>
        <v>150.51692234232399</v>
      </c>
      <c r="M1068" s="135">
        <f t="shared" si="6185"/>
        <v>136.48781468204868</v>
      </c>
      <c r="N1068" s="135">
        <f t="shared" si="6185"/>
        <v>199.52709080739788</v>
      </c>
      <c r="O1068" s="135">
        <f t="shared" si="6185"/>
        <v>183.11259594411482</v>
      </c>
      <c r="P1068" s="135">
        <f t="shared" si="6185"/>
        <v>193.95968582736606</v>
      </c>
      <c r="Q1068" s="135">
        <f t="shared" si="6185"/>
        <v>298.26858574996601</v>
      </c>
      <c r="R1068" s="135">
        <f t="shared" si="6185"/>
        <v>237.40554813339909</v>
      </c>
      <c r="S1068" s="134">
        <f t="shared" si="6185"/>
        <v>173.13639970794603</v>
      </c>
      <c r="T1068" s="135">
        <f t="shared" si="6185"/>
        <v>167.8353807274259</v>
      </c>
      <c r="U1068" s="135">
        <f t="shared" si="6185"/>
        <v>175.94948788665133</v>
      </c>
      <c r="V1068" s="135">
        <f t="shared" si="6185"/>
        <v>183.03617370976474</v>
      </c>
      <c r="W1068" s="135">
        <f t="shared" si="6185"/>
        <v>217.03267039177987</v>
      </c>
      <c r="X1068" s="135">
        <f t="shared" si="6185"/>
        <v>180.02630976091504</v>
      </c>
      <c r="Y1068" s="135">
        <f t="shared" si="6185"/>
        <v>207.1950702276215</v>
      </c>
      <c r="Z1068" s="135">
        <f t="shared" si="6185"/>
        <v>286.63753307814449</v>
      </c>
      <c r="AA1068" s="135">
        <f t="shared" si="6185"/>
        <v>264.08692746107982</v>
      </c>
      <c r="AB1068" s="135">
        <f t="shared" si="6185"/>
        <v>192.20347904005877</v>
      </c>
      <c r="AC1068" s="135">
        <f t="shared" si="6185"/>
        <v>278.17934316017949</v>
      </c>
      <c r="AD1068" s="136">
        <f t="shared" si="6185"/>
        <v>226.14007978348985</v>
      </c>
      <c r="AE1068" s="15"/>
      <c r="AF1068" s="98">
        <f>SUM(G1068:R1068)</f>
        <v>2189.6384116316062</v>
      </c>
      <c r="AG1068" s="95">
        <f>SUM(S1068:AD1068)</f>
        <v>2551.4588549350569</v>
      </c>
    </row>
    <row r="1069" spans="2:33" x14ac:dyDescent="0.2">
      <c r="B1069" s="9">
        <f>G1044</f>
        <v>22</v>
      </c>
      <c r="C1069" s="9" t="str">
        <f t="shared" si="6029"/>
        <v>22 - % of Revenue - Office Gross Profit</v>
      </c>
      <c r="D1069" s="9" t="s">
        <v>56</v>
      </c>
      <c r="F1069" s="16" t="str">
        <f>"% of Revenue - "&amp;F1068</f>
        <v>% of Revenue - Office Gross Profit</v>
      </c>
      <c r="G1069" s="148">
        <f>G1068/G1056</f>
        <v>0.39540238434273439</v>
      </c>
      <c r="H1069" s="149">
        <f t="shared" ref="H1069" si="6186">H1068/H1056</f>
        <v>0.40231221802246142</v>
      </c>
      <c r="I1069" s="149">
        <f t="shared" ref="I1069" si="6187">I1068/I1056</f>
        <v>0.32146841072438914</v>
      </c>
      <c r="J1069" s="149">
        <f t="shared" ref="J1069" si="6188">J1068/J1056</f>
        <v>0.32580560605396858</v>
      </c>
      <c r="K1069" s="149">
        <f t="shared" ref="K1069" si="6189">K1068/K1056</f>
        <v>0.31931172521613332</v>
      </c>
      <c r="L1069" s="149">
        <f t="shared" ref="L1069" si="6190">L1068/L1056</f>
        <v>0.31962849119642145</v>
      </c>
      <c r="M1069" s="149">
        <f t="shared" ref="M1069" si="6191">M1068/M1056</f>
        <v>0.32087661385581717</v>
      </c>
      <c r="N1069" s="149">
        <f t="shared" ref="N1069" si="6192">N1068/N1056</f>
        <v>0.3893438438749689</v>
      </c>
      <c r="O1069" s="149">
        <f t="shared" ref="O1069" si="6193">O1068/O1056</f>
        <v>0.37853444881040271</v>
      </c>
      <c r="P1069" s="149">
        <f t="shared" ref="P1069" si="6194">P1068/P1056</f>
        <v>0.38575737266005955</v>
      </c>
      <c r="Q1069" s="149">
        <f t="shared" ref="Q1069" si="6195">Q1068/Q1056</f>
        <v>0.51019486362293398</v>
      </c>
      <c r="R1069" s="149">
        <f t="shared" ref="R1069" si="6196">R1068/R1056</f>
        <v>0.50980147855995606</v>
      </c>
      <c r="S1069" s="148">
        <f t="shared" ref="S1069" si="6197">S1068/S1056</f>
        <v>0.35027697860345514</v>
      </c>
      <c r="T1069" s="149">
        <f t="shared" ref="T1069" si="6198">T1068/T1056</f>
        <v>0.33748365044386047</v>
      </c>
      <c r="U1069" s="149">
        <f t="shared" ref="U1069" si="6199">U1068/U1056</f>
        <v>0.33224799114216808</v>
      </c>
      <c r="V1069" s="149">
        <f t="shared" ref="V1069" si="6200">V1068/V1056</f>
        <v>0.33971055612854645</v>
      </c>
      <c r="W1069" s="149">
        <f t="shared" ref="W1069" si="6201">W1068/W1056</f>
        <v>0.34604400222002552</v>
      </c>
      <c r="X1069" s="149">
        <f t="shared" ref="X1069" si="6202">X1068/X1056</f>
        <v>0.34367345566272156</v>
      </c>
      <c r="Y1069" s="149">
        <f t="shared" ref="Y1069" si="6203">Y1068/Y1056</f>
        <v>0.34996316351041462</v>
      </c>
      <c r="Z1069" s="149">
        <f t="shared" ref="Z1069" si="6204">Z1068/Z1056</f>
        <v>0.48287975851308651</v>
      </c>
      <c r="AA1069" s="149">
        <f t="shared" ref="AA1069" si="6205">AA1068/AA1056</f>
        <v>0.47439810772322161</v>
      </c>
      <c r="AB1069" s="149">
        <f t="shared" ref="AB1069" si="6206">AB1068/AB1056</f>
        <v>0.34024891812498126</v>
      </c>
      <c r="AC1069" s="149">
        <f t="shared" ref="AC1069" si="6207">AC1068/AC1056</f>
        <v>0.47857710627986633</v>
      </c>
      <c r="AD1069" s="150">
        <f t="shared" ref="AD1069" si="6208">AD1068/AD1056</f>
        <v>0.4883470781844646</v>
      </c>
      <c r="AE1069" s="15"/>
      <c r="AF1069" s="111">
        <f t="shared" ref="AF1069" si="6209">AF1068/AF1056</f>
        <v>0.38530167500982604</v>
      </c>
      <c r="AG1069" s="97">
        <f t="shared" ref="AG1069" si="6210">AG1068/AG1056</f>
        <v>0.38879158070910114</v>
      </c>
    </row>
    <row r="1070" spans="2:33" ht="6" customHeight="1" x14ac:dyDescent="0.2">
      <c r="B1070" s="9">
        <f>G1044</f>
        <v>22</v>
      </c>
      <c r="C1070" s="9" t="str">
        <f t="shared" si="6029"/>
        <v xml:space="preserve">22 - </v>
      </c>
      <c r="D1070" s="9" t="s">
        <v>56</v>
      </c>
      <c r="F1070" s="16"/>
      <c r="G1070" s="11"/>
      <c r="S1070" s="11"/>
      <c r="AD1070" s="15"/>
      <c r="AE1070" s="15"/>
      <c r="AF1070" s="11"/>
      <c r="AG1070" s="15"/>
    </row>
    <row r="1071" spans="2:33" x14ac:dyDescent="0.2">
      <c r="B1071" s="9">
        <f>G1044</f>
        <v>22</v>
      </c>
      <c r="C1071" s="9" t="str">
        <f t="shared" si="6029"/>
        <v>22 - General and Administrative Expense</v>
      </c>
      <c r="D1071" s="9" t="s">
        <v>56</v>
      </c>
      <c r="F1071" t="s">
        <v>10</v>
      </c>
      <c r="G1071" s="144">
        <v>-14.910531650603803</v>
      </c>
      <c r="H1071" s="70">
        <v>-13.881517073693216</v>
      </c>
      <c r="I1071" s="70">
        <v>-20.066926288726002</v>
      </c>
      <c r="J1071" s="70">
        <v>-16.67831132514797</v>
      </c>
      <c r="K1071" s="70">
        <v>-17.121168539919225</v>
      </c>
      <c r="L1071" s="70">
        <v>-18.98012982029665</v>
      </c>
      <c r="M1071" s="70">
        <v>-19.292240254293375</v>
      </c>
      <c r="N1071" s="70">
        <v>-17.76871022501058</v>
      </c>
      <c r="O1071" s="70">
        <v>-15.011793906653319</v>
      </c>
      <c r="P1071" s="70">
        <v>-17.508642015729865</v>
      </c>
      <c r="Q1071" s="70">
        <v>-14.358255483803507</v>
      </c>
      <c r="R1071" s="70">
        <v>-11.587200421858563</v>
      </c>
      <c r="S1071" s="144">
        <v>-16.671345410819143</v>
      </c>
      <c r="T1071" s="70">
        <v>-14.503435785130634</v>
      </c>
      <c r="U1071" s="70">
        <v>-16.18832636863829</v>
      </c>
      <c r="V1071" s="70">
        <v>-14.9797091916524</v>
      </c>
      <c r="W1071" s="70">
        <v>-15.88283962071357</v>
      </c>
      <c r="X1071" s="70">
        <v>-13.124983607278962</v>
      </c>
      <c r="Y1071" s="70">
        <v>-13.75955344563325</v>
      </c>
      <c r="Z1071" s="70">
        <v>-9.3946986162358108</v>
      </c>
      <c r="AA1071" s="70">
        <v>-8.6063226777098318</v>
      </c>
      <c r="AB1071" s="70">
        <v>-10.155504976894509</v>
      </c>
      <c r="AC1071" s="70">
        <v>-9.7045428287431132</v>
      </c>
      <c r="AD1071" s="145">
        <v>-9.4187529959293173</v>
      </c>
      <c r="AE1071" s="15"/>
      <c r="AF1071" s="144">
        <v>-197.16542700573606</v>
      </c>
      <c r="AG1071" s="145">
        <v>-152.39001552537883</v>
      </c>
    </row>
    <row r="1072" spans="2:33" x14ac:dyDescent="0.2">
      <c r="B1072" s="9">
        <f>G1044</f>
        <v>22</v>
      </c>
      <c r="C1072" s="9" t="str">
        <f t="shared" si="6029"/>
        <v>22 - % of Revenue - General and Administrative Expense</v>
      </c>
      <c r="D1072" s="9" t="s">
        <v>56</v>
      </c>
      <c r="F1072" s="16" t="str">
        <f>"% of Revenue - "&amp;F1071</f>
        <v>% of Revenue - General and Administrative Expense</v>
      </c>
      <c r="G1072" s="148">
        <f>G1071/G1056</f>
        <v>-3.2793649050484597E-2</v>
      </c>
      <c r="H1072" s="149">
        <f t="shared" ref="H1072" si="6211">H1071/H1056</f>
        <v>-3.0496703411663408E-2</v>
      </c>
      <c r="I1072" s="149">
        <f t="shared" ref="I1072" si="6212">I1071/I1056</f>
        <v>-4.6345760973382555E-2</v>
      </c>
      <c r="J1072" s="149">
        <f t="shared" ref="J1072" si="6213">J1071/J1056</f>
        <v>-4.0995447237027936E-2</v>
      </c>
      <c r="K1072" s="149">
        <f t="shared" ref="K1072" si="6214">K1071/K1056</f>
        <v>-3.5108749049447226E-2</v>
      </c>
      <c r="L1072" s="149">
        <f t="shared" ref="L1072" si="6215">L1071/L1056</f>
        <v>-4.0305037883888187E-2</v>
      </c>
      <c r="M1072" s="149">
        <f t="shared" ref="M1072" si="6216">M1071/M1056</f>
        <v>-4.5355175045562017E-2</v>
      </c>
      <c r="N1072" s="149">
        <f t="shared" ref="N1072" si="6217">N1071/N1056</f>
        <v>-3.4672674831830799E-2</v>
      </c>
      <c r="O1072" s="149">
        <f t="shared" ref="O1072" si="6218">O1071/O1056</f>
        <v>-3.1032715705939993E-2</v>
      </c>
      <c r="P1072" s="149">
        <f t="shared" ref="P1072" si="6219">P1071/P1056</f>
        <v>-3.4822121483765248E-2</v>
      </c>
      <c r="Q1072" s="149">
        <f t="shared" ref="Q1072" si="6220">Q1071/Q1056</f>
        <v>-2.4560106388686991E-2</v>
      </c>
      <c r="R1072" s="149">
        <f t="shared" ref="R1072" si="6221">R1071/R1056</f>
        <v>-2.4882198221057493E-2</v>
      </c>
      <c r="S1072" s="148">
        <f t="shared" ref="S1072" si="6222">S1071/S1056</f>
        <v>-3.3728254194997573E-2</v>
      </c>
      <c r="T1072" s="149">
        <f t="shared" ref="T1072" si="6223">T1071/T1056</f>
        <v>-2.9163531738836564E-2</v>
      </c>
      <c r="U1072" s="149">
        <f t="shared" ref="U1072" si="6224">U1071/U1056</f>
        <v>-3.0568653427390347E-2</v>
      </c>
      <c r="V1072" s="149">
        <f t="shared" ref="V1072" si="6225">V1071/V1056</f>
        <v>-2.7801965245456053E-2</v>
      </c>
      <c r="W1072" s="149">
        <f t="shared" ref="W1072" si="6226">W1071/W1056</f>
        <v>-2.5324120000224094E-2</v>
      </c>
      <c r="X1072" s="149">
        <f t="shared" ref="X1072" si="6227">X1071/X1056</f>
        <v>-2.5055829216410676E-2</v>
      </c>
      <c r="Y1072" s="149">
        <f t="shared" ref="Y1072" si="6228">Y1071/Y1056</f>
        <v>-2.3240595671674903E-2</v>
      </c>
      <c r="Z1072" s="149">
        <f t="shared" ref="Z1072" si="6229">Z1071/Z1056</f>
        <v>-1.5826642625599248E-2</v>
      </c>
      <c r="AA1072" s="149">
        <f t="shared" ref="AA1072" si="6230">AA1071/AA1056</f>
        <v>-1.546014879272169E-2</v>
      </c>
      <c r="AB1072" s="149">
        <f t="shared" ref="AB1072" si="6231">AB1071/AB1056</f>
        <v>-1.797782016568519E-2</v>
      </c>
      <c r="AC1072" s="149">
        <f t="shared" ref="AC1072" si="6232">AC1071/AC1056</f>
        <v>-1.6695603533992871E-2</v>
      </c>
      <c r="AD1072" s="150">
        <f t="shared" ref="AD1072" si="6233">AD1071/AD1056</f>
        <v>-2.0339696130411755E-2</v>
      </c>
      <c r="AE1072" s="15"/>
      <c r="AF1072" s="96">
        <f t="shared" ref="AF1072" si="6234">AF1071/AF1056</f>
        <v>-3.4694390122033944E-2</v>
      </c>
      <c r="AG1072" s="97">
        <f t="shared" ref="AG1072" si="6235">AG1071/AG1056</f>
        <v>-2.3221207312749143E-2</v>
      </c>
    </row>
    <row r="1073" spans="2:33" ht="3" customHeight="1" x14ac:dyDescent="0.2">
      <c r="B1073" s="9">
        <f>G1044</f>
        <v>22</v>
      </c>
      <c r="C1073" s="9" t="str">
        <f t="shared" si="6029"/>
        <v xml:space="preserve">22 - </v>
      </c>
      <c r="D1073" s="9" t="s">
        <v>56</v>
      </c>
      <c r="F1073" s="16"/>
      <c r="G1073" s="36"/>
      <c r="H1073" s="37"/>
      <c r="I1073" s="37"/>
      <c r="J1073" s="37"/>
      <c r="K1073" s="37"/>
      <c r="L1073" s="37"/>
      <c r="M1073" s="37"/>
      <c r="N1073" s="37"/>
      <c r="O1073" s="37"/>
      <c r="P1073" s="37"/>
      <c r="Q1073" s="37"/>
      <c r="R1073" s="37"/>
      <c r="S1073" s="36"/>
      <c r="T1073" s="37"/>
      <c r="U1073" s="37"/>
      <c r="V1073" s="37"/>
      <c r="W1073" s="37"/>
      <c r="X1073" s="37"/>
      <c r="Y1073" s="37"/>
      <c r="Z1073" s="37"/>
      <c r="AA1073" s="37"/>
      <c r="AB1073" s="37"/>
      <c r="AC1073" s="37"/>
      <c r="AD1073" s="38"/>
      <c r="AE1073" s="15"/>
      <c r="AF1073" s="36"/>
      <c r="AG1073" s="38"/>
    </row>
    <row r="1074" spans="2:33" x14ac:dyDescent="0.2">
      <c r="B1074" s="9">
        <f>G1044</f>
        <v>22</v>
      </c>
      <c r="C1074" s="9" t="str">
        <f t="shared" si="6029"/>
        <v>22 - Marketing</v>
      </c>
      <c r="D1074" s="9" t="s">
        <v>56</v>
      </c>
      <c r="F1074" t="s">
        <v>7</v>
      </c>
      <c r="G1074" s="144">
        <v>-19.52345463567103</v>
      </c>
      <c r="H1074" s="70">
        <v>-21.530818831269684</v>
      </c>
      <c r="I1074" s="70">
        <v>-27.671069409152295</v>
      </c>
      <c r="J1074" s="70">
        <v>-23.686539804959295</v>
      </c>
      <c r="K1074" s="70">
        <v>-26.402288685616071</v>
      </c>
      <c r="L1074" s="70">
        <v>-24.602689146763375</v>
      </c>
      <c r="M1074" s="70">
        <v>-24.458192047335835</v>
      </c>
      <c r="N1074" s="70">
        <v>-24.590729334329865</v>
      </c>
      <c r="O1074" s="70">
        <v>-21.295825015204318</v>
      </c>
      <c r="P1074" s="70">
        <v>-20.532902041144691</v>
      </c>
      <c r="Q1074" s="70">
        <v>-19.391030668703717</v>
      </c>
      <c r="R1074" s="70">
        <v>-14.78669215958668</v>
      </c>
      <c r="S1074" s="144">
        <v>-17.148632510783866</v>
      </c>
      <c r="T1074" s="70">
        <v>-15.488136340867332</v>
      </c>
      <c r="U1074" s="70">
        <v>-19.120416214461777</v>
      </c>
      <c r="V1074" s="70">
        <v>-20.157451403541611</v>
      </c>
      <c r="W1074" s="70">
        <v>-25.555876169862398</v>
      </c>
      <c r="X1074" s="70">
        <v>-23.091089681597328</v>
      </c>
      <c r="Y1074" s="70">
        <v>-26.3541375095242</v>
      </c>
      <c r="Z1074" s="70">
        <v>-23.175848921914383</v>
      </c>
      <c r="AA1074" s="70">
        <v>-20.886692080304002</v>
      </c>
      <c r="AB1074" s="70">
        <v>-27.204759362828469</v>
      </c>
      <c r="AC1074" s="70">
        <v>-20.185944388459877</v>
      </c>
      <c r="AD1074" s="145">
        <v>-14.344255719162515</v>
      </c>
      <c r="AE1074" s="15"/>
      <c r="AF1074" s="144">
        <v>-268.47223177973683</v>
      </c>
      <c r="AG1074" s="145">
        <v>-252.71324030330777</v>
      </c>
    </row>
    <row r="1075" spans="2:33" x14ac:dyDescent="0.2">
      <c r="B1075" s="9">
        <f>G1044</f>
        <v>22</v>
      </c>
      <c r="C1075" s="9" t="str">
        <f t="shared" si="6029"/>
        <v>22 - % of Revenue - Marketing</v>
      </c>
      <c r="D1075" s="9" t="s">
        <v>56</v>
      </c>
      <c r="F1075" s="16" t="str">
        <f>"% of Revenue - "&amp;F1074</f>
        <v>% of Revenue - Marketing</v>
      </c>
      <c r="G1075" s="148">
        <f>G1074/G1056</f>
        <v>-4.2939134202456535E-2</v>
      </c>
      <c r="H1075" s="149">
        <f t="shared" ref="H1075" si="6236">H1074/H1056</f>
        <v>-4.7301674062112699E-2</v>
      </c>
      <c r="I1075" s="149">
        <f t="shared" ref="I1075" si="6237">I1074/I1056</f>
        <v>-6.3907982232184149E-2</v>
      </c>
      <c r="J1075" s="149">
        <f t="shared" ref="J1075" si="6238">J1074/J1056</f>
        <v>-5.8221739231945638E-2</v>
      </c>
      <c r="K1075" s="149">
        <f t="shared" ref="K1075" si="6239">K1074/K1056</f>
        <v>-5.4140657843131518E-2</v>
      </c>
      <c r="L1075" s="149">
        <f t="shared" ref="L1075" si="6240">L1074/L1056</f>
        <v>-5.2244759519264661E-2</v>
      </c>
      <c r="M1075" s="149">
        <f t="shared" ref="M1075" si="6241">M1074/M1056</f>
        <v>-5.7500091590349141E-2</v>
      </c>
      <c r="N1075" s="149">
        <f t="shared" ref="N1075" si="6242">N1074/N1056</f>
        <v>-4.7984707459895262E-2</v>
      </c>
      <c r="O1075" s="149">
        <f t="shared" ref="O1075" si="6243">O1074/O1056</f>
        <v>-4.4023205189846128E-2</v>
      </c>
      <c r="P1075" s="149">
        <f t="shared" ref="P1075" si="6244">P1074/P1056</f>
        <v>-4.0836931193671815E-2</v>
      </c>
      <c r="Q1075" s="149">
        <f t="shared" ref="Q1075" si="6245">Q1074/Q1056</f>
        <v>-3.3168777136391908E-2</v>
      </c>
      <c r="R1075" s="149">
        <f t="shared" ref="R1075" si="6246">R1074/R1056</f>
        <v>-3.1752743713185726E-2</v>
      </c>
      <c r="S1075" s="148">
        <f t="shared" ref="S1075" si="6247">S1074/S1056</f>
        <v>-3.4693866761644793E-2</v>
      </c>
      <c r="T1075" s="149">
        <f t="shared" ref="T1075" si="6248">T1074/T1056</f>
        <v>-3.114356918209667E-2</v>
      </c>
      <c r="U1075" s="149">
        <f t="shared" ref="U1075" si="6249">U1074/U1056</f>
        <v>-3.6105361563482118E-2</v>
      </c>
      <c r="V1075" s="149">
        <f t="shared" ref="V1075" si="6250">V1074/V1056</f>
        <v>-3.7411725166903192E-2</v>
      </c>
      <c r="W1075" s="149">
        <f t="shared" ref="W1075" si="6251">W1074/W1056</f>
        <v>-4.0747126476832526E-2</v>
      </c>
      <c r="X1075" s="149">
        <f t="shared" ref="X1075" si="6252">X1074/X1056</f>
        <v>-4.4081304540605999E-2</v>
      </c>
      <c r="Y1075" s="149">
        <f t="shared" ref="Y1075" si="6253">Y1074/Y1056</f>
        <v>-4.4513497952867985E-2</v>
      </c>
      <c r="Z1075" s="149">
        <f t="shared" ref="Z1075" si="6254">Z1074/Z1056</f>
        <v>-3.904285740450749E-2</v>
      </c>
      <c r="AA1075" s="149">
        <f t="shared" ref="AA1075" si="6255">AA1074/AA1056</f>
        <v>-3.7520248710357362E-2</v>
      </c>
      <c r="AB1075" s="149">
        <f t="shared" ref="AB1075" si="6256">AB1074/AB1056</f>
        <v>-4.8159325665086621E-2</v>
      </c>
      <c r="AC1075" s="149">
        <f t="shared" ref="AC1075" si="6257">AC1074/AC1056</f>
        <v>-3.4727707468173753E-2</v>
      </c>
      <c r="AD1075" s="150">
        <f t="shared" ref="AD1075" si="6258">AD1074/AD1056</f>
        <v>-3.0976266462320549E-2</v>
      </c>
      <c r="AE1075" s="15"/>
      <c r="AF1075" s="96">
        <f t="shared" ref="AF1075" si="6259">AF1074/AF1056</f>
        <v>-4.7241955589041103E-2</v>
      </c>
      <c r="AG1075" s="97">
        <f t="shared" ref="AG1075" si="6260">AG1074/AG1056</f>
        <v>-3.8508471329490757E-2</v>
      </c>
    </row>
    <row r="1076" spans="2:33" ht="3" customHeight="1" x14ac:dyDescent="0.2">
      <c r="B1076" s="9">
        <f>G1044</f>
        <v>22</v>
      </c>
      <c r="C1076" s="9" t="str">
        <f t="shared" si="6029"/>
        <v xml:space="preserve">22 - </v>
      </c>
      <c r="D1076" s="9" t="s">
        <v>56</v>
      </c>
      <c r="F1076" s="16"/>
      <c r="G1076" s="36"/>
      <c r="H1076" s="37"/>
      <c r="I1076" s="37"/>
      <c r="J1076" s="37"/>
      <c r="K1076" s="37"/>
      <c r="L1076" s="37"/>
      <c r="M1076" s="37"/>
      <c r="N1076" s="37"/>
      <c r="O1076" s="37"/>
      <c r="P1076" s="37"/>
      <c r="Q1076" s="37"/>
      <c r="R1076" s="37"/>
      <c r="S1076" s="36"/>
      <c r="T1076" s="37"/>
      <c r="U1076" s="37"/>
      <c r="V1076" s="37"/>
      <c r="W1076" s="37"/>
      <c r="X1076" s="37"/>
      <c r="Y1076" s="37"/>
      <c r="Z1076" s="37"/>
      <c r="AA1076" s="37"/>
      <c r="AB1076" s="37"/>
      <c r="AC1076" s="37"/>
      <c r="AD1076" s="38"/>
      <c r="AE1076" s="15"/>
      <c r="AF1076" s="36"/>
      <c r="AG1076" s="38"/>
    </row>
    <row r="1077" spans="2:33" x14ac:dyDescent="0.2">
      <c r="B1077" s="9">
        <f>G1044</f>
        <v>22</v>
      </c>
      <c r="C1077" s="9" t="str">
        <f t="shared" si="6029"/>
        <v>22 - Office Rent</v>
      </c>
      <c r="D1077" s="9" t="s">
        <v>56</v>
      </c>
      <c r="F1077" t="s">
        <v>162</v>
      </c>
      <c r="G1077" s="144">
        <v>-31.714826603119491</v>
      </c>
      <c r="H1077" s="70">
        <v>-32.666271401213081</v>
      </c>
      <c r="I1077" s="70">
        <v>-32.666271401213081</v>
      </c>
      <c r="J1077" s="70">
        <v>-32.666271401213081</v>
      </c>
      <c r="K1077" s="70">
        <v>-32.666271401213081</v>
      </c>
      <c r="L1077" s="70">
        <v>-32.666271401213081</v>
      </c>
      <c r="M1077" s="70">
        <v>-32.666271401213081</v>
      </c>
      <c r="N1077" s="70">
        <v>-32.666271401213081</v>
      </c>
      <c r="O1077" s="70">
        <v>-32.666271401213081</v>
      </c>
      <c r="P1077" s="70">
        <v>-32.666271401213081</v>
      </c>
      <c r="Q1077" s="70">
        <v>-32.666271401213081</v>
      </c>
      <c r="R1077" s="70">
        <v>-32.666271401213081</v>
      </c>
      <c r="S1077" s="144">
        <v>-32.666684727558632</v>
      </c>
      <c r="T1077" s="70">
        <v>-33.646685269385401</v>
      </c>
      <c r="U1077" s="70">
        <v>-33.646685269385401</v>
      </c>
      <c r="V1077" s="70">
        <v>-33.646685269385401</v>
      </c>
      <c r="W1077" s="70">
        <v>-33.646685269385401</v>
      </c>
      <c r="X1077" s="70">
        <v>-33.646685269385401</v>
      </c>
      <c r="Y1077" s="70">
        <v>-33.646685269385401</v>
      </c>
      <c r="Z1077" s="70">
        <v>-33.646685269385401</v>
      </c>
      <c r="AA1077" s="70">
        <v>-33.646685269385401</v>
      </c>
      <c r="AB1077" s="70">
        <v>-33.646685269385401</v>
      </c>
      <c r="AC1077" s="70">
        <v>-33.646685269385401</v>
      </c>
      <c r="AD1077" s="145">
        <v>-33.646685269385401</v>
      </c>
      <c r="AE1077" s="15"/>
      <c r="AF1077" s="144">
        <v>-391.04381201646328</v>
      </c>
      <c r="AG1077" s="145">
        <v>-402.78022269079793</v>
      </c>
    </row>
    <row r="1078" spans="2:33" x14ac:dyDescent="0.2">
      <c r="B1078" s="9">
        <f>G1044</f>
        <v>22</v>
      </c>
      <c r="C1078" s="9" t="str">
        <f t="shared" si="6029"/>
        <v>22 - % YoY Growth</v>
      </c>
      <c r="D1078" s="9" t="s">
        <v>56</v>
      </c>
      <c r="F1078" s="16" t="s">
        <v>8</v>
      </c>
      <c r="G1078" s="82"/>
      <c r="H1078" s="83"/>
      <c r="I1078" s="83"/>
      <c r="J1078" s="83"/>
      <c r="K1078" s="83"/>
      <c r="L1078" s="83"/>
      <c r="M1078" s="83"/>
      <c r="N1078" s="83"/>
      <c r="O1078" s="83"/>
      <c r="P1078" s="83"/>
      <c r="Q1078" s="83"/>
      <c r="R1078" s="83"/>
      <c r="S1078" s="148">
        <f>S1077/G1077-1</f>
        <v>3.0013032590426203E-2</v>
      </c>
      <c r="T1078" s="149">
        <f t="shared" ref="T1078" si="6261">T1077/H1077-1</f>
        <v>3.0013032590426425E-2</v>
      </c>
      <c r="U1078" s="149">
        <f t="shared" ref="U1078" si="6262">U1077/I1077-1</f>
        <v>3.0013032590426425E-2</v>
      </c>
      <c r="V1078" s="149">
        <f t="shared" ref="V1078" si="6263">V1077/J1077-1</f>
        <v>3.0013032590426425E-2</v>
      </c>
      <c r="W1078" s="149">
        <f t="shared" ref="W1078" si="6264">W1077/K1077-1</f>
        <v>3.0013032590426425E-2</v>
      </c>
      <c r="X1078" s="149">
        <f t="shared" ref="X1078" si="6265">X1077/L1077-1</f>
        <v>3.0013032590426425E-2</v>
      </c>
      <c r="Y1078" s="149">
        <f t="shared" ref="Y1078" si="6266">Y1077/M1077-1</f>
        <v>3.0013032590426425E-2</v>
      </c>
      <c r="Z1078" s="149">
        <f t="shared" ref="Z1078" si="6267">Z1077/N1077-1</f>
        <v>3.0013032590426425E-2</v>
      </c>
      <c r="AA1078" s="149">
        <f t="shared" ref="AA1078" si="6268">AA1077/O1077-1</f>
        <v>3.0013032590426425E-2</v>
      </c>
      <c r="AB1078" s="149">
        <f t="shared" ref="AB1078" si="6269">AB1077/P1077-1</f>
        <v>3.0013032590426425E-2</v>
      </c>
      <c r="AC1078" s="149">
        <f t="shared" ref="AC1078" si="6270">AC1077/Q1077-1</f>
        <v>3.0013032590426425E-2</v>
      </c>
      <c r="AD1078" s="150">
        <f t="shared" ref="AD1078" si="6271">AD1077/R1077-1</f>
        <v>3.0013032590426425E-2</v>
      </c>
      <c r="AE1078" s="15"/>
      <c r="AF1078" s="11"/>
      <c r="AG1078" s="97">
        <f>AG1077/AF1077-1</f>
        <v>3.0013032590426203E-2</v>
      </c>
    </row>
    <row r="1079" spans="2:33" ht="6" customHeight="1" x14ac:dyDescent="0.2">
      <c r="B1079" s="9">
        <f>G1044</f>
        <v>22</v>
      </c>
      <c r="C1079" s="9" t="str">
        <f t="shared" si="6029"/>
        <v xml:space="preserve">22 - </v>
      </c>
      <c r="D1079" s="9" t="s">
        <v>56</v>
      </c>
      <c r="F1079" s="16"/>
      <c r="G1079" s="11"/>
      <c r="S1079" s="11"/>
      <c r="AD1079" s="15"/>
      <c r="AE1079" s="15"/>
      <c r="AF1079" s="11"/>
      <c r="AG1079" s="15"/>
    </row>
    <row r="1080" spans="2:33" x14ac:dyDescent="0.2">
      <c r="B1080" s="9">
        <f>G1044</f>
        <v>22</v>
      </c>
      <c r="C1080" s="9" t="str">
        <f t="shared" si="6029"/>
        <v>22 - Office EBITDA</v>
      </c>
      <c r="D1080" s="9" t="s">
        <v>56</v>
      </c>
      <c r="F1080" s="8" t="s">
        <v>12</v>
      </c>
      <c r="G1080" s="134">
        <f>G1068+G1071+G1074+G1077</f>
        <v>113.63172197546328</v>
      </c>
      <c r="H1080" s="135">
        <f t="shared" ref="H1080:AD1080" si="6272">H1068+H1071+H1074+H1077</f>
        <v>115.04623238709807</v>
      </c>
      <c r="I1080" s="135">
        <f t="shared" si="6272"/>
        <v>58.786087459227431</v>
      </c>
      <c r="J1080" s="135">
        <f t="shared" si="6272"/>
        <v>59.517433356578422</v>
      </c>
      <c r="K1080" s="135">
        <f t="shared" si="6272"/>
        <v>79.526154513892052</v>
      </c>
      <c r="L1080" s="135">
        <f t="shared" si="6272"/>
        <v>74.267831974050907</v>
      </c>
      <c r="M1080" s="135">
        <f t="shared" si="6272"/>
        <v>60.071110979206381</v>
      </c>
      <c r="N1080" s="135">
        <f t="shared" si="6272"/>
        <v>124.50137984684436</v>
      </c>
      <c r="O1080" s="135">
        <f t="shared" si="6272"/>
        <v>114.13870562104411</v>
      </c>
      <c r="P1080" s="135">
        <f t="shared" si="6272"/>
        <v>123.25187036927842</v>
      </c>
      <c r="Q1080" s="135">
        <f t="shared" si="6272"/>
        <v>231.8530281962457</v>
      </c>
      <c r="R1080" s="135">
        <f t="shared" si="6272"/>
        <v>178.36538415074074</v>
      </c>
      <c r="S1080" s="134">
        <f t="shared" si="6272"/>
        <v>106.64973705878437</v>
      </c>
      <c r="T1080" s="135">
        <f t="shared" si="6272"/>
        <v>104.19712333204252</v>
      </c>
      <c r="U1080" s="135">
        <f t="shared" si="6272"/>
        <v>106.99406003416586</v>
      </c>
      <c r="V1080" s="135">
        <f t="shared" si="6272"/>
        <v>114.25232784518532</v>
      </c>
      <c r="W1080" s="135">
        <f t="shared" si="6272"/>
        <v>141.94726933181852</v>
      </c>
      <c r="X1080" s="135">
        <f t="shared" si="6272"/>
        <v>110.16355120265335</v>
      </c>
      <c r="Y1080" s="135">
        <f t="shared" si="6272"/>
        <v>133.43469400307862</v>
      </c>
      <c r="Z1080" s="135">
        <f t="shared" si="6272"/>
        <v>220.42030027060889</v>
      </c>
      <c r="AA1080" s="135">
        <f t="shared" si="6272"/>
        <v>200.94722743368061</v>
      </c>
      <c r="AB1080" s="135">
        <f t="shared" si="6272"/>
        <v>121.19652943095038</v>
      </c>
      <c r="AC1080" s="135">
        <f t="shared" si="6272"/>
        <v>214.64217067359107</v>
      </c>
      <c r="AD1080" s="136">
        <f t="shared" si="6272"/>
        <v>168.73038579901265</v>
      </c>
      <c r="AE1080" s="15"/>
      <c r="AF1080" s="94">
        <f>SUM(G1080:R1080)</f>
        <v>1332.9569408296697</v>
      </c>
      <c r="AG1080" s="95">
        <f>SUM(S1080:AD1080)</f>
        <v>1743.5753764155725</v>
      </c>
    </row>
    <row r="1081" spans="2:33" x14ac:dyDescent="0.2">
      <c r="B1081" s="9">
        <f>G1044</f>
        <v>22</v>
      </c>
      <c r="C1081" s="9" t="str">
        <f t="shared" si="6029"/>
        <v>22 - % of Revenue - Office EBITDA</v>
      </c>
      <c r="D1081" s="9" t="s">
        <v>56</v>
      </c>
      <c r="F1081" s="16" t="str">
        <f>"% of Revenue - "&amp;F1080</f>
        <v>% of Revenue - Office EBITDA</v>
      </c>
      <c r="G1081" s="148">
        <f>G1080/G1056</f>
        <v>0.2499172329186988</v>
      </c>
      <c r="H1081" s="149">
        <f t="shared" ref="H1081" si="6273">H1080/H1056</f>
        <v>0.25274837102550068</v>
      </c>
      <c r="I1081" s="149">
        <f t="shared" ref="I1081" si="6274">I1080/I1056</f>
        <v>0.13576996889037193</v>
      </c>
      <c r="J1081" s="149">
        <f t="shared" ref="J1081" si="6275">J1080/J1056</f>
        <v>0.14629441502113763</v>
      </c>
      <c r="K1081" s="149">
        <f t="shared" ref="K1081" si="6276">K1080/K1056</f>
        <v>0.16307670794700169</v>
      </c>
      <c r="L1081" s="149">
        <f t="shared" ref="L1081" si="6277">L1080/L1056</f>
        <v>0.15771060628191105</v>
      </c>
      <c r="M1081" s="149">
        <f t="shared" ref="M1081" si="6278">M1080/M1056</f>
        <v>0.14122443623606432</v>
      </c>
      <c r="N1081" s="149">
        <f t="shared" ref="N1081" si="6279">N1080/N1056</f>
        <v>0.24294368048547071</v>
      </c>
      <c r="O1081" s="149">
        <f t="shared" ref="O1081" si="6280">O1080/O1056</f>
        <v>0.23595008195602699</v>
      </c>
      <c r="P1081" s="149">
        <f t="shared" ref="P1081" si="6281">P1080/P1056</f>
        <v>0.24512989638170907</v>
      </c>
      <c r="Q1081" s="149">
        <f t="shared" ref="Q1081" si="6282">Q1080/Q1056</f>
        <v>0.39658961671648763</v>
      </c>
      <c r="R1081" s="149">
        <f t="shared" ref="R1081" si="6283">R1080/R1056</f>
        <v>0.38301942510992931</v>
      </c>
      <c r="S1081" s="148">
        <f t="shared" ref="S1081" si="6284">S1080/S1056</f>
        <v>0.21576599564747356</v>
      </c>
      <c r="T1081" s="149">
        <f t="shared" ref="T1081" si="6285">T1080/T1056</f>
        <v>0.20951974128122908</v>
      </c>
      <c r="U1081" s="149">
        <f t="shared" ref="U1081" si="6286">U1080/U1056</f>
        <v>0.20203844829259707</v>
      </c>
      <c r="V1081" s="149">
        <f t="shared" ref="V1081" si="6287">V1080/V1056</f>
        <v>0.21204946019475446</v>
      </c>
      <c r="W1081" s="149">
        <f t="shared" ref="W1081" si="6288">W1080/W1056</f>
        <v>0.22632537808762451</v>
      </c>
      <c r="X1081" s="149">
        <f t="shared" ref="X1081" si="6289">X1080/X1056</f>
        <v>0.21030419598209624</v>
      </c>
      <c r="Y1081" s="149">
        <f t="shared" ref="Y1081" si="6290">Y1080/Y1056</f>
        <v>0.22537808251934105</v>
      </c>
      <c r="Z1081" s="149">
        <f t="shared" ref="Z1081" si="6291">Z1080/Z1056</f>
        <v>0.37132785864800338</v>
      </c>
      <c r="AA1081" s="149">
        <f t="shared" ref="AA1081" si="6292">AA1080/AA1056</f>
        <v>0.36097577931348068</v>
      </c>
      <c r="AB1081" s="149">
        <f t="shared" ref="AB1081" si="6293">AB1080/AB1056</f>
        <v>0.21454860351819524</v>
      </c>
      <c r="AC1081" s="149">
        <f t="shared" ref="AC1081" si="6294">AC1080/AC1056</f>
        <v>0.36926835673577385</v>
      </c>
      <c r="AD1081" s="150">
        <f t="shared" ref="AD1081" si="6295">AD1080/AD1056</f>
        <v>0.36437145942804755</v>
      </c>
      <c r="AE1081" s="15"/>
      <c r="AF1081" s="96">
        <f t="shared" ref="AF1081" si="6296">AF1080/AF1056</f>
        <v>0.23455495632949916</v>
      </c>
      <c r="AG1081" s="97">
        <f t="shared" ref="AG1081" si="6297">AG1080/AG1056</f>
        <v>0.26568620746946392</v>
      </c>
    </row>
    <row r="1082" spans="2:33" ht="6" customHeight="1" x14ac:dyDescent="0.2">
      <c r="B1082" s="9">
        <f>G1044</f>
        <v>22</v>
      </c>
      <c r="C1082" s="9" t="str">
        <f t="shared" si="6029"/>
        <v xml:space="preserve">22 - </v>
      </c>
      <c r="D1082" s="9" t="s">
        <v>56</v>
      </c>
      <c r="G1082" s="11"/>
      <c r="S1082" s="11"/>
      <c r="AD1082" s="15"/>
      <c r="AE1082" s="15"/>
      <c r="AF1082" s="11"/>
      <c r="AG1082" s="15"/>
    </row>
    <row r="1083" spans="2:33" x14ac:dyDescent="0.2">
      <c r="B1083" s="9">
        <f>G1044</f>
        <v>22</v>
      </c>
      <c r="C1083" s="9" t="str">
        <f t="shared" si="6029"/>
        <v>22 - Memo:</v>
      </c>
      <c r="D1083" s="9" t="s">
        <v>56</v>
      </c>
      <c r="F1083" s="6" t="s">
        <v>13</v>
      </c>
      <c r="G1083" s="11"/>
      <c r="S1083" s="11"/>
      <c r="AD1083" s="15"/>
      <c r="AE1083" s="15"/>
      <c r="AF1083" s="11"/>
      <c r="AG1083" s="15"/>
    </row>
    <row r="1084" spans="2:33" s="24" customFormat="1" x14ac:dyDescent="0.2">
      <c r="B1084" s="9">
        <f>G1044</f>
        <v>22</v>
      </c>
      <c r="C1084" s="9" t="str">
        <f t="shared" si="6029"/>
        <v>22 - Collections</v>
      </c>
      <c r="D1084" s="9" t="s">
        <v>56</v>
      </c>
      <c r="E1084" s="49"/>
      <c r="F1084" s="24" t="s">
        <v>15</v>
      </c>
      <c r="G1084" s="169">
        <f>G1085*G1054</f>
        <v>447.28182598787356</v>
      </c>
      <c r="H1084" s="170">
        <f t="shared" ref="H1084" si="6298">H1085*H1054</f>
        <v>444.91457754251371</v>
      </c>
      <c r="I1084" s="170">
        <f t="shared" ref="I1084" si="6299">I1085*I1054</f>
        <v>430.26451867369934</v>
      </c>
      <c r="J1084" s="170">
        <f t="shared" ref="J1084" si="6300">J1085*J1054</f>
        <v>398.06457432724795</v>
      </c>
      <c r="K1084" s="170">
        <f t="shared" ref="K1084" si="6301">K1085*K1054</f>
        <v>486.97314723347375</v>
      </c>
      <c r="L1084" s="170">
        <f t="shared" ref="L1084" si="6302">L1085*L1054</f>
        <v>473.89250440566667</v>
      </c>
      <c r="M1084" s="170">
        <f t="shared" ref="M1084" si="6303">M1085*M1054</f>
        <v>428.81474175640699</v>
      </c>
      <c r="N1084" s="170">
        <f t="shared" ref="N1084" si="6304">N1085*N1054</f>
        <v>516.72644388902233</v>
      </c>
      <c r="O1084" s="170">
        <f t="shared" ref="O1084" si="6305">O1085*O1054</f>
        <v>482.46386942737143</v>
      </c>
      <c r="P1084" s="170">
        <f t="shared" ref="P1084" si="6306">P1085*P1054</f>
        <v>503.00708346202856</v>
      </c>
      <c r="Q1084" s="170">
        <f t="shared" ref="Q1084" si="6307">Q1085*Q1054</f>
        <v>586.88568571175585</v>
      </c>
      <c r="R1084" s="170">
        <f t="shared" ref="R1084" si="6308">R1085*R1054</f>
        <v>457.59852007325208</v>
      </c>
      <c r="S1084" s="169">
        <f t="shared" ref="S1084" si="6309">S1085*S1054</f>
        <v>489.61692351445294</v>
      </c>
      <c r="T1084" s="170">
        <f t="shared" ref="T1084" si="6310">T1085*T1054</f>
        <v>498.73812443386572</v>
      </c>
      <c r="U1084" s="170">
        <f t="shared" ref="U1084" si="6311">U1085*U1054</f>
        <v>532.57859216101019</v>
      </c>
      <c r="V1084" s="170">
        <f t="shared" ref="V1084" si="6312">V1085*V1054</f>
        <v>537.88314203370066</v>
      </c>
      <c r="W1084" s="170">
        <f t="shared" ref="W1084" si="6313">W1085*W1054</f>
        <v>634.92218244415324</v>
      </c>
      <c r="X1084" s="170">
        <f t="shared" ref="X1084" si="6314">X1085*X1054</f>
        <v>524.31907463029233</v>
      </c>
      <c r="Y1084" s="170">
        <f t="shared" ref="Y1084" si="6315">Y1085*Y1054</f>
        <v>591.12014216089915</v>
      </c>
      <c r="Z1084" s="170">
        <f t="shared" ref="Z1084" si="6316">Z1085*Z1054</f>
        <v>604.72945720531618</v>
      </c>
      <c r="AA1084" s="170">
        <f t="shared" ref="AA1084" si="6317">AA1085*AA1054</f>
        <v>553.17501164036719</v>
      </c>
      <c r="AB1084" s="170">
        <f t="shared" ref="AB1084" si="6318">AB1085*AB1054</f>
        <v>570.93285100581818</v>
      </c>
      <c r="AC1084" s="170">
        <f t="shared" ref="AC1084" si="6319">AC1085*AC1054</f>
        <v>582.21948804650845</v>
      </c>
      <c r="AD1084" s="171">
        <f t="shared" ref="AD1084" si="6320">AD1085*AD1054</f>
        <v>465.77304713340106</v>
      </c>
      <c r="AE1084" s="26"/>
      <c r="AF1084" s="68">
        <f>SUM(G1084:R1084)</f>
        <v>5656.8874924903121</v>
      </c>
      <c r="AG1084" s="99">
        <f>SUM(S1084:AD1084)</f>
        <v>6586.0080364097857</v>
      </c>
    </row>
    <row r="1085" spans="2:33" x14ac:dyDescent="0.2">
      <c r="B1085" s="9">
        <f>G1044</f>
        <v>22</v>
      </c>
      <c r="C1085" s="9" t="str">
        <f t="shared" si="6029"/>
        <v>22 - Collections as a % of Production</v>
      </c>
      <c r="D1085" s="9" t="s">
        <v>56</v>
      </c>
      <c r="F1085" s="16" t="s">
        <v>17</v>
      </c>
      <c r="G1085" s="140">
        <v>0.97366436200432038</v>
      </c>
      <c r="H1085" s="141">
        <v>0.96743992564399761</v>
      </c>
      <c r="I1085" s="141">
        <v>0.98354922909465947</v>
      </c>
      <c r="J1085" s="141">
        <v>0.96843056537425265</v>
      </c>
      <c r="K1085" s="141">
        <v>0.98836731125513633</v>
      </c>
      <c r="L1085" s="141">
        <v>0.99602766429366185</v>
      </c>
      <c r="M1085" s="141">
        <v>0.99780413445405791</v>
      </c>
      <c r="N1085" s="141">
        <v>0.99798390137386361</v>
      </c>
      <c r="O1085" s="141">
        <v>0.98715054890454668</v>
      </c>
      <c r="P1085" s="141">
        <v>0.99016659473565816</v>
      </c>
      <c r="Q1085" s="141">
        <v>0.99360436447399936</v>
      </c>
      <c r="R1085" s="141">
        <v>0.97258203702758417</v>
      </c>
      <c r="S1085" s="140">
        <v>0.96863319304313367</v>
      </c>
      <c r="T1085" s="141">
        <v>0.98066686551555193</v>
      </c>
      <c r="U1085" s="141">
        <v>0.98341714588227647</v>
      </c>
      <c r="V1085" s="141">
        <v>0.97620215258756848</v>
      </c>
      <c r="W1085" s="141">
        <v>0.98993442388899611</v>
      </c>
      <c r="X1085" s="141">
        <v>0.97878066601920866</v>
      </c>
      <c r="Y1085" s="141">
        <v>0.97633394184348921</v>
      </c>
      <c r="Z1085" s="141">
        <v>0.99620056031063409</v>
      </c>
      <c r="AA1085" s="141">
        <v>0.97171366899523759</v>
      </c>
      <c r="AB1085" s="141">
        <v>0.98832607877432155</v>
      </c>
      <c r="AC1085" s="141">
        <v>0.97947531245292108</v>
      </c>
      <c r="AD1085" s="142">
        <v>0.98356965221410664</v>
      </c>
      <c r="AE1085" s="15"/>
      <c r="AF1085" s="96">
        <f t="shared" ref="AF1085" si="6321">AF1084/AF1054</f>
        <v>0.98522957830942803</v>
      </c>
      <c r="AG1085" s="97">
        <f t="shared" ref="AG1085" si="6322">AG1084/AG1054</f>
        <v>0.98136429451215001</v>
      </c>
    </row>
    <row r="1086" spans="2:33" ht="6" customHeight="1" x14ac:dyDescent="0.2">
      <c r="B1086" s="9">
        <f>G1044</f>
        <v>22</v>
      </c>
      <c r="C1086" s="9" t="str">
        <f t="shared" si="6029"/>
        <v xml:space="preserve">22 - </v>
      </c>
      <c r="D1086" s="9" t="s">
        <v>56</v>
      </c>
      <c r="F1086" s="27"/>
      <c r="R1086" s="15"/>
      <c r="AD1086" s="15"/>
      <c r="AE1086" s="15"/>
      <c r="AF1086" s="11"/>
      <c r="AG1086" s="15"/>
    </row>
    <row r="1087" spans="2:33" s="24" customFormat="1" x14ac:dyDescent="0.2">
      <c r="B1087" s="9">
        <f>G1044</f>
        <v>22</v>
      </c>
      <c r="C1087" s="9" t="str">
        <f t="shared" si="6029"/>
        <v>22 - Production per Vet Workday - YoY Change</v>
      </c>
      <c r="D1087" s="9" t="s">
        <v>56</v>
      </c>
      <c r="E1087" s="49"/>
      <c r="F1087" s="24" t="s">
        <v>55</v>
      </c>
      <c r="G1087" s="88"/>
      <c r="H1087" s="89"/>
      <c r="I1087" s="89"/>
      <c r="J1087" s="89"/>
      <c r="K1087" s="89"/>
      <c r="L1087" s="89"/>
      <c r="M1087" s="89"/>
      <c r="N1087" s="89"/>
      <c r="O1087" s="89"/>
      <c r="P1087" s="89"/>
      <c r="Q1087" s="89"/>
      <c r="R1087" s="89"/>
      <c r="S1087" s="151">
        <f>S1053/G1053-1</f>
        <v>5.249475495237288E-2</v>
      </c>
      <c r="T1087" s="152">
        <f t="shared" ref="T1087" si="6323">T1053/H1053-1</f>
        <v>5.5589473794103839E-2</v>
      </c>
      <c r="U1087" s="152">
        <f t="shared" ref="U1087" si="6324">U1053/I1053-1</f>
        <v>1.2876096466696962E-2</v>
      </c>
      <c r="V1087" s="152">
        <f t="shared" ref="V1087" si="6325">V1053/J1053-1</f>
        <v>-4.0332011841214932E-2</v>
      </c>
      <c r="W1087" s="152">
        <f t="shared" ref="W1087" si="6326">W1053/K1053-1</f>
        <v>-6.4367517476051073E-2</v>
      </c>
      <c r="X1087" s="152">
        <f t="shared" ref="X1087" si="6327">X1053/L1053-1</f>
        <v>-7.5149274429302748E-2</v>
      </c>
      <c r="Y1087" s="152">
        <f t="shared" ref="Y1087" si="6328">Y1053/M1053-1</f>
        <v>1.0669292529950081E-2</v>
      </c>
      <c r="Z1087" s="152">
        <f t="shared" ref="Z1087" si="6329">Z1053/N1053-1</f>
        <v>-2.1297757499334824E-2</v>
      </c>
      <c r="AA1087" s="152">
        <f t="shared" ref="AA1087" si="6330">AA1053/O1053-1</f>
        <v>-2.3805828023914843E-2</v>
      </c>
      <c r="AB1087" s="152">
        <f t="shared" ref="AB1087" si="6331">AB1053/P1053-1</f>
        <v>4.2390359401579536E-2</v>
      </c>
      <c r="AC1087" s="152">
        <f t="shared" ref="AC1087" si="6332">AC1053/Q1053-1</f>
        <v>5.2103275101864632E-2</v>
      </c>
      <c r="AD1087" s="153">
        <f t="shared" ref="AD1087" si="6333">AD1053/R1053-1</f>
        <v>6.4932492433618094E-3</v>
      </c>
      <c r="AF1087" s="43"/>
      <c r="AG1087" s="104">
        <f>AG1053/AF1053-1</f>
        <v>-2.5742291516450688E-3</v>
      </c>
    </row>
    <row r="1088" spans="2:33" s="24" customFormat="1" ht="6" customHeight="1" x14ac:dyDescent="0.2">
      <c r="D1088" s="9" t="s">
        <v>56</v>
      </c>
      <c r="E1088" s="49"/>
      <c r="G1088" s="28"/>
      <c r="H1088" s="30"/>
      <c r="I1088" s="30"/>
      <c r="J1088" s="30"/>
      <c r="K1088" s="30"/>
      <c r="L1088" s="30"/>
      <c r="M1088" s="30"/>
      <c r="N1088" s="30"/>
      <c r="O1088" s="30"/>
      <c r="P1088" s="30"/>
      <c r="Q1088" s="30"/>
      <c r="R1088" s="29"/>
      <c r="S1088" s="30"/>
      <c r="T1088" s="30"/>
      <c r="U1088" s="30"/>
      <c r="V1088" s="30"/>
      <c r="W1088" s="30"/>
      <c r="X1088" s="30"/>
      <c r="Y1088" s="30"/>
      <c r="Z1088" s="30"/>
      <c r="AA1088" s="30"/>
      <c r="AB1088" s="30"/>
      <c r="AC1088" s="30"/>
      <c r="AD1088" s="29"/>
      <c r="AE1088" s="25"/>
      <c r="AF1088" s="28"/>
      <c r="AG1088" s="29"/>
    </row>
    <row r="1089" spans="2:34" s="24" customFormat="1" ht="6" customHeight="1" x14ac:dyDescent="0.2">
      <c r="D1089" s="9" t="s">
        <v>56</v>
      </c>
      <c r="E1089" s="49"/>
    </row>
    <row r="1090" spans="2:34" x14ac:dyDescent="0.2">
      <c r="D1090" s="9" t="s">
        <v>56</v>
      </c>
      <c r="F1090" s="16"/>
    </row>
    <row r="1091" spans="2:34" ht="15.75" thickBot="1" x14ac:dyDescent="0.4">
      <c r="B1091" s="35" t="s">
        <v>52</v>
      </c>
      <c r="C1091" s="35"/>
      <c r="D1091" s="9" t="s">
        <v>56</v>
      </c>
      <c r="E1091" s="48" t="s">
        <v>0</v>
      </c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74">
        <f ca="1">AG$2</f>
        <v>45999</v>
      </c>
      <c r="AH1091" s="1"/>
    </row>
    <row r="1092" spans="2:34" x14ac:dyDescent="0.2">
      <c r="B1092" s="9">
        <f>G1093</f>
        <v>23</v>
      </c>
      <c r="C1092" s="9"/>
      <c r="D1092" s="9" t="s">
        <v>56</v>
      </c>
      <c r="F1092" t="s">
        <v>159</v>
      </c>
      <c r="AG1092" s="6" t="s">
        <v>16</v>
      </c>
    </row>
    <row r="1093" spans="2:34" x14ac:dyDescent="0.2">
      <c r="B1093" s="9">
        <f>G1093</f>
        <v>23</v>
      </c>
      <c r="C1093" s="9"/>
      <c r="D1093" s="9" t="s">
        <v>56</v>
      </c>
      <c r="F1093" s="40" t="s">
        <v>53</v>
      </c>
      <c r="G1093" s="42">
        <v>23</v>
      </c>
    </row>
    <row r="1094" spans="2:34" x14ac:dyDescent="0.2">
      <c r="B1094" s="9">
        <f>G1093</f>
        <v>23</v>
      </c>
      <c r="C1094" s="9"/>
      <c r="D1094" s="9" t="s">
        <v>56</v>
      </c>
      <c r="F1094" s="39" t="s">
        <v>40</v>
      </c>
      <c r="G1094" s="41"/>
      <c r="H1094" s="11"/>
    </row>
    <row r="1095" spans="2:34" x14ac:dyDescent="0.2">
      <c r="B1095" s="9">
        <f>G1093</f>
        <v>23</v>
      </c>
      <c r="C1095" s="9"/>
      <c r="D1095" s="9" t="s">
        <v>56</v>
      </c>
      <c r="G1095" s="23"/>
    </row>
    <row r="1096" spans="2:34" x14ac:dyDescent="0.2">
      <c r="B1096" s="9">
        <f>G1093</f>
        <v>23</v>
      </c>
      <c r="C1096" s="9"/>
      <c r="D1096" s="9" t="s">
        <v>56</v>
      </c>
      <c r="G1096" s="20">
        <v>2023</v>
      </c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2"/>
      <c r="S1096" s="20">
        <v>2024</v>
      </c>
      <c r="T1096" s="21"/>
      <c r="U1096" s="21"/>
      <c r="V1096" s="21"/>
      <c r="W1096" s="21"/>
      <c r="X1096" s="21"/>
      <c r="Y1096" s="21"/>
      <c r="Z1096" s="21"/>
      <c r="AA1096" s="21"/>
      <c r="AB1096" s="21"/>
      <c r="AC1096" s="21"/>
      <c r="AD1096" s="22"/>
      <c r="AF1096" s="17" t="s">
        <v>14</v>
      </c>
      <c r="AG1096" s="18"/>
    </row>
    <row r="1097" spans="2:34" ht="15" customHeight="1" x14ac:dyDescent="0.35">
      <c r="B1097" s="9">
        <f>G1093</f>
        <v>23</v>
      </c>
      <c r="C1097" s="9"/>
      <c r="D1097" s="9" t="s">
        <v>56</v>
      </c>
      <c r="G1097" s="165">
        <v>44957</v>
      </c>
      <c r="H1097" s="166">
        <v>44985</v>
      </c>
      <c r="I1097" s="166">
        <v>45016</v>
      </c>
      <c r="J1097" s="166">
        <v>45046</v>
      </c>
      <c r="K1097" s="166">
        <v>45077</v>
      </c>
      <c r="L1097" s="166">
        <v>45107</v>
      </c>
      <c r="M1097" s="166">
        <v>45138</v>
      </c>
      <c r="N1097" s="166">
        <v>45169</v>
      </c>
      <c r="O1097" s="166">
        <v>45199</v>
      </c>
      <c r="P1097" s="166">
        <v>45230</v>
      </c>
      <c r="Q1097" s="166">
        <v>45260</v>
      </c>
      <c r="R1097" s="167">
        <v>45291</v>
      </c>
      <c r="S1097" s="165">
        <v>45322</v>
      </c>
      <c r="T1097" s="166">
        <v>45351</v>
      </c>
      <c r="U1097" s="166">
        <v>45382</v>
      </c>
      <c r="V1097" s="166">
        <v>45412</v>
      </c>
      <c r="W1097" s="166">
        <v>45443</v>
      </c>
      <c r="X1097" s="166">
        <v>45473</v>
      </c>
      <c r="Y1097" s="166">
        <v>45504</v>
      </c>
      <c r="Z1097" s="166">
        <v>45535</v>
      </c>
      <c r="AA1097" s="166">
        <v>45565</v>
      </c>
      <c r="AB1097" s="166">
        <v>45596</v>
      </c>
      <c r="AC1097" s="166">
        <v>45626</v>
      </c>
      <c r="AD1097" s="167">
        <v>45657</v>
      </c>
      <c r="AE1097" s="168"/>
      <c r="AF1097" s="13">
        <v>45291</v>
      </c>
      <c r="AG1097" s="14">
        <v>45657</v>
      </c>
    </row>
    <row r="1098" spans="2:34" ht="0.95" customHeight="1" x14ac:dyDescent="0.2">
      <c r="B1098" s="9">
        <f>G1093</f>
        <v>23</v>
      </c>
      <c r="C1098" s="9"/>
      <c r="D1098" s="9" t="s">
        <v>56</v>
      </c>
      <c r="G1098" s="11"/>
      <c r="S1098" s="11"/>
      <c r="AD1098" s="15"/>
      <c r="AE1098" s="15"/>
      <c r="AF1098" s="11"/>
      <c r="AG1098" s="15"/>
    </row>
    <row r="1099" spans="2:34" x14ac:dyDescent="0.2">
      <c r="B1099" s="9">
        <f>G1093</f>
        <v>23</v>
      </c>
      <c r="C1099" s="9" t="str">
        <f>B1099&amp;" - "&amp;F1099</f>
        <v>23 - Employed Vets</v>
      </c>
      <c r="D1099" s="9" t="s">
        <v>56</v>
      </c>
      <c r="F1099" s="7" t="s">
        <v>160</v>
      </c>
      <c r="G1099" s="121">
        <v>1</v>
      </c>
      <c r="H1099" s="154">
        <f>MAX(MIN(IF(H1102/G1102&gt;1.1,G1099-1,IF(H1102/G1102&lt;0.9,G1099+1,G1099)),5),1)</f>
        <v>1</v>
      </c>
      <c r="I1099" s="154">
        <f t="shared" ref="I1099:AC1099" si="6334">MAX(MIN(IF(I1102/H1102&gt;1.1,H1099-1,IF(I1102/H1102&lt;0.9,H1099+1,H1099)),5),1)</f>
        <v>1</v>
      </c>
      <c r="J1099" s="154">
        <f t="shared" si="6334"/>
        <v>1</v>
      </c>
      <c r="K1099" s="154">
        <f t="shared" si="6334"/>
        <v>1</v>
      </c>
      <c r="L1099" s="154">
        <f t="shared" si="6334"/>
        <v>1</v>
      </c>
      <c r="M1099" s="154">
        <f t="shared" si="6334"/>
        <v>2</v>
      </c>
      <c r="N1099" s="154">
        <f t="shared" si="6334"/>
        <v>3</v>
      </c>
      <c r="O1099" s="154">
        <f t="shared" si="6334"/>
        <v>3</v>
      </c>
      <c r="P1099" s="154">
        <f t="shared" si="6334"/>
        <v>3</v>
      </c>
      <c r="Q1099" s="154">
        <f t="shared" si="6334"/>
        <v>4</v>
      </c>
      <c r="R1099" s="154">
        <f t="shared" si="6334"/>
        <v>5</v>
      </c>
      <c r="S1099" s="155">
        <f t="shared" si="6334"/>
        <v>4</v>
      </c>
      <c r="T1099" s="154">
        <f t="shared" si="6334"/>
        <v>3</v>
      </c>
      <c r="U1099" s="154">
        <f t="shared" si="6334"/>
        <v>3</v>
      </c>
      <c r="V1099" s="154">
        <f t="shared" si="6334"/>
        <v>2</v>
      </c>
      <c r="W1099" s="154">
        <f t="shared" si="6334"/>
        <v>1</v>
      </c>
      <c r="X1099" s="154">
        <f t="shared" si="6334"/>
        <v>2</v>
      </c>
      <c r="Y1099" s="154">
        <f t="shared" si="6334"/>
        <v>2</v>
      </c>
      <c r="Z1099" s="154">
        <f t="shared" si="6334"/>
        <v>3</v>
      </c>
      <c r="AA1099" s="154">
        <f t="shared" si="6334"/>
        <v>3</v>
      </c>
      <c r="AB1099" s="154">
        <f t="shared" si="6334"/>
        <v>3</v>
      </c>
      <c r="AC1099" s="154">
        <f t="shared" si="6334"/>
        <v>4</v>
      </c>
      <c r="AD1099" s="156">
        <f>AC1099</f>
        <v>4</v>
      </c>
      <c r="AE1099" s="15"/>
      <c r="AF1099" s="90">
        <f>AVERAGE(G1099:R1099)</f>
        <v>2.1666666666666665</v>
      </c>
      <c r="AG1099" s="91">
        <f>AVERAGE(S1099:AD1099)</f>
        <v>2.8333333333333335</v>
      </c>
    </row>
    <row r="1100" spans="2:34" x14ac:dyDescent="0.2">
      <c r="B1100" s="9">
        <f>G1093</f>
        <v>23</v>
      </c>
      <c r="C1100" s="9" t="str">
        <f t="shared" ref="C1100:C1136" si="6335">B1100&amp;" - "&amp;F1100</f>
        <v>23 - Workdays in Month / Year</v>
      </c>
      <c r="D1100" s="9" t="s">
        <v>56</v>
      </c>
      <c r="F1100" s="7" t="s">
        <v>54</v>
      </c>
      <c r="G1100" s="121">
        <v>22</v>
      </c>
      <c r="H1100" s="124">
        <v>21</v>
      </c>
      <c r="I1100" s="124">
        <v>24</v>
      </c>
      <c r="J1100" s="122">
        <v>21</v>
      </c>
      <c r="K1100" s="122">
        <v>23</v>
      </c>
      <c r="L1100" s="122">
        <v>23</v>
      </c>
      <c r="M1100" s="122">
        <v>22</v>
      </c>
      <c r="N1100" s="122">
        <v>24</v>
      </c>
      <c r="O1100" s="122">
        <v>22</v>
      </c>
      <c r="P1100" s="122">
        <v>22</v>
      </c>
      <c r="Q1100" s="122">
        <v>23</v>
      </c>
      <c r="R1100" s="122">
        <v>22</v>
      </c>
      <c r="S1100" s="121">
        <v>23</v>
      </c>
      <c r="T1100" s="122">
        <v>22</v>
      </c>
      <c r="U1100" s="122">
        <v>22</v>
      </c>
      <c r="V1100" s="122">
        <v>22</v>
      </c>
      <c r="W1100" s="122">
        <v>24</v>
      </c>
      <c r="X1100" s="122">
        <v>21</v>
      </c>
      <c r="Y1100" s="122">
        <v>23</v>
      </c>
      <c r="Z1100" s="122">
        <v>23</v>
      </c>
      <c r="AA1100" s="122">
        <v>21</v>
      </c>
      <c r="AB1100" s="122">
        <v>24</v>
      </c>
      <c r="AC1100" s="122">
        <v>22</v>
      </c>
      <c r="AD1100" s="123">
        <v>22</v>
      </c>
      <c r="AE1100" s="15"/>
      <c r="AF1100" s="144">
        <v>269</v>
      </c>
      <c r="AG1100" s="145">
        <v>269</v>
      </c>
    </row>
    <row r="1101" spans="2:34" x14ac:dyDescent="0.2">
      <c r="B1101" s="9">
        <f>G1093</f>
        <v>23</v>
      </c>
      <c r="C1101" s="9" t="str">
        <f t="shared" si="6335"/>
        <v>23 - Total Vet Days</v>
      </c>
      <c r="D1101" s="9" t="s">
        <v>56</v>
      </c>
      <c r="F1101" s="8" t="s">
        <v>51</v>
      </c>
      <c r="G1101" s="125">
        <f>G1099*G1100</f>
        <v>22</v>
      </c>
      <c r="H1101" s="126">
        <f t="shared" ref="H1101" si="6336">H1099*H1100</f>
        <v>21</v>
      </c>
      <c r="I1101" s="126">
        <f t="shared" ref="I1101" si="6337">I1099*I1100</f>
        <v>24</v>
      </c>
      <c r="J1101" s="127">
        <f t="shared" ref="J1101" si="6338">J1099*J1100</f>
        <v>21</v>
      </c>
      <c r="K1101" s="127">
        <f t="shared" ref="K1101" si="6339">K1099*K1100</f>
        <v>23</v>
      </c>
      <c r="L1101" s="127">
        <f t="shared" ref="L1101" si="6340">L1099*L1100</f>
        <v>23</v>
      </c>
      <c r="M1101" s="127">
        <f t="shared" ref="M1101" si="6341">M1099*M1100</f>
        <v>44</v>
      </c>
      <c r="N1101" s="127">
        <f t="shared" ref="N1101" si="6342">N1099*N1100</f>
        <v>72</v>
      </c>
      <c r="O1101" s="127">
        <f t="shared" ref="O1101" si="6343">O1099*O1100</f>
        <v>66</v>
      </c>
      <c r="P1101" s="127">
        <f t="shared" ref="P1101" si="6344">P1099*P1100</f>
        <v>66</v>
      </c>
      <c r="Q1101" s="127">
        <f t="shared" ref="Q1101" si="6345">Q1099*Q1100</f>
        <v>92</v>
      </c>
      <c r="R1101" s="127">
        <f t="shared" ref="R1101" si="6346">R1099*R1100</f>
        <v>110</v>
      </c>
      <c r="S1101" s="125">
        <f t="shared" ref="S1101" si="6347">S1099*S1100</f>
        <v>92</v>
      </c>
      <c r="T1101" s="127">
        <f t="shared" ref="T1101" si="6348">T1099*T1100</f>
        <v>66</v>
      </c>
      <c r="U1101" s="127">
        <f t="shared" ref="U1101" si="6349">U1099*U1100</f>
        <v>66</v>
      </c>
      <c r="V1101" s="127">
        <f t="shared" ref="V1101" si="6350">V1099*V1100</f>
        <v>44</v>
      </c>
      <c r="W1101" s="127">
        <f t="shared" ref="W1101" si="6351">W1099*W1100</f>
        <v>24</v>
      </c>
      <c r="X1101" s="127">
        <f t="shared" ref="X1101" si="6352">X1099*X1100</f>
        <v>42</v>
      </c>
      <c r="Y1101" s="127">
        <f t="shared" ref="Y1101" si="6353">Y1099*Y1100</f>
        <v>46</v>
      </c>
      <c r="Z1101" s="127">
        <f t="shared" ref="Z1101" si="6354">Z1099*Z1100</f>
        <v>69</v>
      </c>
      <c r="AA1101" s="127">
        <f t="shared" ref="AA1101" si="6355">AA1099*AA1100</f>
        <v>63</v>
      </c>
      <c r="AB1101" s="127">
        <f t="shared" ref="AB1101" si="6356">AB1099*AB1100</f>
        <v>72</v>
      </c>
      <c r="AC1101" s="127">
        <f t="shared" ref="AC1101" si="6357">AC1099*AC1100</f>
        <v>88</v>
      </c>
      <c r="AD1101" s="128">
        <f t="shared" ref="AD1101" si="6358">AD1099*AD1100</f>
        <v>88</v>
      </c>
      <c r="AF1101" s="119">
        <f>SUM(G1101:R1101)</f>
        <v>584</v>
      </c>
      <c r="AG1101" s="120">
        <f>SUM(S1101:AD1101)</f>
        <v>760</v>
      </c>
    </row>
    <row r="1102" spans="2:34" x14ac:dyDescent="0.2">
      <c r="B1102" s="9">
        <f>G1093</f>
        <v>23</v>
      </c>
      <c r="C1102" s="9" t="str">
        <f t="shared" si="6335"/>
        <v>23 - Production per Vet Workday</v>
      </c>
      <c r="D1102" s="9" t="s">
        <v>56</v>
      </c>
      <c r="F1102" s="7" t="s">
        <v>50</v>
      </c>
      <c r="G1102" s="129">
        <v>6.5540146534089629</v>
      </c>
      <c r="H1102" s="130">
        <v>7.0800269083643812</v>
      </c>
      <c r="I1102" s="130">
        <v>7.6180993522846903</v>
      </c>
      <c r="J1102" s="130">
        <v>7.986669083742318</v>
      </c>
      <c r="K1102" s="130">
        <v>8.7976959825571406</v>
      </c>
      <c r="L1102" s="130">
        <v>8.0455547843545947</v>
      </c>
      <c r="M1102" s="130">
        <v>6.9238347311127244</v>
      </c>
      <c r="N1102" s="130">
        <v>5.8828914699146733</v>
      </c>
      <c r="O1102" s="130">
        <v>6.0286166962322145</v>
      </c>
      <c r="P1102" s="130">
        <v>5.9680261809312771</v>
      </c>
      <c r="Q1102" s="130">
        <v>5.2911277479313226</v>
      </c>
      <c r="R1102" s="130">
        <v>4.0778213912900831</v>
      </c>
      <c r="S1102" s="129">
        <v>6.1851594755454027</v>
      </c>
      <c r="T1102" s="130">
        <v>7.346358261771778</v>
      </c>
      <c r="U1102" s="130">
        <v>7.4129335574670883</v>
      </c>
      <c r="V1102" s="130">
        <v>8.3418164772228156</v>
      </c>
      <c r="W1102" s="130">
        <v>9.5176151789111376</v>
      </c>
      <c r="X1102" s="130">
        <v>7.9565813614362595</v>
      </c>
      <c r="Y1102" s="130">
        <v>7.8715768543657694</v>
      </c>
      <c r="Z1102" s="130">
        <v>6.0961980348880553</v>
      </c>
      <c r="AA1102" s="130">
        <v>6.3746789467019802</v>
      </c>
      <c r="AB1102" s="130">
        <v>6.144612056672309</v>
      </c>
      <c r="AC1102" s="130">
        <v>5.291728399787468</v>
      </c>
      <c r="AD1102" s="131">
        <v>4.4275522060043411</v>
      </c>
      <c r="AE1102" s="15"/>
      <c r="AF1102" s="132">
        <v>6.6902081850329784</v>
      </c>
      <c r="AG1102" s="133">
        <v>6.9234794288656678</v>
      </c>
    </row>
    <row r="1103" spans="2:34" x14ac:dyDescent="0.2">
      <c r="B1103" s="9">
        <f>G1093</f>
        <v>23</v>
      </c>
      <c r="C1103" s="9" t="str">
        <f t="shared" si="6335"/>
        <v>23 - Total Production</v>
      </c>
      <c r="D1103" s="9" t="s">
        <v>56</v>
      </c>
      <c r="F1103" s="8" t="s">
        <v>1</v>
      </c>
      <c r="G1103" s="134">
        <f>G1102*G1101</f>
        <v>144.1883223749972</v>
      </c>
      <c r="H1103" s="135">
        <f t="shared" ref="H1103" si="6359">H1102*H1101</f>
        <v>148.680565075652</v>
      </c>
      <c r="I1103" s="135">
        <f t="shared" ref="I1103" si="6360">I1102*I1101</f>
        <v>182.83438445483256</v>
      </c>
      <c r="J1103" s="135">
        <f t="shared" ref="J1103" si="6361">J1102*J1101</f>
        <v>167.72005075858868</v>
      </c>
      <c r="K1103" s="135">
        <f t="shared" ref="K1103" si="6362">K1102*K1101</f>
        <v>202.34700759881423</v>
      </c>
      <c r="L1103" s="135">
        <f t="shared" ref="L1103" si="6363">L1102*L1101</f>
        <v>185.04776004015568</v>
      </c>
      <c r="M1103" s="135">
        <f t="shared" ref="M1103" si="6364">M1102*M1101</f>
        <v>304.64872816895985</v>
      </c>
      <c r="N1103" s="135">
        <f t="shared" ref="N1103" si="6365">N1102*N1101</f>
        <v>423.56818583385649</v>
      </c>
      <c r="O1103" s="135">
        <f t="shared" ref="O1103" si="6366">O1102*O1101</f>
        <v>397.88870195132614</v>
      </c>
      <c r="P1103" s="135">
        <f t="shared" ref="P1103" si="6367">P1102*P1101</f>
        <v>393.88972794146429</v>
      </c>
      <c r="Q1103" s="135">
        <f t="shared" ref="Q1103" si="6368">Q1102*Q1101</f>
        <v>486.78375280968169</v>
      </c>
      <c r="R1103" s="135">
        <f t="shared" ref="R1103" si="6369">R1102*R1101</f>
        <v>448.56035304190914</v>
      </c>
      <c r="S1103" s="134">
        <f t="shared" ref="S1103" si="6370">S1102*S1101</f>
        <v>569.03467175017704</v>
      </c>
      <c r="T1103" s="135">
        <f t="shared" ref="T1103" si="6371">T1102*T1101</f>
        <v>484.85964527693733</v>
      </c>
      <c r="U1103" s="135">
        <f t="shared" ref="U1103" si="6372">U1102*U1101</f>
        <v>489.25361479282782</v>
      </c>
      <c r="V1103" s="135">
        <f t="shared" ref="V1103" si="6373">V1102*V1101</f>
        <v>367.03992499780389</v>
      </c>
      <c r="W1103" s="135">
        <f t="shared" ref="W1103" si="6374">W1102*W1101</f>
        <v>228.42276429386732</v>
      </c>
      <c r="X1103" s="135">
        <f t="shared" ref="X1103" si="6375">X1102*X1101</f>
        <v>334.17641718032291</v>
      </c>
      <c r="Y1103" s="135">
        <f t="shared" ref="Y1103" si="6376">Y1102*Y1101</f>
        <v>362.09253530082538</v>
      </c>
      <c r="Z1103" s="135">
        <f t="shared" ref="Z1103" si="6377">Z1102*Z1101</f>
        <v>420.63766440727579</v>
      </c>
      <c r="AA1103" s="135">
        <f t="shared" ref="AA1103" si="6378">AA1102*AA1101</f>
        <v>401.60477364222476</v>
      </c>
      <c r="AB1103" s="135">
        <f t="shared" ref="AB1103" si="6379">AB1102*AB1101</f>
        <v>442.41206808040624</v>
      </c>
      <c r="AC1103" s="135">
        <f t="shared" ref="AC1103" si="6380">AC1102*AC1101</f>
        <v>465.6720991812972</v>
      </c>
      <c r="AD1103" s="136">
        <f t="shared" ref="AD1103" si="6381">AD1102*AD1101</f>
        <v>389.624594128382</v>
      </c>
      <c r="AE1103" s="15"/>
      <c r="AF1103" s="94">
        <f>SUM(G1103:R1103)</f>
        <v>3486.1575400502379</v>
      </c>
      <c r="AG1103" s="95">
        <f>SUM(S1103:AD1103)</f>
        <v>4954.8307730323477</v>
      </c>
    </row>
    <row r="1104" spans="2:34" x14ac:dyDescent="0.2">
      <c r="B1104" s="9">
        <f>G1093</f>
        <v>23</v>
      </c>
      <c r="C1104" s="9" t="str">
        <f t="shared" si="6335"/>
        <v>23 - Revenue as a % of Production</v>
      </c>
      <c r="D1104" s="9" t="s">
        <v>56</v>
      </c>
      <c r="F1104" s="7" t="s">
        <v>2</v>
      </c>
      <c r="G1104" s="137">
        <v>0.98626570355548537</v>
      </c>
      <c r="H1104" s="138">
        <v>0.98626570355548537</v>
      </c>
      <c r="I1104" s="138">
        <v>0.98626570355548537</v>
      </c>
      <c r="J1104" s="138">
        <v>0.98626570355548537</v>
      </c>
      <c r="K1104" s="138">
        <v>0.98626570355548537</v>
      </c>
      <c r="L1104" s="138">
        <v>0.98626570355548537</v>
      </c>
      <c r="M1104" s="138">
        <v>0.98626570355548537</v>
      </c>
      <c r="N1104" s="138">
        <v>0.98626570355548537</v>
      </c>
      <c r="O1104" s="138">
        <v>0.98626570355548537</v>
      </c>
      <c r="P1104" s="138">
        <v>0.98626570355548537</v>
      </c>
      <c r="Q1104" s="138">
        <v>0.98626570355548537</v>
      </c>
      <c r="R1104" s="138">
        <v>0.98626570355548537</v>
      </c>
      <c r="S1104" s="137">
        <v>0.97243636909848574</v>
      </c>
      <c r="T1104" s="138">
        <v>0.97243636909848574</v>
      </c>
      <c r="U1104" s="138">
        <v>0.97243636909848574</v>
      </c>
      <c r="V1104" s="138">
        <v>0.97243636909848574</v>
      </c>
      <c r="W1104" s="138">
        <v>0.97243636909848574</v>
      </c>
      <c r="X1104" s="138">
        <v>0.97243636909848574</v>
      </c>
      <c r="Y1104" s="138">
        <v>0.97243636909848574</v>
      </c>
      <c r="Z1104" s="138">
        <v>0.97243636909848574</v>
      </c>
      <c r="AA1104" s="138">
        <v>0.97243636909848574</v>
      </c>
      <c r="AB1104" s="138">
        <v>0.97243636909848574</v>
      </c>
      <c r="AC1104" s="138">
        <v>0.97243636909848574</v>
      </c>
      <c r="AD1104" s="139">
        <v>0.97243636909848574</v>
      </c>
      <c r="AE1104" s="15"/>
      <c r="AF1104" s="161">
        <v>0.9862657035554856</v>
      </c>
      <c r="AG1104" s="162">
        <v>0.97243636909848563</v>
      </c>
    </row>
    <row r="1105" spans="2:33" x14ac:dyDescent="0.2">
      <c r="B1105" s="9">
        <f>G1093</f>
        <v>23</v>
      </c>
      <c r="C1105" s="9" t="str">
        <f t="shared" si="6335"/>
        <v>23 - Total Revenue</v>
      </c>
      <c r="D1105" s="9" t="s">
        <v>56</v>
      </c>
      <c r="F1105" s="8" t="s">
        <v>3</v>
      </c>
      <c r="G1105" s="134">
        <f>G1104*G1103</f>
        <v>142.20799721166173</v>
      </c>
      <c r="H1105" s="135">
        <f t="shared" ref="H1105" si="6382">H1104*H1103</f>
        <v>146.63854211936504</v>
      </c>
      <c r="I1105" s="135">
        <f t="shared" ref="I1105" si="6383">I1104*I1103</f>
        <v>180.32328281847953</v>
      </c>
      <c r="J1105" s="135">
        <f t="shared" ref="J1105" si="6384">J1104*J1103</f>
        <v>165.41653386178118</v>
      </c>
      <c r="K1105" s="135">
        <f t="shared" ref="K1105" si="6385">K1104*K1103</f>
        <v>199.56791381179167</v>
      </c>
      <c r="L1105" s="135">
        <f t="shared" ref="L1105" si="6386">L1104*L1103</f>
        <v>182.50625924737076</v>
      </c>
      <c r="M1105" s="135">
        <f t="shared" ref="M1105" si="6387">M1104*M1103</f>
        <v>300.46459222484299</v>
      </c>
      <c r="N1105" s="135">
        <f t="shared" ref="N1105" si="6388">N1104*N1103</f>
        <v>417.75077480514904</v>
      </c>
      <c r="O1105" s="135">
        <f t="shared" ref="O1105" si="6389">O1104*O1103</f>
        <v>392.42398056680349</v>
      </c>
      <c r="P1105" s="135">
        <f t="shared" ref="P1105" si="6390">P1104*P1103</f>
        <v>388.47992965146699</v>
      </c>
      <c r="Q1105" s="135">
        <f t="shared" ref="Q1105" si="6391">Q1104*Q1103</f>
        <v>480.09812044422017</v>
      </c>
      <c r="R1105" s="135">
        <f t="shared" ref="R1105" si="6392">R1104*R1103</f>
        <v>442.39969217997543</v>
      </c>
      <c r="S1105" s="134">
        <f t="shared" ref="S1105" si="6393">S1104*S1103</f>
        <v>553.35001008789084</v>
      </c>
      <c r="T1105" s="135">
        <f t="shared" ref="T1105" si="6394">T1104*T1103</f>
        <v>471.4951529754847</v>
      </c>
      <c r="U1105" s="135">
        <f t="shared" ref="U1105" si="6395">U1104*U1103</f>
        <v>475.76800873744668</v>
      </c>
      <c r="V1105" s="135">
        <f t="shared" ref="V1105" si="6396">V1104*V1103</f>
        <v>356.92297197904497</v>
      </c>
      <c r="W1105" s="135">
        <f t="shared" ref="W1105" si="6397">W1104*W1103</f>
        <v>222.12660352936757</v>
      </c>
      <c r="X1105" s="135">
        <f t="shared" ref="X1105" si="6398">X1104*X1103</f>
        <v>324.96530176117403</v>
      </c>
      <c r="Y1105" s="135">
        <f t="shared" ref="Y1105" si="6399">Y1104*Y1103</f>
        <v>352.11195030559992</v>
      </c>
      <c r="Z1105" s="135">
        <f t="shared" ref="Z1105" si="6400">Z1104*Z1103</f>
        <v>409.04336308227863</v>
      </c>
      <c r="AA1105" s="135">
        <f t="shared" ref="AA1105" si="6401">AA1104*AA1103</f>
        <v>390.53508789326429</v>
      </c>
      <c r="AB1105" s="135">
        <f t="shared" ref="AB1105" si="6402">AB1104*AB1103</f>
        <v>430.21758512946235</v>
      </c>
      <c r="AC1105" s="135">
        <f t="shared" ref="AC1105" si="6403">AC1104*AC1103</f>
        <v>452.83648531833057</v>
      </c>
      <c r="AD1105" s="136">
        <f t="shared" ref="AD1105" si="6404">AD1104*AD1103</f>
        <v>378.88512562567496</v>
      </c>
      <c r="AE1105" s="15"/>
      <c r="AF1105" s="94">
        <f>SUM(G1105:R1105)</f>
        <v>3438.2776189429078</v>
      </c>
      <c r="AG1105" s="95">
        <f>SUM(S1105:AD1105)</f>
        <v>4818.2576464250187</v>
      </c>
    </row>
    <row r="1106" spans="2:33" x14ac:dyDescent="0.2">
      <c r="B1106" s="9">
        <f>G1093</f>
        <v>23</v>
      </c>
      <c r="C1106" s="9" t="str">
        <f t="shared" si="6335"/>
        <v>23 - % YoY Revenue Growth</v>
      </c>
      <c r="D1106" s="9" t="s">
        <v>56</v>
      </c>
      <c r="F1106" s="16" t="s">
        <v>174</v>
      </c>
      <c r="G1106" s="82"/>
      <c r="H1106" s="83"/>
      <c r="I1106" s="83"/>
      <c r="J1106" s="83"/>
      <c r="K1106" s="83"/>
      <c r="L1106" s="83"/>
      <c r="M1106" s="83"/>
      <c r="N1106" s="83"/>
      <c r="O1106" s="83"/>
      <c r="P1106" s="83"/>
      <c r="Q1106" s="83"/>
      <c r="R1106" s="83"/>
      <c r="S1106" s="148">
        <f>S1105/G1105-1</f>
        <v>2.8911314478628598</v>
      </c>
      <c r="T1106" s="149">
        <f t="shared" ref="T1106" si="6405">T1105/H1105-1</f>
        <v>2.2153562505530338</v>
      </c>
      <c r="U1106" s="149">
        <f t="shared" ref="U1106" si="6406">U1105/I1105-1</f>
        <v>1.6384169659132337</v>
      </c>
      <c r="V1106" s="149">
        <f t="shared" ref="V1106" si="6407">V1105/J1105-1</f>
        <v>1.1577224697337862</v>
      </c>
      <c r="W1106" s="149">
        <f t="shared" ref="W1106" si="6408">W1105/K1105-1</f>
        <v>0.11303765864311499</v>
      </c>
      <c r="X1106" s="149">
        <f t="shared" ref="X1106" si="6409">X1105/L1105-1</f>
        <v>0.78057072180035703</v>
      </c>
      <c r="Y1106" s="149">
        <f t="shared" ref="Y1106" si="6410">Y1105/M1105-1</f>
        <v>0.17189166183717353</v>
      </c>
      <c r="Z1106" s="149">
        <f t="shared" ref="Z1106" si="6411">Z1105/N1105-1</f>
        <v>-2.0843556129684693E-2</v>
      </c>
      <c r="AA1106" s="149">
        <f t="shared" ref="AA1106" si="6412">AA1105/O1105-1</f>
        <v>-4.8133976695586833E-3</v>
      </c>
      <c r="AB1106" s="149">
        <f t="shared" ref="AB1106" si="6413">AB1105/P1105-1</f>
        <v>0.10743838302133435</v>
      </c>
      <c r="AC1106" s="149">
        <f t="shared" ref="AC1106" si="6414">AC1105/Q1105-1</f>
        <v>-5.6783465639618114E-2</v>
      </c>
      <c r="AD1106" s="150">
        <f t="shared" ref="AD1106" si="6415">AD1105/R1105-1</f>
        <v>-0.14356828830807977</v>
      </c>
      <c r="AE1106" s="15"/>
      <c r="AF1106" s="11"/>
      <c r="AG1106" s="97">
        <f>AG1105/AF1105-1</f>
        <v>0.40135794151095427</v>
      </c>
    </row>
    <row r="1107" spans="2:33" ht="6" customHeight="1" x14ac:dyDescent="0.2">
      <c r="B1107" s="9">
        <f>G1093</f>
        <v>23</v>
      </c>
      <c r="C1107" s="9" t="str">
        <f t="shared" si="6335"/>
        <v xml:space="preserve">23 - </v>
      </c>
      <c r="D1107" s="9" t="s">
        <v>56</v>
      </c>
      <c r="G1107" s="11"/>
      <c r="S1107" s="11"/>
      <c r="AD1107" s="15"/>
      <c r="AE1107" s="15"/>
      <c r="AF1107" s="11"/>
      <c r="AG1107" s="15"/>
    </row>
    <row r="1108" spans="2:33" x14ac:dyDescent="0.2">
      <c r="B1108" s="9">
        <f>G1093</f>
        <v>23</v>
      </c>
      <c r="C1108" s="9" t="str">
        <f t="shared" si="6335"/>
        <v>23 - Doctor Compensation</v>
      </c>
      <c r="D1108" s="9" t="s">
        <v>56</v>
      </c>
      <c r="F1108" t="s">
        <v>4</v>
      </c>
      <c r="G1108" s="144">
        <v>-50.212513865728276</v>
      </c>
      <c r="H1108" s="70">
        <v>-50.635795010531972</v>
      </c>
      <c r="I1108" s="70">
        <v>-62.150304285603667</v>
      </c>
      <c r="J1108" s="70">
        <v>-57.290293470815364</v>
      </c>
      <c r="K1108" s="70">
        <v>-68.690418450020942</v>
      </c>
      <c r="L1108" s="70">
        <v>-63.346194762641097</v>
      </c>
      <c r="M1108" s="70">
        <v>-52.140926905303814</v>
      </c>
      <c r="N1108" s="70">
        <v>-48.499305075705941</v>
      </c>
      <c r="O1108" s="70">
        <v>-45.124971328903015</v>
      </c>
      <c r="P1108" s="70">
        <v>-44.596143269381642</v>
      </c>
      <c r="Q1108" s="70">
        <v>-42.439866632090421</v>
      </c>
      <c r="R1108" s="70">
        <v>-31.972883372329175</v>
      </c>
      <c r="S1108" s="144">
        <v>-108.95382490204035</v>
      </c>
      <c r="T1108" s="70">
        <v>-123.91834085089206</v>
      </c>
      <c r="U1108" s="70">
        <v>-123.26198350651039</v>
      </c>
      <c r="V1108" s="70">
        <v>-139.99052307006409</v>
      </c>
      <c r="W1108" s="70">
        <v>-100.72082989014245</v>
      </c>
      <c r="X1108" s="70">
        <v>-124.39942992376089</v>
      </c>
      <c r="Y1108" s="70">
        <v>-134.72580527181492</v>
      </c>
      <c r="Z1108" s="70">
        <v>-102.6253182521346</v>
      </c>
      <c r="AA1108" s="70">
        <v>-95.70865207556821</v>
      </c>
      <c r="AB1108" s="70">
        <v>-108.1718250135478</v>
      </c>
      <c r="AC1108" s="70">
        <v>-84.056524053171145</v>
      </c>
      <c r="AD1108" s="145">
        <v>-68.95111056545673</v>
      </c>
      <c r="AE1108" s="15"/>
      <c r="AF1108" s="92">
        <f>SUM(G1108:R1108)</f>
        <v>-617.09961642905535</v>
      </c>
      <c r="AG1108" s="93">
        <f>SUM(S1108:AD1108)</f>
        <v>-1315.4841673751034</v>
      </c>
    </row>
    <row r="1109" spans="2:33" x14ac:dyDescent="0.2">
      <c r="B1109" s="9">
        <f>G1093</f>
        <v>23</v>
      </c>
      <c r="C1109" s="9" t="str">
        <f t="shared" si="6335"/>
        <v>23 - % of Revenue - Doctor Compensation</v>
      </c>
      <c r="D1109" s="9" t="s">
        <v>56</v>
      </c>
      <c r="F1109" s="16" t="str">
        <f>"% of Revenue - "&amp;F1108</f>
        <v>% of Revenue - Doctor Compensation</v>
      </c>
      <c r="G1109" s="148">
        <f>G1108/G1105</f>
        <v>-0.35309205424637408</v>
      </c>
      <c r="H1109" s="149">
        <f t="shared" ref="H1109" si="6416">H1108/H1105</f>
        <v>-0.34531027299298978</v>
      </c>
      <c r="I1109" s="149">
        <f t="shared" ref="I1109" si="6417">I1108/I1105</f>
        <v>-0.34466045268356499</v>
      </c>
      <c r="J1109" s="149">
        <f t="shared" ref="J1109" si="6418">J1108/J1105</f>
        <v>-0.34633958367599466</v>
      </c>
      <c r="K1109" s="149">
        <f t="shared" ref="K1109" si="6419">K1108/K1105</f>
        <v>-0.34419570329728177</v>
      </c>
      <c r="L1109" s="149">
        <f t="shared" ref="L1109" si="6420">L1108/L1105</f>
        <v>-0.34709053280622582</v>
      </c>
      <c r="M1109" s="149">
        <f t="shared" ref="M1109" si="6421">M1108/M1105</f>
        <v>-0.17353434732264836</v>
      </c>
      <c r="N1109" s="149">
        <f t="shared" ref="N1109" si="6422">N1108/N1105</f>
        <v>-0.11609626600531719</v>
      </c>
      <c r="O1109" s="149">
        <f t="shared" ref="O1109" si="6423">O1108/O1105</f>
        <v>-0.11499035115979936</v>
      </c>
      <c r="P1109" s="149">
        <f t="shared" ref="P1109" si="6424">P1108/P1105</f>
        <v>-0.11479651808368072</v>
      </c>
      <c r="Q1109" s="149">
        <f t="shared" ref="Q1109" si="6425">Q1108/Q1105</f>
        <v>-8.8398318645409618E-2</v>
      </c>
      <c r="R1109" s="149">
        <f t="shared" ref="R1109" si="6426">R1108/R1105</f>
        <v>-7.2271486480424765E-2</v>
      </c>
      <c r="S1109" s="148">
        <f t="shared" ref="S1109" si="6427">S1108/S1105</f>
        <v>-0.1968985685655536</v>
      </c>
      <c r="T1109" s="149">
        <f t="shared" ref="T1109" si="6428">T1108/T1105</f>
        <v>-0.26281996764733478</v>
      </c>
      <c r="U1109" s="149">
        <f t="shared" ref="U1109" si="6429">U1108/U1105</f>
        <v>-0.25908001640045686</v>
      </c>
      <c r="V1109" s="149">
        <f t="shared" ref="V1109" si="6430">V1108/V1105</f>
        <v>-0.39221494288768549</v>
      </c>
      <c r="W1109" s="149">
        <f t="shared" ref="W1109" si="6431">W1108/W1105</f>
        <v>-0.45343884203778434</v>
      </c>
      <c r="X1109" s="149">
        <f t="shared" ref="X1109" si="6432">X1108/X1105</f>
        <v>-0.38280834676677411</v>
      </c>
      <c r="Y1109" s="149">
        <f t="shared" ref="Y1109" si="6433">Y1108/Y1105</f>
        <v>-0.38262207560659511</v>
      </c>
      <c r="Z1109" s="149">
        <f t="shared" ref="Z1109" si="6434">Z1108/Z1105</f>
        <v>-0.25089104851578203</v>
      </c>
      <c r="AA1109" s="149">
        <f t="shared" ref="AA1109" si="6435">AA1108/AA1105</f>
        <v>-0.24507055842758485</v>
      </c>
      <c r="AB1109" s="149">
        <f t="shared" ref="AB1109" si="6436">AB1108/AB1105</f>
        <v>-0.25143515456486143</v>
      </c>
      <c r="AC1109" s="149">
        <f t="shared" ref="AC1109" si="6437">AC1108/AC1105</f>
        <v>-0.18562224285899118</v>
      </c>
      <c r="AD1109" s="150">
        <f t="shared" ref="AD1109" si="6438">AD1108/AD1105</f>
        <v>-0.18198421078577251</v>
      </c>
      <c r="AE1109" s="15"/>
      <c r="AF1109" s="96">
        <f t="shared" ref="AF1109" si="6439">AF1108/AF1105</f>
        <v>-0.17947928725394244</v>
      </c>
      <c r="AG1109" s="97">
        <f t="shared" ref="AG1109" si="6440">AG1108/AG1105</f>
        <v>-0.27302071908735459</v>
      </c>
    </row>
    <row r="1110" spans="2:33" ht="3" customHeight="1" x14ac:dyDescent="0.2">
      <c r="B1110" s="9">
        <f>G1093</f>
        <v>23</v>
      </c>
      <c r="C1110" s="9" t="str">
        <f t="shared" si="6335"/>
        <v xml:space="preserve">23 - </v>
      </c>
      <c r="D1110" s="9" t="s">
        <v>56</v>
      </c>
      <c r="F1110" s="16"/>
      <c r="G1110" s="36"/>
      <c r="H1110" s="37"/>
      <c r="I1110" s="37"/>
      <c r="J1110" s="37"/>
      <c r="K1110" s="37"/>
      <c r="L1110" s="37"/>
      <c r="M1110" s="37"/>
      <c r="N1110" s="37"/>
      <c r="O1110" s="37"/>
      <c r="P1110" s="37"/>
      <c r="Q1110" s="37"/>
      <c r="R1110" s="37"/>
      <c r="S1110" s="36"/>
      <c r="T1110" s="37"/>
      <c r="U1110" s="37"/>
      <c r="V1110" s="37"/>
      <c r="W1110" s="37"/>
      <c r="X1110" s="37"/>
      <c r="Y1110" s="37"/>
      <c r="Z1110" s="37"/>
      <c r="AA1110" s="37"/>
      <c r="AB1110" s="37"/>
      <c r="AC1110" s="37"/>
      <c r="AD1110" s="38"/>
      <c r="AE1110" s="15"/>
      <c r="AF1110" s="36"/>
      <c r="AG1110" s="38"/>
    </row>
    <row r="1111" spans="2:33" x14ac:dyDescent="0.2">
      <c r="B1111" s="9">
        <f>G1093</f>
        <v>23</v>
      </c>
      <c r="C1111" s="9" t="str">
        <f t="shared" si="6335"/>
        <v>23 - Administrative Staff Compensation</v>
      </c>
      <c r="D1111" s="9" t="s">
        <v>56</v>
      </c>
      <c r="F1111" t="s">
        <v>5</v>
      </c>
      <c r="G1111" s="144">
        <v>-31.320712665635035</v>
      </c>
      <c r="H1111" s="70">
        <v>-32.21266101036305</v>
      </c>
      <c r="I1111" s="70">
        <v>-38.107038997823821</v>
      </c>
      <c r="J1111" s="70">
        <v>-34.414292993333675</v>
      </c>
      <c r="K1111" s="70">
        <v>-40.759265332903269</v>
      </c>
      <c r="L1111" s="70">
        <v>-36.332176775368033</v>
      </c>
      <c r="M1111" s="70">
        <v>-30.588986464027659</v>
      </c>
      <c r="N1111" s="70">
        <v>-27.232540584646241</v>
      </c>
      <c r="O1111" s="70">
        <v>-26.202237945231435</v>
      </c>
      <c r="P1111" s="70">
        <v>-26.957627392631863</v>
      </c>
      <c r="Q1111" s="70">
        <v>-24.167438213368122</v>
      </c>
      <c r="R1111" s="70">
        <v>-18.188844842588381</v>
      </c>
      <c r="S1111" s="144">
        <v>-40.728270784951228</v>
      </c>
      <c r="T1111" s="70">
        <v>-47.473682302504379</v>
      </c>
      <c r="U1111" s="70">
        <v>-48.183662195153055</v>
      </c>
      <c r="V1111" s="70">
        <v>-55.997092087667255</v>
      </c>
      <c r="W1111" s="70">
        <v>-67.306642688452811</v>
      </c>
      <c r="X1111" s="70">
        <v>-47.580586365140299</v>
      </c>
      <c r="Y1111" s="70">
        <v>-50.37813331425626</v>
      </c>
      <c r="Z1111" s="70">
        <v>-40.798069140139411</v>
      </c>
      <c r="AA1111" s="70">
        <v>-37.511726673028846</v>
      </c>
      <c r="AB1111" s="70">
        <v>-39.308379627059182</v>
      </c>
      <c r="AC1111" s="70">
        <v>-29.537372497373156</v>
      </c>
      <c r="AD1111" s="145">
        <v>-25.291707889222536</v>
      </c>
      <c r="AE1111" s="15"/>
      <c r="AF1111" s="92">
        <f>SUM(G1111:R1111)</f>
        <v>-366.48382321792064</v>
      </c>
      <c r="AG1111" s="93">
        <f>SUM(S1111:AD1111)</f>
        <v>-530.09532556494844</v>
      </c>
    </row>
    <row r="1112" spans="2:33" x14ac:dyDescent="0.2">
      <c r="B1112" s="9">
        <f>G1093</f>
        <v>23</v>
      </c>
      <c r="C1112" s="9" t="str">
        <f t="shared" si="6335"/>
        <v>23 - % of Revenue - Administrative Staff Compensation</v>
      </c>
      <c r="D1112" s="9" t="s">
        <v>56</v>
      </c>
      <c r="F1112" s="16" t="str">
        <f>"% of Revenue - "&amp;F1111</f>
        <v>% of Revenue - Administrative Staff Compensation</v>
      </c>
      <c r="G1112" s="148">
        <f>G1111/G1105</f>
        <v>-0.22024578982725865</v>
      </c>
      <c r="H1112" s="149">
        <f t="shared" ref="H1112" si="6441">H1111/H1105</f>
        <v>-0.21967390390543889</v>
      </c>
      <c r="I1112" s="149">
        <f t="shared" ref="I1112" si="6442">I1111/I1105</f>
        <v>-0.21132622699745246</v>
      </c>
      <c r="J1112" s="149">
        <f t="shared" ref="J1112" si="6443">J1111/J1105</f>
        <v>-0.20804627076813001</v>
      </c>
      <c r="K1112" s="149">
        <f t="shared" ref="K1112" si="6444">K1111/K1105</f>
        <v>-0.20423756782536936</v>
      </c>
      <c r="L1112" s="149">
        <f t="shared" ref="L1112" si="6445">L1111/L1105</f>
        <v>-0.19907359301098296</v>
      </c>
      <c r="M1112" s="149">
        <f t="shared" ref="M1112" si="6446">M1111/M1105</f>
        <v>-0.10180562786958064</v>
      </c>
      <c r="N1112" s="149">
        <f t="shared" ref="N1112" si="6447">N1111/N1105</f>
        <v>-6.5188486119141922E-2</v>
      </c>
      <c r="O1112" s="149">
        <f t="shared" ref="O1112" si="6448">O1111/O1105</f>
        <v>-6.6770226191034093E-2</v>
      </c>
      <c r="P1112" s="149">
        <f t="shared" ref="P1112" si="6449">P1111/P1105</f>
        <v>-6.9392587197020628E-2</v>
      </c>
      <c r="Q1112" s="149">
        <f t="shared" ref="Q1112" si="6450">Q1111/Q1105</f>
        <v>-5.0338539528142136E-2</v>
      </c>
      <c r="R1112" s="149">
        <f t="shared" ref="R1112" si="6451">R1111/R1105</f>
        <v>-4.1114054019705019E-2</v>
      </c>
      <c r="S1112" s="148">
        <f t="shared" ref="S1112" si="6452">S1111/S1105</f>
        <v>-7.3603090345082292E-2</v>
      </c>
      <c r="T1112" s="149">
        <f t="shared" ref="T1112" si="6453">T1111/T1105</f>
        <v>-0.10068752987790049</v>
      </c>
      <c r="U1112" s="149">
        <f t="shared" ref="U1112" si="6454">U1111/U1105</f>
        <v>-0.10127554041100582</v>
      </c>
      <c r="V1112" s="149">
        <f t="shared" ref="V1112" si="6455">V1111/V1105</f>
        <v>-0.15688845068496979</v>
      </c>
      <c r="W1112" s="149">
        <f t="shared" ref="W1112" si="6456">W1111/W1105</f>
        <v>-0.30301027260588415</v>
      </c>
      <c r="X1112" s="149">
        <f t="shared" ref="X1112" si="6457">X1111/X1105</f>
        <v>-0.14641743628403928</v>
      </c>
      <c r="Y1112" s="149">
        <f t="shared" ref="Y1112" si="6458">Y1111/Y1105</f>
        <v>-0.14307419350730016</v>
      </c>
      <c r="Z1112" s="149">
        <f t="shared" ref="Z1112" si="6459">Z1111/Z1105</f>
        <v>-9.9740205617106961E-2</v>
      </c>
      <c r="AA1112" s="149">
        <f t="shared" ref="AA1112" si="6460">AA1111/AA1105</f>
        <v>-9.6052129081116114E-2</v>
      </c>
      <c r="AB1112" s="149">
        <f t="shared" ref="AB1112" si="6461">AB1111/AB1105</f>
        <v>-9.1368602739077681E-2</v>
      </c>
      <c r="AC1112" s="149">
        <f t="shared" ref="AC1112" si="6462">AC1111/AC1105</f>
        <v>-6.5227457272152581E-2</v>
      </c>
      <c r="AD1112" s="150">
        <f t="shared" ref="AD1112" si="6463">AD1111/AD1105</f>
        <v>-6.6752971226983038E-2</v>
      </c>
      <c r="AE1112" s="15"/>
      <c r="AF1112" s="96">
        <f t="shared" ref="AF1112" si="6464">AF1111/AF1105</f>
        <v>-0.10658936358100002</v>
      </c>
      <c r="AG1112" s="97">
        <f t="shared" ref="AG1112" si="6465">AG1111/AG1105</f>
        <v>-0.11001805309399777</v>
      </c>
    </row>
    <row r="1113" spans="2:33" ht="3" customHeight="1" x14ac:dyDescent="0.2">
      <c r="B1113" s="9">
        <f>G1093</f>
        <v>23</v>
      </c>
      <c r="C1113" s="9" t="str">
        <f t="shared" si="6335"/>
        <v xml:space="preserve">23 - </v>
      </c>
      <c r="D1113" s="9" t="s">
        <v>56</v>
      </c>
      <c r="F1113" s="16"/>
      <c r="G1113" s="36"/>
      <c r="H1113" s="37"/>
      <c r="I1113" s="37"/>
      <c r="J1113" s="37"/>
      <c r="K1113" s="37"/>
      <c r="L1113" s="37"/>
      <c r="M1113" s="37"/>
      <c r="N1113" s="37"/>
      <c r="O1113" s="37"/>
      <c r="P1113" s="37"/>
      <c r="Q1113" s="37"/>
      <c r="R1113" s="37"/>
      <c r="S1113" s="36"/>
      <c r="T1113" s="37"/>
      <c r="U1113" s="37"/>
      <c r="V1113" s="37"/>
      <c r="W1113" s="37"/>
      <c r="X1113" s="37"/>
      <c r="Y1113" s="37"/>
      <c r="Z1113" s="37"/>
      <c r="AA1113" s="37"/>
      <c r="AB1113" s="37"/>
      <c r="AC1113" s="37"/>
      <c r="AD1113" s="38"/>
      <c r="AE1113" s="15"/>
      <c r="AF1113" s="36"/>
      <c r="AG1113" s="38"/>
    </row>
    <row r="1114" spans="2:33" x14ac:dyDescent="0.2">
      <c r="B1114" s="9">
        <f>G1093</f>
        <v>23</v>
      </c>
      <c r="C1114" s="9" t="str">
        <f t="shared" si="6335"/>
        <v>23 - Office Supplies</v>
      </c>
      <c r="D1114" s="9" t="s">
        <v>56</v>
      </c>
      <c r="F1114" t="s">
        <v>6</v>
      </c>
      <c r="G1114" s="144">
        <v>-14.668137906598815</v>
      </c>
      <c r="H1114" s="70">
        <v>-14.880811012575087</v>
      </c>
      <c r="I1114" s="70">
        <v>-18.220309770687685</v>
      </c>
      <c r="J1114" s="70">
        <v>-16.884431045589004</v>
      </c>
      <c r="K1114" s="70">
        <v>-20.083521526583411</v>
      </c>
      <c r="L1114" s="70">
        <v>-18.159131426761299</v>
      </c>
      <c r="M1114" s="70">
        <v>-14.796846857885825</v>
      </c>
      <c r="N1114" s="70">
        <v>-14.379258271678156</v>
      </c>
      <c r="O1114" s="70">
        <v>-14.072490133132865</v>
      </c>
      <c r="P1114" s="70">
        <v>-13.859582407110693</v>
      </c>
      <c r="Q1114" s="70">
        <v>-12.836013478152378</v>
      </c>
      <c r="R1114" s="70">
        <v>-9.4957713273529425</v>
      </c>
      <c r="S1114" s="144">
        <v>-14.242729785999728</v>
      </c>
      <c r="T1114" s="70">
        <v>-16.316601304724976</v>
      </c>
      <c r="U1114" s="70">
        <v>-17.072311901329524</v>
      </c>
      <c r="V1114" s="70">
        <v>-19.418489333941533</v>
      </c>
      <c r="W1114" s="70">
        <v>-24.470005169154181</v>
      </c>
      <c r="X1114" s="70">
        <v>-17.995044308197915</v>
      </c>
      <c r="Y1114" s="70">
        <v>-19.91277290574612</v>
      </c>
      <c r="Z1114" s="70">
        <v>-14.819546810931534</v>
      </c>
      <c r="AA1114" s="70">
        <v>-14.079483284193984</v>
      </c>
      <c r="AB1114" s="70">
        <v>-15.815784592184905</v>
      </c>
      <c r="AC1114" s="70">
        <v>-12.777538309901832</v>
      </c>
      <c r="AD1114" s="145">
        <v>-11.131817323395719</v>
      </c>
      <c r="AE1114" s="15"/>
      <c r="AF1114" s="92">
        <f>SUM(G1114:R1114)</f>
        <v>-182.33630516410818</v>
      </c>
      <c r="AG1114" s="93">
        <f>SUM(S1114:AD1114)</f>
        <v>-198.05212502970195</v>
      </c>
    </row>
    <row r="1115" spans="2:33" x14ac:dyDescent="0.2">
      <c r="B1115" s="9">
        <f>G1093</f>
        <v>23</v>
      </c>
      <c r="C1115" s="9" t="str">
        <f t="shared" si="6335"/>
        <v>23 - % of Revenue - Office Supplies</v>
      </c>
      <c r="D1115" s="9" t="s">
        <v>56</v>
      </c>
      <c r="F1115" s="16" t="str">
        <f>"% of Revenue - "&amp;F1114</f>
        <v>% of Revenue - Office Supplies</v>
      </c>
      <c r="G1115" s="148">
        <f>G1114/G1105</f>
        <v>-0.10314566124411995</v>
      </c>
      <c r="H1115" s="149">
        <f t="shared" ref="H1115" si="6466">H1114/H1105</f>
        <v>-0.1014795346264557</v>
      </c>
      <c r="I1115" s="149">
        <f t="shared" ref="I1115" si="6467">I1114/I1105</f>
        <v>-0.10104246931345499</v>
      </c>
      <c r="J1115" s="149">
        <f t="shared" ref="J1115" si="6468">J1114/J1105</f>
        <v>-0.10207220917648598</v>
      </c>
      <c r="K1115" s="149">
        <f t="shared" ref="K1115" si="6469">K1114/K1105</f>
        <v>-0.10063502264960168</v>
      </c>
      <c r="L1115" s="149">
        <f t="shared" ref="L1115" si="6470">L1114/L1105</f>
        <v>-9.9498677479045991E-2</v>
      </c>
      <c r="M1115" s="149">
        <f t="shared" ref="M1115" si="6471">M1114/M1105</f>
        <v>-4.9246557633696425E-2</v>
      </c>
      <c r="N1115" s="149">
        <f t="shared" ref="N1115" si="6472">N1114/N1105</f>
        <v>-3.4420662124169742E-2</v>
      </c>
      <c r="O1115" s="149">
        <f t="shared" ref="O1115" si="6473">O1114/O1105</f>
        <v>-3.5860423496054068E-2</v>
      </c>
      <c r="P1115" s="149">
        <f t="shared" ref="P1115" si="6474">P1114/P1105</f>
        <v>-3.5676443875865382E-2</v>
      </c>
      <c r="Q1115" s="149">
        <f t="shared" ref="Q1115" si="6475">Q1114/Q1105</f>
        <v>-2.6736229390516265E-2</v>
      </c>
      <c r="R1115" s="149">
        <f t="shared" ref="R1115" si="6476">R1114/R1105</f>
        <v>-2.1464235837419857E-2</v>
      </c>
      <c r="S1115" s="148">
        <f t="shared" ref="S1115" si="6477">S1114/S1105</f>
        <v>-2.5739097363958657E-2</v>
      </c>
      <c r="T1115" s="149">
        <f t="shared" ref="T1115" si="6478">T1114/T1105</f>
        <v>-3.4606084923153715E-2</v>
      </c>
      <c r="U1115" s="149">
        <f t="shared" ref="U1115" si="6479">U1114/U1105</f>
        <v>-3.588369034444875E-2</v>
      </c>
      <c r="V1115" s="149">
        <f t="shared" ref="V1115" si="6480">V1114/V1105</f>
        <v>-5.4405266285526721E-2</v>
      </c>
      <c r="W1115" s="149">
        <f t="shared" ref="W1115" si="6481">W1114/W1105</f>
        <v>-0.11016242440279773</v>
      </c>
      <c r="X1115" s="149">
        <f t="shared" ref="X1115" si="6482">X1114/X1105</f>
        <v>-5.537527917803043E-2</v>
      </c>
      <c r="Y1115" s="149">
        <f t="shared" ref="Y1115" si="6483">Y1114/Y1105</f>
        <v>-5.6552391614268456E-2</v>
      </c>
      <c r="Z1115" s="149">
        <f t="shared" ref="Z1115" si="6484">Z1114/Z1105</f>
        <v>-3.6229769624573027E-2</v>
      </c>
      <c r="AA1115" s="149">
        <f t="shared" ref="AA1115" si="6485">AA1114/AA1105</f>
        <v>-3.6051775424701393E-2</v>
      </c>
      <c r="AB1115" s="149">
        <f t="shared" ref="AB1115" si="6486">AB1114/AB1105</f>
        <v>-3.6762292242018817E-2</v>
      </c>
      <c r="AC1115" s="149">
        <f t="shared" ref="AC1115" si="6487">AC1114/AC1105</f>
        <v>-2.8216671412683549E-2</v>
      </c>
      <c r="AD1115" s="150">
        <f t="shared" ref="AD1115" si="6488">AD1114/AD1105</f>
        <v>-2.9380454841063247E-2</v>
      </c>
      <c r="AE1115" s="15"/>
      <c r="AF1115" s="96">
        <f t="shared" ref="AF1115" si="6489">AF1114/AF1105</f>
        <v>-5.3031292225950953E-2</v>
      </c>
      <c r="AG1115" s="97">
        <f t="shared" ref="AG1115" si="6490">AG1114/AG1105</f>
        <v>-4.1104511124814967E-2</v>
      </c>
    </row>
    <row r="1116" spans="2:33" ht="6" customHeight="1" x14ac:dyDescent="0.2">
      <c r="B1116" s="9">
        <f>G1093</f>
        <v>23</v>
      </c>
      <c r="C1116" s="9" t="str">
        <f t="shared" si="6335"/>
        <v xml:space="preserve">23 - </v>
      </c>
      <c r="D1116" s="9" t="s">
        <v>56</v>
      </c>
      <c r="F1116" s="16"/>
      <c r="G1116" s="11"/>
      <c r="S1116" s="11"/>
      <c r="AD1116" s="15"/>
      <c r="AE1116" s="15"/>
      <c r="AF1116" s="11"/>
      <c r="AG1116" s="15"/>
    </row>
    <row r="1117" spans="2:33" x14ac:dyDescent="0.2">
      <c r="B1117" s="9">
        <f>G1093</f>
        <v>23</v>
      </c>
      <c r="C1117" s="9" t="str">
        <f t="shared" si="6335"/>
        <v>23 - Office Gross Profit</v>
      </c>
      <c r="D1117" s="9" t="s">
        <v>56</v>
      </c>
      <c r="F1117" s="8" t="s">
        <v>11</v>
      </c>
      <c r="G1117" s="134">
        <f>G1105+G1108+G1111+G1114</f>
        <v>46.0066327736996</v>
      </c>
      <c r="H1117" s="135">
        <f t="shared" ref="H1117:AD1117" si="6491">H1105+H1108+H1111+H1114</f>
        <v>48.909275085894926</v>
      </c>
      <c r="I1117" s="135">
        <f t="shared" si="6491"/>
        <v>61.845629764364354</v>
      </c>
      <c r="J1117" s="135">
        <f t="shared" si="6491"/>
        <v>56.827516352043141</v>
      </c>
      <c r="K1117" s="135">
        <f t="shared" si="6491"/>
        <v>70.034708502284062</v>
      </c>
      <c r="L1117" s="135">
        <f t="shared" si="6491"/>
        <v>64.668756282600356</v>
      </c>
      <c r="M1117" s="135">
        <f t="shared" si="6491"/>
        <v>202.93783199762566</v>
      </c>
      <c r="N1117" s="135">
        <f t="shared" si="6491"/>
        <v>327.63967087311869</v>
      </c>
      <c r="O1117" s="135">
        <f t="shared" si="6491"/>
        <v>307.02428115953614</v>
      </c>
      <c r="P1117" s="135">
        <f t="shared" si="6491"/>
        <v>303.0665765823428</v>
      </c>
      <c r="Q1117" s="135">
        <f t="shared" si="6491"/>
        <v>400.65480212060925</v>
      </c>
      <c r="R1117" s="135">
        <f t="shared" si="6491"/>
        <v>382.74219263770493</v>
      </c>
      <c r="S1117" s="134">
        <f t="shared" si="6491"/>
        <v>389.42518461489954</v>
      </c>
      <c r="T1117" s="135">
        <f t="shared" si="6491"/>
        <v>283.78652851736325</v>
      </c>
      <c r="U1117" s="135">
        <f t="shared" si="6491"/>
        <v>287.25005113445377</v>
      </c>
      <c r="V1117" s="135">
        <f t="shared" si="6491"/>
        <v>141.51686748737211</v>
      </c>
      <c r="W1117" s="135">
        <f t="shared" si="6491"/>
        <v>29.629125781618125</v>
      </c>
      <c r="X1117" s="135">
        <f t="shared" si="6491"/>
        <v>134.99024116407492</v>
      </c>
      <c r="Y1117" s="135">
        <f t="shared" si="6491"/>
        <v>147.0952388137826</v>
      </c>
      <c r="Z1117" s="135">
        <f t="shared" si="6491"/>
        <v>250.80042887907305</v>
      </c>
      <c r="AA1117" s="135">
        <f t="shared" si="6491"/>
        <v>243.23522586047318</v>
      </c>
      <c r="AB1117" s="135">
        <f t="shared" si="6491"/>
        <v>266.92159589667045</v>
      </c>
      <c r="AC1117" s="135">
        <f t="shared" si="6491"/>
        <v>326.46505045788444</v>
      </c>
      <c r="AD1117" s="136">
        <f t="shared" si="6491"/>
        <v>273.51048984760001</v>
      </c>
      <c r="AE1117" s="15"/>
      <c r="AF1117" s="98">
        <f>SUM(G1117:R1117)</f>
        <v>2272.3578741318238</v>
      </c>
      <c r="AG1117" s="95">
        <f>SUM(S1117:AD1117)</f>
        <v>2774.6260284552654</v>
      </c>
    </row>
    <row r="1118" spans="2:33" x14ac:dyDescent="0.2">
      <c r="B1118" s="9">
        <f>G1093</f>
        <v>23</v>
      </c>
      <c r="C1118" s="9" t="str">
        <f t="shared" si="6335"/>
        <v>23 - % of Revenue - Office Gross Profit</v>
      </c>
      <c r="D1118" s="9" t="s">
        <v>56</v>
      </c>
      <c r="F1118" s="16" t="str">
        <f>"% of Revenue - "&amp;F1117</f>
        <v>% of Revenue - Office Gross Profit</v>
      </c>
      <c r="G1118" s="148">
        <f>G1117/G1105</f>
        <v>0.3235164946822473</v>
      </c>
      <c r="H1118" s="149">
        <f t="shared" ref="H1118" si="6492">H1117/H1105</f>
        <v>0.33353628847511557</v>
      </c>
      <c r="I1118" s="149">
        <f t="shared" ref="I1118" si="6493">I1117/I1105</f>
        <v>0.3429708510055276</v>
      </c>
      <c r="J1118" s="149">
        <f t="shared" ref="J1118" si="6494">J1117/J1105</f>
        <v>0.3435419363793894</v>
      </c>
      <c r="K1118" s="149">
        <f t="shared" ref="K1118" si="6495">K1117/K1105</f>
        <v>0.35093170622774728</v>
      </c>
      <c r="L1118" s="149">
        <f t="shared" ref="L1118" si="6496">L1117/L1105</f>
        <v>0.35433719670374536</v>
      </c>
      <c r="M1118" s="149">
        <f t="shared" ref="M1118" si="6497">M1117/M1105</f>
        <v>0.67541346717407447</v>
      </c>
      <c r="N1118" s="149">
        <f t="shared" ref="N1118" si="6498">N1117/N1105</f>
        <v>0.78429458575137112</v>
      </c>
      <c r="O1118" s="149">
        <f t="shared" ref="O1118" si="6499">O1117/O1105</f>
        <v>0.78237899915311238</v>
      </c>
      <c r="P1118" s="149">
        <f t="shared" ref="P1118" si="6500">P1117/P1105</f>
        <v>0.78013445084343336</v>
      </c>
      <c r="Q1118" s="149">
        <f t="shared" ref="Q1118" si="6501">Q1117/Q1105</f>
        <v>0.83452691243593202</v>
      </c>
      <c r="R1118" s="149">
        <f t="shared" ref="R1118" si="6502">R1117/R1105</f>
        <v>0.86515022366245031</v>
      </c>
      <c r="S1118" s="148">
        <f t="shared" ref="S1118" si="6503">S1117/S1105</f>
        <v>0.70375924372540544</v>
      </c>
      <c r="T1118" s="149">
        <f t="shared" ref="T1118" si="6504">T1117/T1105</f>
        <v>0.60188641755161087</v>
      </c>
      <c r="U1118" s="149">
        <f t="shared" ref="U1118" si="6505">U1117/U1105</f>
        <v>0.6037607528440887</v>
      </c>
      <c r="V1118" s="149">
        <f t="shared" ref="V1118" si="6506">V1117/V1105</f>
        <v>0.39649134014181803</v>
      </c>
      <c r="W1118" s="149">
        <f t="shared" ref="W1118" si="6507">W1117/W1105</f>
        <v>0.13338846095353379</v>
      </c>
      <c r="X1118" s="149">
        <f t="shared" ref="X1118" si="6508">X1117/X1105</f>
        <v>0.41539893777115616</v>
      </c>
      <c r="Y1118" s="149">
        <f t="shared" ref="Y1118" si="6509">Y1117/Y1105</f>
        <v>0.41775133927183622</v>
      </c>
      <c r="Z1118" s="149">
        <f t="shared" ref="Z1118" si="6510">Z1117/Z1105</f>
        <v>0.61313897624253788</v>
      </c>
      <c r="AA1118" s="149">
        <f t="shared" ref="AA1118" si="6511">AA1117/AA1105</f>
        <v>0.62282553706659749</v>
      </c>
      <c r="AB1118" s="149">
        <f t="shared" ref="AB1118" si="6512">AB1117/AB1105</f>
        <v>0.62043395045404204</v>
      </c>
      <c r="AC1118" s="149">
        <f t="shared" ref="AC1118" si="6513">AC1117/AC1105</f>
        <v>0.7209336284561727</v>
      </c>
      <c r="AD1118" s="150">
        <f t="shared" ref="AD1118" si="6514">AD1117/AD1105</f>
        <v>0.72188236314618126</v>
      </c>
      <c r="AE1118" s="15"/>
      <c r="AF1118" s="111">
        <f t="shared" ref="AF1118" si="6515">AF1117/AF1105</f>
        <v>0.66090005693910669</v>
      </c>
      <c r="AG1118" s="97">
        <f t="shared" ref="AG1118" si="6516">AG1117/AG1105</f>
        <v>0.57585671669383276</v>
      </c>
    </row>
    <row r="1119" spans="2:33" ht="6" customHeight="1" x14ac:dyDescent="0.2">
      <c r="B1119" s="9">
        <f>G1093</f>
        <v>23</v>
      </c>
      <c r="C1119" s="9" t="str">
        <f t="shared" si="6335"/>
        <v xml:space="preserve">23 - </v>
      </c>
      <c r="D1119" s="9" t="s">
        <v>56</v>
      </c>
      <c r="F1119" s="16"/>
      <c r="G1119" s="11"/>
      <c r="S1119" s="11"/>
      <c r="AD1119" s="15"/>
      <c r="AE1119" s="15"/>
      <c r="AF1119" s="11"/>
      <c r="AG1119" s="15"/>
    </row>
    <row r="1120" spans="2:33" x14ac:dyDescent="0.2">
      <c r="B1120" s="9">
        <f>G1093</f>
        <v>23</v>
      </c>
      <c r="C1120" s="9" t="str">
        <f t="shared" si="6335"/>
        <v>23 - General and Administrative Expense</v>
      </c>
      <c r="D1120" s="9" t="s">
        <v>56</v>
      </c>
      <c r="F1120" t="s">
        <v>10</v>
      </c>
      <c r="G1120" s="144">
        <v>-8.9458491861280098</v>
      </c>
      <c r="H1120" s="70">
        <v>-9.3686763692145973</v>
      </c>
      <c r="I1120" s="70">
        <v>-11.759484092729624</v>
      </c>
      <c r="J1120" s="70">
        <v>-11.254853653159152</v>
      </c>
      <c r="K1120" s="70">
        <v>-13.071387053276604</v>
      </c>
      <c r="L1120" s="70">
        <v>-11.100185489823311</v>
      </c>
      <c r="M1120" s="70">
        <v>-9.5407131261174793</v>
      </c>
      <c r="N1120" s="70">
        <v>-9.5354734628545739</v>
      </c>
      <c r="O1120" s="70">
        <v>-9.4833305011716611</v>
      </c>
      <c r="P1120" s="70">
        <v>-9.3893260592988117</v>
      </c>
      <c r="Q1120" s="70">
        <v>-8.1423943469024547</v>
      </c>
      <c r="R1120" s="70">
        <v>-5.8199818137976642</v>
      </c>
      <c r="S1120" s="144">
        <v>-8.81143670832226</v>
      </c>
      <c r="T1120" s="70">
        <v>-9.2391895971734268</v>
      </c>
      <c r="U1120" s="70">
        <v>-9.6896515873321896</v>
      </c>
      <c r="V1120" s="70">
        <v>-11.240730805024675</v>
      </c>
      <c r="W1120" s="70">
        <v>-14.16731036237088</v>
      </c>
      <c r="X1120" s="70">
        <v>-10.558254135144978</v>
      </c>
      <c r="Y1120" s="70">
        <v>-11.704909383695902</v>
      </c>
      <c r="Z1120" s="70">
        <v>-9.2297114110825156</v>
      </c>
      <c r="AA1120" s="70">
        <v>-8.2889294179023576</v>
      </c>
      <c r="AB1120" s="70">
        <v>-9.5575561997511507</v>
      </c>
      <c r="AC1120" s="70">
        <v>-7.5962319169808215</v>
      </c>
      <c r="AD1120" s="145">
        <v>-6.5128939130340093</v>
      </c>
      <c r="AE1120" s="15"/>
      <c r="AF1120" s="144">
        <v>-117.41165515447393</v>
      </c>
      <c r="AG1120" s="145">
        <v>-116.59680543781516</v>
      </c>
    </row>
    <row r="1121" spans="2:33" x14ac:dyDescent="0.2">
      <c r="B1121" s="9">
        <f>G1093</f>
        <v>23</v>
      </c>
      <c r="C1121" s="9" t="str">
        <f t="shared" si="6335"/>
        <v>23 - % of Revenue - General and Administrative Expense</v>
      </c>
      <c r="D1121" s="9" t="s">
        <v>56</v>
      </c>
      <c r="F1121" s="16" t="str">
        <f>"% of Revenue - "&amp;F1120</f>
        <v>% of Revenue - General and Administrative Expense</v>
      </c>
      <c r="G1121" s="148">
        <f>G1120/G1105</f>
        <v>-6.2906794002682204E-2</v>
      </c>
      <c r="H1121" s="149">
        <f t="shared" ref="H1121" si="6517">H1120/H1105</f>
        <v>-6.3889590238754651E-2</v>
      </c>
      <c r="I1121" s="149">
        <f t="shared" ref="I1121" si="6518">I1120/I1105</f>
        <v>-6.5213342996684354E-2</v>
      </c>
      <c r="J1121" s="149">
        <f t="shared" ref="J1121" si="6519">J1120/J1105</f>
        <v>-6.803947217612169E-2</v>
      </c>
      <c r="K1121" s="149">
        <f t="shared" ref="K1121" si="6520">K1120/K1105</f>
        <v>-6.5498440123014742E-2</v>
      </c>
      <c r="L1121" s="149">
        <f t="shared" ref="L1121" si="6521">L1120/L1105</f>
        <v>-6.082084820322798E-2</v>
      </c>
      <c r="M1121" s="149">
        <f t="shared" ref="M1121" si="6522">M1120/M1105</f>
        <v>-3.1753202783301647E-2</v>
      </c>
      <c r="N1121" s="149">
        <f t="shared" ref="N1121" si="6523">N1120/N1105</f>
        <v>-2.2825746923634534E-2</v>
      </c>
      <c r="O1121" s="149">
        <f t="shared" ref="O1121" si="6524">O1120/O1105</f>
        <v>-2.416603207447789E-2</v>
      </c>
      <c r="P1121" s="149">
        <f t="shared" ref="P1121" si="6525">P1120/P1105</f>
        <v>-2.4169398063170585E-2</v>
      </c>
      <c r="Q1121" s="149">
        <f t="shared" ref="Q1121" si="6526">Q1120/Q1105</f>
        <v>-1.6959854663393694E-2</v>
      </c>
      <c r="R1121" s="149">
        <f t="shared" ref="R1121" si="6527">R1120/R1105</f>
        <v>-1.3155483416181946E-2</v>
      </c>
      <c r="S1121" s="148">
        <f t="shared" ref="S1121" si="6528">S1120/S1105</f>
        <v>-1.5923803284873354E-2</v>
      </c>
      <c r="T1121" s="149">
        <f t="shared" ref="T1121" si="6529">T1120/T1105</f>
        <v>-1.9595513419103625E-2</v>
      </c>
      <c r="U1121" s="149">
        <f t="shared" ref="U1121" si="6530">U1120/U1105</f>
        <v>-2.0366336973866268E-2</v>
      </c>
      <c r="V1121" s="149">
        <f t="shared" ref="V1121" si="6531">V1120/V1105</f>
        <v>-3.1493436084255796E-2</v>
      </c>
      <c r="W1121" s="149">
        <f t="shared" ref="W1121" si="6532">W1120/W1105</f>
        <v>-6.3780340298130053E-2</v>
      </c>
      <c r="X1121" s="149">
        <f t="shared" ref="X1121" si="6533">X1120/X1105</f>
        <v>-3.2490404599887189E-2</v>
      </c>
      <c r="Y1121" s="149">
        <f t="shared" ref="Y1121" si="6534">Y1120/Y1105</f>
        <v>-3.3242011165872519E-2</v>
      </c>
      <c r="Z1121" s="149">
        <f t="shared" ref="Z1121" si="6535">Z1120/Z1105</f>
        <v>-2.2564139267615909E-2</v>
      </c>
      <c r="AA1121" s="149">
        <f t="shared" ref="AA1121" si="6536">AA1120/AA1105</f>
        <v>-2.1224544669255874E-2</v>
      </c>
      <c r="AB1121" s="149">
        <f t="shared" ref="AB1121" si="6537">AB1120/AB1105</f>
        <v>-2.2215633507577479E-2</v>
      </c>
      <c r="AC1121" s="149">
        <f t="shared" ref="AC1121" si="6538">AC1120/AC1105</f>
        <v>-1.6774778895390675E-2</v>
      </c>
      <c r="AD1121" s="150">
        <f t="shared" ref="AD1121" si="6539">AD1120/AD1105</f>
        <v>-1.7189626809125565E-2</v>
      </c>
      <c r="AE1121" s="15"/>
      <c r="AF1121" s="96">
        <f t="shared" ref="AF1121" si="6540">AF1120/AF1105</f>
        <v>-3.4148392935929341E-2</v>
      </c>
      <c r="AG1121" s="97">
        <f t="shared" ref="AG1121" si="6541">AG1120/AG1105</f>
        <v>-2.4198956136006131E-2</v>
      </c>
    </row>
    <row r="1122" spans="2:33" ht="3" customHeight="1" x14ac:dyDescent="0.2">
      <c r="B1122" s="9">
        <f>G1093</f>
        <v>23</v>
      </c>
      <c r="C1122" s="9" t="str">
        <f t="shared" si="6335"/>
        <v xml:space="preserve">23 - </v>
      </c>
      <c r="D1122" s="9" t="s">
        <v>56</v>
      </c>
      <c r="F1122" s="16"/>
      <c r="G1122" s="36"/>
      <c r="H1122" s="37"/>
      <c r="I1122" s="37"/>
      <c r="J1122" s="37"/>
      <c r="K1122" s="37"/>
      <c r="L1122" s="37"/>
      <c r="M1122" s="37"/>
      <c r="N1122" s="37"/>
      <c r="O1122" s="37"/>
      <c r="P1122" s="37"/>
      <c r="Q1122" s="37"/>
      <c r="R1122" s="37"/>
      <c r="S1122" s="36"/>
      <c r="T1122" s="37"/>
      <c r="U1122" s="37"/>
      <c r="V1122" s="37"/>
      <c r="W1122" s="37"/>
      <c r="X1122" s="37"/>
      <c r="Y1122" s="37"/>
      <c r="Z1122" s="37"/>
      <c r="AA1122" s="37"/>
      <c r="AB1122" s="37"/>
      <c r="AC1122" s="37"/>
      <c r="AD1122" s="38"/>
      <c r="AE1122" s="15"/>
      <c r="AF1122" s="36"/>
      <c r="AG1122" s="38"/>
    </row>
    <row r="1123" spans="2:33" x14ac:dyDescent="0.2">
      <c r="B1123" s="9">
        <f>G1093</f>
        <v>23</v>
      </c>
      <c r="C1123" s="9" t="str">
        <f t="shared" si="6335"/>
        <v>23 - Marketing</v>
      </c>
      <c r="D1123" s="9" t="s">
        <v>56</v>
      </c>
      <c r="F1123" t="s">
        <v>7</v>
      </c>
      <c r="G1123" s="144">
        <v>-5.3331593053379214</v>
      </c>
      <c r="H1123" s="70">
        <v>-5.4880986656748112</v>
      </c>
      <c r="I1123" s="70">
        <v>-6.7289831368798891</v>
      </c>
      <c r="J1123" s="70">
        <v>-5.8430869808412531</v>
      </c>
      <c r="K1123" s="70">
        <v>-7.4239348555006179</v>
      </c>
      <c r="L1123" s="70">
        <v>-7.6444578598509638</v>
      </c>
      <c r="M1123" s="70">
        <v>-5.8692184481147702</v>
      </c>
      <c r="N1123" s="70">
        <v>-5.0008607627177497</v>
      </c>
      <c r="O1123" s="70">
        <v>-5.2943025470119531</v>
      </c>
      <c r="P1123" s="70">
        <v>-5.5447627601606841</v>
      </c>
      <c r="Q1123" s="70">
        <v>-4.7341107593215641</v>
      </c>
      <c r="R1123" s="70">
        <v>-3.8640760792699473</v>
      </c>
      <c r="S1123" s="144">
        <v>-6.2970667022323026</v>
      </c>
      <c r="T1123" s="70">
        <v>-7.0231719341605805</v>
      </c>
      <c r="U1123" s="70">
        <v>-6.6143021255761516</v>
      </c>
      <c r="V1123" s="70">
        <v>-7.4060083393491167</v>
      </c>
      <c r="W1123" s="70">
        <v>-9.4987744294955725</v>
      </c>
      <c r="X1123" s="70">
        <v>-6.2134804657362217</v>
      </c>
      <c r="Y1123" s="70">
        <v>-7.4792749205201519</v>
      </c>
      <c r="Z1123" s="70">
        <v>-5.4285244125711234</v>
      </c>
      <c r="AA1123" s="70">
        <v>-5.0227463425354948</v>
      </c>
      <c r="AB1123" s="70">
        <v>-5.3180182455735965</v>
      </c>
      <c r="AC1123" s="70">
        <v>-4.4006748631697938</v>
      </c>
      <c r="AD1123" s="145">
        <v>-3.5487130706639629</v>
      </c>
      <c r="AE1123" s="15"/>
      <c r="AF1123" s="144">
        <v>-68.769052160682136</v>
      </c>
      <c r="AG1123" s="145">
        <v>-74.250755851584088</v>
      </c>
    </row>
    <row r="1124" spans="2:33" x14ac:dyDescent="0.2">
      <c r="B1124" s="9">
        <f>G1093</f>
        <v>23</v>
      </c>
      <c r="C1124" s="9" t="str">
        <f t="shared" si="6335"/>
        <v>23 - % of Revenue - Marketing</v>
      </c>
      <c r="D1124" s="9" t="s">
        <v>56</v>
      </c>
      <c r="F1124" s="16" t="str">
        <f>"% of Revenue - "&amp;F1123</f>
        <v>% of Revenue - Marketing</v>
      </c>
      <c r="G1124" s="148">
        <f>G1123/G1105</f>
        <v>-3.7502527353648556E-2</v>
      </c>
      <c r="H1124" s="149">
        <f t="shared" ref="H1124" si="6542">H1123/H1105</f>
        <v>-3.7426031289969124E-2</v>
      </c>
      <c r="I1124" s="149">
        <f t="shared" ref="I1124" si="6543">I1123/I1105</f>
        <v>-3.7316219135459877E-2</v>
      </c>
      <c r="J1124" s="149">
        <f t="shared" ref="J1124" si="6544">J1123/J1105</f>
        <v>-3.53234761025982E-2</v>
      </c>
      <c r="K1124" s="149">
        <f t="shared" ref="K1124" si="6545">K1123/K1105</f>
        <v>-3.7200042400112356E-2</v>
      </c>
      <c r="L1124" s="149">
        <f t="shared" ref="L1124" si="6546">L1123/L1105</f>
        <v>-4.1886003753381362E-2</v>
      </c>
      <c r="M1124" s="149">
        <f t="shared" ref="M1124" si="6547">M1123/M1105</f>
        <v>-1.9533810638568454E-2</v>
      </c>
      <c r="N1124" s="149">
        <f t="shared" ref="N1124" si="6548">N1123/N1105</f>
        <v>-1.1970919180342142E-2</v>
      </c>
      <c r="O1124" s="149">
        <f t="shared" ref="O1124" si="6549">O1123/O1105</f>
        <v>-1.3491281902204466E-2</v>
      </c>
      <c r="P1124" s="149">
        <f t="shared" ref="P1124" si="6550">P1123/P1105</f>
        <v>-1.4272970974678887E-2</v>
      </c>
      <c r="Q1124" s="149">
        <f t="shared" ref="Q1124" si="6551">Q1123/Q1105</f>
        <v>-9.8607150449604667E-3</v>
      </c>
      <c r="R1124" s="149">
        <f t="shared" ref="R1124" si="6552">R1123/R1105</f>
        <v>-8.7343552619335418E-3</v>
      </c>
      <c r="S1124" s="148">
        <f t="shared" ref="S1124" si="6553">S1123/S1105</f>
        <v>-1.1379898052648656E-2</v>
      </c>
      <c r="T1124" s="149">
        <f t="shared" ref="T1124" si="6554">T1123/T1105</f>
        <v>-1.4895533686484682E-2</v>
      </c>
      <c r="U1124" s="149">
        <f t="shared" ref="U1124" si="6555">U1123/U1105</f>
        <v>-1.3902368389855873E-2</v>
      </c>
      <c r="V1124" s="149">
        <f t="shared" ref="V1124" si="6556">V1123/V1105</f>
        <v>-2.0749598430957604E-2</v>
      </c>
      <c r="W1124" s="149">
        <f t="shared" ref="W1124" si="6557">W1123/W1105</f>
        <v>-4.2762885123031787E-2</v>
      </c>
      <c r="X1124" s="149">
        <f t="shared" ref="X1124" si="6558">X1123/X1105</f>
        <v>-1.9120442804391097E-2</v>
      </c>
      <c r="Y1124" s="149">
        <f t="shared" ref="Y1124" si="6559">Y1123/Y1105</f>
        <v>-2.124118455516448E-2</v>
      </c>
      <c r="Z1124" s="149">
        <f t="shared" ref="Z1124" si="6560">Z1123/Z1105</f>
        <v>-1.3271268776164403E-2</v>
      </c>
      <c r="AA1124" s="149">
        <f t="shared" ref="AA1124" si="6561">AA1123/AA1105</f>
        <v>-1.2861190961433518E-2</v>
      </c>
      <c r="AB1124" s="149">
        <f t="shared" ref="AB1124" si="6562">AB1123/AB1105</f>
        <v>-1.2361229362517301E-2</v>
      </c>
      <c r="AC1124" s="149">
        <f t="shared" ref="AC1124" si="6563">AC1123/AC1105</f>
        <v>-9.7180218596481915E-3</v>
      </c>
      <c r="AD1124" s="150">
        <f t="shared" ref="AD1124" si="6564">AD1123/AD1105</f>
        <v>-9.3661979070932579E-3</v>
      </c>
      <c r="AE1124" s="15"/>
      <c r="AF1124" s="96">
        <f t="shared" ref="AF1124" si="6565">AF1123/AF1105</f>
        <v>-2.0001017888085795E-2</v>
      </c>
      <c r="AG1124" s="97">
        <f t="shared" ref="AG1124" si="6566">AG1123/AG1105</f>
        <v>-1.5410291707143472E-2</v>
      </c>
    </row>
    <row r="1125" spans="2:33" ht="3" customHeight="1" x14ac:dyDescent="0.2">
      <c r="B1125" s="9">
        <f>G1093</f>
        <v>23</v>
      </c>
      <c r="C1125" s="9" t="str">
        <f t="shared" si="6335"/>
        <v xml:space="preserve">23 - </v>
      </c>
      <c r="D1125" s="9" t="s">
        <v>56</v>
      </c>
      <c r="F1125" s="16"/>
      <c r="G1125" s="36"/>
      <c r="H1125" s="37"/>
      <c r="I1125" s="37"/>
      <c r="J1125" s="37"/>
      <c r="K1125" s="37"/>
      <c r="L1125" s="37"/>
      <c r="M1125" s="37"/>
      <c r="N1125" s="37"/>
      <c r="O1125" s="37"/>
      <c r="P1125" s="37"/>
      <c r="Q1125" s="37"/>
      <c r="R1125" s="37"/>
      <c r="S1125" s="36"/>
      <c r="T1125" s="37"/>
      <c r="U1125" s="37"/>
      <c r="V1125" s="37"/>
      <c r="W1125" s="37"/>
      <c r="X1125" s="37"/>
      <c r="Y1125" s="37"/>
      <c r="Z1125" s="37"/>
      <c r="AA1125" s="37"/>
      <c r="AB1125" s="37"/>
      <c r="AC1125" s="37"/>
      <c r="AD1125" s="38"/>
      <c r="AE1125" s="15"/>
      <c r="AF1125" s="36"/>
      <c r="AG1125" s="38"/>
    </row>
    <row r="1126" spans="2:33" x14ac:dyDescent="0.2">
      <c r="B1126" s="9">
        <f>G1093</f>
        <v>23</v>
      </c>
      <c r="C1126" s="9" t="str">
        <f t="shared" si="6335"/>
        <v>23 - Office Rent</v>
      </c>
      <c r="D1126" s="9" t="s">
        <v>56</v>
      </c>
      <c r="F1126" t="s">
        <v>162</v>
      </c>
      <c r="G1126" s="144">
        <v>-15.057237763656641</v>
      </c>
      <c r="H1126" s="70">
        <v>-15.057237763656641</v>
      </c>
      <c r="I1126" s="70">
        <v>-15.508954896566342</v>
      </c>
      <c r="J1126" s="70">
        <v>-15.508954896566342</v>
      </c>
      <c r="K1126" s="70">
        <v>-15.508954896566342</v>
      </c>
      <c r="L1126" s="70">
        <v>-15.508954896566342</v>
      </c>
      <c r="M1126" s="70">
        <v>-15.508954896566342</v>
      </c>
      <c r="N1126" s="70">
        <v>-15.508954896566342</v>
      </c>
      <c r="O1126" s="70">
        <v>-15.508954896566342</v>
      </c>
      <c r="P1126" s="70">
        <v>-15.508954896566342</v>
      </c>
      <c r="Q1126" s="70">
        <v>-15.508954896566342</v>
      </c>
      <c r="R1126" s="70">
        <v>-15.508954896566342</v>
      </c>
      <c r="S1126" s="144">
        <v>-15.508642205418141</v>
      </c>
      <c r="T1126" s="70">
        <v>-15.508642205418141</v>
      </c>
      <c r="U1126" s="70">
        <v>-15.973901471580685</v>
      </c>
      <c r="V1126" s="70">
        <v>-15.973901471580685</v>
      </c>
      <c r="W1126" s="70">
        <v>-15.973901471580685</v>
      </c>
      <c r="X1126" s="70">
        <v>-15.973901471580685</v>
      </c>
      <c r="Y1126" s="70">
        <v>-15.973901471580685</v>
      </c>
      <c r="Z1126" s="70">
        <v>-15.973901471580685</v>
      </c>
      <c r="AA1126" s="70">
        <v>-15.973901471580685</v>
      </c>
      <c r="AB1126" s="70">
        <v>-15.973901471580685</v>
      </c>
      <c r="AC1126" s="70">
        <v>-15.973901471580685</v>
      </c>
      <c r="AD1126" s="145">
        <v>-15.973901471580685</v>
      </c>
      <c r="AE1126" s="15"/>
      <c r="AF1126" s="144">
        <v>-185.20402449297669</v>
      </c>
      <c r="AG1126" s="145">
        <v>-190.75629912664317</v>
      </c>
    </row>
    <row r="1127" spans="2:33" x14ac:dyDescent="0.2">
      <c r="B1127" s="9">
        <f>G1093</f>
        <v>23</v>
      </c>
      <c r="C1127" s="9" t="str">
        <f t="shared" si="6335"/>
        <v>23 - % YoY Growth</v>
      </c>
      <c r="D1127" s="9" t="s">
        <v>56</v>
      </c>
      <c r="F1127" s="16" t="s">
        <v>8</v>
      </c>
      <c r="G1127" s="82"/>
      <c r="H1127" s="83"/>
      <c r="I1127" s="83"/>
      <c r="J1127" s="83"/>
      <c r="K1127" s="83"/>
      <c r="L1127" s="83"/>
      <c r="M1127" s="83"/>
      <c r="N1127" s="83"/>
      <c r="O1127" s="83"/>
      <c r="P1127" s="83"/>
      <c r="Q1127" s="83"/>
      <c r="R1127" s="83"/>
      <c r="S1127" s="148">
        <f>S1126/G1126-1</f>
        <v>2.9979233166593566E-2</v>
      </c>
      <c r="T1127" s="149">
        <f t="shared" ref="T1127" si="6567">T1126/H1126-1</f>
        <v>2.9979233166593566E-2</v>
      </c>
      <c r="U1127" s="149">
        <f t="shared" ref="U1127" si="6568">U1126/I1126-1</f>
        <v>2.9979233166593344E-2</v>
      </c>
      <c r="V1127" s="149">
        <f t="shared" ref="V1127" si="6569">V1126/J1126-1</f>
        <v>2.9979233166593344E-2</v>
      </c>
      <c r="W1127" s="149">
        <f t="shared" ref="W1127" si="6570">W1126/K1126-1</f>
        <v>2.9979233166593344E-2</v>
      </c>
      <c r="X1127" s="149">
        <f t="shared" ref="X1127" si="6571">X1126/L1126-1</f>
        <v>2.9979233166593344E-2</v>
      </c>
      <c r="Y1127" s="149">
        <f t="shared" ref="Y1127" si="6572">Y1126/M1126-1</f>
        <v>2.9979233166593344E-2</v>
      </c>
      <c r="Z1127" s="149">
        <f t="shared" ref="Z1127" si="6573">Z1126/N1126-1</f>
        <v>2.9979233166593344E-2</v>
      </c>
      <c r="AA1127" s="149">
        <f t="shared" ref="AA1127" si="6574">AA1126/O1126-1</f>
        <v>2.9979233166593344E-2</v>
      </c>
      <c r="AB1127" s="149">
        <f t="shared" ref="AB1127" si="6575">AB1126/P1126-1</f>
        <v>2.9979233166593344E-2</v>
      </c>
      <c r="AC1127" s="149">
        <f t="shared" ref="AC1127" si="6576">AC1126/Q1126-1</f>
        <v>2.9979233166593344E-2</v>
      </c>
      <c r="AD1127" s="150">
        <f t="shared" ref="AD1127" si="6577">AD1126/R1126-1</f>
        <v>2.9979233166593344E-2</v>
      </c>
      <c r="AE1127" s="15"/>
      <c r="AF1127" s="11"/>
      <c r="AG1127" s="97">
        <f>AG1126/AF1126-1</f>
        <v>2.9979233166593788E-2</v>
      </c>
    </row>
    <row r="1128" spans="2:33" ht="6" customHeight="1" x14ac:dyDescent="0.2">
      <c r="B1128" s="9">
        <f>G1093</f>
        <v>23</v>
      </c>
      <c r="C1128" s="9" t="str">
        <f t="shared" si="6335"/>
        <v xml:space="preserve">23 - </v>
      </c>
      <c r="D1128" s="9" t="s">
        <v>56</v>
      </c>
      <c r="F1128" s="16"/>
      <c r="G1128" s="11"/>
      <c r="S1128" s="11"/>
      <c r="AD1128" s="15"/>
      <c r="AE1128" s="15"/>
      <c r="AF1128" s="11"/>
      <c r="AG1128" s="15"/>
    </row>
    <row r="1129" spans="2:33" x14ac:dyDescent="0.2">
      <c r="B1129" s="9">
        <f>G1093</f>
        <v>23</v>
      </c>
      <c r="C1129" s="9" t="str">
        <f t="shared" si="6335"/>
        <v>23 - Office EBITDA</v>
      </c>
      <c r="D1129" s="9" t="s">
        <v>56</v>
      </c>
      <c r="F1129" s="8" t="s">
        <v>12</v>
      </c>
      <c r="G1129" s="134">
        <f>G1117+G1120+G1123+G1126</f>
        <v>16.670386518577029</v>
      </c>
      <c r="H1129" s="135">
        <f t="shared" ref="H1129:AD1129" si="6578">H1117+H1120+H1123+H1126</f>
        <v>18.995262287348876</v>
      </c>
      <c r="I1129" s="135">
        <f t="shared" si="6578"/>
        <v>27.848207638188498</v>
      </c>
      <c r="J1129" s="135">
        <f t="shared" si="6578"/>
        <v>24.220620821476395</v>
      </c>
      <c r="K1129" s="135">
        <f t="shared" si="6578"/>
        <v>34.030431696940497</v>
      </c>
      <c r="L1129" s="135">
        <f t="shared" si="6578"/>
        <v>30.415158036359735</v>
      </c>
      <c r="M1129" s="135">
        <f t="shared" si="6578"/>
        <v>172.01894552682708</v>
      </c>
      <c r="N1129" s="135">
        <f t="shared" si="6578"/>
        <v>297.59438175098001</v>
      </c>
      <c r="O1129" s="135">
        <f t="shared" si="6578"/>
        <v>276.73769321478613</v>
      </c>
      <c r="P1129" s="135">
        <f t="shared" si="6578"/>
        <v>272.62353286631696</v>
      </c>
      <c r="Q1129" s="135">
        <f t="shared" si="6578"/>
        <v>372.26934211781889</v>
      </c>
      <c r="R1129" s="135">
        <f t="shared" si="6578"/>
        <v>357.54917984807099</v>
      </c>
      <c r="S1129" s="134">
        <f t="shared" si="6578"/>
        <v>358.8080389989268</v>
      </c>
      <c r="T1129" s="135">
        <f t="shared" si="6578"/>
        <v>252.01552478061109</v>
      </c>
      <c r="U1129" s="135">
        <f t="shared" si="6578"/>
        <v>254.97219594996471</v>
      </c>
      <c r="V1129" s="135">
        <f t="shared" si="6578"/>
        <v>106.89622687141764</v>
      </c>
      <c r="W1129" s="135">
        <f t="shared" si="6578"/>
        <v>-10.010860481829013</v>
      </c>
      <c r="X1129" s="135">
        <f t="shared" si="6578"/>
        <v>102.24460509161302</v>
      </c>
      <c r="Y1129" s="135">
        <f t="shared" si="6578"/>
        <v>111.93715303798585</v>
      </c>
      <c r="Z1129" s="135">
        <f t="shared" si="6578"/>
        <v>220.16829158383871</v>
      </c>
      <c r="AA1129" s="135">
        <f t="shared" si="6578"/>
        <v>213.94964862845464</v>
      </c>
      <c r="AB1129" s="135">
        <f t="shared" si="6578"/>
        <v>236.07211997976501</v>
      </c>
      <c r="AC1129" s="135">
        <f t="shared" si="6578"/>
        <v>298.49424220615316</v>
      </c>
      <c r="AD1129" s="136">
        <f t="shared" si="6578"/>
        <v>247.47498139232135</v>
      </c>
      <c r="AE1129" s="15"/>
      <c r="AF1129" s="94">
        <f>SUM(G1129:R1129)</f>
        <v>1900.973142323691</v>
      </c>
      <c r="AG1129" s="95">
        <f>SUM(S1129:AD1129)</f>
        <v>2393.0221680392228</v>
      </c>
    </row>
    <row r="1130" spans="2:33" x14ac:dyDescent="0.2">
      <c r="B1130" s="9">
        <f>G1093</f>
        <v>23</v>
      </c>
      <c r="C1130" s="9" t="str">
        <f t="shared" si="6335"/>
        <v>23 - % of Revenue - Office EBITDA</v>
      </c>
      <c r="D1130" s="9" t="s">
        <v>56</v>
      </c>
      <c r="F1130" s="16" t="str">
        <f>"% of Revenue - "&amp;F1129</f>
        <v>% of Revenue - Office EBITDA</v>
      </c>
      <c r="G1130" s="148">
        <f>G1129/G1105</f>
        <v>0.11722538004501183</v>
      </c>
      <c r="H1130" s="149">
        <f t="shared" ref="H1130" si="6579">H1129/H1105</f>
        <v>0.12953799194134491</v>
      </c>
      <c r="I1130" s="149">
        <f t="shared" ref="I1130" si="6580">I1129/I1105</f>
        <v>0.15443489716312225</v>
      </c>
      <c r="J1130" s="149">
        <f t="shared" ref="J1130" si="6581">J1129/J1105</f>
        <v>0.14642200665209604</v>
      </c>
      <c r="K1130" s="149">
        <f t="shared" ref="K1130" si="6582">K1129/K1105</f>
        <v>0.17052055637076954</v>
      </c>
      <c r="L1130" s="149">
        <f t="shared" ref="L1130" si="6583">L1129/L1105</f>
        <v>0.16665268447113768</v>
      </c>
      <c r="M1130" s="149">
        <f t="shared" ref="M1130" si="6584">M1129/M1105</f>
        <v>0.57250987297066358</v>
      </c>
      <c r="N1130" s="149">
        <f t="shared" ref="N1130" si="6585">N1129/N1105</f>
        <v>0.71237302166533756</v>
      </c>
      <c r="O1130" s="149">
        <f t="shared" ref="O1130" si="6586">O1129/O1105</f>
        <v>0.70520076987924096</v>
      </c>
      <c r="P1130" s="149">
        <f t="shared" ref="P1130" si="6587">P1129/P1105</f>
        <v>0.70176992955828366</v>
      </c>
      <c r="Q1130" s="149">
        <f t="shared" ref="Q1130" si="6588">Q1129/Q1105</f>
        <v>0.7754026234749043</v>
      </c>
      <c r="R1130" s="149">
        <f t="shared" ref="R1130" si="6589">R1129/R1105</f>
        <v>0.80820395259817257</v>
      </c>
      <c r="S1130" s="148">
        <f t="shared" ref="S1130" si="6590">S1129/S1105</f>
        <v>0.64842872044392996</v>
      </c>
      <c r="T1130" s="149">
        <f t="shared" ref="T1130" si="6591">T1129/T1105</f>
        <v>0.53450289613839275</v>
      </c>
      <c r="U1130" s="149">
        <f t="shared" ref="U1130" si="6592">U1129/U1105</f>
        <v>0.53591706728367172</v>
      </c>
      <c r="V1130" s="149">
        <f t="shared" ref="V1130" si="6593">V1129/V1105</f>
        <v>0.299493827137844</v>
      </c>
      <c r="W1130" s="149">
        <f t="shared" ref="W1130" si="6594">W1129/W1105</f>
        <v>-4.5068264326589176E-2</v>
      </c>
      <c r="X1130" s="149">
        <f t="shared" ref="X1130" si="6595">X1129/X1105</f>
        <v>0.31463237624906615</v>
      </c>
      <c r="Y1130" s="149">
        <f t="shared" ref="Y1130" si="6596">Y1129/Y1105</f>
        <v>0.31790216986624559</v>
      </c>
      <c r="Z1130" s="149">
        <f t="shared" ref="Z1130" si="6597">Z1129/Z1105</f>
        <v>0.53825171474436584</v>
      </c>
      <c r="AA1130" s="149">
        <f t="shared" ref="AA1130" si="6598">AA1129/AA1105</f>
        <v>0.54783719891240201</v>
      </c>
      <c r="AB1130" s="149">
        <f t="shared" ref="AB1130" si="6599">AB1129/AB1105</f>
        <v>0.54872726764231516</v>
      </c>
      <c r="AC1130" s="149">
        <f t="shared" ref="AC1130" si="6600">AC1129/AC1105</f>
        <v>0.65916561912258587</v>
      </c>
      <c r="AD1130" s="150">
        <f t="shared" ref="AD1130" si="6601">AD1129/AD1105</f>
        <v>0.65316626242228848</v>
      </c>
      <c r="AE1130" s="15"/>
      <c r="AF1130" s="96">
        <f t="shared" ref="AF1130" si="6602">AF1129/AF1105</f>
        <v>0.55288529694357313</v>
      </c>
      <c r="AG1130" s="97">
        <f t="shared" ref="AG1130" si="6603">AG1129/AG1105</f>
        <v>0.49665716191303361</v>
      </c>
    </row>
    <row r="1131" spans="2:33" ht="6" customHeight="1" x14ac:dyDescent="0.2">
      <c r="B1131" s="9">
        <f>G1093</f>
        <v>23</v>
      </c>
      <c r="C1131" s="9" t="str">
        <f t="shared" si="6335"/>
        <v xml:space="preserve">23 - </v>
      </c>
      <c r="D1131" s="9" t="s">
        <v>56</v>
      </c>
      <c r="G1131" s="11"/>
      <c r="S1131" s="11"/>
      <c r="AD1131" s="15"/>
      <c r="AE1131" s="15"/>
      <c r="AF1131" s="11"/>
      <c r="AG1131" s="15"/>
    </row>
    <row r="1132" spans="2:33" x14ac:dyDescent="0.2">
      <c r="B1132" s="9">
        <f>G1093</f>
        <v>23</v>
      </c>
      <c r="C1132" s="9" t="str">
        <f t="shared" si="6335"/>
        <v>23 - Memo:</v>
      </c>
      <c r="D1132" s="9" t="s">
        <v>56</v>
      </c>
      <c r="F1132" s="6" t="s">
        <v>13</v>
      </c>
      <c r="G1132" s="11"/>
      <c r="S1132" s="11"/>
      <c r="AD1132" s="15"/>
      <c r="AE1132" s="15"/>
      <c r="AF1132" s="11"/>
      <c r="AG1132" s="15"/>
    </row>
    <row r="1133" spans="2:33" s="24" customFormat="1" x14ac:dyDescent="0.2">
      <c r="B1133" s="9">
        <f>G1093</f>
        <v>23</v>
      </c>
      <c r="C1133" s="9" t="str">
        <f t="shared" si="6335"/>
        <v>23 - Collections</v>
      </c>
      <c r="D1133" s="9" t="s">
        <v>56</v>
      </c>
      <c r="E1133" s="49"/>
      <c r="F1133" s="24" t="s">
        <v>15</v>
      </c>
      <c r="G1133" s="169">
        <f>G1134*G1103</f>
        <v>139.54844346394449</v>
      </c>
      <c r="H1133" s="170">
        <f t="shared" ref="H1133" si="6604">H1134*H1103</f>
        <v>142.98342891972422</v>
      </c>
      <c r="I1133" s="170">
        <f t="shared" ref="I1133" si="6605">I1134*I1103</f>
        <v>182.04128906775102</v>
      </c>
      <c r="J1133" s="170">
        <f t="shared" ref="J1133" si="6606">J1134*J1103</f>
        <v>162.54736818086585</v>
      </c>
      <c r="K1133" s="170">
        <f t="shared" ref="K1133" si="6607">K1134*K1103</f>
        <v>195.03972521449512</v>
      </c>
      <c r="L1133" s="170">
        <f t="shared" ref="L1133" si="6608">L1134*L1103</f>
        <v>179.52020939948397</v>
      </c>
      <c r="M1133" s="170">
        <f t="shared" ref="M1133" si="6609">M1134*M1103</f>
        <v>303.17490117309183</v>
      </c>
      <c r="N1133" s="170">
        <f t="shared" ref="N1133" si="6610">N1134*N1103</f>
        <v>407.63817643033531</v>
      </c>
      <c r="O1133" s="170">
        <f t="shared" ref="O1133" si="6611">O1134*O1103</f>
        <v>397.35915013959004</v>
      </c>
      <c r="P1133" s="170">
        <f t="shared" ref="P1133" si="6612">P1134*P1103</f>
        <v>381.66404160607522</v>
      </c>
      <c r="Q1133" s="170">
        <f t="shared" ref="Q1133" si="6613">Q1134*Q1103</f>
        <v>471.40954204567873</v>
      </c>
      <c r="R1133" s="170">
        <f t="shared" ref="R1133" si="6614">R1134*R1103</f>
        <v>447.49380635763572</v>
      </c>
      <c r="S1133" s="169">
        <f t="shared" ref="S1133" si="6615">S1134*S1103</f>
        <v>554.06906877547272</v>
      </c>
      <c r="T1133" s="170">
        <f t="shared" ref="T1133" si="6616">T1134*T1103</f>
        <v>477.35091843568728</v>
      </c>
      <c r="U1133" s="170">
        <f t="shared" ref="U1133" si="6617">U1134*U1103</f>
        <v>483.06894027976006</v>
      </c>
      <c r="V1133" s="170">
        <f t="shared" ref="V1133" si="6618">V1134*V1103</f>
        <v>364.94440845267616</v>
      </c>
      <c r="W1133" s="170">
        <f t="shared" ref="W1133" si="6619">W1134*W1103</f>
        <v>225.28118048197311</v>
      </c>
      <c r="X1133" s="170">
        <f t="shared" ref="X1133" si="6620">X1134*X1103</f>
        <v>322.76574025846492</v>
      </c>
      <c r="Y1133" s="170">
        <f t="shared" ref="Y1133" si="6621">Y1134*Y1103</f>
        <v>360.81519769319158</v>
      </c>
      <c r="Z1133" s="170">
        <f t="shared" ref="Z1133" si="6622">Z1134*Z1103</f>
        <v>414.41177355941716</v>
      </c>
      <c r="AA1133" s="170">
        <f t="shared" ref="AA1133" si="6623">AA1134*AA1103</f>
        <v>390.35788525994911</v>
      </c>
      <c r="AB1133" s="170">
        <f t="shared" ref="AB1133" si="6624">AB1134*AB1103</f>
        <v>428.91505392270449</v>
      </c>
      <c r="AC1133" s="170">
        <f t="shared" ref="AC1133" si="6625">AC1134*AC1103</f>
        <v>456.61115277269511</v>
      </c>
      <c r="AD1133" s="171">
        <f t="shared" ref="AD1133" si="6626">AD1134*AD1103</f>
        <v>379.85598574168068</v>
      </c>
      <c r="AE1133" s="26"/>
      <c r="AF1133" s="68">
        <f>SUM(G1133:R1133)</f>
        <v>3410.4200819986718</v>
      </c>
      <c r="AG1133" s="99">
        <f>SUM(S1133:AD1133)</f>
        <v>4858.4473056336719</v>
      </c>
    </row>
    <row r="1134" spans="2:33" x14ac:dyDescent="0.2">
      <c r="B1134" s="9">
        <f>G1093</f>
        <v>23</v>
      </c>
      <c r="C1134" s="9" t="str">
        <f t="shared" si="6335"/>
        <v>23 - Collections as a % of Production</v>
      </c>
      <c r="D1134" s="9" t="s">
        <v>56</v>
      </c>
      <c r="F1134" s="16" t="s">
        <v>17</v>
      </c>
      <c r="G1134" s="140">
        <v>0.9678207025740575</v>
      </c>
      <c r="H1134" s="141">
        <v>0.96168203858366452</v>
      </c>
      <c r="I1134" s="141">
        <v>0.99566221972170965</v>
      </c>
      <c r="J1134" s="141">
        <v>0.9691588301200299</v>
      </c>
      <c r="K1134" s="141">
        <v>0.96388737115002465</v>
      </c>
      <c r="L1134" s="141">
        <v>0.9701290594413452</v>
      </c>
      <c r="M1134" s="141">
        <v>0.9951622086042301</v>
      </c>
      <c r="N1134" s="141">
        <v>0.96239092090412637</v>
      </c>
      <c r="O1134" s="141">
        <v>0.99866909563116757</v>
      </c>
      <c r="P1134" s="141">
        <v>0.96896165228963294</v>
      </c>
      <c r="Q1134" s="141">
        <v>0.96841675451314047</v>
      </c>
      <c r="R1134" s="141">
        <v>0.9976222894488096</v>
      </c>
      <c r="S1134" s="140">
        <v>0.97370001562703612</v>
      </c>
      <c r="T1134" s="141">
        <v>0.98451360736164939</v>
      </c>
      <c r="U1134" s="141">
        <v>0.98735896000341938</v>
      </c>
      <c r="V1134" s="141">
        <v>0.99429076674658678</v>
      </c>
      <c r="W1134" s="141">
        <v>0.98624662554274789</v>
      </c>
      <c r="X1134" s="141">
        <v>0.9658543322172829</v>
      </c>
      <c r="Y1134" s="141">
        <v>0.99647234482044045</v>
      </c>
      <c r="Z1134" s="141">
        <v>0.9851989220779086</v>
      </c>
      <c r="AA1134" s="141">
        <v>0.97199513272644744</v>
      </c>
      <c r="AB1134" s="141">
        <v>0.96949221069790359</v>
      </c>
      <c r="AC1134" s="141">
        <v>0.98054221752917503</v>
      </c>
      <c r="AD1134" s="142">
        <v>0.97492815255013765</v>
      </c>
      <c r="AE1134" s="15"/>
      <c r="AF1134" s="96">
        <f t="shared" ref="AF1134" si="6627">AF1133/AF1103</f>
        <v>0.97827480336689698</v>
      </c>
      <c r="AG1134" s="97">
        <f t="shared" ref="AG1134" si="6628">AG1133/AG1103</f>
        <v>0.98054757633232159</v>
      </c>
    </row>
    <row r="1135" spans="2:33" ht="6" customHeight="1" x14ac:dyDescent="0.2">
      <c r="B1135" s="9">
        <f>G1093</f>
        <v>23</v>
      </c>
      <c r="C1135" s="9" t="str">
        <f t="shared" si="6335"/>
        <v xml:space="preserve">23 - </v>
      </c>
      <c r="D1135" s="9" t="s">
        <v>56</v>
      </c>
      <c r="F1135" s="27"/>
      <c r="R1135" s="15"/>
      <c r="AD1135" s="15"/>
      <c r="AE1135" s="15"/>
      <c r="AF1135" s="11"/>
      <c r="AG1135" s="15"/>
    </row>
    <row r="1136" spans="2:33" s="24" customFormat="1" x14ac:dyDescent="0.2">
      <c r="B1136" s="9">
        <f>G1093</f>
        <v>23</v>
      </c>
      <c r="C1136" s="9" t="str">
        <f t="shared" si="6335"/>
        <v>23 - Production per Vet Workday - YoY Change</v>
      </c>
      <c r="D1136" s="9" t="s">
        <v>56</v>
      </c>
      <c r="E1136" s="49"/>
      <c r="F1136" s="24" t="s">
        <v>55</v>
      </c>
      <c r="G1136" s="88"/>
      <c r="H1136" s="89"/>
      <c r="I1136" s="89"/>
      <c r="J1136" s="89"/>
      <c r="K1136" s="89"/>
      <c r="L1136" s="89"/>
      <c r="M1136" s="89"/>
      <c r="N1136" s="89"/>
      <c r="O1136" s="89"/>
      <c r="P1136" s="89"/>
      <c r="Q1136" s="89"/>
      <c r="R1136" s="89"/>
      <c r="S1136" s="151">
        <f>S1102/G1102-1</f>
        <v>-5.6279272685438086E-2</v>
      </c>
      <c r="T1136" s="152">
        <f t="shared" ref="T1136" si="6629">T1102/H1102-1</f>
        <v>3.7617279828802808E-2</v>
      </c>
      <c r="U1136" s="152">
        <f t="shared" ref="U1136" si="6630">U1102/I1102-1</f>
        <v>-2.6931362447520701E-2</v>
      </c>
      <c r="V1136" s="152">
        <f t="shared" ref="V1136" si="6631">V1102/J1102-1</f>
        <v>4.4467523288705735E-2</v>
      </c>
      <c r="W1136" s="152">
        <f t="shared" ref="W1136" si="6632">W1102/K1102-1</f>
        <v>8.1830424440825666E-2</v>
      </c>
      <c r="X1136" s="152">
        <f t="shared" ref="X1136" si="6633">X1102/L1102-1</f>
        <v>-1.1058705745358055E-2</v>
      </c>
      <c r="Y1136" s="152">
        <f t="shared" ref="Y1136" si="6634">Y1102/M1102-1</f>
        <v>0.1368811013056539</v>
      </c>
      <c r="Z1136" s="152">
        <f t="shared" ref="Z1136" si="6635">Z1102/N1102-1</f>
        <v>3.6258796556801975E-2</v>
      </c>
      <c r="AA1136" s="152">
        <f t="shared" ref="AA1136" si="6636">AA1102/O1102-1</f>
        <v>5.7403259803538109E-2</v>
      </c>
      <c r="AB1136" s="152">
        <f t="shared" ref="AB1136" si="6637">AB1102/P1102-1</f>
        <v>2.9588656347595998E-2</v>
      </c>
      <c r="AC1136" s="152">
        <f t="shared" ref="AC1136" si="6638">AC1102/Q1102-1</f>
        <v>1.1352057345059841E-4</v>
      </c>
      <c r="AD1136" s="153">
        <f t="shared" ref="AD1136" si="6639">AD1102/R1102-1</f>
        <v>8.5764132647216051E-2</v>
      </c>
      <c r="AF1136" s="43"/>
      <c r="AG1136" s="104">
        <f>AG1102/AF1102-1</f>
        <v>3.4867561274782632E-2</v>
      </c>
    </row>
    <row r="1137" spans="2:34" s="24" customFormat="1" ht="6" customHeight="1" x14ac:dyDescent="0.2">
      <c r="D1137" s="9" t="s">
        <v>56</v>
      </c>
      <c r="E1137" s="49"/>
      <c r="G1137" s="28"/>
      <c r="H1137" s="30"/>
      <c r="I1137" s="30"/>
      <c r="J1137" s="30"/>
      <c r="K1137" s="30"/>
      <c r="L1137" s="30"/>
      <c r="M1137" s="30"/>
      <c r="N1137" s="30"/>
      <c r="O1137" s="30"/>
      <c r="P1137" s="30"/>
      <c r="Q1137" s="30"/>
      <c r="R1137" s="29"/>
      <c r="S1137" s="30"/>
      <c r="T1137" s="30"/>
      <c r="U1137" s="30"/>
      <c r="V1137" s="30"/>
      <c r="W1137" s="30"/>
      <c r="X1137" s="30"/>
      <c r="Y1137" s="30"/>
      <c r="Z1137" s="30"/>
      <c r="AA1137" s="30"/>
      <c r="AB1137" s="30"/>
      <c r="AC1137" s="30"/>
      <c r="AD1137" s="29"/>
      <c r="AE1137" s="25"/>
      <c r="AF1137" s="28"/>
      <c r="AG1137" s="29"/>
    </row>
    <row r="1138" spans="2:34" s="24" customFormat="1" ht="6" customHeight="1" x14ac:dyDescent="0.2">
      <c r="D1138" s="9" t="s">
        <v>56</v>
      </c>
      <c r="E1138" s="49"/>
    </row>
    <row r="1139" spans="2:34" x14ac:dyDescent="0.2">
      <c r="D1139" s="9" t="s">
        <v>56</v>
      </c>
      <c r="F1139" s="16"/>
    </row>
    <row r="1140" spans="2:34" ht="15.75" thickBot="1" x14ac:dyDescent="0.4">
      <c r="B1140" s="35" t="s">
        <v>52</v>
      </c>
      <c r="C1140" s="35"/>
      <c r="D1140" s="9" t="s">
        <v>56</v>
      </c>
      <c r="E1140" s="48" t="s">
        <v>0</v>
      </c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74">
        <f ca="1">AG$2</f>
        <v>45999</v>
      </c>
      <c r="AH1140" s="1"/>
    </row>
    <row r="1141" spans="2:34" x14ac:dyDescent="0.2">
      <c r="B1141" s="9">
        <f>G1142</f>
        <v>24</v>
      </c>
      <c r="C1141" s="9"/>
      <c r="D1141" s="9" t="s">
        <v>56</v>
      </c>
      <c r="F1141" t="s">
        <v>159</v>
      </c>
      <c r="AG1141" s="6" t="s">
        <v>16</v>
      </c>
    </row>
    <row r="1142" spans="2:34" x14ac:dyDescent="0.2">
      <c r="B1142" s="9">
        <f>G1142</f>
        <v>24</v>
      </c>
      <c r="C1142" s="9"/>
      <c r="D1142" s="9" t="s">
        <v>56</v>
      </c>
      <c r="F1142" s="40" t="s">
        <v>53</v>
      </c>
      <c r="G1142" s="42">
        <v>24</v>
      </c>
    </row>
    <row r="1143" spans="2:34" x14ac:dyDescent="0.2">
      <c r="B1143" s="9">
        <f>G1142</f>
        <v>24</v>
      </c>
      <c r="C1143" s="9"/>
      <c r="D1143" s="9" t="s">
        <v>56</v>
      </c>
      <c r="F1143" s="39" t="s">
        <v>41</v>
      </c>
      <c r="G1143" s="41"/>
      <c r="H1143" s="11"/>
    </row>
    <row r="1144" spans="2:34" x14ac:dyDescent="0.2">
      <c r="B1144" s="9">
        <f>G1142</f>
        <v>24</v>
      </c>
      <c r="C1144" s="9"/>
      <c r="D1144" s="9" t="s">
        <v>56</v>
      </c>
      <c r="G1144" s="23"/>
    </row>
    <row r="1145" spans="2:34" x14ac:dyDescent="0.2">
      <c r="B1145" s="9">
        <f>G1142</f>
        <v>24</v>
      </c>
      <c r="C1145" s="9"/>
      <c r="D1145" s="9" t="s">
        <v>56</v>
      </c>
      <c r="G1145" s="20">
        <v>2023</v>
      </c>
      <c r="H1145" s="21"/>
      <c r="I1145" s="21"/>
      <c r="J1145" s="21"/>
      <c r="K1145" s="21"/>
      <c r="L1145" s="21"/>
      <c r="M1145" s="21"/>
      <c r="N1145" s="21"/>
      <c r="O1145" s="21"/>
      <c r="P1145" s="21"/>
      <c r="Q1145" s="21"/>
      <c r="R1145" s="22"/>
      <c r="S1145" s="20">
        <v>2024</v>
      </c>
      <c r="T1145" s="21"/>
      <c r="U1145" s="21"/>
      <c r="V1145" s="21"/>
      <c r="W1145" s="21"/>
      <c r="X1145" s="21"/>
      <c r="Y1145" s="21"/>
      <c r="Z1145" s="21"/>
      <c r="AA1145" s="21"/>
      <c r="AB1145" s="21"/>
      <c r="AC1145" s="21"/>
      <c r="AD1145" s="22"/>
      <c r="AF1145" s="17" t="s">
        <v>14</v>
      </c>
      <c r="AG1145" s="18"/>
    </row>
    <row r="1146" spans="2:34" ht="15" customHeight="1" x14ac:dyDescent="0.35">
      <c r="B1146" s="9">
        <f>G1142</f>
        <v>24</v>
      </c>
      <c r="C1146" s="9"/>
      <c r="D1146" s="9" t="s">
        <v>56</v>
      </c>
      <c r="G1146" s="165">
        <v>44957</v>
      </c>
      <c r="H1146" s="166">
        <v>44985</v>
      </c>
      <c r="I1146" s="166">
        <v>45016</v>
      </c>
      <c r="J1146" s="166">
        <v>45046</v>
      </c>
      <c r="K1146" s="166">
        <v>45077</v>
      </c>
      <c r="L1146" s="166">
        <v>45107</v>
      </c>
      <c r="M1146" s="166">
        <v>45138</v>
      </c>
      <c r="N1146" s="166">
        <v>45169</v>
      </c>
      <c r="O1146" s="166">
        <v>45199</v>
      </c>
      <c r="P1146" s="166">
        <v>45230</v>
      </c>
      <c r="Q1146" s="166">
        <v>45260</v>
      </c>
      <c r="R1146" s="167">
        <v>45291</v>
      </c>
      <c r="S1146" s="165">
        <v>45322</v>
      </c>
      <c r="T1146" s="166">
        <v>45351</v>
      </c>
      <c r="U1146" s="166">
        <v>45382</v>
      </c>
      <c r="V1146" s="166">
        <v>45412</v>
      </c>
      <c r="W1146" s="166">
        <v>45443</v>
      </c>
      <c r="X1146" s="166">
        <v>45473</v>
      </c>
      <c r="Y1146" s="166">
        <v>45504</v>
      </c>
      <c r="Z1146" s="166">
        <v>45535</v>
      </c>
      <c r="AA1146" s="166">
        <v>45565</v>
      </c>
      <c r="AB1146" s="166">
        <v>45596</v>
      </c>
      <c r="AC1146" s="166">
        <v>45626</v>
      </c>
      <c r="AD1146" s="167">
        <v>45657</v>
      </c>
      <c r="AE1146" s="168"/>
      <c r="AF1146" s="13">
        <v>45291</v>
      </c>
      <c r="AG1146" s="14">
        <v>45657</v>
      </c>
    </row>
    <row r="1147" spans="2:34" ht="0.95" customHeight="1" x14ac:dyDescent="0.2">
      <c r="B1147" s="9">
        <f>G1142</f>
        <v>24</v>
      </c>
      <c r="C1147" s="9"/>
      <c r="D1147" s="9" t="s">
        <v>56</v>
      </c>
      <c r="G1147" s="11"/>
      <c r="S1147" s="11"/>
      <c r="AD1147" s="15"/>
      <c r="AE1147" s="15"/>
      <c r="AF1147" s="11"/>
      <c r="AG1147" s="15"/>
    </row>
    <row r="1148" spans="2:34" x14ac:dyDescent="0.2">
      <c r="B1148" s="9">
        <f>G1142</f>
        <v>24</v>
      </c>
      <c r="C1148" s="9" t="str">
        <f>B1148&amp;" - "&amp;F1148</f>
        <v>24 - Employed Vets</v>
      </c>
      <c r="D1148" s="9" t="s">
        <v>56</v>
      </c>
      <c r="F1148" s="7" t="s">
        <v>160</v>
      </c>
      <c r="G1148" s="121">
        <v>3</v>
      </c>
      <c r="H1148" s="154">
        <f>MAX(MIN(IF(H1151/G1151&gt;1.1,G1148-1,IF(H1151/G1151&lt;0.9,G1148+1,G1148)),5),1)</f>
        <v>3</v>
      </c>
      <c r="I1148" s="154">
        <f t="shared" ref="I1148:AC1148" si="6640">MAX(MIN(IF(I1151/H1151&gt;1.1,H1148-1,IF(I1151/H1151&lt;0.9,H1148+1,H1148)),5),1)</f>
        <v>3</v>
      </c>
      <c r="J1148" s="154">
        <f t="shared" si="6640"/>
        <v>3</v>
      </c>
      <c r="K1148" s="154">
        <f t="shared" si="6640"/>
        <v>3</v>
      </c>
      <c r="L1148" s="154">
        <f t="shared" si="6640"/>
        <v>3</v>
      </c>
      <c r="M1148" s="154">
        <f t="shared" si="6640"/>
        <v>3</v>
      </c>
      <c r="N1148" s="154">
        <f t="shared" si="6640"/>
        <v>4</v>
      </c>
      <c r="O1148" s="154">
        <f t="shared" si="6640"/>
        <v>4</v>
      </c>
      <c r="P1148" s="154">
        <f t="shared" si="6640"/>
        <v>4</v>
      </c>
      <c r="Q1148" s="154">
        <f t="shared" si="6640"/>
        <v>5</v>
      </c>
      <c r="R1148" s="154">
        <f t="shared" si="6640"/>
        <v>5</v>
      </c>
      <c r="S1148" s="155">
        <f t="shared" si="6640"/>
        <v>4</v>
      </c>
      <c r="T1148" s="154">
        <f t="shared" si="6640"/>
        <v>3</v>
      </c>
      <c r="U1148" s="154">
        <f t="shared" si="6640"/>
        <v>3</v>
      </c>
      <c r="V1148" s="154">
        <f t="shared" si="6640"/>
        <v>3</v>
      </c>
      <c r="W1148" s="154">
        <f t="shared" si="6640"/>
        <v>2</v>
      </c>
      <c r="X1148" s="154">
        <f t="shared" si="6640"/>
        <v>2</v>
      </c>
      <c r="Y1148" s="154">
        <f t="shared" si="6640"/>
        <v>3</v>
      </c>
      <c r="Z1148" s="154">
        <f t="shared" si="6640"/>
        <v>4</v>
      </c>
      <c r="AA1148" s="154">
        <f t="shared" si="6640"/>
        <v>4</v>
      </c>
      <c r="AB1148" s="154">
        <f t="shared" si="6640"/>
        <v>4</v>
      </c>
      <c r="AC1148" s="154">
        <f t="shared" si="6640"/>
        <v>5</v>
      </c>
      <c r="AD1148" s="156">
        <f>AC1148</f>
        <v>5</v>
      </c>
      <c r="AE1148" s="15"/>
      <c r="AF1148" s="90">
        <f>AVERAGE(G1148:R1148)</f>
        <v>3.5833333333333335</v>
      </c>
      <c r="AG1148" s="91">
        <f>AVERAGE(S1148:AD1148)</f>
        <v>3.5</v>
      </c>
    </row>
    <row r="1149" spans="2:34" x14ac:dyDescent="0.2">
      <c r="B1149" s="9">
        <f>G1142</f>
        <v>24</v>
      </c>
      <c r="C1149" s="9" t="str">
        <f t="shared" ref="C1149:C1185" si="6641">B1149&amp;" - "&amp;F1149</f>
        <v>24 - Workdays in Month / Year</v>
      </c>
      <c r="D1149" s="9" t="s">
        <v>56</v>
      </c>
      <c r="F1149" s="7" t="s">
        <v>54</v>
      </c>
      <c r="G1149" s="121">
        <v>22</v>
      </c>
      <c r="H1149" s="124">
        <v>21</v>
      </c>
      <c r="I1149" s="124">
        <v>24</v>
      </c>
      <c r="J1149" s="122">
        <v>21</v>
      </c>
      <c r="K1149" s="122">
        <v>23</v>
      </c>
      <c r="L1149" s="122">
        <v>23</v>
      </c>
      <c r="M1149" s="122">
        <v>22</v>
      </c>
      <c r="N1149" s="122">
        <v>24</v>
      </c>
      <c r="O1149" s="122">
        <v>22</v>
      </c>
      <c r="P1149" s="122">
        <v>22</v>
      </c>
      <c r="Q1149" s="122">
        <v>23</v>
      </c>
      <c r="R1149" s="122">
        <v>22</v>
      </c>
      <c r="S1149" s="121">
        <v>23</v>
      </c>
      <c r="T1149" s="122">
        <v>22</v>
      </c>
      <c r="U1149" s="122">
        <v>22</v>
      </c>
      <c r="V1149" s="122">
        <v>22</v>
      </c>
      <c r="W1149" s="122">
        <v>24</v>
      </c>
      <c r="X1149" s="122">
        <v>21</v>
      </c>
      <c r="Y1149" s="122">
        <v>23</v>
      </c>
      <c r="Z1149" s="122">
        <v>23</v>
      </c>
      <c r="AA1149" s="122">
        <v>21</v>
      </c>
      <c r="AB1149" s="122">
        <v>24</v>
      </c>
      <c r="AC1149" s="122">
        <v>22</v>
      </c>
      <c r="AD1149" s="123">
        <v>22</v>
      </c>
      <c r="AE1149" s="15"/>
      <c r="AF1149" s="144">
        <v>269</v>
      </c>
      <c r="AG1149" s="145">
        <v>269</v>
      </c>
    </row>
    <row r="1150" spans="2:34" x14ac:dyDescent="0.2">
      <c r="B1150" s="9">
        <f>G1142</f>
        <v>24</v>
      </c>
      <c r="C1150" s="9" t="str">
        <f t="shared" si="6641"/>
        <v>24 - Total Vet Days</v>
      </c>
      <c r="D1150" s="9" t="s">
        <v>56</v>
      </c>
      <c r="F1150" s="8" t="s">
        <v>51</v>
      </c>
      <c r="G1150" s="125">
        <f>G1148*G1149</f>
        <v>66</v>
      </c>
      <c r="H1150" s="126">
        <f t="shared" ref="H1150" si="6642">H1148*H1149</f>
        <v>63</v>
      </c>
      <c r="I1150" s="126">
        <f t="shared" ref="I1150" si="6643">I1148*I1149</f>
        <v>72</v>
      </c>
      <c r="J1150" s="127">
        <f t="shared" ref="J1150" si="6644">J1148*J1149</f>
        <v>63</v>
      </c>
      <c r="K1150" s="127">
        <f t="shared" ref="K1150" si="6645">K1148*K1149</f>
        <v>69</v>
      </c>
      <c r="L1150" s="127">
        <f t="shared" ref="L1150" si="6646">L1148*L1149</f>
        <v>69</v>
      </c>
      <c r="M1150" s="127">
        <f t="shared" ref="M1150" si="6647">M1148*M1149</f>
        <v>66</v>
      </c>
      <c r="N1150" s="127">
        <f t="shared" ref="N1150" si="6648">N1148*N1149</f>
        <v>96</v>
      </c>
      <c r="O1150" s="127">
        <f t="shared" ref="O1150" si="6649">O1148*O1149</f>
        <v>88</v>
      </c>
      <c r="P1150" s="127">
        <f t="shared" ref="P1150" si="6650">P1148*P1149</f>
        <v>88</v>
      </c>
      <c r="Q1150" s="127">
        <f t="shared" ref="Q1150" si="6651">Q1148*Q1149</f>
        <v>115</v>
      </c>
      <c r="R1150" s="127">
        <f t="shared" ref="R1150" si="6652">R1148*R1149</f>
        <v>110</v>
      </c>
      <c r="S1150" s="125">
        <f t="shared" ref="S1150" si="6653">S1148*S1149</f>
        <v>92</v>
      </c>
      <c r="T1150" s="127">
        <f t="shared" ref="T1150" si="6654">T1148*T1149</f>
        <v>66</v>
      </c>
      <c r="U1150" s="127">
        <f t="shared" ref="U1150" si="6655">U1148*U1149</f>
        <v>66</v>
      </c>
      <c r="V1150" s="127">
        <f t="shared" ref="V1150" si="6656">V1148*V1149</f>
        <v>66</v>
      </c>
      <c r="W1150" s="127">
        <f t="shared" ref="W1150" si="6657">W1148*W1149</f>
        <v>48</v>
      </c>
      <c r="X1150" s="127">
        <f t="shared" ref="X1150" si="6658">X1148*X1149</f>
        <v>42</v>
      </c>
      <c r="Y1150" s="127">
        <f t="shared" ref="Y1150" si="6659">Y1148*Y1149</f>
        <v>69</v>
      </c>
      <c r="Z1150" s="127">
        <f t="shared" ref="Z1150" si="6660">Z1148*Z1149</f>
        <v>92</v>
      </c>
      <c r="AA1150" s="127">
        <f t="shared" ref="AA1150" si="6661">AA1148*AA1149</f>
        <v>84</v>
      </c>
      <c r="AB1150" s="127">
        <f t="shared" ref="AB1150" si="6662">AB1148*AB1149</f>
        <v>96</v>
      </c>
      <c r="AC1150" s="127">
        <f t="shared" ref="AC1150" si="6663">AC1148*AC1149</f>
        <v>110</v>
      </c>
      <c r="AD1150" s="128">
        <f t="shared" ref="AD1150" si="6664">AD1148*AD1149</f>
        <v>110</v>
      </c>
      <c r="AF1150" s="119">
        <f>SUM(G1150:R1150)</f>
        <v>965</v>
      </c>
      <c r="AG1150" s="120">
        <f>SUM(S1150:AD1150)</f>
        <v>941</v>
      </c>
    </row>
    <row r="1151" spans="2:34" x14ac:dyDescent="0.2">
      <c r="B1151" s="9">
        <f>G1142</f>
        <v>24</v>
      </c>
      <c r="C1151" s="9" t="str">
        <f t="shared" si="6641"/>
        <v>24 - Production per Vet Workday</v>
      </c>
      <c r="D1151" s="9" t="s">
        <v>56</v>
      </c>
      <c r="F1151" s="7" t="s">
        <v>50</v>
      </c>
      <c r="G1151" s="129">
        <v>4.4611851752067544</v>
      </c>
      <c r="H1151" s="130">
        <v>4.6336101942124817</v>
      </c>
      <c r="I1151" s="130">
        <v>4.9254449490799947</v>
      </c>
      <c r="J1151" s="130">
        <v>5.1677009237343539</v>
      </c>
      <c r="K1151" s="130">
        <v>5.3799598306538865</v>
      </c>
      <c r="L1151" s="130">
        <v>4.9066958341472047</v>
      </c>
      <c r="M1151" s="130">
        <v>4.416365889989037</v>
      </c>
      <c r="N1151" s="130">
        <v>3.7591778629690076</v>
      </c>
      <c r="O1151" s="130">
        <v>3.7574337427438698</v>
      </c>
      <c r="P1151" s="130">
        <v>3.8893333534925079</v>
      </c>
      <c r="Q1151" s="130">
        <v>3.3060717251552325</v>
      </c>
      <c r="R1151" s="130">
        <v>2.7763876615401499</v>
      </c>
      <c r="S1151" s="129">
        <v>3.7277787739567994</v>
      </c>
      <c r="T1151" s="130">
        <v>4.5778754052668633</v>
      </c>
      <c r="U1151" s="130">
        <v>4.9243551031310426</v>
      </c>
      <c r="V1151" s="130">
        <v>4.6895737892199962</v>
      </c>
      <c r="W1151" s="130">
        <v>5.2609871121915539</v>
      </c>
      <c r="X1151" s="130">
        <v>5.1830433074024738</v>
      </c>
      <c r="Y1151" s="130">
        <v>4.6066286449595202</v>
      </c>
      <c r="Z1151" s="130">
        <v>3.7127459690287363</v>
      </c>
      <c r="AA1151" s="130">
        <v>4.0422398148010688</v>
      </c>
      <c r="AB1151" s="130">
        <v>3.8430214112915166</v>
      </c>
      <c r="AC1151" s="130">
        <v>3.2507361734490328</v>
      </c>
      <c r="AD1151" s="131">
        <v>2.9271333798079291</v>
      </c>
      <c r="AE1151" s="15"/>
      <c r="AF1151" s="132">
        <v>4.2806941971763797</v>
      </c>
      <c r="AG1151" s="133">
        <v>4.2284182259176628</v>
      </c>
    </row>
    <row r="1152" spans="2:34" x14ac:dyDescent="0.2">
      <c r="B1152" s="9">
        <f>G1142</f>
        <v>24</v>
      </c>
      <c r="C1152" s="9" t="str">
        <f t="shared" si="6641"/>
        <v>24 - Total Production</v>
      </c>
      <c r="D1152" s="9" t="s">
        <v>56</v>
      </c>
      <c r="F1152" s="8" t="s">
        <v>1</v>
      </c>
      <c r="G1152" s="134">
        <f>G1151*G1150</f>
        <v>294.43822156364581</v>
      </c>
      <c r="H1152" s="135">
        <f t="shared" ref="H1152" si="6665">H1151*H1150</f>
        <v>291.91744223538632</v>
      </c>
      <c r="I1152" s="135">
        <f t="shared" ref="I1152" si="6666">I1151*I1150</f>
        <v>354.63203633375963</v>
      </c>
      <c r="J1152" s="135">
        <f t="shared" ref="J1152" si="6667">J1151*J1150</f>
        <v>325.5651581952643</v>
      </c>
      <c r="K1152" s="135">
        <f t="shared" ref="K1152" si="6668">K1151*K1150</f>
        <v>371.21722831511818</v>
      </c>
      <c r="L1152" s="135">
        <f t="shared" ref="L1152" si="6669">L1151*L1150</f>
        <v>338.56201255615713</v>
      </c>
      <c r="M1152" s="135">
        <f t="shared" ref="M1152" si="6670">M1151*M1150</f>
        <v>291.48014873927644</v>
      </c>
      <c r="N1152" s="135">
        <f t="shared" ref="N1152" si="6671">N1151*N1150</f>
        <v>360.88107484502473</v>
      </c>
      <c r="O1152" s="135">
        <f t="shared" ref="O1152" si="6672">O1151*O1150</f>
        <v>330.65416936146056</v>
      </c>
      <c r="P1152" s="135">
        <f t="shared" ref="P1152" si="6673">P1151*P1150</f>
        <v>342.2613351073407</v>
      </c>
      <c r="Q1152" s="135">
        <f t="shared" ref="Q1152" si="6674">Q1151*Q1150</f>
        <v>380.19824839285172</v>
      </c>
      <c r="R1152" s="135">
        <f t="shared" ref="R1152" si="6675">R1151*R1150</f>
        <v>305.4026427694165</v>
      </c>
      <c r="S1152" s="134">
        <f t="shared" ref="S1152" si="6676">S1151*S1150</f>
        <v>342.95564720402552</v>
      </c>
      <c r="T1152" s="135">
        <f t="shared" ref="T1152" si="6677">T1151*T1150</f>
        <v>302.13977674761298</v>
      </c>
      <c r="U1152" s="135">
        <f t="shared" ref="U1152" si="6678">U1151*U1150</f>
        <v>325.0074368066488</v>
      </c>
      <c r="V1152" s="135">
        <f t="shared" ref="V1152" si="6679">V1151*V1150</f>
        <v>309.51187008851974</v>
      </c>
      <c r="W1152" s="135">
        <f t="shared" ref="W1152" si="6680">W1151*W1150</f>
        <v>252.52738138519459</v>
      </c>
      <c r="X1152" s="135">
        <f t="shared" ref="X1152" si="6681">X1151*X1150</f>
        <v>217.6878189109039</v>
      </c>
      <c r="Y1152" s="135">
        <f t="shared" ref="Y1152" si="6682">Y1151*Y1150</f>
        <v>317.85737650220688</v>
      </c>
      <c r="Z1152" s="135">
        <f t="shared" ref="Z1152" si="6683">Z1151*Z1150</f>
        <v>341.57262915064376</v>
      </c>
      <c r="AA1152" s="135">
        <f t="shared" ref="AA1152" si="6684">AA1151*AA1150</f>
        <v>339.5481444432898</v>
      </c>
      <c r="AB1152" s="135">
        <f t="shared" ref="AB1152" si="6685">AB1151*AB1150</f>
        <v>368.9300554839856</v>
      </c>
      <c r="AC1152" s="135">
        <f t="shared" ref="AC1152" si="6686">AC1151*AC1150</f>
        <v>357.58097907939361</v>
      </c>
      <c r="AD1152" s="136">
        <f t="shared" ref="AD1152" si="6687">AD1151*AD1150</f>
        <v>321.98467177887221</v>
      </c>
      <c r="AE1152" s="15"/>
      <c r="AF1152" s="94">
        <f>SUM(G1152:R1152)</f>
        <v>3987.2097184147019</v>
      </c>
      <c r="AG1152" s="95">
        <f>SUM(S1152:AD1152)</f>
        <v>3797.3037875812979</v>
      </c>
    </row>
    <row r="1153" spans="2:33" x14ac:dyDescent="0.2">
      <c r="B1153" s="9">
        <f>G1142</f>
        <v>24</v>
      </c>
      <c r="C1153" s="9" t="str">
        <f t="shared" si="6641"/>
        <v>24 - Revenue as a % of Production</v>
      </c>
      <c r="D1153" s="9" t="s">
        <v>56</v>
      </c>
      <c r="F1153" s="7" t="s">
        <v>2</v>
      </c>
      <c r="G1153" s="137">
        <v>0.97291872758210851</v>
      </c>
      <c r="H1153" s="138">
        <v>0.97291872758210851</v>
      </c>
      <c r="I1153" s="138">
        <v>0.97291872758210851</v>
      </c>
      <c r="J1153" s="138">
        <v>0.97291872758210851</v>
      </c>
      <c r="K1153" s="138">
        <v>0.97291872758210851</v>
      </c>
      <c r="L1153" s="138">
        <v>0.97291872758210851</v>
      </c>
      <c r="M1153" s="138">
        <v>0.97291872758210851</v>
      </c>
      <c r="N1153" s="138">
        <v>0.97291872758210851</v>
      </c>
      <c r="O1153" s="138">
        <v>0.97291872758210851</v>
      </c>
      <c r="P1153" s="138">
        <v>0.97291872758210851</v>
      </c>
      <c r="Q1153" s="138">
        <v>0.97291872758210851</v>
      </c>
      <c r="R1153" s="138">
        <v>0.97291872758210851</v>
      </c>
      <c r="S1153" s="137">
        <v>0.98118829783860007</v>
      </c>
      <c r="T1153" s="138">
        <v>0.98118829783860007</v>
      </c>
      <c r="U1153" s="138">
        <v>0.98118829783860007</v>
      </c>
      <c r="V1153" s="138">
        <v>0.98118829783860007</v>
      </c>
      <c r="W1153" s="138">
        <v>0.98118829783860007</v>
      </c>
      <c r="X1153" s="138">
        <v>0.98118829783860007</v>
      </c>
      <c r="Y1153" s="138">
        <v>0.98118829783860007</v>
      </c>
      <c r="Z1153" s="138">
        <v>0.98118829783860007</v>
      </c>
      <c r="AA1153" s="138">
        <v>0.98118829783860007</v>
      </c>
      <c r="AB1153" s="138">
        <v>0.98118829783860007</v>
      </c>
      <c r="AC1153" s="138">
        <v>0.98118829783860007</v>
      </c>
      <c r="AD1153" s="139">
        <v>0.98118829783860007</v>
      </c>
      <c r="AE1153" s="15"/>
      <c r="AF1153" s="161">
        <v>0.9729187275821084</v>
      </c>
      <c r="AG1153" s="162">
        <v>0.98118829783860007</v>
      </c>
    </row>
    <row r="1154" spans="2:33" x14ac:dyDescent="0.2">
      <c r="B1154" s="9">
        <f>G1142</f>
        <v>24</v>
      </c>
      <c r="C1154" s="9" t="str">
        <f t="shared" si="6641"/>
        <v>24 - Total Revenue</v>
      </c>
      <c r="D1154" s="9" t="s">
        <v>56</v>
      </c>
      <c r="F1154" s="8" t="s">
        <v>3</v>
      </c>
      <c r="G1154" s="134">
        <f>G1153*G1152</f>
        <v>286.46445987524123</v>
      </c>
      <c r="H1154" s="135">
        <f t="shared" ref="H1154" si="6688">H1153*H1152</f>
        <v>284.01194645867571</v>
      </c>
      <c r="I1154" s="135">
        <f t="shared" ref="I1154" si="6689">I1153*I1152</f>
        <v>345.02814954969347</v>
      </c>
      <c r="J1154" s="135">
        <f t="shared" ref="J1154" si="6690">J1153*J1152</f>
        <v>316.74843945640441</v>
      </c>
      <c r="K1154" s="135">
        <f t="shared" ref="K1154" si="6691">K1153*K1152</f>
        <v>361.16419342890185</v>
      </c>
      <c r="L1154" s="135">
        <f t="shared" ref="L1154" si="6692">L1153*L1152</f>
        <v>329.39332246377421</v>
      </c>
      <c r="M1154" s="135">
        <f t="shared" ref="M1154" si="6693">M1153*M1152</f>
        <v>283.58649542686055</v>
      </c>
      <c r="N1154" s="135">
        <f t="shared" ref="N1154" si="6694">N1153*N1152</f>
        <v>351.10795614668513</v>
      </c>
      <c r="O1154" s="135">
        <f t="shared" ref="O1154" si="6695">O1153*O1152</f>
        <v>321.69963372487121</v>
      </c>
      <c r="P1154" s="135">
        <f t="shared" ref="P1154" si="6696">P1153*P1152</f>
        <v>332.99246265318754</v>
      </c>
      <c r="Q1154" s="135">
        <f t="shared" ref="Q1154" si="6697">Q1153*Q1152</f>
        <v>369.90199605531973</v>
      </c>
      <c r="R1154" s="135">
        <f t="shared" ref="R1154" si="6698">R1153*R1152</f>
        <v>297.13195060343395</v>
      </c>
      <c r="S1154" s="134">
        <f t="shared" ref="S1154" si="6699">S1153*S1152</f>
        <v>336.50406771425327</v>
      </c>
      <c r="T1154" s="135">
        <f t="shared" ref="T1154" si="6700">T1153*T1152</f>
        <v>296.45601325632504</v>
      </c>
      <c r="U1154" s="135">
        <f t="shared" ref="U1154" si="6701">U1153*U1152</f>
        <v>318.8934937052021</v>
      </c>
      <c r="V1154" s="135">
        <f t="shared" ref="V1154" si="6702">V1153*V1152</f>
        <v>303.68942497299662</v>
      </c>
      <c r="W1154" s="135">
        <f t="shared" ref="W1154" si="6703">W1153*W1152</f>
        <v>247.77691149897805</v>
      </c>
      <c r="X1154" s="135">
        <f t="shared" ref="X1154" si="6704">X1153*X1152</f>
        <v>213.59274049738721</v>
      </c>
      <c r="Y1154" s="135">
        <f t="shared" ref="Y1154" si="6705">Y1153*Y1152</f>
        <v>311.87793820564337</v>
      </c>
      <c r="Z1154" s="135">
        <f t="shared" ref="Z1154" si="6706">Z1153*Z1152</f>
        <v>335.14706658457555</v>
      </c>
      <c r="AA1154" s="135">
        <f t="shared" ref="AA1154" si="6707">AA1153*AA1152</f>
        <v>333.16066588056663</v>
      </c>
      <c r="AB1154" s="135">
        <f t="shared" ref="AB1154" si="6708">AB1153*AB1152</f>
        <v>361.98985316183212</v>
      </c>
      <c r="AC1154" s="135">
        <f t="shared" ref="AC1154" si="6709">AC1153*AC1152</f>
        <v>350.85427220237028</v>
      </c>
      <c r="AD1154" s="136">
        <f t="shared" ref="AD1154" si="6710">AD1153*AD1152</f>
        <v>315.92759203283197</v>
      </c>
      <c r="AE1154" s="15"/>
      <c r="AF1154" s="94">
        <f>SUM(G1154:R1154)</f>
        <v>3879.2310058430485</v>
      </c>
      <c r="AG1154" s="95">
        <f>SUM(S1154:AD1154)</f>
        <v>3725.8700397129624</v>
      </c>
    </row>
    <row r="1155" spans="2:33" x14ac:dyDescent="0.2">
      <c r="B1155" s="9">
        <f>G1142</f>
        <v>24</v>
      </c>
      <c r="C1155" s="9" t="str">
        <f t="shared" si="6641"/>
        <v>24 - % YoY Revenue Growth</v>
      </c>
      <c r="D1155" s="9" t="s">
        <v>56</v>
      </c>
      <c r="F1155" s="16" t="s">
        <v>174</v>
      </c>
      <c r="G1155" s="82"/>
      <c r="H1155" s="83"/>
      <c r="I1155" s="83"/>
      <c r="J1155" s="83"/>
      <c r="K1155" s="83"/>
      <c r="L1155" s="83"/>
      <c r="M1155" s="83"/>
      <c r="N1155" s="83"/>
      <c r="O1155" s="83"/>
      <c r="P1155" s="83"/>
      <c r="Q1155" s="83"/>
      <c r="R1155" s="83"/>
      <c r="S1155" s="148">
        <f>S1154/G1154-1</f>
        <v>0.1746799859947894</v>
      </c>
      <c r="T1155" s="149">
        <f t="shared" ref="T1155" si="6711">T1154/H1154-1</f>
        <v>4.3815293521323628E-2</v>
      </c>
      <c r="U1155" s="149">
        <f t="shared" ref="U1155" si="6712">U1154/I1154-1</f>
        <v>-7.5746445264250117E-2</v>
      </c>
      <c r="V1155" s="149">
        <f t="shared" ref="V1155" si="6713">V1154/J1154-1</f>
        <v>-4.1228346715201925E-2</v>
      </c>
      <c r="W1155" s="149">
        <f t="shared" ref="W1155" si="6714">W1154/K1154-1</f>
        <v>-0.31394940028085871</v>
      </c>
      <c r="X1155" s="149">
        <f t="shared" ref="X1155" si="6715">X1154/L1154-1</f>
        <v>-0.35155716302998963</v>
      </c>
      <c r="Y1155" s="149">
        <f t="shared" ref="Y1155" si="6716">Y1154/M1154-1</f>
        <v>9.9763011409263136E-2</v>
      </c>
      <c r="Z1155" s="149">
        <f t="shared" ref="Z1155" si="6717">Z1154/N1154-1</f>
        <v>-4.5458638241286264E-2</v>
      </c>
      <c r="AA1155" s="149">
        <f t="shared" ref="AA1155" si="6718">AA1154/O1154-1</f>
        <v>3.5626500481182655E-2</v>
      </c>
      <c r="AB1155" s="149">
        <f t="shared" ref="AB1155" si="6719">AB1154/P1154-1</f>
        <v>8.7081221831875055E-2</v>
      </c>
      <c r="AC1155" s="149">
        <f t="shared" ref="AC1155" si="6720">AC1154/Q1154-1</f>
        <v>-5.149397423121993E-2</v>
      </c>
      <c r="AD1155" s="150">
        <f t="shared" ref="AD1155" si="6721">AD1154/R1154-1</f>
        <v>6.3256884327742791E-2</v>
      </c>
      <c r="AE1155" s="15"/>
      <c r="AF1155" s="11"/>
      <c r="AG1155" s="97">
        <f>AG1154/AF1154-1</f>
        <v>-3.9533857586487642E-2</v>
      </c>
    </row>
    <row r="1156" spans="2:33" ht="6" customHeight="1" x14ac:dyDescent="0.2">
      <c r="B1156" s="9">
        <f>G1142</f>
        <v>24</v>
      </c>
      <c r="C1156" s="9" t="str">
        <f t="shared" si="6641"/>
        <v xml:space="preserve">24 - </v>
      </c>
      <c r="D1156" s="9" t="s">
        <v>56</v>
      </c>
      <c r="G1156" s="11"/>
      <c r="S1156" s="11"/>
      <c r="AD1156" s="15"/>
      <c r="AE1156" s="15"/>
      <c r="AF1156" s="11"/>
      <c r="AG1156" s="15"/>
    </row>
    <row r="1157" spans="2:33" x14ac:dyDescent="0.2">
      <c r="B1157" s="9">
        <f>G1142</f>
        <v>24</v>
      </c>
      <c r="C1157" s="9" t="str">
        <f t="shared" si="6641"/>
        <v>24 - Doctor Compensation</v>
      </c>
      <c r="D1157" s="9" t="s">
        <v>56</v>
      </c>
      <c r="F1157" t="s">
        <v>4</v>
      </c>
      <c r="G1157" s="144">
        <v>-98.94509127613253</v>
      </c>
      <c r="H1157" s="70">
        <v>-96.156027448216932</v>
      </c>
      <c r="I1157" s="70">
        <v>-118.01312877645931</v>
      </c>
      <c r="J1157" s="70">
        <v>-109.95886688363893</v>
      </c>
      <c r="K1157" s="70">
        <v>-126.60372983392779</v>
      </c>
      <c r="L1157" s="70">
        <v>-118.02482630463038</v>
      </c>
      <c r="M1157" s="70">
        <v>-100.97613714144947</v>
      </c>
      <c r="N1157" s="70">
        <v>-93.387168808091289</v>
      </c>
      <c r="O1157" s="70">
        <v>-86.578211340537095</v>
      </c>
      <c r="P1157" s="70">
        <v>-89.875745549641707</v>
      </c>
      <c r="Q1157" s="70">
        <v>-80.830394106417501</v>
      </c>
      <c r="R1157" s="70">
        <v>-64.573654290657231</v>
      </c>
      <c r="S1157" s="144">
        <v>-89.17287620146675</v>
      </c>
      <c r="T1157" s="70">
        <v>-103.63351934474568</v>
      </c>
      <c r="U1157" s="70">
        <v>-113.62043388478507</v>
      </c>
      <c r="V1157" s="70">
        <v>-108.9597000280278</v>
      </c>
      <c r="W1157" s="70">
        <v>-133.45814752634064</v>
      </c>
      <c r="X1157" s="70">
        <v>-115.96246500087049</v>
      </c>
      <c r="Y1157" s="70">
        <v>-113.9666535299956</v>
      </c>
      <c r="Z1157" s="70">
        <v>-92.396482220456022</v>
      </c>
      <c r="AA1157" s="70">
        <v>-93.701496732633629</v>
      </c>
      <c r="AB1157" s="70">
        <v>-102.77237597253348</v>
      </c>
      <c r="AC1157" s="70">
        <v>-81.288269231080093</v>
      </c>
      <c r="AD1157" s="145">
        <v>-74.754616059522618</v>
      </c>
      <c r="AE1157" s="15"/>
      <c r="AF1157" s="92">
        <f>SUM(G1157:R1157)</f>
        <v>-1183.9229817598005</v>
      </c>
      <c r="AG1157" s="93">
        <f>SUM(S1157:AD1157)</f>
        <v>-1223.6870357324578</v>
      </c>
    </row>
    <row r="1158" spans="2:33" x14ac:dyDescent="0.2">
      <c r="B1158" s="9">
        <f>G1142</f>
        <v>24</v>
      </c>
      <c r="C1158" s="9" t="str">
        <f t="shared" si="6641"/>
        <v>24 - % of Revenue - Doctor Compensation</v>
      </c>
      <c r="D1158" s="9" t="s">
        <v>56</v>
      </c>
      <c r="F1158" s="16" t="str">
        <f>"% of Revenue - "&amp;F1157</f>
        <v>% of Revenue - Doctor Compensation</v>
      </c>
      <c r="G1158" s="148">
        <f>G1157/G1154</f>
        <v>-0.34540093147758827</v>
      </c>
      <c r="H1158" s="149">
        <f t="shared" ref="H1158" si="6722">H1157/H1154</f>
        <v>-0.33856331977291604</v>
      </c>
      <c r="I1158" s="149">
        <f t="shared" ref="I1158" si="6723">I1157/I1154</f>
        <v>-0.342039131967875</v>
      </c>
      <c r="J1158" s="149">
        <f t="shared" ref="J1158" si="6724">J1157/J1154</f>
        <v>-0.34714888279275358</v>
      </c>
      <c r="K1158" s="149">
        <f t="shared" ref="K1158" si="6725">K1157/K1154</f>
        <v>-0.35054341525927257</v>
      </c>
      <c r="L1158" s="149">
        <f t="shared" ref="L1158" si="6726">L1157/L1154</f>
        <v>-0.35830971138648515</v>
      </c>
      <c r="M1158" s="149">
        <f t="shared" ref="M1158" si="6727">M1157/M1154</f>
        <v>-0.35606821470626798</v>
      </c>
      <c r="N1158" s="149">
        <f t="shared" ref="N1158" si="6728">N1157/N1154</f>
        <v>-0.26597850368584697</v>
      </c>
      <c r="O1158" s="149">
        <f t="shared" ref="O1158" si="6729">O1157/O1154</f>
        <v>-0.26912747875424009</v>
      </c>
      <c r="P1158" s="149">
        <f t="shared" ref="P1158" si="6730">P1157/P1154</f>
        <v>-0.26990324295492391</v>
      </c>
      <c r="Q1158" s="149">
        <f t="shared" ref="Q1158" si="6731">Q1157/Q1154</f>
        <v>-0.21851840478938406</v>
      </c>
      <c r="R1158" s="149">
        <f t="shared" ref="R1158" si="6732">R1157/R1154</f>
        <v>-0.21732315949031081</v>
      </c>
      <c r="S1158" s="148">
        <f t="shared" ref="S1158" si="6733">S1157/S1154</f>
        <v>-0.26499791460823896</v>
      </c>
      <c r="T1158" s="149">
        <f t="shared" ref="T1158" si="6734">T1157/T1154</f>
        <v>-0.34957469138985192</v>
      </c>
      <c r="U1158" s="149">
        <f t="shared" ref="U1158" si="6735">U1157/U1154</f>
        <v>-0.35629586720204565</v>
      </c>
      <c r="V1158" s="149">
        <f t="shared" ref="V1158" si="6736">V1157/V1154</f>
        <v>-0.35878661246672072</v>
      </c>
      <c r="W1158" s="149">
        <f t="shared" ref="W1158" si="6737">W1157/W1154</f>
        <v>-0.53862220946640171</v>
      </c>
      <c r="X1158" s="149">
        <f t="shared" ref="X1158" si="6738">X1157/X1154</f>
        <v>-0.54291388710511446</v>
      </c>
      <c r="Y1158" s="149">
        <f t="shared" ref="Y1158" si="6739">Y1157/Y1154</f>
        <v>-0.36542069691011375</v>
      </c>
      <c r="Z1158" s="149">
        <f t="shared" ref="Z1158" si="6740">Z1157/Z1154</f>
        <v>-0.27568936575233144</v>
      </c>
      <c r="AA1158" s="149">
        <f t="shared" ref="AA1158" si="6741">AA1157/AA1154</f>
        <v>-0.28125017845361217</v>
      </c>
      <c r="AB1158" s="149">
        <f t="shared" ref="AB1158" si="6742">AB1157/AB1154</f>
        <v>-0.28390954905188404</v>
      </c>
      <c r="AC1158" s="149">
        <f t="shared" ref="AC1158" si="6743">AC1157/AC1154</f>
        <v>-0.23168670206242661</v>
      </c>
      <c r="AD1158" s="150">
        <f t="shared" ref="AD1158" si="6744">AD1157/AD1154</f>
        <v>-0.23661945947334012</v>
      </c>
      <c r="AE1158" s="15"/>
      <c r="AF1158" s="96">
        <f t="shared" ref="AF1158" si="6745">AF1157/AF1154</f>
        <v>-0.30519527709912858</v>
      </c>
      <c r="AG1158" s="97">
        <f t="shared" ref="AG1158" si="6746">AG1157/AG1154</f>
        <v>-0.3284298761603423</v>
      </c>
    </row>
    <row r="1159" spans="2:33" ht="3" customHeight="1" x14ac:dyDescent="0.2">
      <c r="B1159" s="9">
        <f>G1142</f>
        <v>24</v>
      </c>
      <c r="C1159" s="9" t="str">
        <f t="shared" si="6641"/>
        <v xml:space="preserve">24 - </v>
      </c>
      <c r="D1159" s="9" t="s">
        <v>56</v>
      </c>
      <c r="F1159" s="16"/>
      <c r="G1159" s="36"/>
      <c r="H1159" s="37"/>
      <c r="I1159" s="37"/>
      <c r="J1159" s="37"/>
      <c r="K1159" s="37"/>
      <c r="L1159" s="37"/>
      <c r="M1159" s="37"/>
      <c r="N1159" s="37"/>
      <c r="O1159" s="37"/>
      <c r="P1159" s="37"/>
      <c r="Q1159" s="37"/>
      <c r="R1159" s="37"/>
      <c r="S1159" s="36"/>
      <c r="T1159" s="37"/>
      <c r="U1159" s="37"/>
      <c r="V1159" s="37"/>
      <c r="W1159" s="37"/>
      <c r="X1159" s="37"/>
      <c r="Y1159" s="37"/>
      <c r="Z1159" s="37"/>
      <c r="AA1159" s="37"/>
      <c r="AB1159" s="37"/>
      <c r="AC1159" s="37"/>
      <c r="AD1159" s="38"/>
      <c r="AE1159" s="15"/>
      <c r="AF1159" s="36"/>
      <c r="AG1159" s="38"/>
    </row>
    <row r="1160" spans="2:33" x14ac:dyDescent="0.2">
      <c r="B1160" s="9">
        <f>G1142</f>
        <v>24</v>
      </c>
      <c r="C1160" s="9" t="str">
        <f t="shared" si="6641"/>
        <v>24 - Administrative Staff Compensation</v>
      </c>
      <c r="D1160" s="9" t="s">
        <v>56</v>
      </c>
      <c r="F1160" t="s">
        <v>5</v>
      </c>
      <c r="G1160" s="144">
        <v>-49.931445961415676</v>
      </c>
      <c r="H1160" s="70">
        <v>-47.661391035838847</v>
      </c>
      <c r="I1160" s="70">
        <v>-60.318339165106124</v>
      </c>
      <c r="J1160" s="70">
        <v>-56.965237773352158</v>
      </c>
      <c r="K1160" s="70">
        <v>-61.729036930078422</v>
      </c>
      <c r="L1160" s="70">
        <v>-58.69389736872607</v>
      </c>
      <c r="M1160" s="70">
        <v>-48.976985977710036</v>
      </c>
      <c r="N1160" s="70">
        <v>-47.820854248705551</v>
      </c>
      <c r="O1160" s="70">
        <v>-45.100682394728295</v>
      </c>
      <c r="P1160" s="70">
        <v>-46.977026303610771</v>
      </c>
      <c r="Q1160" s="70">
        <v>-42.296963990113923</v>
      </c>
      <c r="R1160" s="70">
        <v>-34.580619660083222</v>
      </c>
      <c r="S1160" s="144">
        <v>-49.484359764733149</v>
      </c>
      <c r="T1160" s="70">
        <v>-58.123717034060952</v>
      </c>
      <c r="U1160" s="70">
        <v>-62.593255332189337</v>
      </c>
      <c r="V1160" s="70">
        <v>-61.93678128524617</v>
      </c>
      <c r="W1160" s="70">
        <v>-78.205420377326192</v>
      </c>
      <c r="X1160" s="70">
        <v>-69.917062878022506</v>
      </c>
      <c r="Y1160" s="70">
        <v>-70.398245667731615</v>
      </c>
      <c r="Z1160" s="70">
        <v>-57.405645558345064</v>
      </c>
      <c r="AA1160" s="70">
        <v>-58.935847616040107</v>
      </c>
      <c r="AB1160" s="70">
        <v>-61.392450841435569</v>
      </c>
      <c r="AC1160" s="70">
        <v>-47.917875327373146</v>
      </c>
      <c r="AD1160" s="145">
        <v>-43.450012300473119</v>
      </c>
      <c r="AE1160" s="15"/>
      <c r="AF1160" s="92">
        <f>SUM(G1160:R1160)</f>
        <v>-601.0524808094691</v>
      </c>
      <c r="AG1160" s="93">
        <f>SUM(S1160:AD1160)</f>
        <v>-719.76067398297687</v>
      </c>
    </row>
    <row r="1161" spans="2:33" x14ac:dyDescent="0.2">
      <c r="B1161" s="9">
        <f>G1142</f>
        <v>24</v>
      </c>
      <c r="C1161" s="9" t="str">
        <f t="shared" si="6641"/>
        <v>24 - % of Revenue - Administrative Staff Compensation</v>
      </c>
      <c r="D1161" s="9" t="s">
        <v>56</v>
      </c>
      <c r="F1161" s="16" t="str">
        <f>"% of Revenue - "&amp;F1160</f>
        <v>% of Revenue - Administrative Staff Compensation</v>
      </c>
      <c r="G1161" s="148">
        <f>G1160/G1154</f>
        <v>-0.17430241078827521</v>
      </c>
      <c r="H1161" s="149">
        <f t="shared" ref="H1161" si="6747">H1160/H1154</f>
        <v>-0.16781474029569976</v>
      </c>
      <c r="I1161" s="149">
        <f t="shared" ref="I1161" si="6748">I1160/I1154</f>
        <v>-0.17482150150307849</v>
      </c>
      <c r="J1161" s="149">
        <f t="shared" ref="J1161" si="6749">J1160/J1154</f>
        <v>-0.17984378351197072</v>
      </c>
      <c r="K1161" s="149">
        <f t="shared" ref="K1161" si="6750">K1160/K1154</f>
        <v>-0.1709168241292732</v>
      </c>
      <c r="L1161" s="149">
        <f t="shared" ref="L1161" si="6751">L1160/L1154</f>
        <v>-0.17818787864220006</v>
      </c>
      <c r="M1161" s="149">
        <f t="shared" ref="M1161" si="6752">M1160/M1154</f>
        <v>-0.17270563573201472</v>
      </c>
      <c r="N1161" s="149">
        <f t="shared" ref="N1161" si="6753">N1160/N1154</f>
        <v>-0.13619985936384493</v>
      </c>
      <c r="O1161" s="149">
        <f t="shared" ref="O1161" si="6754">O1160/O1154</f>
        <v>-0.14019500697753351</v>
      </c>
      <c r="P1161" s="149">
        <f t="shared" ref="P1161" si="6755">P1160/P1154</f>
        <v>-0.14107534425647783</v>
      </c>
      <c r="Q1161" s="149">
        <f t="shared" ref="Q1161" si="6756">Q1160/Q1154</f>
        <v>-0.11434640645677487</v>
      </c>
      <c r="R1161" s="149">
        <f t="shared" ref="R1161" si="6757">R1160/R1154</f>
        <v>-0.11638135713730806</v>
      </c>
      <c r="S1161" s="148">
        <f t="shared" ref="S1161" si="6758">S1160/S1154</f>
        <v>-0.14705426921244064</v>
      </c>
      <c r="T1161" s="149">
        <f t="shared" ref="T1161" si="6759">T1160/T1154</f>
        <v>-0.19606185887619487</v>
      </c>
      <c r="U1161" s="149">
        <f t="shared" ref="U1161" si="6760">U1160/U1154</f>
        <v>-0.19628263532417203</v>
      </c>
      <c r="V1161" s="149">
        <f t="shared" ref="V1161" si="6761">V1160/V1154</f>
        <v>-0.20394777095301705</v>
      </c>
      <c r="W1161" s="149">
        <f t="shared" ref="W1161" si="6762">W1160/W1154</f>
        <v>-0.31562836062571853</v>
      </c>
      <c r="X1161" s="149">
        <f t="shared" ref="X1161" si="6763">X1160/X1154</f>
        <v>-0.32733819845753498</v>
      </c>
      <c r="Y1161" s="149">
        <f t="shared" ref="Y1161" si="6764">Y1160/Y1154</f>
        <v>-0.22572371124665133</v>
      </c>
      <c r="Z1161" s="149">
        <f t="shared" ref="Z1161" si="6765">Z1160/Z1154</f>
        <v>-0.17128494109572803</v>
      </c>
      <c r="AA1161" s="149">
        <f t="shared" ref="AA1161" si="6766">AA1160/AA1154</f>
        <v>-0.17689917703900787</v>
      </c>
      <c r="AB1161" s="149">
        <f t="shared" ref="AB1161" si="6767">AB1160/AB1154</f>
        <v>-0.16959715943747544</v>
      </c>
      <c r="AC1161" s="149">
        <f t="shared" ref="AC1161" si="6768">AC1160/AC1154</f>
        <v>-0.13657486633007124</v>
      </c>
      <c r="AD1161" s="150">
        <f t="shared" ref="AD1161" si="6769">AD1160/AD1154</f>
        <v>-0.13753155278680973</v>
      </c>
      <c r="AE1161" s="15"/>
      <c r="AF1161" s="96">
        <f t="shared" ref="AF1161" si="6770">AF1160/AF1154</f>
        <v>-0.15494114166032921</v>
      </c>
      <c r="AG1161" s="97">
        <f t="shared" ref="AG1161" si="6771">AG1160/AG1154</f>
        <v>-0.19317922158080064</v>
      </c>
    </row>
    <row r="1162" spans="2:33" ht="3" customHeight="1" x14ac:dyDescent="0.2">
      <c r="B1162" s="9">
        <f>G1142</f>
        <v>24</v>
      </c>
      <c r="C1162" s="9" t="str">
        <f t="shared" si="6641"/>
        <v xml:space="preserve">24 - </v>
      </c>
      <c r="D1162" s="9" t="s">
        <v>56</v>
      </c>
      <c r="F1162" s="16"/>
      <c r="G1162" s="36"/>
      <c r="H1162" s="37"/>
      <c r="I1162" s="37"/>
      <c r="J1162" s="37"/>
      <c r="K1162" s="37"/>
      <c r="L1162" s="37"/>
      <c r="M1162" s="37"/>
      <c r="N1162" s="37"/>
      <c r="O1162" s="37"/>
      <c r="P1162" s="37"/>
      <c r="Q1162" s="37"/>
      <c r="R1162" s="37"/>
      <c r="S1162" s="36"/>
      <c r="T1162" s="37"/>
      <c r="U1162" s="37"/>
      <c r="V1162" s="37"/>
      <c r="W1162" s="37"/>
      <c r="X1162" s="37"/>
      <c r="Y1162" s="37"/>
      <c r="Z1162" s="37"/>
      <c r="AA1162" s="37"/>
      <c r="AB1162" s="37"/>
      <c r="AC1162" s="37"/>
      <c r="AD1162" s="38"/>
      <c r="AE1162" s="15"/>
      <c r="AF1162" s="36"/>
      <c r="AG1162" s="38"/>
    </row>
    <row r="1163" spans="2:33" x14ac:dyDescent="0.2">
      <c r="B1163" s="9">
        <f>G1142</f>
        <v>24</v>
      </c>
      <c r="C1163" s="9" t="str">
        <f t="shared" si="6641"/>
        <v>24 - Office Supplies</v>
      </c>
      <c r="D1163" s="9" t="s">
        <v>56</v>
      </c>
      <c r="F1163" t="s">
        <v>6</v>
      </c>
      <c r="G1163" s="144">
        <v>-17.856794079187885</v>
      </c>
      <c r="H1163" s="70">
        <v>-16.47985415113757</v>
      </c>
      <c r="I1163" s="70">
        <v>-19.442043849565952</v>
      </c>
      <c r="J1163" s="70">
        <v>-16.83768530289295</v>
      </c>
      <c r="K1163" s="70">
        <v>-17.704614229224216</v>
      </c>
      <c r="L1163" s="70">
        <v>-16.083505373434438</v>
      </c>
      <c r="M1163" s="70">
        <v>-13.167869625660895</v>
      </c>
      <c r="N1163" s="70">
        <v>-12.280516725579469</v>
      </c>
      <c r="O1163" s="70">
        <v>-11.74546128429253</v>
      </c>
      <c r="P1163" s="70">
        <v>-12.806734320895854</v>
      </c>
      <c r="Q1163" s="70">
        <v>-11.672434637130216</v>
      </c>
      <c r="R1163" s="70">
        <v>-9.8697963438968586</v>
      </c>
      <c r="S1163" s="144">
        <v>-13.572261539054216</v>
      </c>
      <c r="T1163" s="70">
        <v>-14.640223029409579</v>
      </c>
      <c r="U1163" s="70">
        <v>-14.692827231382571</v>
      </c>
      <c r="V1163" s="70">
        <v>-14.116677678076192</v>
      </c>
      <c r="W1163" s="70">
        <v>-18.741593847598189</v>
      </c>
      <c r="X1163" s="70">
        <v>-16.708226409114534</v>
      </c>
      <c r="Y1163" s="70">
        <v>-16.933603930977409</v>
      </c>
      <c r="Z1163" s="70">
        <v>-14.425533067289361</v>
      </c>
      <c r="AA1163" s="70">
        <v>-13.597200579474757</v>
      </c>
      <c r="AB1163" s="70">
        <v>-14.362473067766501</v>
      </c>
      <c r="AC1163" s="70">
        <v>-11.533683428532374</v>
      </c>
      <c r="AD1163" s="145">
        <v>-9.9486272778296154</v>
      </c>
      <c r="AE1163" s="15"/>
      <c r="AF1163" s="92">
        <f>SUM(G1163:R1163)</f>
        <v>-175.94730992289882</v>
      </c>
      <c r="AG1163" s="93">
        <f>SUM(S1163:AD1163)</f>
        <v>-173.27293108650531</v>
      </c>
    </row>
    <row r="1164" spans="2:33" x14ac:dyDescent="0.2">
      <c r="B1164" s="9">
        <f>G1142</f>
        <v>24</v>
      </c>
      <c r="C1164" s="9" t="str">
        <f t="shared" si="6641"/>
        <v>24 - % of Revenue - Office Supplies</v>
      </c>
      <c r="D1164" s="9" t="s">
        <v>56</v>
      </c>
      <c r="F1164" s="16" t="str">
        <f>"% of Revenue - "&amp;F1163</f>
        <v>% of Revenue - Office Supplies</v>
      </c>
      <c r="G1164" s="148">
        <f>G1163/G1154</f>
        <v>-6.2335111611977058E-2</v>
      </c>
      <c r="H1164" s="149">
        <f t="shared" ref="H1164" si="6772">H1163/H1154</f>
        <v>-5.8025214631369108E-2</v>
      </c>
      <c r="I1164" s="149">
        <f t="shared" ref="I1164" si="6773">I1163/I1154</f>
        <v>-5.6349152597955685E-2</v>
      </c>
      <c r="J1164" s="149">
        <f t="shared" ref="J1164" si="6774">J1163/J1154</f>
        <v>-5.3157910838611724E-2</v>
      </c>
      <c r="K1164" s="149">
        <f t="shared" ref="K1164" si="6775">K1163/K1154</f>
        <v>-4.9020956538177736E-2</v>
      </c>
      <c r="L1164" s="149">
        <f t="shared" ref="L1164" si="6776">L1163/L1154</f>
        <v>-4.8827660661528008E-2</v>
      </c>
      <c r="M1164" s="149">
        <f t="shared" ref="M1164" si="6777">M1163/M1154</f>
        <v>-4.6433345162788277E-2</v>
      </c>
      <c r="N1164" s="149">
        <f t="shared" ref="N1164" si="6778">N1163/N1154</f>
        <v>-3.4976469517680027E-2</v>
      </c>
      <c r="O1164" s="149">
        <f t="shared" ref="O1164" si="6779">O1163/O1154</f>
        <v>-3.6510645499639144E-2</v>
      </c>
      <c r="P1164" s="149">
        <f t="shared" ref="P1164" si="6780">P1163/P1154</f>
        <v>-3.8459532143326917E-2</v>
      </c>
      <c r="Q1164" s="149">
        <f t="shared" ref="Q1164" si="6781">Q1163/Q1154</f>
        <v>-3.1555478914973401E-2</v>
      </c>
      <c r="R1164" s="149">
        <f t="shared" ref="R1164" si="6782">R1163/R1154</f>
        <v>-3.321687998834412E-2</v>
      </c>
      <c r="S1164" s="148">
        <f t="shared" ref="S1164" si="6783">S1163/S1154</f>
        <v>-4.0333127712973961E-2</v>
      </c>
      <c r="T1164" s="149">
        <f t="shared" ref="T1164" si="6784">T1163/T1154</f>
        <v>-4.938413246740652E-2</v>
      </c>
      <c r="U1164" s="149">
        <f t="shared" ref="U1164" si="6785">U1163/U1154</f>
        <v>-4.6074402649823917E-2</v>
      </c>
      <c r="V1164" s="149">
        <f t="shared" ref="V1164" si="6786">V1163/V1154</f>
        <v>-4.6483929031547327E-2</v>
      </c>
      <c r="W1164" s="149">
        <f t="shared" ref="W1164" si="6787">W1163/W1154</f>
        <v>-7.5638984012743604E-2</v>
      </c>
      <c r="X1164" s="149">
        <f t="shared" ref="X1164" si="6788">X1163/X1154</f>
        <v>-7.8224692328992887E-2</v>
      </c>
      <c r="Y1164" s="149">
        <f t="shared" ref="Y1164" si="6789">Y1163/Y1154</f>
        <v>-5.4295613304368696E-2</v>
      </c>
      <c r="Z1164" s="149">
        <f t="shared" ref="Z1164" si="6790">Z1163/Z1154</f>
        <v>-4.3042396922334469E-2</v>
      </c>
      <c r="AA1164" s="149">
        <f t="shared" ref="AA1164" si="6791">AA1163/AA1154</f>
        <v>-4.0812742835461734E-2</v>
      </c>
      <c r="AB1164" s="149">
        <f t="shared" ref="AB1164" si="6792">AB1163/AB1154</f>
        <v>-3.9676452094765148E-2</v>
      </c>
      <c r="AC1164" s="149">
        <f t="shared" ref="AC1164" si="6793">AC1163/AC1154</f>
        <v>-3.2873145183992022E-2</v>
      </c>
      <c r="AD1164" s="150">
        <f t="shared" ref="AD1164" si="6794">AD1163/AD1154</f>
        <v>-3.1490213354950426E-2</v>
      </c>
      <c r="AE1164" s="15"/>
      <c r="AF1164" s="96">
        <f t="shared" ref="AF1164" si="6795">AF1163/AF1154</f>
        <v>-4.5356234175763226E-2</v>
      </c>
      <c r="AG1164" s="97">
        <f t="shared" ref="AG1164" si="6796">AG1163/AG1154</f>
        <v>-4.6505360959893841E-2</v>
      </c>
    </row>
    <row r="1165" spans="2:33" ht="6" customHeight="1" x14ac:dyDescent="0.2">
      <c r="B1165" s="9">
        <f>G1142</f>
        <v>24</v>
      </c>
      <c r="C1165" s="9" t="str">
        <f t="shared" si="6641"/>
        <v xml:space="preserve">24 - </v>
      </c>
      <c r="D1165" s="9" t="s">
        <v>56</v>
      </c>
      <c r="F1165" s="16"/>
      <c r="G1165" s="11"/>
      <c r="S1165" s="11"/>
      <c r="AD1165" s="15"/>
      <c r="AE1165" s="15"/>
      <c r="AF1165" s="11"/>
      <c r="AG1165" s="15"/>
    </row>
    <row r="1166" spans="2:33" x14ac:dyDescent="0.2">
      <c r="B1166" s="9">
        <f>G1142</f>
        <v>24</v>
      </c>
      <c r="C1166" s="9" t="str">
        <f t="shared" si="6641"/>
        <v>24 - Office Gross Profit</v>
      </c>
      <c r="D1166" s="9" t="s">
        <v>56</v>
      </c>
      <c r="F1166" s="8" t="s">
        <v>11</v>
      </c>
      <c r="G1166" s="134">
        <f>G1154+G1157+G1160+G1163</f>
        <v>119.73112855850513</v>
      </c>
      <c r="H1166" s="135">
        <f t="shared" ref="H1166:AD1166" si="6797">H1154+H1157+H1160+H1163</f>
        <v>123.71467382348234</v>
      </c>
      <c r="I1166" s="135">
        <f t="shared" si="6797"/>
        <v>147.25463775856207</v>
      </c>
      <c r="J1166" s="135">
        <f t="shared" si="6797"/>
        <v>132.98664949652039</v>
      </c>
      <c r="K1166" s="135">
        <f t="shared" si="6797"/>
        <v>155.12681243567144</v>
      </c>
      <c r="L1166" s="135">
        <f t="shared" si="6797"/>
        <v>136.59109341698331</v>
      </c>
      <c r="M1166" s="135">
        <f t="shared" si="6797"/>
        <v>120.46550268204015</v>
      </c>
      <c r="N1166" s="135">
        <f t="shared" si="6797"/>
        <v>197.61941636430879</v>
      </c>
      <c r="O1166" s="135">
        <f t="shared" si="6797"/>
        <v>178.27527870531327</v>
      </c>
      <c r="P1166" s="135">
        <f t="shared" si="6797"/>
        <v>183.33295647903921</v>
      </c>
      <c r="Q1166" s="135">
        <f t="shared" si="6797"/>
        <v>235.10220332165812</v>
      </c>
      <c r="R1166" s="135">
        <f t="shared" si="6797"/>
        <v>188.10788030879664</v>
      </c>
      <c r="S1166" s="134">
        <f t="shared" si="6797"/>
        <v>184.27457020899917</v>
      </c>
      <c r="T1166" s="135">
        <f t="shared" si="6797"/>
        <v>120.05855384810883</v>
      </c>
      <c r="U1166" s="135">
        <f t="shared" si="6797"/>
        <v>127.98697725684512</v>
      </c>
      <c r="V1166" s="135">
        <f t="shared" si="6797"/>
        <v>118.67626598164647</v>
      </c>
      <c r="W1166" s="135">
        <f t="shared" si="6797"/>
        <v>17.371749747713032</v>
      </c>
      <c r="X1166" s="135">
        <f t="shared" si="6797"/>
        <v>11.004986209379677</v>
      </c>
      <c r="Y1166" s="135">
        <f t="shared" si="6797"/>
        <v>110.57943507693875</v>
      </c>
      <c r="Z1166" s="135">
        <f t="shared" si="6797"/>
        <v>170.9194057384851</v>
      </c>
      <c r="AA1166" s="135">
        <f t="shared" si="6797"/>
        <v>166.9261209524181</v>
      </c>
      <c r="AB1166" s="135">
        <f t="shared" si="6797"/>
        <v>183.46255328009656</v>
      </c>
      <c r="AC1166" s="135">
        <f t="shared" si="6797"/>
        <v>210.11444421538465</v>
      </c>
      <c r="AD1166" s="136">
        <f t="shared" si="6797"/>
        <v>187.7743363950066</v>
      </c>
      <c r="AE1166" s="15"/>
      <c r="AF1166" s="98">
        <f>SUM(G1166:R1166)</f>
        <v>1918.308233350881</v>
      </c>
      <c r="AG1166" s="95">
        <f>SUM(S1166:AD1166)</f>
        <v>1609.1493989110222</v>
      </c>
    </row>
    <row r="1167" spans="2:33" x14ac:dyDescent="0.2">
      <c r="B1167" s="9">
        <f>G1142</f>
        <v>24</v>
      </c>
      <c r="C1167" s="9" t="str">
        <f t="shared" si="6641"/>
        <v>24 - % of Revenue - Office Gross Profit</v>
      </c>
      <c r="D1167" s="9" t="s">
        <v>56</v>
      </c>
      <c r="F1167" s="16" t="str">
        <f>"% of Revenue - "&amp;F1166</f>
        <v>% of Revenue - Office Gross Profit</v>
      </c>
      <c r="G1167" s="148">
        <f>G1166/G1154</f>
        <v>0.41796154612215947</v>
      </c>
      <c r="H1167" s="149">
        <f t="shared" ref="H1167" si="6798">H1166/H1154</f>
        <v>0.43559672530001503</v>
      </c>
      <c r="I1167" s="149">
        <f t="shared" ref="I1167" si="6799">I1166/I1154</f>
        <v>0.42679021393109079</v>
      </c>
      <c r="J1167" s="149">
        <f t="shared" ref="J1167" si="6800">J1166/J1154</f>
        <v>0.41984942285666405</v>
      </c>
      <c r="K1167" s="149">
        <f t="shared" ref="K1167" si="6801">K1166/K1154</f>
        <v>0.42951880407327653</v>
      </c>
      <c r="L1167" s="149">
        <f t="shared" ref="L1167" si="6802">L1166/L1154</f>
        <v>0.41467474930978671</v>
      </c>
      <c r="M1167" s="149">
        <f t="shared" ref="M1167" si="6803">M1166/M1154</f>
        <v>0.42479280439892902</v>
      </c>
      <c r="N1167" s="149">
        <f t="shared" ref="N1167" si="6804">N1166/N1154</f>
        <v>0.56284516743262802</v>
      </c>
      <c r="O1167" s="149">
        <f t="shared" ref="O1167" si="6805">O1166/O1154</f>
        <v>0.55416686876858723</v>
      </c>
      <c r="P1167" s="149">
        <f t="shared" ref="P1167" si="6806">P1166/P1154</f>
        <v>0.55056188064527134</v>
      </c>
      <c r="Q1167" s="149">
        <f t="shared" ref="Q1167" si="6807">Q1166/Q1154</f>
        <v>0.6355797098388678</v>
      </c>
      <c r="R1167" s="149">
        <f t="shared" ref="R1167" si="6808">R1166/R1154</f>
        <v>0.63307860338403699</v>
      </c>
      <c r="S1167" s="148">
        <f t="shared" ref="S1167" si="6809">S1166/S1154</f>
        <v>0.54761468846634653</v>
      </c>
      <c r="T1167" s="149">
        <f t="shared" ref="T1167" si="6810">T1166/T1154</f>
        <v>0.40497931726654668</v>
      </c>
      <c r="U1167" s="149">
        <f t="shared" ref="U1167" si="6811">U1166/U1154</f>
        <v>0.40134709482395836</v>
      </c>
      <c r="V1167" s="149">
        <f t="shared" ref="V1167" si="6812">V1166/V1154</f>
        <v>0.3907816875487149</v>
      </c>
      <c r="W1167" s="149">
        <f t="shared" ref="W1167" si="6813">W1166/W1154</f>
        <v>7.0110445895136125E-2</v>
      </c>
      <c r="X1167" s="149">
        <f t="shared" ref="X1167" si="6814">X1166/X1154</f>
        <v>5.1523222108357643E-2</v>
      </c>
      <c r="Y1167" s="149">
        <f t="shared" ref="Y1167" si="6815">Y1166/Y1154</f>
        <v>0.35455997853886617</v>
      </c>
      <c r="Z1167" s="149">
        <f t="shared" ref="Z1167" si="6816">Z1166/Z1154</f>
        <v>0.50998329622960603</v>
      </c>
      <c r="AA1167" s="149">
        <f t="shared" ref="AA1167" si="6817">AA1166/AA1154</f>
        <v>0.50103790167191808</v>
      </c>
      <c r="AB1167" s="149">
        <f t="shared" ref="AB1167" si="6818">AB1166/AB1154</f>
        <v>0.5068168394158753</v>
      </c>
      <c r="AC1167" s="149">
        <f t="shared" ref="AC1167" si="6819">AC1166/AC1154</f>
        <v>0.59886528642351011</v>
      </c>
      <c r="AD1167" s="150">
        <f t="shared" ref="AD1167" si="6820">AD1166/AD1154</f>
        <v>0.5943587743848997</v>
      </c>
      <c r="AE1167" s="15"/>
      <c r="AF1167" s="111">
        <f t="shared" ref="AF1167" si="6821">AF1166/AF1154</f>
        <v>0.49450734706477922</v>
      </c>
      <c r="AG1167" s="97">
        <f t="shared" ref="AG1167" si="6822">AG1166/AG1154</f>
        <v>0.43188554129896317</v>
      </c>
    </row>
    <row r="1168" spans="2:33" ht="6" customHeight="1" x14ac:dyDescent="0.2">
      <c r="B1168" s="9">
        <f>G1142</f>
        <v>24</v>
      </c>
      <c r="C1168" s="9" t="str">
        <f t="shared" si="6641"/>
        <v xml:space="preserve">24 - </v>
      </c>
      <c r="D1168" s="9" t="s">
        <v>56</v>
      </c>
      <c r="F1168" s="16"/>
      <c r="G1168" s="11"/>
      <c r="S1168" s="11"/>
      <c r="AD1168" s="15"/>
      <c r="AE1168" s="15"/>
      <c r="AF1168" s="11"/>
      <c r="AG1168" s="15"/>
    </row>
    <row r="1169" spans="2:33" x14ac:dyDescent="0.2">
      <c r="B1169" s="9">
        <f>G1142</f>
        <v>24</v>
      </c>
      <c r="C1169" s="9" t="str">
        <f t="shared" si="6641"/>
        <v>24 - General and Administrative Expense</v>
      </c>
      <c r="D1169" s="9" t="s">
        <v>56</v>
      </c>
      <c r="F1169" t="s">
        <v>10</v>
      </c>
      <c r="G1169" s="144">
        <v>-22.83850853809621</v>
      </c>
      <c r="H1169" s="70">
        <v>-21.404897647740309</v>
      </c>
      <c r="I1169" s="70">
        <v>-25.229818102458104</v>
      </c>
      <c r="J1169" s="70">
        <v>-23.035357742482709</v>
      </c>
      <c r="K1169" s="70">
        <v>-27.11466176746568</v>
      </c>
      <c r="L1169" s="70">
        <v>-25.366376553114858</v>
      </c>
      <c r="M1169" s="70">
        <v>-22.628051123031955</v>
      </c>
      <c r="N1169" s="70">
        <v>-20.73736593828453</v>
      </c>
      <c r="O1169" s="70">
        <v>-19.281900230915664</v>
      </c>
      <c r="P1169" s="70">
        <v>-21.100241104659066</v>
      </c>
      <c r="Q1169" s="70">
        <v>-19.835931184059856</v>
      </c>
      <c r="R1169" s="70">
        <v>-16.216903125426835</v>
      </c>
      <c r="S1169" s="144">
        <v>-23.455808955480975</v>
      </c>
      <c r="T1169" s="70">
        <v>-26.91073104142626</v>
      </c>
      <c r="U1169" s="70">
        <v>-27.739630385115309</v>
      </c>
      <c r="V1169" s="70">
        <v>-26.796187647935202</v>
      </c>
      <c r="W1169" s="70">
        <v>-34.581237464084438</v>
      </c>
      <c r="X1169" s="70">
        <v>-29.087521235632209</v>
      </c>
      <c r="Y1169" s="70">
        <v>-29.756046510064941</v>
      </c>
      <c r="Z1169" s="70">
        <v>-24.818893536286428</v>
      </c>
      <c r="AA1169" s="70">
        <v>-25.187062300806211</v>
      </c>
      <c r="AB1169" s="70">
        <v>-28.499744335426062</v>
      </c>
      <c r="AC1169" s="70">
        <v>-21.889877961549171</v>
      </c>
      <c r="AD1169" s="145">
        <v>-19.257724030357689</v>
      </c>
      <c r="AE1169" s="15"/>
      <c r="AF1169" s="144">
        <v>-264.79001305773579</v>
      </c>
      <c r="AG1169" s="145">
        <v>-317.98046540416487</v>
      </c>
    </row>
    <row r="1170" spans="2:33" x14ac:dyDescent="0.2">
      <c r="B1170" s="9">
        <f>G1142</f>
        <v>24</v>
      </c>
      <c r="C1170" s="9" t="str">
        <f t="shared" si="6641"/>
        <v>24 - % of Revenue - General and Administrative Expense</v>
      </c>
      <c r="D1170" s="9" t="s">
        <v>56</v>
      </c>
      <c r="F1170" s="16" t="str">
        <f>"% of Revenue - "&amp;F1169</f>
        <v>% of Revenue - General and Administrative Expense</v>
      </c>
      <c r="G1170" s="148">
        <f>G1169/G1154</f>
        <v>-7.9725451974191355E-2</v>
      </c>
      <c r="H1170" s="149">
        <f t="shared" ref="H1170" si="6823">H1169/H1154</f>
        <v>-7.536618763624707E-2</v>
      </c>
      <c r="I1170" s="149">
        <f t="shared" ref="I1170" si="6824">I1169/I1154</f>
        <v>-7.3123941149109986E-2</v>
      </c>
      <c r="J1170" s="149">
        <f t="shared" ref="J1170" si="6825">J1169/J1154</f>
        <v>-7.272445535016811E-2</v>
      </c>
      <c r="K1170" s="149">
        <f t="shared" ref="K1170" si="6826">K1169/K1154</f>
        <v>-7.5075719744082059E-2</v>
      </c>
      <c r="L1170" s="149">
        <f t="shared" ref="L1170" si="6827">L1169/L1154</f>
        <v>-7.7009383078506646E-2</v>
      </c>
      <c r="M1170" s="149">
        <f t="shared" ref="M1170" si="6828">M1169/M1154</f>
        <v>-7.9792414264902564E-2</v>
      </c>
      <c r="N1170" s="149">
        <f t="shared" ref="N1170" si="6829">N1169/N1154</f>
        <v>-5.9062648895432369E-2</v>
      </c>
      <c r="O1170" s="149">
        <f t="shared" ref="O1170" si="6830">O1169/O1154</f>
        <v>-5.9937588388447531E-2</v>
      </c>
      <c r="P1170" s="149">
        <f t="shared" ref="P1170" si="6831">P1169/P1154</f>
        <v>-6.3365521659374674E-2</v>
      </c>
      <c r="Q1170" s="149">
        <f t="shared" ref="Q1170" si="6832">Q1169/Q1154</f>
        <v>-5.3624828726507721E-2</v>
      </c>
      <c r="R1170" s="149">
        <f t="shared" ref="R1170" si="6833">R1169/R1154</f>
        <v>-5.4578119560998221E-2</v>
      </c>
      <c r="S1170" s="148">
        <f t="shared" ref="S1170" si="6834">S1169/S1154</f>
        <v>-6.970438460018491E-2</v>
      </c>
      <c r="T1170" s="149">
        <f t="shared" ref="T1170" si="6835">T1169/T1154</f>
        <v>-9.0774785594105692E-2</v>
      </c>
      <c r="U1170" s="149">
        <f t="shared" ref="U1170" si="6836">U1169/U1154</f>
        <v>-8.6987131856502947E-2</v>
      </c>
      <c r="V1170" s="149">
        <f t="shared" ref="V1170" si="6837">V1169/V1154</f>
        <v>-8.8235497993773934E-2</v>
      </c>
      <c r="W1170" s="149">
        <f t="shared" ref="W1170" si="6838">W1169/W1154</f>
        <v>-0.13956602031592871</v>
      </c>
      <c r="X1170" s="149">
        <f t="shared" ref="X1170" si="6839">X1169/X1154</f>
        <v>-0.13618216222094881</v>
      </c>
      <c r="Y1170" s="149">
        <f t="shared" ref="Y1170" si="6840">Y1169/Y1154</f>
        <v>-9.5409270310247651E-2</v>
      </c>
      <c r="Z1170" s="149">
        <f t="shared" ref="Z1170" si="6841">Z1169/Z1154</f>
        <v>-7.4053739420163744E-2</v>
      </c>
      <c r="AA1170" s="149">
        <f t="shared" ref="AA1170" si="6842">AA1169/AA1154</f>
        <v>-7.5600348061002548E-2</v>
      </c>
      <c r="AB1170" s="149">
        <f t="shared" ref="AB1170" si="6843">AB1169/AB1154</f>
        <v>-7.8730782331307203E-2</v>
      </c>
      <c r="AC1170" s="149">
        <f t="shared" ref="AC1170" si="6844">AC1169/AC1154</f>
        <v>-6.2390227783583163E-2</v>
      </c>
      <c r="AD1170" s="150">
        <f t="shared" ref="AD1170" si="6845">AD1169/AD1154</f>
        <v>-6.095613208850837E-2</v>
      </c>
      <c r="AE1170" s="15"/>
      <c r="AF1170" s="96">
        <f t="shared" ref="AF1170" si="6846">AF1169/AF1154</f>
        <v>-6.8258377152301264E-2</v>
      </c>
      <c r="AG1170" s="97">
        <f t="shared" ref="AG1170" si="6847">AG1169/AG1154</f>
        <v>-8.5343949739229708E-2</v>
      </c>
    </row>
    <row r="1171" spans="2:33" ht="3" customHeight="1" x14ac:dyDescent="0.2">
      <c r="B1171" s="9">
        <f>G1142</f>
        <v>24</v>
      </c>
      <c r="C1171" s="9" t="str">
        <f t="shared" si="6641"/>
        <v xml:space="preserve">24 - </v>
      </c>
      <c r="D1171" s="9" t="s">
        <v>56</v>
      </c>
      <c r="F1171" s="16"/>
      <c r="G1171" s="36"/>
      <c r="H1171" s="37"/>
      <c r="I1171" s="37"/>
      <c r="J1171" s="37"/>
      <c r="K1171" s="37"/>
      <c r="L1171" s="37"/>
      <c r="M1171" s="37"/>
      <c r="N1171" s="37"/>
      <c r="O1171" s="37"/>
      <c r="P1171" s="37"/>
      <c r="Q1171" s="37"/>
      <c r="R1171" s="37"/>
      <c r="S1171" s="36"/>
      <c r="T1171" s="37"/>
      <c r="U1171" s="37"/>
      <c r="V1171" s="37"/>
      <c r="W1171" s="37"/>
      <c r="X1171" s="37"/>
      <c r="Y1171" s="37"/>
      <c r="Z1171" s="37"/>
      <c r="AA1171" s="37"/>
      <c r="AB1171" s="37"/>
      <c r="AC1171" s="37"/>
      <c r="AD1171" s="38"/>
      <c r="AE1171" s="15"/>
      <c r="AF1171" s="36"/>
      <c r="AG1171" s="38"/>
    </row>
    <row r="1172" spans="2:33" x14ac:dyDescent="0.2">
      <c r="B1172" s="9">
        <f>G1142</f>
        <v>24</v>
      </c>
      <c r="C1172" s="9" t="str">
        <f t="shared" si="6641"/>
        <v>24 - Marketing</v>
      </c>
      <c r="D1172" s="9" t="s">
        <v>56</v>
      </c>
      <c r="F1172" t="s">
        <v>7</v>
      </c>
      <c r="G1172" s="144">
        <v>-7.3499731628716436</v>
      </c>
      <c r="H1172" s="70">
        <v>-7.0059504155599024</v>
      </c>
      <c r="I1172" s="70">
        <v>-7.0413377495772504</v>
      </c>
      <c r="J1172" s="70">
        <v>-6.3406859255251842</v>
      </c>
      <c r="K1172" s="70">
        <v>-7.8320883806348407</v>
      </c>
      <c r="L1172" s="70">
        <v>-7.948343498241246</v>
      </c>
      <c r="M1172" s="70">
        <v>-7.4703286768025645</v>
      </c>
      <c r="N1172" s="70">
        <v>-5.9944638049483343</v>
      </c>
      <c r="O1172" s="70">
        <v>-5.7343623456336514</v>
      </c>
      <c r="P1172" s="70">
        <v>-6.2011228871734314</v>
      </c>
      <c r="Q1172" s="70">
        <v>-5.5432674991497031</v>
      </c>
      <c r="R1172" s="70">
        <v>-3.6078536917938586</v>
      </c>
      <c r="S1172" s="144">
        <v>-4.7685381765482084</v>
      </c>
      <c r="T1172" s="70">
        <v>-4.1952983201493961</v>
      </c>
      <c r="U1172" s="70">
        <v>-5.6321881762102866</v>
      </c>
      <c r="V1172" s="70">
        <v>-4.0845761072115856</v>
      </c>
      <c r="W1172" s="70">
        <v>-5.8371752921015707</v>
      </c>
      <c r="X1172" s="70">
        <v>-3.9269282054342289</v>
      </c>
      <c r="Y1172" s="70">
        <v>-4.3858689741577788</v>
      </c>
      <c r="Z1172" s="70">
        <v>-4.1096960729579237</v>
      </c>
      <c r="AA1172" s="70">
        <v>-4.828505649004069</v>
      </c>
      <c r="AB1172" s="70">
        <v>-6.4016153312667425</v>
      </c>
      <c r="AC1172" s="70">
        <v>-5.7257866432783278</v>
      </c>
      <c r="AD1172" s="145">
        <v>-4.9293384926679282</v>
      </c>
      <c r="AE1172" s="15"/>
      <c r="AF1172" s="144">
        <v>-78.069778037911618</v>
      </c>
      <c r="AG1172" s="145">
        <v>-58.825515440988049</v>
      </c>
    </row>
    <row r="1173" spans="2:33" x14ac:dyDescent="0.2">
      <c r="B1173" s="9">
        <f>G1142</f>
        <v>24</v>
      </c>
      <c r="C1173" s="9" t="str">
        <f t="shared" si="6641"/>
        <v>24 - % of Revenue - Marketing</v>
      </c>
      <c r="D1173" s="9" t="s">
        <v>56</v>
      </c>
      <c r="F1173" s="16" t="str">
        <f>"% of Revenue - "&amp;F1172</f>
        <v>% of Revenue - Marketing</v>
      </c>
      <c r="G1173" s="148">
        <f>G1172/G1154</f>
        <v>-2.5657539389258431E-2</v>
      </c>
      <c r="H1173" s="149">
        <f t="shared" ref="H1173" si="6848">H1172/H1154</f>
        <v>-2.4667801840438715E-2</v>
      </c>
      <c r="I1173" s="149">
        <f t="shared" ref="I1173" si="6849">I1172/I1154</f>
        <v>-2.040800948782617E-2</v>
      </c>
      <c r="J1173" s="149">
        <f t="shared" ref="J1173" si="6850">J1172/J1154</f>
        <v>-2.0018049454030167E-2</v>
      </c>
      <c r="K1173" s="149">
        <f t="shared" ref="K1173" si="6851">K1172/K1154</f>
        <v>-2.168567239813227E-2</v>
      </c>
      <c r="L1173" s="149">
        <f t="shared" ref="L1173" si="6852">L1172/L1154</f>
        <v>-2.413025084658595E-2</v>
      </c>
      <c r="M1173" s="149">
        <f t="shared" ref="M1173" si="6853">M1172/M1154</f>
        <v>-2.6342328697838955E-2</v>
      </c>
      <c r="N1173" s="149">
        <f t="shared" ref="N1173" si="6854">N1172/N1154</f>
        <v>-1.7072993362884606E-2</v>
      </c>
      <c r="O1173" s="149">
        <f t="shared" ref="O1173" si="6855">O1172/O1154</f>
        <v>-1.7825206324412167E-2</v>
      </c>
      <c r="P1173" s="149">
        <f t="shared" ref="P1173" si="6856">P1172/P1154</f>
        <v>-1.862241216442162E-2</v>
      </c>
      <c r="Q1173" s="149">
        <f t="shared" ref="Q1173" si="6857">Q1172/Q1154</f>
        <v>-1.4985773416374575E-2</v>
      </c>
      <c r="R1173" s="149">
        <f t="shared" ref="R1173" si="6858">R1172/R1154</f>
        <v>-1.2142260986968268E-2</v>
      </c>
      <c r="S1173" s="148">
        <f t="shared" ref="S1173" si="6859">S1172/S1154</f>
        <v>-1.4170818822307592E-2</v>
      </c>
      <c r="T1173" s="149">
        <f t="shared" ref="T1173" si="6860">T1172/T1154</f>
        <v>-1.4151503536958151E-2</v>
      </c>
      <c r="U1173" s="149">
        <f t="shared" ref="U1173" si="6861">U1172/U1154</f>
        <v>-1.7661659103703466E-2</v>
      </c>
      <c r="V1173" s="149">
        <f t="shared" ref="V1173" si="6862">V1172/V1154</f>
        <v>-1.3449846360553309E-2</v>
      </c>
      <c r="W1173" s="149">
        <f t="shared" ref="W1173" si="6863">W1172/W1154</f>
        <v>-2.3558188924013793E-2</v>
      </c>
      <c r="X1173" s="149">
        <f t="shared" ref="X1173" si="6864">X1172/X1154</f>
        <v>-1.8385120188493791E-2</v>
      </c>
      <c r="Y1173" s="149">
        <f t="shared" ref="Y1173" si="6865">Y1172/Y1154</f>
        <v>-1.4062774043561434E-2</v>
      </c>
      <c r="Z1173" s="149">
        <f t="shared" ref="Z1173" si="6866">Z1172/Z1154</f>
        <v>-1.2262366234737213E-2</v>
      </c>
      <c r="AA1173" s="149">
        <f t="shared" ref="AA1173" si="6867">AA1172/AA1154</f>
        <v>-1.4493024367813636E-2</v>
      </c>
      <c r="AB1173" s="149">
        <f t="shared" ref="AB1173" si="6868">AB1172/AB1154</f>
        <v>-1.7684515948033549E-2</v>
      </c>
      <c r="AC1173" s="149">
        <f t="shared" ref="AC1173" si="6869">AC1172/AC1154</f>
        <v>-1.6319557995793006E-2</v>
      </c>
      <c r="AD1173" s="150">
        <f t="shared" ref="AD1173" si="6870">AD1172/AD1154</f>
        <v>-1.5602747645275817E-2</v>
      </c>
      <c r="AE1173" s="15"/>
      <c r="AF1173" s="96">
        <f t="shared" ref="AF1173" si="6871">AF1172/AF1154</f>
        <v>-2.0125065488577475E-2</v>
      </c>
      <c r="AG1173" s="97">
        <f t="shared" ref="AG1173" si="6872">AG1172/AG1154</f>
        <v>-1.5788397022436111E-2</v>
      </c>
    </row>
    <row r="1174" spans="2:33" ht="3" customHeight="1" x14ac:dyDescent="0.2">
      <c r="B1174" s="9">
        <f>G1142</f>
        <v>24</v>
      </c>
      <c r="C1174" s="9" t="str">
        <f t="shared" si="6641"/>
        <v xml:space="preserve">24 - </v>
      </c>
      <c r="D1174" s="9" t="s">
        <v>56</v>
      </c>
      <c r="F1174" s="16"/>
      <c r="G1174" s="36"/>
      <c r="H1174" s="37"/>
      <c r="I1174" s="37"/>
      <c r="J1174" s="37"/>
      <c r="K1174" s="37"/>
      <c r="L1174" s="37"/>
      <c r="M1174" s="37"/>
      <c r="N1174" s="37"/>
      <c r="O1174" s="37"/>
      <c r="P1174" s="37"/>
      <c r="Q1174" s="37"/>
      <c r="R1174" s="37"/>
      <c r="S1174" s="36"/>
      <c r="T1174" s="37"/>
      <c r="U1174" s="37"/>
      <c r="V1174" s="37"/>
      <c r="W1174" s="37"/>
      <c r="X1174" s="37"/>
      <c r="Y1174" s="37"/>
      <c r="Z1174" s="37"/>
      <c r="AA1174" s="37"/>
      <c r="AB1174" s="37"/>
      <c r="AC1174" s="37"/>
      <c r="AD1174" s="38"/>
      <c r="AE1174" s="15"/>
      <c r="AF1174" s="36"/>
      <c r="AG1174" s="38"/>
    </row>
    <row r="1175" spans="2:33" x14ac:dyDescent="0.2">
      <c r="B1175" s="9">
        <f>G1142</f>
        <v>24</v>
      </c>
      <c r="C1175" s="9" t="str">
        <f t="shared" si="6641"/>
        <v>24 - Office Rent</v>
      </c>
      <c r="D1175" s="9" t="s">
        <v>56</v>
      </c>
      <c r="F1175" t="s">
        <v>162</v>
      </c>
      <c r="G1175" s="144">
        <v>-25.473921177462309</v>
      </c>
      <c r="H1175" s="70">
        <v>-25.473921177462309</v>
      </c>
      <c r="I1175" s="70">
        <v>-26.238138812786179</v>
      </c>
      <c r="J1175" s="70">
        <v>-26.238138812786179</v>
      </c>
      <c r="K1175" s="70">
        <v>-26.238138812786179</v>
      </c>
      <c r="L1175" s="70">
        <v>-26.238138812786179</v>
      </c>
      <c r="M1175" s="70">
        <v>-26.238138812786179</v>
      </c>
      <c r="N1175" s="70">
        <v>-26.238138812786179</v>
      </c>
      <c r="O1175" s="70">
        <v>-26.238138812786179</v>
      </c>
      <c r="P1175" s="70">
        <v>-26.238138812786179</v>
      </c>
      <c r="Q1175" s="70">
        <v>-26.238138812786179</v>
      </c>
      <c r="R1175" s="70">
        <v>-26.238138812786179</v>
      </c>
      <c r="S1175" s="144">
        <v>-26.238037733197775</v>
      </c>
      <c r="T1175" s="70">
        <v>-26.238037733197775</v>
      </c>
      <c r="U1175" s="70">
        <v>-27.025178865193702</v>
      </c>
      <c r="V1175" s="70">
        <v>-27.025178865193702</v>
      </c>
      <c r="W1175" s="70">
        <v>-27.025178865193702</v>
      </c>
      <c r="X1175" s="70">
        <v>-27.025178865193702</v>
      </c>
      <c r="Y1175" s="70">
        <v>-27.025178865193702</v>
      </c>
      <c r="Z1175" s="70">
        <v>-27.025178865193702</v>
      </c>
      <c r="AA1175" s="70">
        <v>-27.025178865193702</v>
      </c>
      <c r="AB1175" s="70">
        <v>-27.025178865193702</v>
      </c>
      <c r="AC1175" s="70">
        <v>-27.025178865193702</v>
      </c>
      <c r="AD1175" s="145">
        <v>-27.025178865193702</v>
      </c>
      <c r="AE1175" s="15"/>
      <c r="AF1175" s="144">
        <v>-313.32923048278644</v>
      </c>
      <c r="AG1175" s="145">
        <v>-322.7278641183326</v>
      </c>
    </row>
    <row r="1176" spans="2:33" x14ac:dyDescent="0.2">
      <c r="B1176" s="9">
        <f>G1142</f>
        <v>24</v>
      </c>
      <c r="C1176" s="9" t="str">
        <f t="shared" si="6641"/>
        <v>24 - % YoY Growth</v>
      </c>
      <c r="D1176" s="9" t="s">
        <v>56</v>
      </c>
      <c r="F1176" s="16" t="s">
        <v>8</v>
      </c>
      <c r="G1176" s="82"/>
      <c r="H1176" s="83"/>
      <c r="I1176" s="83"/>
      <c r="J1176" s="83"/>
      <c r="K1176" s="83"/>
      <c r="L1176" s="83"/>
      <c r="M1176" s="83"/>
      <c r="N1176" s="83"/>
      <c r="O1176" s="83"/>
      <c r="P1176" s="83"/>
      <c r="Q1176" s="83"/>
      <c r="R1176" s="83"/>
      <c r="S1176" s="148">
        <f>S1175/G1175-1</f>
        <v>2.9996032036540443E-2</v>
      </c>
      <c r="T1176" s="149">
        <f t="shared" ref="T1176" si="6873">T1175/H1175-1</f>
        <v>2.9996032036540443E-2</v>
      </c>
      <c r="U1176" s="149">
        <f t="shared" ref="U1176" si="6874">U1175/I1175-1</f>
        <v>2.9996032036540221E-2</v>
      </c>
      <c r="V1176" s="149">
        <f t="shared" ref="V1176" si="6875">V1175/J1175-1</f>
        <v>2.9996032036540221E-2</v>
      </c>
      <c r="W1176" s="149">
        <f t="shared" ref="W1176" si="6876">W1175/K1175-1</f>
        <v>2.9996032036540221E-2</v>
      </c>
      <c r="X1176" s="149">
        <f t="shared" ref="X1176" si="6877">X1175/L1175-1</f>
        <v>2.9996032036540221E-2</v>
      </c>
      <c r="Y1176" s="149">
        <f t="shared" ref="Y1176" si="6878">Y1175/M1175-1</f>
        <v>2.9996032036540221E-2</v>
      </c>
      <c r="Z1176" s="149">
        <f t="shared" ref="Z1176" si="6879">Z1175/N1175-1</f>
        <v>2.9996032036540221E-2</v>
      </c>
      <c r="AA1176" s="149">
        <f t="shared" ref="AA1176" si="6880">AA1175/O1175-1</f>
        <v>2.9996032036540221E-2</v>
      </c>
      <c r="AB1176" s="149">
        <f t="shared" ref="AB1176" si="6881">AB1175/P1175-1</f>
        <v>2.9996032036540221E-2</v>
      </c>
      <c r="AC1176" s="149">
        <f t="shared" ref="AC1176" si="6882">AC1175/Q1175-1</f>
        <v>2.9996032036540221E-2</v>
      </c>
      <c r="AD1176" s="150">
        <f t="shared" ref="AD1176" si="6883">AD1175/R1175-1</f>
        <v>2.9996032036540221E-2</v>
      </c>
      <c r="AE1176" s="15"/>
      <c r="AF1176" s="11"/>
      <c r="AG1176" s="97">
        <f>AG1175/AF1175-1</f>
        <v>2.9996032036540221E-2</v>
      </c>
    </row>
    <row r="1177" spans="2:33" ht="6" customHeight="1" x14ac:dyDescent="0.2">
      <c r="B1177" s="9">
        <f>G1142</f>
        <v>24</v>
      </c>
      <c r="C1177" s="9" t="str">
        <f t="shared" si="6641"/>
        <v xml:space="preserve">24 - </v>
      </c>
      <c r="D1177" s="9" t="s">
        <v>56</v>
      </c>
      <c r="F1177" s="16"/>
      <c r="G1177" s="11"/>
      <c r="S1177" s="11"/>
      <c r="AD1177" s="15"/>
      <c r="AE1177" s="15"/>
      <c r="AF1177" s="11"/>
      <c r="AG1177" s="15"/>
    </row>
    <row r="1178" spans="2:33" x14ac:dyDescent="0.2">
      <c r="B1178" s="9">
        <f>G1142</f>
        <v>24</v>
      </c>
      <c r="C1178" s="9" t="str">
        <f t="shared" si="6641"/>
        <v>24 - Office EBITDA</v>
      </c>
      <c r="D1178" s="9" t="s">
        <v>56</v>
      </c>
      <c r="F1178" s="8" t="s">
        <v>12</v>
      </c>
      <c r="G1178" s="134">
        <f>G1166+G1169+G1172+G1175</f>
        <v>64.068725680074976</v>
      </c>
      <c r="H1178" s="135">
        <f t="shared" ref="H1178:AD1178" si="6884">H1166+H1169+H1172+H1175</f>
        <v>69.82990458271982</v>
      </c>
      <c r="I1178" s="135">
        <f t="shared" si="6884"/>
        <v>88.745343093740544</v>
      </c>
      <c r="J1178" s="135">
        <f t="shared" si="6884"/>
        <v>77.372467015726315</v>
      </c>
      <c r="K1178" s="135">
        <f t="shared" si="6884"/>
        <v>93.94192347478473</v>
      </c>
      <c r="L1178" s="135">
        <f t="shared" si="6884"/>
        <v>77.038234552841033</v>
      </c>
      <c r="M1178" s="135">
        <f t="shared" si="6884"/>
        <v>64.12898406941946</v>
      </c>
      <c r="N1178" s="135">
        <f t="shared" si="6884"/>
        <v>144.64944780828972</v>
      </c>
      <c r="O1178" s="135">
        <f t="shared" si="6884"/>
        <v>127.02087731597778</v>
      </c>
      <c r="P1178" s="135">
        <f t="shared" si="6884"/>
        <v>129.79345367442053</v>
      </c>
      <c r="Q1178" s="135">
        <f t="shared" si="6884"/>
        <v>183.48486582566238</v>
      </c>
      <c r="R1178" s="135">
        <f t="shared" si="6884"/>
        <v>142.04498467878977</v>
      </c>
      <c r="S1178" s="134">
        <f t="shared" si="6884"/>
        <v>129.81218534377217</v>
      </c>
      <c r="T1178" s="135">
        <f t="shared" si="6884"/>
        <v>62.714486753335407</v>
      </c>
      <c r="U1178" s="135">
        <f t="shared" si="6884"/>
        <v>67.589979830325831</v>
      </c>
      <c r="V1178" s="135">
        <f t="shared" si="6884"/>
        <v>60.770323361305977</v>
      </c>
      <c r="W1178" s="135">
        <f t="shared" si="6884"/>
        <v>-50.071841873666678</v>
      </c>
      <c r="X1178" s="135">
        <f t="shared" si="6884"/>
        <v>-49.034642096880461</v>
      </c>
      <c r="Y1178" s="135">
        <f t="shared" si="6884"/>
        <v>49.412340727522327</v>
      </c>
      <c r="Z1178" s="135">
        <f t="shared" si="6884"/>
        <v>114.96563726404705</v>
      </c>
      <c r="AA1178" s="135">
        <f t="shared" si="6884"/>
        <v>109.88537413741412</v>
      </c>
      <c r="AB1178" s="135">
        <f t="shared" si="6884"/>
        <v>121.53601474821002</v>
      </c>
      <c r="AC1178" s="135">
        <f t="shared" si="6884"/>
        <v>155.47360074536346</v>
      </c>
      <c r="AD1178" s="136">
        <f t="shared" si="6884"/>
        <v>136.56209500678727</v>
      </c>
      <c r="AE1178" s="15"/>
      <c r="AF1178" s="94">
        <f>SUM(G1178:R1178)</f>
        <v>1262.1192117724472</v>
      </c>
      <c r="AG1178" s="95">
        <f>SUM(S1178:AD1178)</f>
        <v>909.61555394753645</v>
      </c>
    </row>
    <row r="1179" spans="2:33" x14ac:dyDescent="0.2">
      <c r="B1179" s="9">
        <f>G1142</f>
        <v>24</v>
      </c>
      <c r="C1179" s="9" t="str">
        <f t="shared" si="6641"/>
        <v>24 - % of Revenue - Office EBITDA</v>
      </c>
      <c r="D1179" s="9" t="s">
        <v>56</v>
      </c>
      <c r="F1179" s="16" t="str">
        <f>"% of Revenue - "&amp;F1178</f>
        <v>% of Revenue - Office EBITDA</v>
      </c>
      <c r="G1179" s="148">
        <f>G1178/G1154</f>
        <v>0.22365331360119747</v>
      </c>
      <c r="H1179" s="149">
        <f t="shared" ref="H1179" si="6885">H1178/H1154</f>
        <v>0.24586960321008963</v>
      </c>
      <c r="I1179" s="149">
        <f t="shared" ref="I1179" si="6886">I1178/I1154</f>
        <v>0.2572118918690105</v>
      </c>
      <c r="J1179" s="149">
        <f t="shared" ref="J1179" si="6887">J1178/J1154</f>
        <v>0.24427102829144468</v>
      </c>
      <c r="K1179" s="149">
        <f t="shared" ref="K1179" si="6888">K1178/K1154</f>
        <v>0.26010862977001614</v>
      </c>
      <c r="L1179" s="149">
        <f t="shared" ref="L1179" si="6889">L1178/L1154</f>
        <v>0.23387916299157366</v>
      </c>
      <c r="M1179" s="149">
        <f t="shared" ref="M1179" si="6890">M1178/M1154</f>
        <v>0.22613553573096321</v>
      </c>
      <c r="N1179" s="149">
        <f t="shared" ref="N1179" si="6891">N1178/N1154</f>
        <v>0.411979977314608</v>
      </c>
      <c r="O1179" s="149">
        <f t="shared" ref="O1179" si="6892">O1178/O1154</f>
        <v>0.39484308963997916</v>
      </c>
      <c r="P1179" s="149">
        <f t="shared" ref="P1179" si="6893">P1178/P1154</f>
        <v>0.38977895367439813</v>
      </c>
      <c r="Q1179" s="149">
        <f t="shared" ref="Q1179" si="6894">Q1178/Q1154</f>
        <v>0.49603643068263353</v>
      </c>
      <c r="R1179" s="149">
        <f t="shared" ref="R1179" si="6895">R1178/R1154</f>
        <v>0.47805355294277857</v>
      </c>
      <c r="S1179" s="148">
        <f t="shared" ref="S1179" si="6896">S1178/S1154</f>
        <v>0.38576706137770628</v>
      </c>
      <c r="T1179" s="149">
        <f t="shared" ref="T1179" si="6897">T1178/T1154</f>
        <v>0.21154735930119428</v>
      </c>
      <c r="U1179" s="149">
        <f t="shared" ref="U1179" si="6898">U1178/U1154</f>
        <v>0.21195157996170569</v>
      </c>
      <c r="V1179" s="149">
        <f t="shared" ref="V1179" si="6899">V1178/V1154</f>
        <v>0.20010681427813806</v>
      </c>
      <c r="W1179" s="149">
        <f t="shared" ref="W1179" si="6900">W1178/W1154</f>
        <v>-0.20208437328057177</v>
      </c>
      <c r="X1179" s="149">
        <f t="shared" ref="X1179" si="6901">X1178/X1154</f>
        <v>-0.22957073345608522</v>
      </c>
      <c r="Y1179" s="149">
        <f t="shared" ref="Y1179" si="6902">Y1178/Y1154</f>
        <v>0.15843487042338097</v>
      </c>
      <c r="Z1179" s="149">
        <f t="shared" ref="Z1179" si="6903">Z1178/Z1154</f>
        <v>0.34303041478369933</v>
      </c>
      <c r="AA1179" s="149">
        <f t="shared" ref="AA1179" si="6904">AA1178/AA1154</f>
        <v>0.32982697356237867</v>
      </c>
      <c r="AB1179" s="149">
        <f t="shared" ref="AB1179" si="6905">AB1178/AB1154</f>
        <v>0.33574425826205634</v>
      </c>
      <c r="AC1179" s="149">
        <f t="shared" ref="AC1179" si="6906">AC1178/AC1154</f>
        <v>0.44312870916300934</v>
      </c>
      <c r="AD1179" s="150">
        <f t="shared" ref="AD1179" si="6907">AD1178/AD1154</f>
        <v>0.43225757563016343</v>
      </c>
      <c r="AE1179" s="15"/>
      <c r="AF1179" s="96">
        <f t="shared" ref="AF1179" si="6908">AF1178/AF1154</f>
        <v>0.32535293976342067</v>
      </c>
      <c r="AG1179" s="97">
        <f t="shared" ref="AG1179" si="6909">AG1178/AG1154</f>
        <v>0.24413507294999812</v>
      </c>
    </row>
    <row r="1180" spans="2:33" ht="6" customHeight="1" x14ac:dyDescent="0.2">
      <c r="B1180" s="9">
        <f>G1142</f>
        <v>24</v>
      </c>
      <c r="C1180" s="9" t="str">
        <f t="shared" si="6641"/>
        <v xml:space="preserve">24 - </v>
      </c>
      <c r="D1180" s="9" t="s">
        <v>56</v>
      </c>
      <c r="G1180" s="11"/>
      <c r="S1180" s="11"/>
      <c r="AD1180" s="15"/>
      <c r="AE1180" s="15"/>
      <c r="AF1180" s="11"/>
      <c r="AG1180" s="15"/>
    </row>
    <row r="1181" spans="2:33" x14ac:dyDescent="0.2">
      <c r="B1181" s="9">
        <f>G1142</f>
        <v>24</v>
      </c>
      <c r="C1181" s="9" t="str">
        <f t="shared" si="6641"/>
        <v>24 - Memo:</v>
      </c>
      <c r="D1181" s="9" t="s">
        <v>56</v>
      </c>
      <c r="F1181" s="6" t="s">
        <v>13</v>
      </c>
      <c r="G1181" s="11"/>
      <c r="S1181" s="11"/>
      <c r="AD1181" s="15"/>
      <c r="AE1181" s="15"/>
      <c r="AF1181" s="11"/>
      <c r="AG1181" s="15"/>
    </row>
    <row r="1182" spans="2:33" s="24" customFormat="1" x14ac:dyDescent="0.2">
      <c r="B1182" s="9">
        <f>G1142</f>
        <v>24</v>
      </c>
      <c r="C1182" s="9" t="str">
        <f t="shared" si="6641"/>
        <v>24 - Collections</v>
      </c>
      <c r="D1182" s="9" t="s">
        <v>56</v>
      </c>
      <c r="E1182" s="49"/>
      <c r="F1182" s="24" t="s">
        <v>15</v>
      </c>
      <c r="G1182" s="169">
        <f>G1183*G1152</f>
        <v>293.88007470335867</v>
      </c>
      <c r="H1182" s="170">
        <f t="shared" ref="H1182" si="6910">H1183*H1152</f>
        <v>289.64821325607073</v>
      </c>
      <c r="I1182" s="170">
        <f t="shared" ref="I1182" si="6911">I1183*I1152</f>
        <v>353.67747791603517</v>
      </c>
      <c r="J1182" s="170">
        <f t="shared" ref="J1182" si="6912">J1183*J1152</f>
        <v>315.45113221312391</v>
      </c>
      <c r="K1182" s="170">
        <f t="shared" ref="K1182" si="6913">K1183*K1152</f>
        <v>361.69243100665597</v>
      </c>
      <c r="L1182" s="170">
        <f t="shared" ref="L1182" si="6914">L1183*L1152</f>
        <v>326.90786763868027</v>
      </c>
      <c r="M1182" s="170">
        <f t="shared" ref="M1182" si="6915">M1183*M1152</f>
        <v>286.61748291522161</v>
      </c>
      <c r="N1182" s="170">
        <f t="shared" ref="N1182" si="6916">N1183*N1152</f>
        <v>355.44006879790487</v>
      </c>
      <c r="O1182" s="170">
        <f t="shared" ref="O1182" si="6917">O1183*O1152</f>
        <v>318.92379610977594</v>
      </c>
      <c r="P1182" s="170">
        <f t="shared" ref="P1182" si="6918">P1183*P1152</f>
        <v>335.59283730163855</v>
      </c>
      <c r="Q1182" s="170">
        <f t="shared" ref="Q1182" si="6919">Q1183*Q1152</f>
        <v>371.22442427488909</v>
      </c>
      <c r="R1182" s="170">
        <f t="shared" ref="R1182" si="6920">R1183*R1152</f>
        <v>304.90510138161846</v>
      </c>
      <c r="S1182" s="169">
        <f t="shared" ref="S1182" si="6921">S1183*S1152</f>
        <v>341.40621864970086</v>
      </c>
      <c r="T1182" s="170">
        <f t="shared" ref="T1182" si="6922">T1183*T1152</f>
        <v>291.83746694299606</v>
      </c>
      <c r="U1182" s="170">
        <f t="shared" ref="U1182" si="6923">U1183*U1152</f>
        <v>323.76112517865209</v>
      </c>
      <c r="V1182" s="170">
        <f t="shared" ref="V1182" si="6924">V1183*V1152</f>
        <v>309.42833971571895</v>
      </c>
      <c r="W1182" s="170">
        <f t="shared" ref="W1182" si="6925">W1183*W1152</f>
        <v>248.36617845458184</v>
      </c>
      <c r="X1182" s="170">
        <f t="shared" ref="X1182" si="6926">X1183*X1152</f>
        <v>213.5407025470528</v>
      </c>
      <c r="Y1182" s="170">
        <f t="shared" ref="Y1182" si="6927">Y1183*Y1152</f>
        <v>315.89027460695212</v>
      </c>
      <c r="Z1182" s="170">
        <f t="shared" ref="Z1182" si="6928">Z1183*Z1152</f>
        <v>329.40092574997726</v>
      </c>
      <c r="AA1182" s="170">
        <f t="shared" ref="AA1182" si="6929">AA1183*AA1152</f>
        <v>335.86219395721622</v>
      </c>
      <c r="AB1182" s="170">
        <f t="shared" ref="AB1182" si="6930">AB1183*AB1152</f>
        <v>363.50910026082533</v>
      </c>
      <c r="AC1182" s="170">
        <f t="shared" ref="AC1182" si="6931">AC1183*AC1152</f>
        <v>356.70991544763507</v>
      </c>
      <c r="AD1182" s="171">
        <f t="shared" ref="AD1182" si="6932">AD1183*AD1152</f>
        <v>314.39476595575087</v>
      </c>
      <c r="AE1182" s="26"/>
      <c r="AF1182" s="68">
        <f>SUM(G1182:R1182)</f>
        <v>3913.9609075149733</v>
      </c>
      <c r="AG1182" s="99">
        <f>SUM(S1182:AD1182)</f>
        <v>3744.1072074670597</v>
      </c>
    </row>
    <row r="1183" spans="2:33" x14ac:dyDescent="0.2">
      <c r="B1183" s="9">
        <f>G1142</f>
        <v>24</v>
      </c>
      <c r="C1183" s="9" t="str">
        <f t="shared" si="6641"/>
        <v>24 - Collections as a % of Production</v>
      </c>
      <c r="D1183" s="9" t="s">
        <v>56</v>
      </c>
      <c r="F1183" s="16" t="s">
        <v>17</v>
      </c>
      <c r="G1183" s="140">
        <v>0.99810436682668757</v>
      </c>
      <c r="H1183" s="141">
        <v>0.99222647005283837</v>
      </c>
      <c r="I1183" s="141">
        <v>0.99730831306840517</v>
      </c>
      <c r="J1183" s="141">
        <v>0.96893394232292418</v>
      </c>
      <c r="K1183" s="141">
        <v>0.9743417153570878</v>
      </c>
      <c r="L1183" s="141">
        <v>0.96557751760308963</v>
      </c>
      <c r="M1183" s="141">
        <v>0.9833173344905749</v>
      </c>
      <c r="N1183" s="141">
        <v>0.98492299423166918</v>
      </c>
      <c r="O1183" s="141">
        <v>0.96452374009274522</v>
      </c>
      <c r="P1183" s="141">
        <v>0.9805163565916355</v>
      </c>
      <c r="Q1183" s="141">
        <v>0.97639698721418056</v>
      </c>
      <c r="R1183" s="141">
        <v>0.99837086744474013</v>
      </c>
      <c r="S1183" s="140">
        <v>0.99548213138650288</v>
      </c>
      <c r="T1183" s="141">
        <v>0.96590217310836646</v>
      </c>
      <c r="U1183" s="141">
        <v>0.99616528273862803</v>
      </c>
      <c r="V1183" s="141">
        <v>0.99973012223157409</v>
      </c>
      <c r="W1183" s="141">
        <v>0.98352177531091001</v>
      </c>
      <c r="X1183" s="141">
        <v>0.9809492493213483</v>
      </c>
      <c r="Y1183" s="141">
        <v>0.99381136937295178</v>
      </c>
      <c r="Z1183" s="141">
        <v>0.96436569454955245</v>
      </c>
      <c r="AA1183" s="141">
        <v>0.98914454239731775</v>
      </c>
      <c r="AB1183" s="141">
        <v>0.98530627921856695</v>
      </c>
      <c r="AC1183" s="141">
        <v>0.99756401016071616</v>
      </c>
      <c r="AD1183" s="142">
        <v>0.97642774178910663</v>
      </c>
      <c r="AE1183" s="15"/>
      <c r="AF1183" s="96">
        <f t="shared" ref="AF1183" si="6933">AF1182/AF1152</f>
        <v>0.981629054884815</v>
      </c>
      <c r="AG1183" s="97">
        <f t="shared" ref="AG1183" si="6934">AG1182/AG1152</f>
        <v>0.98599096014171628</v>
      </c>
    </row>
    <row r="1184" spans="2:33" ht="6" customHeight="1" x14ac:dyDescent="0.2">
      <c r="B1184" s="9">
        <f>G1142</f>
        <v>24</v>
      </c>
      <c r="C1184" s="9" t="str">
        <f t="shared" si="6641"/>
        <v xml:space="preserve">24 - </v>
      </c>
      <c r="D1184" s="9" t="s">
        <v>56</v>
      </c>
      <c r="F1184" s="27"/>
      <c r="R1184" s="15"/>
      <c r="AD1184" s="15"/>
      <c r="AE1184" s="15"/>
      <c r="AF1184" s="11"/>
      <c r="AG1184" s="15"/>
    </row>
    <row r="1185" spans="2:34" s="24" customFormat="1" x14ac:dyDescent="0.2">
      <c r="B1185" s="9">
        <f>G1142</f>
        <v>24</v>
      </c>
      <c r="C1185" s="9" t="str">
        <f t="shared" si="6641"/>
        <v>24 - Production per Vet Workday - YoY Change</v>
      </c>
      <c r="D1185" s="9" t="s">
        <v>56</v>
      </c>
      <c r="E1185" s="49"/>
      <c r="F1185" s="24" t="s">
        <v>55</v>
      </c>
      <c r="G1185" s="88"/>
      <c r="H1185" s="89"/>
      <c r="I1185" s="89"/>
      <c r="J1185" s="89"/>
      <c r="K1185" s="89"/>
      <c r="L1185" s="89"/>
      <c r="M1185" s="89"/>
      <c r="N1185" s="89"/>
      <c r="O1185" s="89"/>
      <c r="P1185" s="89"/>
      <c r="Q1185" s="89"/>
      <c r="R1185" s="89"/>
      <c r="S1185" s="151">
        <f>S1151/G1151-1</f>
        <v>-0.16439721115498529</v>
      </c>
      <c r="T1185" s="152">
        <f t="shared" ref="T1185" si="6935">T1151/H1151-1</f>
        <v>-1.2028372394214948E-2</v>
      </c>
      <c r="U1185" s="152">
        <f t="shared" ref="U1185" si="6936">U1151/I1151-1</f>
        <v>-2.2126852705062205E-4</v>
      </c>
      <c r="V1185" s="152">
        <f t="shared" ref="V1185" si="6937">V1151/J1151-1</f>
        <v>-9.252221472771438E-2</v>
      </c>
      <c r="W1185" s="152">
        <f t="shared" ref="W1185" si="6938">W1151/K1151-1</f>
        <v>-2.2114053302861314E-2</v>
      </c>
      <c r="X1185" s="152">
        <f t="shared" ref="X1185" si="6939">X1151/L1151-1</f>
        <v>5.6320481765362862E-2</v>
      </c>
      <c r="Y1185" s="152">
        <f t="shared" ref="Y1185" si="6940">Y1151/M1151-1</f>
        <v>4.3081293468407722E-2</v>
      </c>
      <c r="Z1185" s="152">
        <f t="shared" ref="Z1185" si="6941">Z1151/N1151-1</f>
        <v>-1.2351608684883941E-2</v>
      </c>
      <c r="AA1185" s="152">
        <f t="shared" ref="AA1185" si="6942">AA1151/O1151-1</f>
        <v>7.5798029068962158E-2</v>
      </c>
      <c r="AB1185" s="152">
        <f t="shared" ref="AB1185" si="6943">AB1151/P1151-1</f>
        <v>-1.1907424227189045E-2</v>
      </c>
      <c r="AC1185" s="152">
        <f t="shared" ref="AC1185" si="6944">AC1151/Q1151-1</f>
        <v>-1.6737553297819452E-2</v>
      </c>
      <c r="AD1185" s="153">
        <f t="shared" ref="AD1185" si="6945">AD1151/R1151-1</f>
        <v>5.4295630381873794E-2</v>
      </c>
      <c r="AF1185" s="43"/>
      <c r="AG1185" s="104">
        <f>AG1151/AF1151-1</f>
        <v>-1.2212031238577836E-2</v>
      </c>
    </row>
    <row r="1186" spans="2:34" s="24" customFormat="1" ht="6" customHeight="1" x14ac:dyDescent="0.2">
      <c r="D1186" s="9" t="s">
        <v>56</v>
      </c>
      <c r="E1186" s="49"/>
      <c r="G1186" s="28"/>
      <c r="H1186" s="30"/>
      <c r="I1186" s="30"/>
      <c r="J1186" s="30"/>
      <c r="K1186" s="30"/>
      <c r="L1186" s="30"/>
      <c r="M1186" s="30"/>
      <c r="N1186" s="30"/>
      <c r="O1186" s="30"/>
      <c r="P1186" s="30"/>
      <c r="Q1186" s="30"/>
      <c r="R1186" s="29"/>
      <c r="S1186" s="30"/>
      <c r="T1186" s="30"/>
      <c r="U1186" s="30"/>
      <c r="V1186" s="30"/>
      <c r="W1186" s="30"/>
      <c r="X1186" s="30"/>
      <c r="Y1186" s="30"/>
      <c r="Z1186" s="30"/>
      <c r="AA1186" s="30"/>
      <c r="AB1186" s="30"/>
      <c r="AC1186" s="30"/>
      <c r="AD1186" s="29"/>
      <c r="AE1186" s="25"/>
      <c r="AF1186" s="28"/>
      <c r="AG1186" s="29"/>
    </row>
    <row r="1187" spans="2:34" s="24" customFormat="1" ht="6" customHeight="1" x14ac:dyDescent="0.2">
      <c r="D1187" s="9" t="s">
        <v>56</v>
      </c>
      <c r="E1187" s="49"/>
    </row>
    <row r="1188" spans="2:34" x14ac:dyDescent="0.2">
      <c r="D1188" s="9" t="s">
        <v>56</v>
      </c>
      <c r="F1188" s="16"/>
    </row>
    <row r="1189" spans="2:34" ht="15.75" thickBot="1" x14ac:dyDescent="0.4">
      <c r="B1189" s="35" t="s">
        <v>52</v>
      </c>
      <c r="C1189" s="35"/>
      <c r="D1189" s="9" t="s">
        <v>56</v>
      </c>
      <c r="E1189" s="48" t="s">
        <v>0</v>
      </c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74">
        <f ca="1">AG$2</f>
        <v>45999</v>
      </c>
      <c r="AH1189" s="1"/>
    </row>
    <row r="1190" spans="2:34" x14ac:dyDescent="0.2">
      <c r="B1190" s="9">
        <f>G1191</f>
        <v>25</v>
      </c>
      <c r="C1190" s="9"/>
      <c r="D1190" s="9" t="s">
        <v>56</v>
      </c>
      <c r="F1190" t="s">
        <v>159</v>
      </c>
      <c r="AG1190" s="6" t="s">
        <v>16</v>
      </c>
    </row>
    <row r="1191" spans="2:34" x14ac:dyDescent="0.2">
      <c r="B1191" s="9">
        <f>G1191</f>
        <v>25</v>
      </c>
      <c r="C1191" s="9"/>
      <c r="D1191" s="9" t="s">
        <v>56</v>
      </c>
      <c r="F1191" s="40" t="s">
        <v>53</v>
      </c>
      <c r="G1191" s="42">
        <v>25</v>
      </c>
    </row>
    <row r="1192" spans="2:34" x14ac:dyDescent="0.2">
      <c r="B1192" s="9">
        <f>G1191</f>
        <v>25</v>
      </c>
      <c r="C1192" s="9"/>
      <c r="D1192" s="9" t="s">
        <v>56</v>
      </c>
      <c r="F1192" s="39" t="s">
        <v>42</v>
      </c>
      <c r="G1192" s="41"/>
      <c r="H1192" s="11"/>
    </row>
    <row r="1193" spans="2:34" x14ac:dyDescent="0.2">
      <c r="B1193" s="9">
        <f>G1191</f>
        <v>25</v>
      </c>
      <c r="C1193" s="9"/>
      <c r="D1193" s="9" t="s">
        <v>56</v>
      </c>
      <c r="G1193" s="23"/>
    </row>
    <row r="1194" spans="2:34" x14ac:dyDescent="0.2">
      <c r="B1194" s="9">
        <f>G1191</f>
        <v>25</v>
      </c>
      <c r="C1194" s="9"/>
      <c r="D1194" s="9" t="s">
        <v>56</v>
      </c>
      <c r="G1194" s="20">
        <v>2023</v>
      </c>
      <c r="H1194" s="21"/>
      <c r="I1194" s="21"/>
      <c r="J1194" s="21"/>
      <c r="K1194" s="21"/>
      <c r="L1194" s="21"/>
      <c r="M1194" s="21"/>
      <c r="N1194" s="21"/>
      <c r="O1194" s="21"/>
      <c r="P1194" s="21"/>
      <c r="Q1194" s="21"/>
      <c r="R1194" s="22"/>
      <c r="S1194" s="20">
        <v>2024</v>
      </c>
      <c r="T1194" s="21"/>
      <c r="U1194" s="21"/>
      <c r="V1194" s="21"/>
      <c r="W1194" s="21"/>
      <c r="X1194" s="21"/>
      <c r="Y1194" s="21"/>
      <c r="Z1194" s="21"/>
      <c r="AA1194" s="21"/>
      <c r="AB1194" s="21"/>
      <c r="AC1194" s="21"/>
      <c r="AD1194" s="22"/>
      <c r="AF1194" s="17" t="s">
        <v>14</v>
      </c>
      <c r="AG1194" s="18"/>
    </row>
    <row r="1195" spans="2:34" ht="15" customHeight="1" x14ac:dyDescent="0.35">
      <c r="B1195" s="9">
        <f>G1191</f>
        <v>25</v>
      </c>
      <c r="C1195" s="9"/>
      <c r="D1195" s="9" t="s">
        <v>56</v>
      </c>
      <c r="G1195" s="165">
        <v>44957</v>
      </c>
      <c r="H1195" s="166">
        <v>44985</v>
      </c>
      <c r="I1195" s="166">
        <v>45016</v>
      </c>
      <c r="J1195" s="166">
        <v>45046</v>
      </c>
      <c r="K1195" s="166">
        <v>45077</v>
      </c>
      <c r="L1195" s="166">
        <v>45107</v>
      </c>
      <c r="M1195" s="166">
        <v>45138</v>
      </c>
      <c r="N1195" s="166">
        <v>45169</v>
      </c>
      <c r="O1195" s="166">
        <v>45199</v>
      </c>
      <c r="P1195" s="166">
        <v>45230</v>
      </c>
      <c r="Q1195" s="166">
        <v>45260</v>
      </c>
      <c r="R1195" s="167">
        <v>45291</v>
      </c>
      <c r="S1195" s="165">
        <v>45322</v>
      </c>
      <c r="T1195" s="166">
        <v>45351</v>
      </c>
      <c r="U1195" s="166">
        <v>45382</v>
      </c>
      <c r="V1195" s="166">
        <v>45412</v>
      </c>
      <c r="W1195" s="166">
        <v>45443</v>
      </c>
      <c r="X1195" s="166">
        <v>45473</v>
      </c>
      <c r="Y1195" s="166">
        <v>45504</v>
      </c>
      <c r="Z1195" s="166">
        <v>45535</v>
      </c>
      <c r="AA1195" s="166">
        <v>45565</v>
      </c>
      <c r="AB1195" s="166">
        <v>45596</v>
      </c>
      <c r="AC1195" s="166">
        <v>45626</v>
      </c>
      <c r="AD1195" s="167">
        <v>45657</v>
      </c>
      <c r="AE1195" s="168"/>
      <c r="AF1195" s="13">
        <v>45291</v>
      </c>
      <c r="AG1195" s="14">
        <v>45657</v>
      </c>
    </row>
    <row r="1196" spans="2:34" ht="0.95" customHeight="1" x14ac:dyDescent="0.2">
      <c r="B1196" s="9">
        <f>G1191</f>
        <v>25</v>
      </c>
      <c r="C1196" s="9"/>
      <c r="D1196" s="9" t="s">
        <v>56</v>
      </c>
      <c r="G1196" s="11"/>
      <c r="S1196" s="11"/>
      <c r="AD1196" s="15"/>
      <c r="AE1196" s="15"/>
      <c r="AF1196" s="11"/>
      <c r="AG1196" s="15"/>
    </row>
    <row r="1197" spans="2:34" x14ac:dyDescent="0.2">
      <c r="B1197" s="9">
        <f>G1191</f>
        <v>25</v>
      </c>
      <c r="C1197" s="9" t="str">
        <f>B1197&amp;" - "&amp;F1197</f>
        <v>25 - Employed Vets</v>
      </c>
      <c r="D1197" s="9" t="s">
        <v>56</v>
      </c>
      <c r="F1197" s="7" t="s">
        <v>160</v>
      </c>
      <c r="G1197" s="121">
        <v>4</v>
      </c>
      <c r="H1197" s="154">
        <f>MAX(MIN(IF(H1200/G1200&gt;1.1,G1197-1,IF(H1200/G1200&lt;0.9,G1197+1,G1197)),5),1)</f>
        <v>4</v>
      </c>
      <c r="I1197" s="154">
        <f t="shared" ref="I1197:AC1197" si="6946">MAX(MIN(IF(I1200/H1200&gt;1.1,H1197-1,IF(I1200/H1200&lt;0.9,H1197+1,H1197)),5),1)</f>
        <v>3</v>
      </c>
      <c r="J1197" s="154">
        <f t="shared" si="6946"/>
        <v>3</v>
      </c>
      <c r="K1197" s="154">
        <f t="shared" si="6946"/>
        <v>2</v>
      </c>
      <c r="L1197" s="154">
        <f t="shared" si="6946"/>
        <v>2</v>
      </c>
      <c r="M1197" s="154">
        <f t="shared" si="6946"/>
        <v>3</v>
      </c>
      <c r="N1197" s="154">
        <f t="shared" si="6946"/>
        <v>4</v>
      </c>
      <c r="O1197" s="154">
        <f t="shared" si="6946"/>
        <v>4</v>
      </c>
      <c r="P1197" s="154">
        <f t="shared" si="6946"/>
        <v>4</v>
      </c>
      <c r="Q1197" s="154">
        <f t="shared" si="6946"/>
        <v>5</v>
      </c>
      <c r="R1197" s="154">
        <f t="shared" si="6946"/>
        <v>5</v>
      </c>
      <c r="S1197" s="155">
        <f t="shared" si="6946"/>
        <v>4</v>
      </c>
      <c r="T1197" s="154">
        <f t="shared" si="6946"/>
        <v>4</v>
      </c>
      <c r="U1197" s="154">
        <f t="shared" si="6946"/>
        <v>4</v>
      </c>
      <c r="V1197" s="154">
        <f t="shared" si="6946"/>
        <v>3</v>
      </c>
      <c r="W1197" s="154">
        <f t="shared" si="6946"/>
        <v>3</v>
      </c>
      <c r="X1197" s="154">
        <f t="shared" si="6946"/>
        <v>3</v>
      </c>
      <c r="Y1197" s="154">
        <f t="shared" si="6946"/>
        <v>4</v>
      </c>
      <c r="Z1197" s="154">
        <f t="shared" si="6946"/>
        <v>4</v>
      </c>
      <c r="AA1197" s="154">
        <f t="shared" si="6946"/>
        <v>4</v>
      </c>
      <c r="AB1197" s="154">
        <f t="shared" si="6946"/>
        <v>4</v>
      </c>
      <c r="AC1197" s="154">
        <f t="shared" si="6946"/>
        <v>4</v>
      </c>
      <c r="AD1197" s="156">
        <f>AC1197</f>
        <v>4</v>
      </c>
      <c r="AE1197" s="15"/>
      <c r="AF1197" s="90">
        <f>AVERAGE(G1197:R1197)</f>
        <v>3.5833333333333335</v>
      </c>
      <c r="AG1197" s="91">
        <f>AVERAGE(S1197:AD1197)</f>
        <v>3.75</v>
      </c>
    </row>
    <row r="1198" spans="2:34" x14ac:dyDescent="0.2">
      <c r="B1198" s="9">
        <f>G1191</f>
        <v>25</v>
      </c>
      <c r="C1198" s="9" t="str">
        <f t="shared" ref="C1198:C1234" si="6947">B1198&amp;" - "&amp;F1198</f>
        <v>25 - Workdays in Month / Year</v>
      </c>
      <c r="D1198" s="9" t="s">
        <v>56</v>
      </c>
      <c r="F1198" s="7" t="s">
        <v>54</v>
      </c>
      <c r="G1198" s="121">
        <v>22</v>
      </c>
      <c r="H1198" s="124">
        <v>21</v>
      </c>
      <c r="I1198" s="124">
        <v>24</v>
      </c>
      <c r="J1198" s="122">
        <v>21</v>
      </c>
      <c r="K1198" s="122">
        <v>23</v>
      </c>
      <c r="L1198" s="122">
        <v>23</v>
      </c>
      <c r="M1198" s="122">
        <v>22</v>
      </c>
      <c r="N1198" s="122">
        <v>24</v>
      </c>
      <c r="O1198" s="122">
        <v>22</v>
      </c>
      <c r="P1198" s="122">
        <v>22</v>
      </c>
      <c r="Q1198" s="122">
        <v>23</v>
      </c>
      <c r="R1198" s="122">
        <v>22</v>
      </c>
      <c r="S1198" s="121">
        <v>23</v>
      </c>
      <c r="T1198" s="122">
        <v>22</v>
      </c>
      <c r="U1198" s="122">
        <v>22</v>
      </c>
      <c r="V1198" s="122">
        <v>22</v>
      </c>
      <c r="W1198" s="122">
        <v>24</v>
      </c>
      <c r="X1198" s="122">
        <v>21</v>
      </c>
      <c r="Y1198" s="122">
        <v>23</v>
      </c>
      <c r="Z1198" s="122">
        <v>23</v>
      </c>
      <c r="AA1198" s="122">
        <v>21</v>
      </c>
      <c r="AB1198" s="122">
        <v>24</v>
      </c>
      <c r="AC1198" s="122">
        <v>22</v>
      </c>
      <c r="AD1198" s="123">
        <v>22</v>
      </c>
      <c r="AE1198" s="15"/>
      <c r="AF1198" s="144">
        <v>269</v>
      </c>
      <c r="AG1198" s="145">
        <v>269</v>
      </c>
    </row>
    <row r="1199" spans="2:34" x14ac:dyDescent="0.2">
      <c r="B1199" s="9">
        <f>G1191</f>
        <v>25</v>
      </c>
      <c r="C1199" s="9" t="str">
        <f t="shared" si="6947"/>
        <v>25 - Total Vet Days</v>
      </c>
      <c r="D1199" s="9" t="s">
        <v>56</v>
      </c>
      <c r="F1199" s="8" t="s">
        <v>51</v>
      </c>
      <c r="G1199" s="125">
        <f>G1197*G1198</f>
        <v>88</v>
      </c>
      <c r="H1199" s="126">
        <f t="shared" ref="H1199" si="6948">H1197*H1198</f>
        <v>84</v>
      </c>
      <c r="I1199" s="126">
        <f t="shared" ref="I1199" si="6949">I1197*I1198</f>
        <v>72</v>
      </c>
      <c r="J1199" s="127">
        <f t="shared" ref="J1199" si="6950">J1197*J1198</f>
        <v>63</v>
      </c>
      <c r="K1199" s="127">
        <f t="shared" ref="K1199" si="6951">K1197*K1198</f>
        <v>46</v>
      </c>
      <c r="L1199" s="127">
        <f t="shared" ref="L1199" si="6952">L1197*L1198</f>
        <v>46</v>
      </c>
      <c r="M1199" s="127">
        <f t="shared" ref="M1199" si="6953">M1197*M1198</f>
        <v>66</v>
      </c>
      <c r="N1199" s="127">
        <f t="shared" ref="N1199" si="6954">N1197*N1198</f>
        <v>96</v>
      </c>
      <c r="O1199" s="127">
        <f t="shared" ref="O1199" si="6955">O1197*O1198</f>
        <v>88</v>
      </c>
      <c r="P1199" s="127">
        <f t="shared" ref="P1199" si="6956">P1197*P1198</f>
        <v>88</v>
      </c>
      <c r="Q1199" s="127">
        <f t="shared" ref="Q1199" si="6957">Q1197*Q1198</f>
        <v>115</v>
      </c>
      <c r="R1199" s="127">
        <f t="shared" ref="R1199" si="6958">R1197*R1198</f>
        <v>110</v>
      </c>
      <c r="S1199" s="125">
        <f t="shared" ref="S1199" si="6959">S1197*S1198</f>
        <v>92</v>
      </c>
      <c r="T1199" s="127">
        <f t="shared" ref="T1199" si="6960">T1197*T1198</f>
        <v>88</v>
      </c>
      <c r="U1199" s="127">
        <f t="shared" ref="U1199" si="6961">U1197*U1198</f>
        <v>88</v>
      </c>
      <c r="V1199" s="127">
        <f t="shared" ref="V1199" si="6962">V1197*V1198</f>
        <v>66</v>
      </c>
      <c r="W1199" s="127">
        <f t="shared" ref="W1199" si="6963">W1197*W1198</f>
        <v>72</v>
      </c>
      <c r="X1199" s="127">
        <f t="shared" ref="X1199" si="6964">X1197*X1198</f>
        <v>63</v>
      </c>
      <c r="Y1199" s="127">
        <f t="shared" ref="Y1199" si="6965">Y1197*Y1198</f>
        <v>92</v>
      </c>
      <c r="Z1199" s="127">
        <f t="shared" ref="Z1199" si="6966">Z1197*Z1198</f>
        <v>92</v>
      </c>
      <c r="AA1199" s="127">
        <f t="shared" ref="AA1199" si="6967">AA1197*AA1198</f>
        <v>84</v>
      </c>
      <c r="AB1199" s="127">
        <f t="shared" ref="AB1199" si="6968">AB1197*AB1198</f>
        <v>96</v>
      </c>
      <c r="AC1199" s="127">
        <f t="shared" ref="AC1199" si="6969">AC1197*AC1198</f>
        <v>88</v>
      </c>
      <c r="AD1199" s="128">
        <f t="shared" ref="AD1199" si="6970">AD1197*AD1198</f>
        <v>88</v>
      </c>
      <c r="AF1199" s="119">
        <f>SUM(G1199:R1199)</f>
        <v>962</v>
      </c>
      <c r="AG1199" s="120">
        <f>SUM(S1199:AD1199)</f>
        <v>1009</v>
      </c>
    </row>
    <row r="1200" spans="2:34" x14ac:dyDescent="0.2">
      <c r="B1200" s="9">
        <f>G1191</f>
        <v>25</v>
      </c>
      <c r="C1200" s="9" t="str">
        <f t="shared" si="6947"/>
        <v>25 - Production per Vet Workday</v>
      </c>
      <c r="D1200" s="9" t="s">
        <v>56</v>
      </c>
      <c r="F1200" s="7" t="s">
        <v>50</v>
      </c>
      <c r="G1200" s="129">
        <v>4.2575116372844519</v>
      </c>
      <c r="H1200" s="130">
        <v>4.5674387637666163</v>
      </c>
      <c r="I1200" s="130">
        <v>5.0560208431039033</v>
      </c>
      <c r="J1200" s="130">
        <v>5.3585517495129205</v>
      </c>
      <c r="K1200" s="130">
        <v>5.9988852202537117</v>
      </c>
      <c r="L1200" s="130">
        <v>5.9088216130602778</v>
      </c>
      <c r="M1200" s="130">
        <v>5.1015443626223247</v>
      </c>
      <c r="N1200" s="130">
        <v>4.4265732642061772</v>
      </c>
      <c r="O1200" s="130">
        <v>4.3881779924643478</v>
      </c>
      <c r="P1200" s="130">
        <v>4.3212586962921389</v>
      </c>
      <c r="Q1200" s="130">
        <v>3.7364793736727693</v>
      </c>
      <c r="R1200" s="130">
        <v>2.9206591926064722</v>
      </c>
      <c r="S1200" s="129">
        <v>4.2559681276631576</v>
      </c>
      <c r="T1200" s="130">
        <v>4.3365393340952574</v>
      </c>
      <c r="U1200" s="130">
        <v>4.4200843299965307</v>
      </c>
      <c r="V1200" s="130">
        <v>5.2015886569793013</v>
      </c>
      <c r="W1200" s="130">
        <v>5.5298567280327742</v>
      </c>
      <c r="X1200" s="130">
        <v>6.0011313283631385</v>
      </c>
      <c r="Y1200" s="130">
        <v>5.2083193330714952</v>
      </c>
      <c r="Z1200" s="130">
        <v>4.7683994543203383</v>
      </c>
      <c r="AA1200" s="130">
        <v>4.7044561828499472</v>
      </c>
      <c r="AB1200" s="130">
        <v>4.2605111986356494</v>
      </c>
      <c r="AC1200" s="130">
        <v>4.0823992042806223</v>
      </c>
      <c r="AD1200" s="131">
        <v>3.0162131887596306</v>
      </c>
      <c r="AE1200" s="15"/>
      <c r="AF1200" s="132">
        <v>4.6751140650666976</v>
      </c>
      <c r="AG1200" s="133">
        <v>4.6482829395250231</v>
      </c>
    </row>
    <row r="1201" spans="2:33" x14ac:dyDescent="0.2">
      <c r="B1201" s="9">
        <f>G1191</f>
        <v>25</v>
      </c>
      <c r="C1201" s="9" t="str">
        <f t="shared" si="6947"/>
        <v>25 - Total Production</v>
      </c>
      <c r="D1201" s="9" t="s">
        <v>56</v>
      </c>
      <c r="F1201" s="8" t="s">
        <v>1</v>
      </c>
      <c r="G1201" s="134">
        <f>G1200*G1199</f>
        <v>374.66102408103177</v>
      </c>
      <c r="H1201" s="135">
        <f t="shared" ref="H1201" si="6971">H1200*H1199</f>
        <v>383.66485615639579</v>
      </c>
      <c r="I1201" s="135">
        <f t="shared" ref="I1201" si="6972">I1200*I1199</f>
        <v>364.03350070348102</v>
      </c>
      <c r="J1201" s="135">
        <f t="shared" ref="J1201" si="6973">J1200*J1199</f>
        <v>337.588760219314</v>
      </c>
      <c r="K1201" s="135">
        <f t="shared" ref="K1201" si="6974">K1200*K1199</f>
        <v>275.94872013167071</v>
      </c>
      <c r="L1201" s="135">
        <f t="shared" ref="L1201" si="6975">L1200*L1199</f>
        <v>271.80579420077277</v>
      </c>
      <c r="M1201" s="135">
        <f t="shared" ref="M1201" si="6976">M1200*M1199</f>
        <v>336.70192793307342</v>
      </c>
      <c r="N1201" s="135">
        <f t="shared" ref="N1201" si="6977">N1200*N1199</f>
        <v>424.95103336379304</v>
      </c>
      <c r="O1201" s="135">
        <f t="shared" ref="O1201" si="6978">O1200*O1199</f>
        <v>386.15966333686259</v>
      </c>
      <c r="P1201" s="135">
        <f t="shared" ref="P1201" si="6979">P1200*P1199</f>
        <v>380.27076527370821</v>
      </c>
      <c r="Q1201" s="135">
        <f t="shared" ref="Q1201" si="6980">Q1200*Q1199</f>
        <v>429.69512797236848</v>
      </c>
      <c r="R1201" s="135">
        <f t="shared" ref="R1201" si="6981">R1200*R1199</f>
        <v>321.27251118671194</v>
      </c>
      <c r="S1201" s="134">
        <f t="shared" ref="S1201" si="6982">S1200*S1199</f>
        <v>391.54906774501052</v>
      </c>
      <c r="T1201" s="135">
        <f t="shared" ref="T1201" si="6983">T1200*T1199</f>
        <v>381.61546140038263</v>
      </c>
      <c r="U1201" s="135">
        <f t="shared" ref="U1201" si="6984">U1200*U1199</f>
        <v>388.96742103969473</v>
      </c>
      <c r="V1201" s="135">
        <f t="shared" ref="V1201" si="6985">V1200*V1199</f>
        <v>343.3048513606339</v>
      </c>
      <c r="W1201" s="135">
        <f t="shared" ref="W1201" si="6986">W1200*W1199</f>
        <v>398.14968441835975</v>
      </c>
      <c r="X1201" s="135">
        <f t="shared" ref="X1201" si="6987">X1200*X1199</f>
        <v>378.0712736868777</v>
      </c>
      <c r="Y1201" s="135">
        <f t="shared" ref="Y1201" si="6988">Y1200*Y1199</f>
        <v>479.16537864257754</v>
      </c>
      <c r="Z1201" s="135">
        <f t="shared" ref="Z1201" si="6989">Z1200*Z1199</f>
        <v>438.69274979747115</v>
      </c>
      <c r="AA1201" s="135">
        <f t="shared" ref="AA1201" si="6990">AA1200*AA1199</f>
        <v>395.17431935939555</v>
      </c>
      <c r="AB1201" s="135">
        <f t="shared" ref="AB1201" si="6991">AB1200*AB1199</f>
        <v>409.00907506902234</v>
      </c>
      <c r="AC1201" s="135">
        <f t="shared" ref="AC1201" si="6992">AC1200*AC1199</f>
        <v>359.25112997669476</v>
      </c>
      <c r="AD1201" s="136">
        <f t="shared" ref="AD1201" si="6993">AD1200*AD1199</f>
        <v>265.42676061084751</v>
      </c>
      <c r="AE1201" s="15"/>
      <c r="AF1201" s="94">
        <f>SUM(G1201:R1201)</f>
        <v>4286.753684559184</v>
      </c>
      <c r="AG1201" s="95">
        <f>SUM(S1201:AD1201)</f>
        <v>4628.3771731069683</v>
      </c>
    </row>
    <row r="1202" spans="2:33" x14ac:dyDescent="0.2">
      <c r="B1202" s="9">
        <f>G1191</f>
        <v>25</v>
      </c>
      <c r="C1202" s="9" t="str">
        <f t="shared" si="6947"/>
        <v>25 - Revenue as a % of Production</v>
      </c>
      <c r="D1202" s="9" t="s">
        <v>56</v>
      </c>
      <c r="F1202" s="7" t="s">
        <v>2</v>
      </c>
      <c r="G1202" s="137">
        <v>0.97996283421046448</v>
      </c>
      <c r="H1202" s="138">
        <v>0.97996283421046448</v>
      </c>
      <c r="I1202" s="138">
        <v>0.97996283421046448</v>
      </c>
      <c r="J1202" s="138">
        <v>0.97996283421046448</v>
      </c>
      <c r="K1202" s="138">
        <v>0.97996283421046448</v>
      </c>
      <c r="L1202" s="138">
        <v>0.97996283421046448</v>
      </c>
      <c r="M1202" s="138">
        <v>0.97996283421046448</v>
      </c>
      <c r="N1202" s="138">
        <v>0.97996283421046448</v>
      </c>
      <c r="O1202" s="138">
        <v>0.97996283421046448</v>
      </c>
      <c r="P1202" s="138">
        <v>0.97996283421046448</v>
      </c>
      <c r="Q1202" s="138">
        <v>0.97996283421046448</v>
      </c>
      <c r="R1202" s="138">
        <v>0.97996283421046448</v>
      </c>
      <c r="S1202" s="137">
        <v>0.97977735088003293</v>
      </c>
      <c r="T1202" s="138">
        <v>0.97977735088003293</v>
      </c>
      <c r="U1202" s="138">
        <v>0.97977735088003293</v>
      </c>
      <c r="V1202" s="138">
        <v>0.97977735088003293</v>
      </c>
      <c r="W1202" s="138">
        <v>0.97977735088003293</v>
      </c>
      <c r="X1202" s="138">
        <v>0.97977735088003293</v>
      </c>
      <c r="Y1202" s="138">
        <v>0.97977735088003293</v>
      </c>
      <c r="Z1202" s="138">
        <v>0.97977735088003293</v>
      </c>
      <c r="AA1202" s="138">
        <v>0.97977735088003293</v>
      </c>
      <c r="AB1202" s="138">
        <v>0.97977735088003293</v>
      </c>
      <c r="AC1202" s="138">
        <v>0.97977735088003293</v>
      </c>
      <c r="AD1202" s="139">
        <v>0.97977735088003293</v>
      </c>
      <c r="AE1202" s="15"/>
      <c r="AF1202" s="161">
        <v>0.9799628342104646</v>
      </c>
      <c r="AG1202" s="162">
        <v>0.97977735088003315</v>
      </c>
    </row>
    <row r="1203" spans="2:33" x14ac:dyDescent="0.2">
      <c r="B1203" s="9">
        <f>G1191</f>
        <v>25</v>
      </c>
      <c r="C1203" s="9" t="str">
        <f t="shared" si="6947"/>
        <v>25 - Total Revenue</v>
      </c>
      <c r="D1203" s="9" t="s">
        <v>56</v>
      </c>
      <c r="F1203" s="8" t="s">
        <v>3</v>
      </c>
      <c r="G1203" s="134">
        <f>G1202*G1201</f>
        <v>367.15387902664298</v>
      </c>
      <c r="H1203" s="135">
        <f t="shared" ref="H1203" si="6994">H1202*H1201</f>
        <v>375.97729982597178</v>
      </c>
      <c r="I1203" s="135">
        <f t="shared" ref="I1203" si="6995">I1202*I1201</f>
        <v>356.73930109694038</v>
      </c>
      <c r="J1203" s="135">
        <f t="shared" ref="J1203" si="6996">J1202*J1201</f>
        <v>330.82443826211585</v>
      </c>
      <c r="K1203" s="135">
        <f t="shared" ref="K1203" si="6997">K1202*K1201</f>
        <v>270.41948987698231</v>
      </c>
      <c r="L1203" s="135">
        <f t="shared" ref="L1203" si="6998">L1202*L1201</f>
        <v>266.3595764398155</v>
      </c>
      <c r="M1203" s="135">
        <f t="shared" ref="M1203" si="6999">M1202*M1201</f>
        <v>329.95537558142217</v>
      </c>
      <c r="N1203" s="135">
        <f t="shared" ref="N1203" si="7000">N1202*N1201</f>
        <v>416.43621905584831</v>
      </c>
      <c r="O1203" s="135">
        <f t="shared" ref="O1203" si="7001">O1202*O1201</f>
        <v>378.42211814135067</v>
      </c>
      <c r="P1203" s="135">
        <f t="shared" ref="P1203" si="7002">P1202*P1201</f>
        <v>372.65121690500536</v>
      </c>
      <c r="Q1203" s="135">
        <f t="shared" ref="Q1203" si="7003">Q1202*Q1201</f>
        <v>421.08525545423043</v>
      </c>
      <c r="R1203" s="135">
        <f t="shared" ref="R1203" si="7004">R1202*R1201</f>
        <v>314.83512061644336</v>
      </c>
      <c r="S1203" s="134">
        <f t="shared" ref="S1203" si="7005">S1202*S1201</f>
        <v>383.63090833475297</v>
      </c>
      <c r="T1203" s="135">
        <f t="shared" ref="T1203" si="7006">T1202*T1201</f>
        <v>373.89818582572838</v>
      </c>
      <c r="U1203" s="135">
        <f t="shared" ref="U1203" si="7007">U1202*U1201</f>
        <v>381.10146936491049</v>
      </c>
      <c r="V1203" s="135">
        <f t="shared" ref="V1203" si="7008">V1202*V1201</f>
        <v>336.36231781038538</v>
      </c>
      <c r="W1203" s="135">
        <f t="shared" ref="W1203" si="7009">W1202*W1201</f>
        <v>390.09804305314162</v>
      </c>
      <c r="X1203" s="135">
        <f t="shared" ref="X1203" si="7010">X1202*X1201</f>
        <v>370.42567097676891</v>
      </c>
      <c r="Y1203" s="135">
        <f t="shared" ref="Y1203" si="7011">Y1202*Y1201</f>
        <v>469.47538531985253</v>
      </c>
      <c r="Z1203" s="135">
        <f t="shared" ref="Z1203" si="7012">Z1202*Z1201</f>
        <v>429.82122024684338</v>
      </c>
      <c r="AA1203" s="135">
        <f t="shared" ref="AA1203" si="7013">AA1202*AA1201</f>
        <v>387.18284775776868</v>
      </c>
      <c r="AB1203" s="135">
        <f t="shared" ref="AB1203" si="7014">AB1202*AB1201</f>
        <v>400.73782805701921</v>
      </c>
      <c r="AC1203" s="135">
        <f t="shared" ref="AC1203" si="7015">AC1202*AC1201</f>
        <v>351.9861204292244</v>
      </c>
      <c r="AD1203" s="136">
        <f t="shared" ref="AD1203" si="7016">AD1202*AD1201</f>
        <v>260.05912836396482</v>
      </c>
      <c r="AE1203" s="15"/>
      <c r="AF1203" s="94">
        <f>SUM(G1203:R1203)</f>
        <v>4200.8592902827686</v>
      </c>
      <c r="AG1203" s="95">
        <f>SUM(S1203:AD1203)</f>
        <v>4534.7791255403608</v>
      </c>
    </row>
    <row r="1204" spans="2:33" x14ac:dyDescent="0.2">
      <c r="B1204" s="9">
        <f>G1191</f>
        <v>25</v>
      </c>
      <c r="C1204" s="9" t="str">
        <f t="shared" si="6947"/>
        <v>25 - % YoY Revenue Growth</v>
      </c>
      <c r="D1204" s="9" t="s">
        <v>56</v>
      </c>
      <c r="F1204" s="16" t="s">
        <v>174</v>
      </c>
      <c r="G1204" s="82"/>
      <c r="H1204" s="83"/>
      <c r="I1204" s="83"/>
      <c r="J1204" s="83"/>
      <c r="K1204" s="83"/>
      <c r="L1204" s="83"/>
      <c r="M1204" s="83"/>
      <c r="N1204" s="83"/>
      <c r="O1204" s="83"/>
      <c r="P1204" s="83"/>
      <c r="Q1204" s="83"/>
      <c r="R1204" s="83"/>
      <c r="S1204" s="148">
        <f>S1203/G1203-1</f>
        <v>4.4877720894007878E-2</v>
      </c>
      <c r="T1204" s="149">
        <f t="shared" ref="T1204" si="7017">T1203/H1203-1</f>
        <v>-5.529892366389566E-3</v>
      </c>
      <c r="U1204" s="149">
        <f t="shared" ref="U1204" si="7018">U1203/I1203-1</f>
        <v>6.8291237307071873E-2</v>
      </c>
      <c r="V1204" s="149">
        <f t="shared" ref="V1204" si="7019">V1203/J1203-1</f>
        <v>1.6739632589904963E-2</v>
      </c>
      <c r="W1204" s="149">
        <f t="shared" ref="W1204" si="7020">W1203/K1203-1</f>
        <v>0.44256630034544764</v>
      </c>
      <c r="X1204" s="149">
        <f t="shared" ref="X1204" si="7021">X1203/L1203-1</f>
        <v>0.39069777752281176</v>
      </c>
      <c r="Y1204" s="149">
        <f t="shared" ref="Y1204" si="7022">Y1203/M1203-1</f>
        <v>0.42284508774127061</v>
      </c>
      <c r="Z1204" s="149">
        <f t="shared" ref="Z1204" si="7023">Z1203/N1203-1</f>
        <v>3.2141779649574653E-2</v>
      </c>
      <c r="AA1204" s="149">
        <f t="shared" ref="AA1204" si="7024">AA1203/O1203-1</f>
        <v>2.3150680672279433E-2</v>
      </c>
      <c r="AB1204" s="149">
        <f t="shared" ref="AB1204" si="7025">AB1203/P1203-1</f>
        <v>7.5369701956920165E-2</v>
      </c>
      <c r="AC1204" s="149">
        <f t="shared" ref="AC1204" si="7026">AC1203/Q1203-1</f>
        <v>-0.16409773111259351</v>
      </c>
      <c r="AD1204" s="150">
        <f t="shared" ref="AD1204" si="7027">AD1203/R1203-1</f>
        <v>-0.17398310628505431</v>
      </c>
      <c r="AE1204" s="15"/>
      <c r="AF1204" s="11"/>
      <c r="AG1204" s="97">
        <f>AG1203/AF1203-1</f>
        <v>7.948845990390585E-2</v>
      </c>
    </row>
    <row r="1205" spans="2:33" ht="6" customHeight="1" x14ac:dyDescent="0.2">
      <c r="B1205" s="9">
        <f>G1191</f>
        <v>25</v>
      </c>
      <c r="C1205" s="9" t="str">
        <f t="shared" si="6947"/>
        <v xml:space="preserve">25 - </v>
      </c>
      <c r="D1205" s="9" t="s">
        <v>56</v>
      </c>
      <c r="G1205" s="11"/>
      <c r="S1205" s="11"/>
      <c r="AD1205" s="15"/>
      <c r="AE1205" s="15"/>
      <c r="AF1205" s="11"/>
      <c r="AG1205" s="15"/>
    </row>
    <row r="1206" spans="2:33" x14ac:dyDescent="0.2">
      <c r="B1206" s="9">
        <f>G1191</f>
        <v>25</v>
      </c>
      <c r="C1206" s="9" t="str">
        <f t="shared" si="6947"/>
        <v>25 - Doctor Compensation</v>
      </c>
      <c r="D1206" s="9" t="s">
        <v>56</v>
      </c>
      <c r="F1206" t="s">
        <v>4</v>
      </c>
      <c r="G1206" s="144">
        <v>-145.40941576167683</v>
      </c>
      <c r="H1206" s="70">
        <v>-147.72061509209635</v>
      </c>
      <c r="I1206" s="70">
        <v>-129.48706723246346</v>
      </c>
      <c r="J1206" s="70">
        <v>-118.62975857059804</v>
      </c>
      <c r="K1206" s="70">
        <v>-86.117958699849297</v>
      </c>
      <c r="L1206" s="70">
        <v>-103.66480106571666</v>
      </c>
      <c r="M1206" s="70">
        <v>-124.15390926298996</v>
      </c>
      <c r="N1206" s="70">
        <v>-143.74136977410816</v>
      </c>
      <c r="O1206" s="70">
        <v>-127.79730202809627</v>
      </c>
      <c r="P1206" s="70">
        <v>-122.83042006804038</v>
      </c>
      <c r="Q1206" s="70">
        <v>-133.79765429178585</v>
      </c>
      <c r="R1206" s="70">
        <v>-99.565156220500597</v>
      </c>
      <c r="S1206" s="144">
        <v>-150.8364336710504</v>
      </c>
      <c r="T1206" s="70">
        <v>-144.25419823793132</v>
      </c>
      <c r="U1206" s="70">
        <v>-149.22949844308641</v>
      </c>
      <c r="V1206" s="70">
        <v>-118.42820105701441</v>
      </c>
      <c r="W1206" s="70">
        <v>-139.16982019648461</v>
      </c>
      <c r="X1206" s="70">
        <v>-129.44295799447508</v>
      </c>
      <c r="Y1206" s="70">
        <v>-188.24987170192747</v>
      </c>
      <c r="Z1206" s="70">
        <v>-171.38285795855677</v>
      </c>
      <c r="AA1206" s="70">
        <v>-155.87655979671399</v>
      </c>
      <c r="AB1206" s="70">
        <v>-164.43609324851241</v>
      </c>
      <c r="AC1206" s="70">
        <v>-144.87031944051202</v>
      </c>
      <c r="AD1206" s="145">
        <v>-107.35986663523424</v>
      </c>
      <c r="AE1206" s="15"/>
      <c r="AF1206" s="92">
        <f>SUM(G1206:R1206)</f>
        <v>-1482.9154280679218</v>
      </c>
      <c r="AG1206" s="93">
        <f>SUM(S1206:AD1206)</f>
        <v>-1763.5366783814993</v>
      </c>
    </row>
    <row r="1207" spans="2:33" x14ac:dyDescent="0.2">
      <c r="B1207" s="9">
        <f>G1191</f>
        <v>25</v>
      </c>
      <c r="C1207" s="9" t="str">
        <f t="shared" si="6947"/>
        <v>25 - % of Revenue - Doctor Compensation</v>
      </c>
      <c r="D1207" s="9" t="s">
        <v>56</v>
      </c>
      <c r="F1207" s="16" t="str">
        <f>"% of Revenue - "&amp;F1206</f>
        <v>% of Revenue - Doctor Compensation</v>
      </c>
      <c r="G1207" s="148">
        <f>G1206/G1203</f>
        <v>-0.39604488490539685</v>
      </c>
      <c r="H1207" s="149">
        <f t="shared" ref="H1207" si="7028">H1206/H1203</f>
        <v>-0.39289769664411028</v>
      </c>
      <c r="I1207" s="149">
        <f t="shared" ref="I1207" si="7029">I1206/I1203</f>
        <v>-0.36297393316156279</v>
      </c>
      <c r="J1207" s="149">
        <f t="shared" ref="J1207" si="7030">J1206/J1203</f>
        <v>-0.35858825664084215</v>
      </c>
      <c r="K1207" s="149">
        <f t="shared" ref="K1207" si="7031">K1206/K1203</f>
        <v>-0.31846062108550527</v>
      </c>
      <c r="L1207" s="149">
        <f t="shared" ref="L1207" si="7032">L1206/L1203</f>
        <v>-0.38919119203938191</v>
      </c>
      <c r="M1207" s="149">
        <f t="shared" ref="M1207" si="7033">M1206/M1203</f>
        <v>-0.37627484942233602</v>
      </c>
      <c r="N1207" s="149">
        <f t="shared" ref="N1207" si="7034">N1206/N1203</f>
        <v>-0.345170192208548</v>
      </c>
      <c r="O1207" s="149">
        <f t="shared" ref="O1207" si="7035">O1206/O1203</f>
        <v>-0.33771097380825027</v>
      </c>
      <c r="P1207" s="149">
        <f t="shared" ref="P1207" si="7036">P1206/P1203</f>
        <v>-0.32961228756526989</v>
      </c>
      <c r="Q1207" s="149">
        <f t="shared" ref="Q1207" si="7037">Q1206/Q1203</f>
        <v>-0.31774480953377598</v>
      </c>
      <c r="R1207" s="149">
        <f t="shared" ref="R1207" si="7038">R1206/R1203</f>
        <v>-0.31624539227247972</v>
      </c>
      <c r="S1207" s="148">
        <f t="shared" ref="S1207" si="7039">S1206/S1203</f>
        <v>-0.39318112903309616</v>
      </c>
      <c r="T1207" s="149">
        <f t="shared" ref="T1207" si="7040">T1206/T1203</f>
        <v>-0.38581144200888767</v>
      </c>
      <c r="U1207" s="149">
        <f t="shared" ref="U1207" si="7041">U1206/U1203</f>
        <v>-0.39157418808111938</v>
      </c>
      <c r="V1207" s="149">
        <f t="shared" ref="V1207" si="7042">V1206/V1203</f>
        <v>-0.35208522116254087</v>
      </c>
      <c r="W1207" s="149">
        <f t="shared" ref="W1207" si="7043">W1206/W1203</f>
        <v>-0.35675600704699256</v>
      </c>
      <c r="X1207" s="149">
        <f t="shared" ref="X1207" si="7044">X1206/X1203</f>
        <v>-0.34944381055759238</v>
      </c>
      <c r="Y1207" s="149">
        <f t="shared" ref="Y1207" si="7045">Y1206/Y1203</f>
        <v>-0.40097921549960125</v>
      </c>
      <c r="Z1207" s="149">
        <f t="shared" ref="Z1207" si="7046">Z1206/Z1203</f>
        <v>-0.39873056490820247</v>
      </c>
      <c r="AA1207" s="149">
        <f t="shared" ref="AA1207" si="7047">AA1206/AA1203</f>
        <v>-0.4025915938668706</v>
      </c>
      <c r="AB1207" s="149">
        <f t="shared" ref="AB1207" si="7048">AB1206/AB1203</f>
        <v>-0.41033334448555109</v>
      </c>
      <c r="AC1207" s="149">
        <f t="shared" ref="AC1207" si="7049">AC1206/AC1203</f>
        <v>-0.41157963633296674</v>
      </c>
      <c r="AD1207" s="150">
        <f t="shared" ref="AD1207" si="7050">AD1206/AD1203</f>
        <v>-0.41282867981076643</v>
      </c>
      <c r="AE1207" s="15"/>
      <c r="AF1207" s="96">
        <f t="shared" ref="AF1207" si="7051">AF1206/AF1203</f>
        <v>-0.35300288002936264</v>
      </c>
      <c r="AG1207" s="97">
        <f t="shared" ref="AG1207" si="7052">AG1206/AG1203</f>
        <v>-0.38889141666218585</v>
      </c>
    </row>
    <row r="1208" spans="2:33" ht="3" customHeight="1" x14ac:dyDescent="0.2">
      <c r="B1208" s="9">
        <f>G1191</f>
        <v>25</v>
      </c>
      <c r="C1208" s="9" t="str">
        <f t="shared" si="6947"/>
        <v xml:space="preserve">25 - </v>
      </c>
      <c r="D1208" s="9" t="s">
        <v>56</v>
      </c>
      <c r="F1208" s="16"/>
      <c r="G1208" s="36"/>
      <c r="H1208" s="37"/>
      <c r="I1208" s="37"/>
      <c r="J1208" s="37"/>
      <c r="K1208" s="37"/>
      <c r="L1208" s="37"/>
      <c r="M1208" s="37"/>
      <c r="N1208" s="37"/>
      <c r="O1208" s="37"/>
      <c r="P1208" s="37"/>
      <c r="Q1208" s="37"/>
      <c r="R1208" s="37"/>
      <c r="S1208" s="36"/>
      <c r="T1208" s="37"/>
      <c r="U1208" s="37"/>
      <c r="V1208" s="37"/>
      <c r="W1208" s="37"/>
      <c r="X1208" s="37"/>
      <c r="Y1208" s="37"/>
      <c r="Z1208" s="37"/>
      <c r="AA1208" s="37"/>
      <c r="AB1208" s="37"/>
      <c r="AC1208" s="37"/>
      <c r="AD1208" s="38"/>
      <c r="AE1208" s="15"/>
      <c r="AF1208" s="36"/>
      <c r="AG1208" s="38"/>
    </row>
    <row r="1209" spans="2:33" x14ac:dyDescent="0.2">
      <c r="B1209" s="9">
        <f>G1191</f>
        <v>25</v>
      </c>
      <c r="C1209" s="9" t="str">
        <f t="shared" si="6947"/>
        <v>25 - Administrative Staff Compensation</v>
      </c>
      <c r="D1209" s="9" t="s">
        <v>56</v>
      </c>
      <c r="F1209" t="s">
        <v>5</v>
      </c>
      <c r="G1209" s="144">
        <v>-65.66591252382382</v>
      </c>
      <c r="H1209" s="70">
        <v>-67.950211021027968</v>
      </c>
      <c r="I1209" s="70">
        <v>-87.235411902451361</v>
      </c>
      <c r="J1209" s="70">
        <v>-79.414887851961808</v>
      </c>
      <c r="K1209" s="70">
        <v>-92.960303726185856</v>
      </c>
      <c r="L1209" s="70">
        <v>-87.225207969679545</v>
      </c>
      <c r="M1209" s="70">
        <v>-74.628380833104401</v>
      </c>
      <c r="N1209" s="70">
        <v>-68.471185190528018</v>
      </c>
      <c r="O1209" s="70">
        <v>-62.618855450320382</v>
      </c>
      <c r="P1209" s="70">
        <v>-64.793661871600492</v>
      </c>
      <c r="Q1209" s="70">
        <v>-58.24642926687531</v>
      </c>
      <c r="R1209" s="70">
        <v>-45.74209606942658</v>
      </c>
      <c r="S1209" s="144">
        <v>-83.977494536092067</v>
      </c>
      <c r="T1209" s="70">
        <v>-85.175601381759435</v>
      </c>
      <c r="U1209" s="70">
        <v>-87.10792534849098</v>
      </c>
      <c r="V1209" s="70">
        <v>-105.41143340641007</v>
      </c>
      <c r="W1209" s="70">
        <v>-116.43709921202836</v>
      </c>
      <c r="X1209" s="70">
        <v>-105.37146717866536</v>
      </c>
      <c r="Y1209" s="70">
        <v>-102.87456798327669</v>
      </c>
      <c r="Z1209" s="70">
        <v>-92.117527892773538</v>
      </c>
      <c r="AA1209" s="70">
        <v>-85.409771411788185</v>
      </c>
      <c r="AB1209" s="70">
        <v>-86.889492920762137</v>
      </c>
      <c r="AC1209" s="70">
        <v>-78.847839654776109</v>
      </c>
      <c r="AD1209" s="145">
        <v>-57.604207129829938</v>
      </c>
      <c r="AE1209" s="15"/>
      <c r="AF1209" s="92">
        <f>SUM(G1209:R1209)</f>
        <v>-854.95254367698556</v>
      </c>
      <c r="AG1209" s="93">
        <f>SUM(S1209:AD1209)</f>
        <v>-1087.2244280566529</v>
      </c>
    </row>
    <row r="1210" spans="2:33" x14ac:dyDescent="0.2">
      <c r="B1210" s="9">
        <f>G1191</f>
        <v>25</v>
      </c>
      <c r="C1210" s="9" t="str">
        <f t="shared" si="6947"/>
        <v>25 - % of Revenue - Administrative Staff Compensation</v>
      </c>
      <c r="D1210" s="9" t="s">
        <v>56</v>
      </c>
      <c r="F1210" s="16" t="str">
        <f>"% of Revenue - "&amp;F1209</f>
        <v>% of Revenue - Administrative Staff Compensation</v>
      </c>
      <c r="G1210" s="148">
        <f>G1209/G1203</f>
        <v>-0.17885120183915773</v>
      </c>
      <c r="H1210" s="149">
        <f t="shared" ref="H1210" si="7053">H1209/H1203</f>
        <v>-0.18072955748253952</v>
      </c>
      <c r="I1210" s="149">
        <f t="shared" ref="I1210" si="7054">I1209/I1203</f>
        <v>-0.24453546787306735</v>
      </c>
      <c r="J1210" s="149">
        <f t="shared" ref="J1210" si="7055">J1209/J1203</f>
        <v>-0.24005145529496982</v>
      </c>
      <c r="K1210" s="149">
        <f t="shared" ref="K1210" si="7056">K1209/K1203</f>
        <v>-0.34376332774118767</v>
      </c>
      <c r="L1210" s="149">
        <f t="shared" ref="L1210" si="7057">L1209/L1203</f>
        <v>-0.32747164241488519</v>
      </c>
      <c r="M1210" s="149">
        <f t="shared" ref="M1210" si="7058">M1209/M1203</f>
        <v>-0.22617719351169827</v>
      </c>
      <c r="N1210" s="149">
        <f t="shared" ref="N1210" si="7059">N1209/N1203</f>
        <v>-0.16442178191360762</v>
      </c>
      <c r="O1210" s="149">
        <f t="shared" ref="O1210" si="7060">O1209/O1203</f>
        <v>-0.16547356100081492</v>
      </c>
      <c r="P1210" s="149">
        <f t="shared" ref="P1210" si="7061">P1209/P1203</f>
        <v>-0.173872132794128</v>
      </c>
      <c r="Q1210" s="149">
        <f t="shared" ref="Q1210" si="7062">Q1209/Q1203</f>
        <v>-0.13832455188687168</v>
      </c>
      <c r="R1210" s="149">
        <f t="shared" ref="R1210" si="7063">R1209/R1203</f>
        <v>-0.14528905155137745</v>
      </c>
      <c r="S1210" s="148">
        <f t="shared" ref="S1210" si="7064">S1209/S1203</f>
        <v>-0.21890179521931022</v>
      </c>
      <c r="T1210" s="149">
        <f t="shared" ref="T1210" si="7065">T1209/T1203</f>
        <v>-0.22780426493285863</v>
      </c>
      <c r="U1210" s="149">
        <f t="shared" ref="U1210" si="7066">U1209/U1203</f>
        <v>-0.22856885200063035</v>
      </c>
      <c r="V1210" s="149">
        <f t="shared" ref="V1210" si="7067">V1209/V1203</f>
        <v>-0.31338657104221984</v>
      </c>
      <c r="W1210" s="149">
        <f t="shared" ref="W1210" si="7068">W1209/W1203</f>
        <v>-0.29848162862013272</v>
      </c>
      <c r="X1210" s="149">
        <f t="shared" ref="X1210" si="7069">X1209/X1203</f>
        <v>-0.28446048812117475</v>
      </c>
      <c r="Y1210" s="149">
        <f t="shared" ref="Y1210" si="7070">Y1209/Y1203</f>
        <v>-0.21912664902162757</v>
      </c>
      <c r="Z1210" s="149">
        <f t="shared" ref="Z1210" si="7071">Z1209/Z1203</f>
        <v>-0.21431591450945831</v>
      </c>
      <c r="AA1210" s="149">
        <f t="shared" ref="AA1210" si="7072">AA1209/AA1203</f>
        <v>-0.2205928591785726</v>
      </c>
      <c r="AB1210" s="149">
        <f t="shared" ref="AB1210" si="7073">AB1209/AB1203</f>
        <v>-0.21682378562075505</v>
      </c>
      <c r="AC1210" s="149">
        <f t="shared" ref="AC1210" si="7074">AC1209/AC1203</f>
        <v>-0.22400837725824599</v>
      </c>
      <c r="AD1210" s="150">
        <f t="shared" ref="AD1210" si="7075">AD1209/AD1203</f>
        <v>-0.22150426901842946</v>
      </c>
      <c r="AE1210" s="15"/>
      <c r="AF1210" s="96">
        <f t="shared" ref="AF1210" si="7076">AF1209/AF1203</f>
        <v>-0.20351849100364341</v>
      </c>
      <c r="AG1210" s="97">
        <f t="shared" ref="AG1210" si="7077">AG1209/AG1203</f>
        <v>-0.23975245496154127</v>
      </c>
    </row>
    <row r="1211" spans="2:33" ht="3" customHeight="1" x14ac:dyDescent="0.2">
      <c r="B1211" s="9">
        <f>G1191</f>
        <v>25</v>
      </c>
      <c r="C1211" s="9" t="str">
        <f t="shared" si="6947"/>
        <v xml:space="preserve">25 - </v>
      </c>
      <c r="D1211" s="9" t="s">
        <v>56</v>
      </c>
      <c r="F1211" s="16"/>
      <c r="G1211" s="36"/>
      <c r="H1211" s="37"/>
      <c r="I1211" s="37"/>
      <c r="J1211" s="37"/>
      <c r="K1211" s="37"/>
      <c r="L1211" s="37"/>
      <c r="M1211" s="37"/>
      <c r="N1211" s="37"/>
      <c r="O1211" s="37"/>
      <c r="P1211" s="37"/>
      <c r="Q1211" s="37"/>
      <c r="R1211" s="37"/>
      <c r="S1211" s="36"/>
      <c r="T1211" s="37"/>
      <c r="U1211" s="37"/>
      <c r="V1211" s="37"/>
      <c r="W1211" s="37"/>
      <c r="X1211" s="37"/>
      <c r="Y1211" s="37"/>
      <c r="Z1211" s="37"/>
      <c r="AA1211" s="37"/>
      <c r="AB1211" s="37"/>
      <c r="AC1211" s="37"/>
      <c r="AD1211" s="38"/>
      <c r="AE1211" s="15"/>
      <c r="AF1211" s="36"/>
      <c r="AG1211" s="38"/>
    </row>
    <row r="1212" spans="2:33" x14ac:dyDescent="0.2">
      <c r="B1212" s="9">
        <f>G1191</f>
        <v>25</v>
      </c>
      <c r="C1212" s="9" t="str">
        <f t="shared" si="6947"/>
        <v>25 - Office Supplies</v>
      </c>
      <c r="D1212" s="9" t="s">
        <v>56</v>
      </c>
      <c r="F1212" t="s">
        <v>6</v>
      </c>
      <c r="G1212" s="144">
        <v>-26.859008160528333</v>
      </c>
      <c r="H1212" s="70">
        <v>-28.170235812136813</v>
      </c>
      <c r="I1212" s="70">
        <v>-34.502946456607546</v>
      </c>
      <c r="J1212" s="70">
        <v>-32.345195154849215</v>
      </c>
      <c r="K1212" s="70">
        <v>-40.630025597430183</v>
      </c>
      <c r="L1212" s="70">
        <v>-41.365295322316463</v>
      </c>
      <c r="M1212" s="70">
        <v>-35.84515096338253</v>
      </c>
      <c r="N1212" s="70">
        <v>-34.461382390217331</v>
      </c>
      <c r="O1212" s="70">
        <v>-31.47730312878684</v>
      </c>
      <c r="P1212" s="70">
        <v>-30.92321491794128</v>
      </c>
      <c r="Q1212" s="70">
        <v>-26.730112078612922</v>
      </c>
      <c r="R1212" s="70">
        <v>-20.67370119432077</v>
      </c>
      <c r="S1212" s="144">
        <v>-32.655042355081235</v>
      </c>
      <c r="T1212" s="70">
        <v>-31.784106339178916</v>
      </c>
      <c r="U1212" s="70">
        <v>-32.109503057009661</v>
      </c>
      <c r="V1212" s="70">
        <v>-39.410923968164944</v>
      </c>
      <c r="W1212" s="70">
        <v>-46.730946188087891</v>
      </c>
      <c r="X1212" s="70">
        <v>-42.897812764398971</v>
      </c>
      <c r="Y1212" s="70">
        <v>-42.693626342499627</v>
      </c>
      <c r="Z1212" s="70">
        <v>-39.743784268236773</v>
      </c>
      <c r="AA1212" s="70">
        <v>-37.071329748931376</v>
      </c>
      <c r="AB1212" s="70">
        <v>-37.452058756425757</v>
      </c>
      <c r="AC1212" s="70">
        <v>-33.134060203028604</v>
      </c>
      <c r="AD1212" s="145">
        <v>-25.520743366023648</v>
      </c>
      <c r="AE1212" s="15">
        <v>0</v>
      </c>
      <c r="AF1212" s="92">
        <f>(SUM(G1212:R1212))/1.2</f>
        <v>-319.98630931427522</v>
      </c>
      <c r="AG1212" s="93">
        <f>(SUM(S1212:AD1212))/1.2</f>
        <v>-367.66994779755612</v>
      </c>
    </row>
    <row r="1213" spans="2:33" x14ac:dyDescent="0.2">
      <c r="B1213" s="9">
        <f>G1191</f>
        <v>25</v>
      </c>
      <c r="C1213" s="9" t="str">
        <f t="shared" si="6947"/>
        <v>25 - % of Revenue - Office Supplies</v>
      </c>
      <c r="D1213" s="9" t="s">
        <v>56</v>
      </c>
      <c r="F1213" s="16" t="str">
        <f>"% of Revenue - "&amp;F1212</f>
        <v>% of Revenue - Office Supplies</v>
      </c>
      <c r="G1213" s="148">
        <f>G1212/G1203</f>
        <v>-7.3154635412633826E-2</v>
      </c>
      <c r="H1213" s="149">
        <f t="shared" ref="H1213" si="7078">H1212/H1203</f>
        <v>-7.4925363380118806E-2</v>
      </c>
      <c r="I1213" s="149">
        <f t="shared" ref="I1213" si="7079">I1212/I1203</f>
        <v>-9.6717536729242257E-2</v>
      </c>
      <c r="J1213" s="149">
        <f t="shared" ref="J1213" si="7080">J1212/J1203</f>
        <v>-9.7771480622062631E-2</v>
      </c>
      <c r="K1213" s="149">
        <f t="shared" ref="K1213" si="7081">K1212/K1203</f>
        <v>-0.15024814082710297</v>
      </c>
      <c r="L1213" s="149">
        <f t="shared" ref="L1213" si="7082">L1212/L1203</f>
        <v>-0.15529869762975479</v>
      </c>
      <c r="M1213" s="149">
        <f t="shared" ref="M1213" si="7083">M1212/M1203</f>
        <v>-0.10863635999328376</v>
      </c>
      <c r="N1213" s="149">
        <f t="shared" ref="N1213" si="7084">N1212/N1203</f>
        <v>-8.27530863390048E-2</v>
      </c>
      <c r="O1213" s="149">
        <f t="shared" ref="O1213" si="7085">O1212/O1203</f>
        <v>-8.3180399928497933E-2</v>
      </c>
      <c r="P1213" s="149">
        <f t="shared" ref="P1213" si="7086">P1212/P1203</f>
        <v>-8.2981655540451629E-2</v>
      </c>
      <c r="Q1213" s="149">
        <f t="shared" ref="Q1213" si="7087">Q1212/Q1203</f>
        <v>-6.3479097718058985E-2</v>
      </c>
      <c r="R1213" s="149">
        <f t="shared" ref="R1213" si="7088">R1212/R1203</f>
        <v>-6.5665168339040167E-2</v>
      </c>
      <c r="S1213" s="148">
        <f t="shared" ref="S1213" si="7089">S1212/S1203</f>
        <v>-8.5120989069490546E-2</v>
      </c>
      <c r="T1213" s="149">
        <f t="shared" ref="T1213" si="7090">T1212/T1203</f>
        <v>-8.5007383143584678E-2</v>
      </c>
      <c r="U1213" s="149">
        <f t="shared" ref="U1213" si="7091">U1212/U1203</f>
        <v>-8.425447194029137E-2</v>
      </c>
      <c r="V1213" s="149">
        <f t="shared" ref="V1213" si="7092">V1212/V1203</f>
        <v>-0.11716807109880163</v>
      </c>
      <c r="W1213" s="149">
        <f t="shared" ref="W1213" si="7093">W1212/W1203</f>
        <v>-0.11979282393303856</v>
      </c>
      <c r="X1213" s="149">
        <f t="shared" ref="X1213" si="7094">X1212/X1203</f>
        <v>-0.11580680316048962</v>
      </c>
      <c r="Y1213" s="149">
        <f t="shared" ref="Y1213" si="7095">Y1212/Y1203</f>
        <v>-9.0939009109950578E-2</v>
      </c>
      <c r="Z1213" s="149">
        <f t="shared" ref="Z1213" si="7096">Z1212/Z1203</f>
        <v>-9.246584951159971E-2</v>
      </c>
      <c r="AA1213" s="149">
        <f t="shared" ref="AA1213" si="7097">AA1212/AA1203</f>
        <v>-9.5746312016704138E-2</v>
      </c>
      <c r="AB1213" s="149">
        <f t="shared" ref="AB1213" si="7098">AB1212/AB1203</f>
        <v>-9.3457757501986732E-2</v>
      </c>
      <c r="AC1213" s="149">
        <f t="shared" ref="AC1213" si="7099">AC1212/AC1203</f>
        <v>-9.4134564631763756E-2</v>
      </c>
      <c r="AD1213" s="150">
        <f t="shared" ref="AD1213" si="7100">AD1212/AD1203</f>
        <v>-9.8134387847006024E-2</v>
      </c>
      <c r="AE1213" s="15"/>
      <c r="AF1213" s="96">
        <f t="shared" ref="AF1213" si="7101">AF1212/AF1203</f>
        <v>-7.6171632326379649E-2</v>
      </c>
      <c r="AG1213" s="97">
        <f t="shared" ref="AG1213" si="7102">AG1212/AG1203</f>
        <v>-8.1077807235814342E-2</v>
      </c>
    </row>
    <row r="1214" spans="2:33" ht="6" customHeight="1" x14ac:dyDescent="0.2">
      <c r="B1214" s="9">
        <f>G1191</f>
        <v>25</v>
      </c>
      <c r="C1214" s="9" t="str">
        <f t="shared" si="6947"/>
        <v xml:space="preserve">25 - </v>
      </c>
      <c r="D1214" s="9" t="s">
        <v>56</v>
      </c>
      <c r="F1214" s="16"/>
      <c r="G1214" s="11"/>
      <c r="S1214" s="11"/>
      <c r="AD1214" s="15"/>
      <c r="AE1214" s="15"/>
      <c r="AF1214" s="11"/>
      <c r="AG1214" s="15"/>
    </row>
    <row r="1215" spans="2:33" x14ac:dyDescent="0.2">
      <c r="B1215" s="9">
        <f>G1191</f>
        <v>25</v>
      </c>
      <c r="C1215" s="9" t="str">
        <f t="shared" si="6947"/>
        <v>25 - Office Gross Profit</v>
      </c>
      <c r="D1215" s="9" t="s">
        <v>56</v>
      </c>
      <c r="F1215" s="8" t="s">
        <v>11</v>
      </c>
      <c r="G1215" s="134">
        <f>G1203+G1206+G1209+G1212</f>
        <v>129.21954258061402</v>
      </c>
      <c r="H1215" s="135">
        <f t="shared" ref="H1215:AD1215" si="7103">H1203+H1206+H1209+H1212</f>
        <v>132.13623790071065</v>
      </c>
      <c r="I1215" s="135">
        <f t="shared" si="7103"/>
        <v>105.51387550541803</v>
      </c>
      <c r="J1215" s="135">
        <f t="shared" si="7103"/>
        <v>100.4345966847068</v>
      </c>
      <c r="K1215" s="135">
        <f t="shared" si="7103"/>
        <v>50.71120185351699</v>
      </c>
      <c r="L1215" s="135">
        <f t="shared" si="7103"/>
        <v>34.104272082102831</v>
      </c>
      <c r="M1215" s="135">
        <f t="shared" si="7103"/>
        <v>95.327934521945281</v>
      </c>
      <c r="N1215" s="135">
        <f t="shared" si="7103"/>
        <v>169.76228170099483</v>
      </c>
      <c r="O1215" s="135">
        <f t="shared" si="7103"/>
        <v>156.52865753414716</v>
      </c>
      <c r="P1215" s="135">
        <f t="shared" si="7103"/>
        <v>154.10392004742323</v>
      </c>
      <c r="Q1215" s="135">
        <f t="shared" si="7103"/>
        <v>202.31105981695637</v>
      </c>
      <c r="R1215" s="135">
        <f t="shared" si="7103"/>
        <v>148.85416713219541</v>
      </c>
      <c r="S1215" s="134">
        <f t="shared" si="7103"/>
        <v>116.16193777252928</v>
      </c>
      <c r="T1215" s="135">
        <f t="shared" si="7103"/>
        <v>112.6842798668587</v>
      </c>
      <c r="U1215" s="135">
        <f t="shared" si="7103"/>
        <v>112.65454251632342</v>
      </c>
      <c r="V1215" s="135">
        <f t="shared" si="7103"/>
        <v>73.111759378795966</v>
      </c>
      <c r="W1215" s="135">
        <f t="shared" si="7103"/>
        <v>87.76017745654076</v>
      </c>
      <c r="X1215" s="135">
        <f t="shared" si="7103"/>
        <v>92.713433039229528</v>
      </c>
      <c r="Y1215" s="135">
        <f t="shared" si="7103"/>
        <v>135.65731929214877</v>
      </c>
      <c r="Z1215" s="135">
        <f t="shared" si="7103"/>
        <v>126.57705012727632</v>
      </c>
      <c r="AA1215" s="135">
        <f t="shared" si="7103"/>
        <v>108.82518680033512</v>
      </c>
      <c r="AB1215" s="135">
        <f t="shared" si="7103"/>
        <v>111.96018313131891</v>
      </c>
      <c r="AC1215" s="135">
        <f t="shared" si="7103"/>
        <v>95.133901130907674</v>
      </c>
      <c r="AD1215" s="136">
        <f t="shared" si="7103"/>
        <v>69.574311232876966</v>
      </c>
      <c r="AE1215" s="15"/>
      <c r="AF1215" s="98">
        <f>SUM(G1215:R1215)</f>
        <v>1479.0077473607316</v>
      </c>
      <c r="AG1215" s="95">
        <f>SUM(S1215:AD1215)</f>
        <v>1242.8140817451413</v>
      </c>
    </row>
    <row r="1216" spans="2:33" x14ac:dyDescent="0.2">
      <c r="B1216" s="9">
        <f>G1191</f>
        <v>25</v>
      </c>
      <c r="C1216" s="9" t="str">
        <f t="shared" si="6947"/>
        <v>25 - % of Revenue - Office Gross Profit</v>
      </c>
      <c r="D1216" s="9" t="s">
        <v>56</v>
      </c>
      <c r="F1216" s="16" t="str">
        <f>"% of Revenue - "&amp;F1215</f>
        <v>% of Revenue - Office Gross Profit</v>
      </c>
      <c r="G1216" s="148">
        <f>G1215/G1203</f>
        <v>0.3519492778428116</v>
      </c>
      <c r="H1216" s="149">
        <f t="shared" ref="H1216" si="7104">H1215/H1203</f>
        <v>0.35144738249323143</v>
      </c>
      <c r="I1216" s="149">
        <f t="shared" ref="I1216" si="7105">I1215/I1203</f>
        <v>0.29577306223612765</v>
      </c>
      <c r="J1216" s="149">
        <f t="shared" ref="J1216" si="7106">J1215/J1203</f>
        <v>0.30358880744212546</v>
      </c>
      <c r="K1216" s="149">
        <f t="shared" ref="K1216" si="7107">K1215/K1203</f>
        <v>0.18752791034620411</v>
      </c>
      <c r="L1216" s="149">
        <f t="shared" ref="L1216" si="7108">L1215/L1203</f>
        <v>0.12803846791597809</v>
      </c>
      <c r="M1216" s="149">
        <f t="shared" ref="M1216" si="7109">M1215/M1203</f>
        <v>0.28891159707268194</v>
      </c>
      <c r="N1216" s="149">
        <f t="shared" ref="N1216" si="7110">N1215/N1203</f>
        <v>0.40765493953883969</v>
      </c>
      <c r="O1216" s="149">
        <f t="shared" ref="O1216" si="7111">O1215/O1203</f>
        <v>0.41363506526243682</v>
      </c>
      <c r="P1216" s="149">
        <f t="shared" ref="P1216" si="7112">P1215/P1203</f>
        <v>0.41353392410015055</v>
      </c>
      <c r="Q1216" s="149">
        <f t="shared" ref="Q1216" si="7113">Q1215/Q1203</f>
        <v>0.48045154086129344</v>
      </c>
      <c r="R1216" s="149">
        <f t="shared" ref="R1216" si="7114">R1215/R1203</f>
        <v>0.47280038783710265</v>
      </c>
      <c r="S1216" s="148">
        <f t="shared" ref="S1216" si="7115">S1215/S1203</f>
        <v>0.30279608667810309</v>
      </c>
      <c r="T1216" s="149">
        <f t="shared" ref="T1216" si="7116">T1215/T1203</f>
        <v>0.30137690991466898</v>
      </c>
      <c r="U1216" s="149">
        <f t="shared" ref="U1216" si="7117">U1215/U1203</f>
        <v>0.29560248797795891</v>
      </c>
      <c r="V1216" s="149">
        <f t="shared" ref="V1216" si="7118">V1215/V1203</f>
        <v>0.21736013669643764</v>
      </c>
      <c r="W1216" s="149">
        <f t="shared" ref="W1216" si="7119">W1215/W1203</f>
        <v>0.22496954039983613</v>
      </c>
      <c r="X1216" s="149">
        <f t="shared" ref="X1216" si="7120">X1215/X1203</f>
        <v>0.25028889816074334</v>
      </c>
      <c r="Y1216" s="149">
        <f t="shared" ref="Y1216" si="7121">Y1215/Y1203</f>
        <v>0.2889551263688207</v>
      </c>
      <c r="Z1216" s="149">
        <f t="shared" ref="Z1216" si="7122">Z1215/Z1203</f>
        <v>0.29448767107073959</v>
      </c>
      <c r="AA1216" s="149">
        <f t="shared" ref="AA1216" si="7123">AA1215/AA1203</f>
        <v>0.28106923493785263</v>
      </c>
      <c r="AB1216" s="149">
        <f t="shared" ref="AB1216" si="7124">AB1215/AB1203</f>
        <v>0.2793851123917071</v>
      </c>
      <c r="AC1216" s="149">
        <f t="shared" ref="AC1216" si="7125">AC1215/AC1203</f>
        <v>0.27027742177702352</v>
      </c>
      <c r="AD1216" s="150">
        <f t="shared" ref="AD1216" si="7126">AD1215/AD1203</f>
        <v>0.26753266332379799</v>
      </c>
      <c r="AE1216" s="15"/>
      <c r="AF1216" s="111">
        <f t="shared" ref="AF1216" si="7127">AF1215/AF1203</f>
        <v>0.35207267017533844</v>
      </c>
      <c r="AG1216" s="97">
        <f t="shared" ref="AG1216" si="7128">AG1215/AG1203</f>
        <v>0.27406275969329563</v>
      </c>
    </row>
    <row r="1217" spans="2:33" ht="6" customHeight="1" x14ac:dyDescent="0.2">
      <c r="B1217" s="9">
        <f>G1191</f>
        <v>25</v>
      </c>
      <c r="C1217" s="9" t="str">
        <f t="shared" si="6947"/>
        <v xml:space="preserve">25 - </v>
      </c>
      <c r="D1217" s="9" t="s">
        <v>56</v>
      </c>
      <c r="F1217" s="16"/>
      <c r="G1217" s="11"/>
      <c r="S1217" s="11"/>
      <c r="AD1217" s="15"/>
      <c r="AE1217" s="15"/>
      <c r="AF1217" s="11"/>
      <c r="AG1217" s="15"/>
    </row>
    <row r="1218" spans="2:33" x14ac:dyDescent="0.2">
      <c r="B1218" s="9">
        <f>G1191</f>
        <v>25</v>
      </c>
      <c r="C1218" s="9" t="str">
        <f t="shared" si="6947"/>
        <v>25 - General and Administrative Expense</v>
      </c>
      <c r="D1218" s="9" t="s">
        <v>56</v>
      </c>
      <c r="F1218" t="s">
        <v>10</v>
      </c>
      <c r="G1218" s="144">
        <v>-28.463720874482533</v>
      </c>
      <c r="H1218" s="70">
        <v>-29.938002102795778</v>
      </c>
      <c r="I1218" s="70">
        <v>-37.364064517761165</v>
      </c>
      <c r="J1218" s="70">
        <v>-35.061614494107168</v>
      </c>
      <c r="K1218" s="70">
        <v>-40.82504727242064</v>
      </c>
      <c r="L1218" s="70">
        <v>-42.678236462077187</v>
      </c>
      <c r="M1218" s="70">
        <v>-34.066110389239668</v>
      </c>
      <c r="N1218" s="70">
        <v>-33.185877813000822</v>
      </c>
      <c r="O1218" s="70">
        <v>-30.117936759595981</v>
      </c>
      <c r="P1218" s="70">
        <v>-30.584273585245668</v>
      </c>
      <c r="Q1218" s="70">
        <v>-28.454641128784289</v>
      </c>
      <c r="R1218" s="70">
        <v>-20.046299863269759</v>
      </c>
      <c r="S1218" s="144">
        <v>-28.733470182112406</v>
      </c>
      <c r="T1218" s="70">
        <v>-29.775963298246772</v>
      </c>
      <c r="U1218" s="70">
        <v>-29.741735559028125</v>
      </c>
      <c r="V1218" s="70">
        <v>-32.981154567081163</v>
      </c>
      <c r="W1218" s="70">
        <v>-39.714161193947483</v>
      </c>
      <c r="X1218" s="70">
        <v>-36.172566099895057</v>
      </c>
      <c r="Y1218" s="70">
        <v>-35.767507532764519</v>
      </c>
      <c r="Z1218" s="70">
        <v>-31.807660042551426</v>
      </c>
      <c r="AA1218" s="70">
        <v>-28.698497915629883</v>
      </c>
      <c r="AB1218" s="70">
        <v>-29.499717890838127</v>
      </c>
      <c r="AC1218" s="70">
        <v>-26.493325515297133</v>
      </c>
      <c r="AD1218" s="145">
        <v>-18.687648750668266</v>
      </c>
      <c r="AE1218" s="15"/>
      <c r="AF1218" s="144">
        <v>-390.78582526278075</v>
      </c>
      <c r="AG1218" s="145">
        <v>-368.0734085480604</v>
      </c>
    </row>
    <row r="1219" spans="2:33" x14ac:dyDescent="0.2">
      <c r="B1219" s="9">
        <f>G1191</f>
        <v>25</v>
      </c>
      <c r="C1219" s="9" t="str">
        <f t="shared" si="6947"/>
        <v>25 - % of Revenue - General and Administrative Expense</v>
      </c>
      <c r="D1219" s="9" t="s">
        <v>56</v>
      </c>
      <c r="F1219" s="16" t="str">
        <f>"% of Revenue - "&amp;F1218</f>
        <v>% of Revenue - General and Administrative Expense</v>
      </c>
      <c r="G1219" s="148">
        <f>G1218/G1203</f>
        <v>-7.7525317041297087E-2</v>
      </c>
      <c r="H1219" s="149">
        <f t="shared" ref="H1219" si="7129">H1218/H1203</f>
        <v>-7.9627153332536699E-2</v>
      </c>
      <c r="I1219" s="149">
        <f t="shared" ref="I1219" si="7130">I1218/I1203</f>
        <v>-0.10473772977317082</v>
      </c>
      <c r="J1219" s="149">
        <f t="shared" ref="J1219" si="7131">J1218/J1203</f>
        <v>-0.10598254070434622</v>
      </c>
      <c r="K1219" s="149">
        <f t="shared" ref="K1219" si="7132">K1218/K1203</f>
        <v>-0.15096932285092521</v>
      </c>
      <c r="L1219" s="149">
        <f t="shared" ref="L1219" si="7133">L1218/L1203</f>
        <v>-0.16022790331970821</v>
      </c>
      <c r="M1219" s="149">
        <f t="shared" ref="M1219" si="7134">M1218/M1203</f>
        <v>-0.10324459884677123</v>
      </c>
      <c r="N1219" s="149">
        <f t="shared" ref="N1219" si="7135">N1218/N1203</f>
        <v>-7.9690181339751004E-2</v>
      </c>
      <c r="O1219" s="149">
        <f t="shared" ref="O1219" si="7136">O1218/O1203</f>
        <v>-7.9588204060382473E-2</v>
      </c>
      <c r="P1219" s="149">
        <f t="shared" ref="P1219" si="7137">P1218/P1203</f>
        <v>-8.2072115151691771E-2</v>
      </c>
      <c r="Q1219" s="149">
        <f t="shared" ref="Q1219" si="7138">Q1218/Q1203</f>
        <v>-6.7574536890611089E-2</v>
      </c>
      <c r="R1219" s="149">
        <f t="shared" ref="R1219" si="7139">R1218/R1203</f>
        <v>-6.3672375000664944E-2</v>
      </c>
      <c r="S1219" s="148">
        <f t="shared" ref="S1219" si="7140">S1218/S1203</f>
        <v>-7.4898736149381973E-2</v>
      </c>
      <c r="T1219" s="149">
        <f t="shared" ref="T1219" si="7141">T1218/T1203</f>
        <v>-7.9636554621115935E-2</v>
      </c>
      <c r="U1219" s="149">
        <f t="shared" ref="U1219" si="7142">U1218/U1203</f>
        <v>-7.804151374328594E-2</v>
      </c>
      <c r="V1219" s="149">
        <f t="shared" ref="V1219" si="7143">V1218/V1203</f>
        <v>-9.8052465513313966E-2</v>
      </c>
      <c r="W1219" s="149">
        <f t="shared" ref="W1219" si="7144">W1218/W1203</f>
        <v>-0.10180558939265781</v>
      </c>
      <c r="X1219" s="149">
        <f t="shared" ref="X1219" si="7145">X1218/X1203</f>
        <v>-9.7651347987066497E-2</v>
      </c>
      <c r="Y1219" s="149">
        <f t="shared" ref="Y1219" si="7146">Y1218/Y1203</f>
        <v>-7.6186118913127251E-2</v>
      </c>
      <c r="Z1219" s="149">
        <f t="shared" ref="Z1219" si="7147">Z1218/Z1203</f>
        <v>-7.4002070033407155E-2</v>
      </c>
      <c r="AA1219" s="149">
        <f t="shared" ref="AA1219" si="7148">AA1218/AA1203</f>
        <v>-7.4121304912722744E-2</v>
      </c>
      <c r="AB1219" s="149">
        <f t="shared" ref="AB1219" si="7149">AB1218/AB1203</f>
        <v>-7.3613509445484004E-2</v>
      </c>
      <c r="AC1219" s="149">
        <f t="shared" ref="AC1219" si="7150">AC1218/AC1203</f>
        <v>-7.5268097170962958E-2</v>
      </c>
      <c r="AD1219" s="150">
        <f t="shared" ref="AD1219" si="7151">AD1218/AD1203</f>
        <v>-7.1859230122905113E-2</v>
      </c>
      <c r="AE1219" s="15"/>
      <c r="AF1219" s="96">
        <f t="shared" ref="AF1219" si="7152">AF1218/AF1203</f>
        <v>-9.3025211810052355E-2</v>
      </c>
      <c r="AG1219" s="97">
        <f t="shared" ref="AG1219" si="7153">AG1218/AG1203</f>
        <v>-8.1166777555941289E-2</v>
      </c>
    </row>
    <row r="1220" spans="2:33" ht="3" customHeight="1" x14ac:dyDescent="0.2">
      <c r="B1220" s="9">
        <f>G1191</f>
        <v>25</v>
      </c>
      <c r="C1220" s="9" t="str">
        <f t="shared" si="6947"/>
        <v xml:space="preserve">25 - </v>
      </c>
      <c r="D1220" s="9" t="s">
        <v>56</v>
      </c>
      <c r="F1220" s="16"/>
      <c r="G1220" s="36"/>
      <c r="H1220" s="37"/>
      <c r="I1220" s="37"/>
      <c r="J1220" s="37"/>
      <c r="K1220" s="37"/>
      <c r="L1220" s="37"/>
      <c r="M1220" s="37"/>
      <c r="N1220" s="37"/>
      <c r="O1220" s="37"/>
      <c r="P1220" s="37"/>
      <c r="Q1220" s="37"/>
      <c r="R1220" s="37"/>
      <c r="S1220" s="36"/>
      <c r="T1220" s="37"/>
      <c r="U1220" s="37"/>
      <c r="V1220" s="37"/>
      <c r="W1220" s="37"/>
      <c r="X1220" s="37"/>
      <c r="Y1220" s="37"/>
      <c r="Z1220" s="37"/>
      <c r="AA1220" s="37"/>
      <c r="AB1220" s="37"/>
      <c r="AC1220" s="37"/>
      <c r="AD1220" s="38"/>
      <c r="AE1220" s="15"/>
      <c r="AF1220" s="36"/>
      <c r="AG1220" s="38"/>
    </row>
    <row r="1221" spans="2:33" x14ac:dyDescent="0.2">
      <c r="B1221" s="9">
        <f>G1191</f>
        <v>25</v>
      </c>
      <c r="C1221" s="9" t="str">
        <f t="shared" si="6947"/>
        <v>25 - Marketing</v>
      </c>
      <c r="D1221" s="9" t="s">
        <v>56</v>
      </c>
      <c r="F1221" t="s">
        <v>7</v>
      </c>
      <c r="G1221" s="144">
        <v>-17.652378771272186</v>
      </c>
      <c r="H1221" s="70">
        <v>-18.505986318257698</v>
      </c>
      <c r="I1221" s="70">
        <v>-25.003307004082657</v>
      </c>
      <c r="J1221" s="70">
        <v>-22.528664555260676</v>
      </c>
      <c r="K1221" s="70">
        <v>-26.997864764641488</v>
      </c>
      <c r="L1221" s="70">
        <v>-24.021282300533048</v>
      </c>
      <c r="M1221" s="70">
        <v>-18.592173414198406</v>
      </c>
      <c r="N1221" s="70">
        <v>-18.457324480229666</v>
      </c>
      <c r="O1221" s="70">
        <v>-16.569476301489757</v>
      </c>
      <c r="P1221" s="70">
        <v>-16.129610610570509</v>
      </c>
      <c r="Q1221" s="70">
        <v>-15.059915674027764</v>
      </c>
      <c r="R1221" s="70">
        <v>-10.025366833873163</v>
      </c>
      <c r="S1221" s="144">
        <v>-16.476045362619963</v>
      </c>
      <c r="T1221" s="70">
        <v>-14.890918080985724</v>
      </c>
      <c r="U1221" s="70">
        <v>-16.097295231097334</v>
      </c>
      <c r="V1221" s="70">
        <v>-18.835262151634421</v>
      </c>
      <c r="W1221" s="70">
        <v>-19.862682866816044</v>
      </c>
      <c r="X1221" s="70">
        <v>-18.200445296562187</v>
      </c>
      <c r="Y1221" s="70">
        <v>-15.714763664715759</v>
      </c>
      <c r="Z1221" s="70">
        <v>-16.257837657038795</v>
      </c>
      <c r="AA1221" s="70">
        <v>-13.584408216564622</v>
      </c>
      <c r="AB1221" s="70">
        <v>-14.291257373816251</v>
      </c>
      <c r="AC1221" s="70">
        <v>-12.219892398373096</v>
      </c>
      <c r="AD1221" s="145">
        <v>-9.1412742026827125</v>
      </c>
      <c r="AE1221" s="15"/>
      <c r="AF1221" s="144">
        <v>-229.54335102843706</v>
      </c>
      <c r="AG1221" s="145">
        <v>-185.57208250290691</v>
      </c>
    </row>
    <row r="1222" spans="2:33" x14ac:dyDescent="0.2">
      <c r="B1222" s="9">
        <f>G1191</f>
        <v>25</v>
      </c>
      <c r="C1222" s="9" t="str">
        <f t="shared" si="6947"/>
        <v>25 - % of Revenue - Marketing</v>
      </c>
      <c r="D1222" s="9" t="s">
        <v>56</v>
      </c>
      <c r="F1222" s="16" t="str">
        <f>"% of Revenue - "&amp;F1221</f>
        <v>% of Revenue - Marketing</v>
      </c>
      <c r="G1222" s="148">
        <f>G1221/G1203</f>
        <v>-4.8078965740659431E-2</v>
      </c>
      <c r="H1222" s="149">
        <f t="shared" ref="H1222" si="7154">H1221/H1203</f>
        <v>-4.9221020329747421E-2</v>
      </c>
      <c r="I1222" s="149">
        <f t="shared" ref="I1222" si="7155">I1221/I1203</f>
        <v>-7.0088456548521E-2</v>
      </c>
      <c r="J1222" s="149">
        <f t="shared" ref="J1222" si="7156">J1221/J1203</f>
        <v>-6.8098550015253001E-2</v>
      </c>
      <c r="K1222" s="149">
        <f t="shared" ref="K1222" si="7157">K1221/K1203</f>
        <v>-9.9836978380970998E-2</v>
      </c>
      <c r="L1222" s="149">
        <f t="shared" ref="L1222" si="7158">L1221/L1203</f>
        <v>-9.0183663082827839E-2</v>
      </c>
      <c r="M1222" s="149">
        <f t="shared" ref="M1222" si="7159">M1221/M1203</f>
        <v>-5.6347539061719173E-2</v>
      </c>
      <c r="N1222" s="149">
        <f t="shared" ref="N1222" si="7160">N1221/N1203</f>
        <v>-4.4322092161139214E-2</v>
      </c>
      <c r="O1222" s="149">
        <f t="shared" ref="O1222" si="7161">O1221/O1203</f>
        <v>-4.3785697260170772E-2</v>
      </c>
      <c r="P1222" s="149">
        <f t="shared" ref="P1222" si="7162">P1221/P1203</f>
        <v>-4.3283397125420363E-2</v>
      </c>
      <c r="Q1222" s="149">
        <f t="shared" ref="Q1222" si="7163">Q1221/Q1203</f>
        <v>-3.5764528629202243E-2</v>
      </c>
      <c r="R1222" s="149">
        <f t="shared" ref="R1222" si="7164">R1221/R1203</f>
        <v>-3.1843228970909014E-2</v>
      </c>
      <c r="S1222" s="148">
        <f t="shared" ref="S1222" si="7165">S1221/S1203</f>
        <v>-4.2947648389798435E-2</v>
      </c>
      <c r="T1222" s="149">
        <f t="shared" ref="T1222" si="7166">T1221/T1203</f>
        <v>-3.9826130870627675E-2</v>
      </c>
      <c r="U1222" s="149">
        <f t="shared" ref="U1222" si="7167">U1221/U1203</f>
        <v>-4.2238869500878067E-2</v>
      </c>
      <c r="V1222" s="149">
        <f t="shared" ref="V1222" si="7168">V1221/V1203</f>
        <v>-5.5996944824991547E-2</v>
      </c>
      <c r="W1222" s="149">
        <f t="shared" ref="W1222" si="7169">W1221/W1203</f>
        <v>-5.0917155880503155E-2</v>
      </c>
      <c r="X1222" s="149">
        <f t="shared" ref="X1222" si="7170">X1221/X1203</f>
        <v>-4.9133866042733364E-2</v>
      </c>
      <c r="Y1222" s="149">
        <f t="shared" ref="Y1222" si="7171">Y1221/Y1203</f>
        <v>-3.3473030016279395E-2</v>
      </c>
      <c r="Z1222" s="149">
        <f t="shared" ref="Z1222" si="7172">Z1221/Z1203</f>
        <v>-3.7824651020491797E-2</v>
      </c>
      <c r="AA1222" s="149">
        <f t="shared" ref="AA1222" si="7173">AA1221/AA1203</f>
        <v>-3.5085253118091041E-2</v>
      </c>
      <c r="AB1222" s="149">
        <f t="shared" ref="AB1222" si="7174">AB1221/AB1203</f>
        <v>-3.5662361706923287E-2</v>
      </c>
      <c r="AC1222" s="149">
        <f t="shared" ref="AC1222" si="7175">AC1221/AC1203</f>
        <v>-3.4716972315475748E-2</v>
      </c>
      <c r="AD1222" s="150">
        <f t="shared" ref="AD1222" si="7176">AD1221/AD1203</f>
        <v>-3.5150753062161595E-2</v>
      </c>
      <c r="AE1222" s="15"/>
      <c r="AF1222" s="96">
        <f t="shared" ref="AF1222" si="7177">AF1221/AF1203</f>
        <v>-5.4641999449828282E-2</v>
      </c>
      <c r="AG1222" s="97">
        <f t="shared" ref="AG1222" si="7178">AG1221/AG1203</f>
        <v>-4.0921967170957696E-2</v>
      </c>
    </row>
    <row r="1223" spans="2:33" ht="3" customHeight="1" x14ac:dyDescent="0.2">
      <c r="B1223" s="9">
        <f>G1191</f>
        <v>25</v>
      </c>
      <c r="C1223" s="9" t="str">
        <f t="shared" si="6947"/>
        <v xml:space="preserve">25 - </v>
      </c>
      <c r="D1223" s="9" t="s">
        <v>56</v>
      </c>
      <c r="F1223" s="16"/>
      <c r="G1223" s="36"/>
      <c r="H1223" s="37"/>
      <c r="I1223" s="37"/>
      <c r="J1223" s="37"/>
      <c r="K1223" s="37"/>
      <c r="L1223" s="37"/>
      <c r="M1223" s="37"/>
      <c r="N1223" s="37"/>
      <c r="O1223" s="37"/>
      <c r="P1223" s="37"/>
      <c r="Q1223" s="37"/>
      <c r="R1223" s="37"/>
      <c r="S1223" s="36"/>
      <c r="T1223" s="37"/>
      <c r="U1223" s="37"/>
      <c r="V1223" s="37"/>
      <c r="W1223" s="37"/>
      <c r="X1223" s="37"/>
      <c r="Y1223" s="37"/>
      <c r="Z1223" s="37"/>
      <c r="AA1223" s="37"/>
      <c r="AB1223" s="37"/>
      <c r="AC1223" s="37"/>
      <c r="AD1223" s="38"/>
      <c r="AE1223" s="15"/>
      <c r="AF1223" s="36"/>
      <c r="AG1223" s="38"/>
    </row>
    <row r="1224" spans="2:33" x14ac:dyDescent="0.2">
      <c r="B1224" s="9">
        <f>G1191</f>
        <v>25</v>
      </c>
      <c r="C1224" s="9" t="str">
        <f t="shared" si="6947"/>
        <v>25 - Office Rent</v>
      </c>
      <c r="D1224" s="9" t="s">
        <v>56</v>
      </c>
      <c r="F1224" t="s">
        <v>162</v>
      </c>
      <c r="G1224" s="144">
        <v>-30.478761511269141</v>
      </c>
      <c r="H1224" s="70">
        <v>-30.478761511269141</v>
      </c>
      <c r="I1224" s="70">
        <v>-30.478761511269141</v>
      </c>
      <c r="J1224" s="70">
        <v>-30.478761511269141</v>
      </c>
      <c r="K1224" s="70">
        <v>-30.478761511269141</v>
      </c>
      <c r="L1224" s="70">
        <v>-31.393124356607217</v>
      </c>
      <c r="M1224" s="70">
        <v>-31.393124356607217</v>
      </c>
      <c r="N1224" s="70">
        <v>-31.393124356607217</v>
      </c>
      <c r="O1224" s="70">
        <v>-31.393124356607217</v>
      </c>
      <c r="P1224" s="70">
        <v>-31.393124356607217</v>
      </c>
      <c r="Q1224" s="70">
        <v>-31.393124356607217</v>
      </c>
      <c r="R1224" s="70">
        <v>-31.393124356607217</v>
      </c>
      <c r="S1224" s="144">
        <v>-31.393117659819183</v>
      </c>
      <c r="T1224" s="70">
        <v>-31.393117659819183</v>
      </c>
      <c r="U1224" s="70">
        <v>-31.393117659819183</v>
      </c>
      <c r="V1224" s="70">
        <v>-31.393117659819183</v>
      </c>
      <c r="W1224" s="70">
        <v>-31.393117659819183</v>
      </c>
      <c r="X1224" s="70">
        <v>-32.334911189613756</v>
      </c>
      <c r="Y1224" s="70">
        <v>-32.334911189613756</v>
      </c>
      <c r="Z1224" s="70">
        <v>-32.334911189613756</v>
      </c>
      <c r="AA1224" s="70">
        <v>-32.334911189613756</v>
      </c>
      <c r="AB1224" s="70">
        <v>-32.334911189613756</v>
      </c>
      <c r="AC1224" s="70">
        <v>-32.334911189613756</v>
      </c>
      <c r="AD1224" s="145">
        <v>-32.334911189613756</v>
      </c>
      <c r="AE1224" s="15"/>
      <c r="AF1224" s="144">
        <v>-372.14567805259628</v>
      </c>
      <c r="AG1224" s="145">
        <v>-383.30996662639222</v>
      </c>
    </row>
    <row r="1225" spans="2:33" x14ac:dyDescent="0.2">
      <c r="B1225" s="9">
        <f>G1191</f>
        <v>25</v>
      </c>
      <c r="C1225" s="9" t="str">
        <f t="shared" si="6947"/>
        <v>25 - % YoY Growth</v>
      </c>
      <c r="D1225" s="9" t="s">
        <v>56</v>
      </c>
      <c r="F1225" s="16" t="s">
        <v>8</v>
      </c>
      <c r="G1225" s="82"/>
      <c r="H1225" s="83"/>
      <c r="I1225" s="83"/>
      <c r="J1225" s="83"/>
      <c r="K1225" s="83"/>
      <c r="L1225" s="83"/>
      <c r="M1225" s="83"/>
      <c r="N1225" s="83"/>
      <c r="O1225" s="83"/>
      <c r="P1225" s="83"/>
      <c r="Q1225" s="83"/>
      <c r="R1225" s="83"/>
      <c r="S1225" s="148">
        <f>S1224/G1224-1</f>
        <v>2.99997802801788E-2</v>
      </c>
      <c r="T1225" s="149">
        <f t="shared" ref="T1225" si="7179">T1224/H1224-1</f>
        <v>2.99997802801788E-2</v>
      </c>
      <c r="U1225" s="149">
        <f t="shared" ref="U1225" si="7180">U1224/I1224-1</f>
        <v>2.99997802801788E-2</v>
      </c>
      <c r="V1225" s="149">
        <f t="shared" ref="V1225" si="7181">V1224/J1224-1</f>
        <v>2.99997802801788E-2</v>
      </c>
      <c r="W1225" s="149">
        <f t="shared" ref="W1225" si="7182">W1224/K1224-1</f>
        <v>2.99997802801788E-2</v>
      </c>
      <c r="X1225" s="149">
        <f t="shared" ref="X1225" si="7183">X1224/L1224-1</f>
        <v>2.9999780280178578E-2</v>
      </c>
      <c r="Y1225" s="149">
        <f t="shared" ref="Y1225" si="7184">Y1224/M1224-1</f>
        <v>2.9999780280178578E-2</v>
      </c>
      <c r="Z1225" s="149">
        <f t="shared" ref="Z1225" si="7185">Z1224/N1224-1</f>
        <v>2.9999780280178578E-2</v>
      </c>
      <c r="AA1225" s="149">
        <f t="shared" ref="AA1225" si="7186">AA1224/O1224-1</f>
        <v>2.9999780280178578E-2</v>
      </c>
      <c r="AB1225" s="149">
        <f t="shared" ref="AB1225" si="7187">AB1224/P1224-1</f>
        <v>2.9999780280178578E-2</v>
      </c>
      <c r="AC1225" s="149">
        <f t="shared" ref="AC1225" si="7188">AC1224/Q1224-1</f>
        <v>2.9999780280178578E-2</v>
      </c>
      <c r="AD1225" s="150">
        <f t="shared" ref="AD1225" si="7189">AD1224/R1224-1</f>
        <v>2.9999780280178578E-2</v>
      </c>
      <c r="AE1225" s="15"/>
      <c r="AF1225" s="11"/>
      <c r="AG1225" s="97">
        <f>AG1224/AF1224-1</f>
        <v>2.9999780280178578E-2</v>
      </c>
    </row>
    <row r="1226" spans="2:33" ht="6" customHeight="1" x14ac:dyDescent="0.2">
      <c r="B1226" s="9">
        <f>G1191</f>
        <v>25</v>
      </c>
      <c r="C1226" s="9" t="str">
        <f t="shared" si="6947"/>
        <v xml:space="preserve">25 - </v>
      </c>
      <c r="D1226" s="9" t="s">
        <v>56</v>
      </c>
      <c r="F1226" s="16"/>
      <c r="G1226" s="11"/>
      <c r="S1226" s="11"/>
      <c r="AD1226" s="15"/>
      <c r="AE1226" s="15"/>
      <c r="AF1226" s="11"/>
      <c r="AG1226" s="15"/>
    </row>
    <row r="1227" spans="2:33" x14ac:dyDescent="0.2">
      <c r="B1227" s="9">
        <f>G1191</f>
        <v>25</v>
      </c>
      <c r="C1227" s="9" t="str">
        <f t="shared" si="6947"/>
        <v>25 - Office EBITDA</v>
      </c>
      <c r="D1227" s="9" t="s">
        <v>56</v>
      </c>
      <c r="F1227" s="8" t="s">
        <v>12</v>
      </c>
      <c r="G1227" s="134">
        <f>G1215+G1218+G1221+G1224</f>
        <v>52.624681423590161</v>
      </c>
      <c r="H1227" s="135">
        <f t="shared" ref="H1227:AD1227" si="7190">H1215+H1218+H1221+H1224</f>
        <v>53.213487968388037</v>
      </c>
      <c r="I1227" s="135">
        <f t="shared" si="7190"/>
        <v>12.667742472305065</v>
      </c>
      <c r="J1227" s="135">
        <f t="shared" si="7190"/>
        <v>12.365556124069812</v>
      </c>
      <c r="K1227" s="135">
        <f t="shared" si="7190"/>
        <v>-47.590471694814283</v>
      </c>
      <c r="L1227" s="135">
        <f t="shared" si="7190"/>
        <v>-63.988371037114618</v>
      </c>
      <c r="M1227" s="135">
        <f t="shared" si="7190"/>
        <v>11.27652636189999</v>
      </c>
      <c r="N1227" s="135">
        <f t="shared" si="7190"/>
        <v>86.725955051157143</v>
      </c>
      <c r="O1227" s="135">
        <f t="shared" si="7190"/>
        <v>78.448120116454206</v>
      </c>
      <c r="P1227" s="135">
        <f t="shared" si="7190"/>
        <v>75.996911494999836</v>
      </c>
      <c r="Q1227" s="135">
        <f t="shared" si="7190"/>
        <v>127.4033786575371</v>
      </c>
      <c r="R1227" s="135">
        <f t="shared" si="7190"/>
        <v>87.389376078445281</v>
      </c>
      <c r="S1227" s="134">
        <f t="shared" si="7190"/>
        <v>39.559304567977733</v>
      </c>
      <c r="T1227" s="135">
        <f t="shared" si="7190"/>
        <v>36.624280827807013</v>
      </c>
      <c r="U1227" s="135">
        <f t="shared" si="7190"/>
        <v>35.422394066378772</v>
      </c>
      <c r="V1227" s="135">
        <f t="shared" si="7190"/>
        <v>-10.0977749997388</v>
      </c>
      <c r="W1227" s="135">
        <f t="shared" si="7190"/>
        <v>-3.2097842640419501</v>
      </c>
      <c r="X1227" s="135">
        <f t="shared" si="7190"/>
        <v>6.0055104531585286</v>
      </c>
      <c r="Y1227" s="135">
        <f t="shared" si="7190"/>
        <v>51.840136905054742</v>
      </c>
      <c r="Z1227" s="135">
        <f t="shared" si="7190"/>
        <v>46.176641238072357</v>
      </c>
      <c r="AA1227" s="135">
        <f t="shared" si="7190"/>
        <v>34.20736947852685</v>
      </c>
      <c r="AB1227" s="135">
        <f t="shared" si="7190"/>
        <v>35.83429667705078</v>
      </c>
      <c r="AC1227" s="135">
        <f t="shared" si="7190"/>
        <v>24.08577202762369</v>
      </c>
      <c r="AD1227" s="136">
        <f t="shared" si="7190"/>
        <v>9.4104770899122272</v>
      </c>
      <c r="AE1227" s="15"/>
      <c r="AF1227" s="94">
        <f>SUM(G1227:R1227)</f>
        <v>486.53289301691768</v>
      </c>
      <c r="AG1227" s="95">
        <f>SUM(S1227:AD1227)</f>
        <v>305.85862406778193</v>
      </c>
    </row>
    <row r="1228" spans="2:33" x14ac:dyDescent="0.2">
      <c r="B1228" s="9">
        <f>G1191</f>
        <v>25</v>
      </c>
      <c r="C1228" s="9" t="str">
        <f t="shared" si="6947"/>
        <v>25 - % of Revenue - Office EBITDA</v>
      </c>
      <c r="D1228" s="9" t="s">
        <v>56</v>
      </c>
      <c r="F1228" s="16" t="str">
        <f>"% of Revenue - "&amp;F1227</f>
        <v>% of Revenue - Office EBITDA</v>
      </c>
      <c r="G1228" s="148">
        <f>G1227/G1203</f>
        <v>0.14333140524921809</v>
      </c>
      <c r="H1228" s="149">
        <f t="shared" ref="H1228" si="7191">H1227/H1203</f>
        <v>0.14153377874945883</v>
      </c>
      <c r="I1228" s="149">
        <f t="shared" ref="I1228" si="7192">I1227/I1203</f>
        <v>3.5509803470918193E-2</v>
      </c>
      <c r="J1228" s="149">
        <f t="shared" ref="J1228" si="7193">J1227/J1203</f>
        <v>3.7378000818284303E-2</v>
      </c>
      <c r="K1228" s="149">
        <f t="shared" ref="K1228" si="7194">K1227/K1203</f>
        <v>-0.1759875803199831</v>
      </c>
      <c r="L1228" s="149">
        <f t="shared" ref="L1228" si="7195">L1227/L1203</f>
        <v>-0.24023304096060133</v>
      </c>
      <c r="M1228" s="149">
        <f t="shared" ref="M1228" si="7196">M1227/M1203</f>
        <v>3.4175913461113809E-2</v>
      </c>
      <c r="N1228" s="149">
        <f t="shared" ref="N1228" si="7197">N1227/N1203</f>
        <v>0.20825747397232591</v>
      </c>
      <c r="O1228" s="149">
        <f t="shared" ref="O1228" si="7198">O1227/O1203</f>
        <v>0.20730321076832978</v>
      </c>
      <c r="P1228" s="149">
        <f t="shared" ref="P1228" si="7199">P1227/P1203</f>
        <v>0.20393576633448279</v>
      </c>
      <c r="Q1228" s="149">
        <f t="shared" ref="Q1228" si="7200">Q1227/Q1203</f>
        <v>0.30255958147977735</v>
      </c>
      <c r="R1228" s="149">
        <f t="shared" ref="R1228" si="7201">R1227/R1203</f>
        <v>0.27757187923424154</v>
      </c>
      <c r="S1228" s="148">
        <f t="shared" ref="S1228" si="7202">S1227/S1203</f>
        <v>0.10311813701272117</v>
      </c>
      <c r="T1228" s="149">
        <f t="shared" ref="T1228" si="7203">T1227/T1203</f>
        <v>9.7952550229482432E-2</v>
      </c>
      <c r="U1228" s="149">
        <f t="shared" ref="U1228" si="7204">U1227/U1203</f>
        <v>9.2947408797475109E-2</v>
      </c>
      <c r="V1228" s="149">
        <f t="shared" ref="V1228" si="7205">V1227/V1203</f>
        <v>-3.0020529842558437E-2</v>
      </c>
      <c r="W1228" s="149">
        <f t="shared" ref="W1228" si="7206">W1227/W1203</f>
        <v>-8.2281475675198227E-3</v>
      </c>
      <c r="X1228" s="149">
        <f t="shared" ref="X1228" si="7207">X1227/X1203</f>
        <v>1.6212457514952202E-2</v>
      </c>
      <c r="Y1228" s="149">
        <f t="shared" ref="Y1228" si="7208">Y1227/Y1203</f>
        <v>0.11042141617230086</v>
      </c>
      <c r="Z1228" s="149">
        <f t="shared" ref="Z1228" si="7209">Z1227/Z1203</f>
        <v>0.10743220451413131</v>
      </c>
      <c r="AA1228" s="149">
        <f t="shared" ref="AA1228" si="7210">AA1227/AA1203</f>
        <v>8.8349392739442423E-2</v>
      </c>
      <c r="AB1228" s="149">
        <f t="shared" ref="AB1228" si="7211">AB1227/AB1203</f>
        <v>8.9420798757116782E-2</v>
      </c>
      <c r="AC1228" s="149">
        <f t="shared" ref="AC1228" si="7212">AC1227/AC1203</f>
        <v>6.8428186879223085E-2</v>
      </c>
      <c r="AD1228" s="150">
        <f t="shared" ref="AD1228" si="7213">AD1227/AD1203</f>
        <v>3.6185913369446612E-2</v>
      </c>
      <c r="AE1228" s="15"/>
      <c r="AF1228" s="96">
        <f t="shared" ref="AF1228" si="7214">AF1227/AF1203</f>
        <v>0.11581746956922429</v>
      </c>
      <c r="AG1228" s="97">
        <f t="shared" ref="AG1228" si="7215">AG1227/AG1203</f>
        <v>6.7447303518081717E-2</v>
      </c>
    </row>
    <row r="1229" spans="2:33" ht="6" customHeight="1" x14ac:dyDescent="0.2">
      <c r="B1229" s="9">
        <f>G1191</f>
        <v>25</v>
      </c>
      <c r="C1229" s="9" t="str">
        <f t="shared" si="6947"/>
        <v xml:space="preserve">25 - </v>
      </c>
      <c r="D1229" s="9" t="s">
        <v>56</v>
      </c>
      <c r="G1229" s="11"/>
      <c r="S1229" s="11"/>
      <c r="AD1229" s="15"/>
      <c r="AE1229" s="15"/>
      <c r="AF1229" s="11"/>
      <c r="AG1229" s="15"/>
    </row>
    <row r="1230" spans="2:33" x14ac:dyDescent="0.2">
      <c r="B1230" s="9">
        <f>G1191</f>
        <v>25</v>
      </c>
      <c r="C1230" s="9" t="str">
        <f t="shared" si="6947"/>
        <v>25 - Memo:</v>
      </c>
      <c r="D1230" s="9" t="s">
        <v>56</v>
      </c>
      <c r="F1230" s="6" t="s">
        <v>13</v>
      </c>
      <c r="G1230" s="11"/>
      <c r="S1230" s="11"/>
      <c r="AD1230" s="15"/>
      <c r="AE1230" s="15"/>
      <c r="AF1230" s="11"/>
      <c r="AG1230" s="15"/>
    </row>
    <row r="1231" spans="2:33" s="24" customFormat="1" x14ac:dyDescent="0.2">
      <c r="B1231" s="9">
        <f>G1191</f>
        <v>25</v>
      </c>
      <c r="C1231" s="9" t="str">
        <f t="shared" si="6947"/>
        <v>25 - Collections</v>
      </c>
      <c r="D1231" s="9" t="s">
        <v>56</v>
      </c>
      <c r="E1231" s="49"/>
      <c r="F1231" s="24" t="s">
        <v>15</v>
      </c>
      <c r="G1231" s="169">
        <f>G1232*G1201</f>
        <v>360.99856672052687</v>
      </c>
      <c r="H1231" s="170">
        <f t="shared" ref="H1231" si="7216">H1232*H1201</f>
        <v>375.67422402533703</v>
      </c>
      <c r="I1231" s="170">
        <f t="shared" ref="I1231" si="7217">I1232*I1201</f>
        <v>359.19774182231498</v>
      </c>
      <c r="J1231" s="170">
        <f t="shared" ref="J1231" si="7218">J1232*J1201</f>
        <v>329.06085443595748</v>
      </c>
      <c r="K1231" s="170">
        <f t="shared" ref="K1231" si="7219">K1232*K1201</f>
        <v>266.76210728266091</v>
      </c>
      <c r="L1231" s="170">
        <f t="shared" ref="L1231" si="7220">L1232*L1201</f>
        <v>261.66199176464687</v>
      </c>
      <c r="M1231" s="170">
        <f t="shared" ref="M1231" si="7221">M1232*M1201</f>
        <v>327.53329611022514</v>
      </c>
      <c r="N1231" s="170">
        <f t="shared" ref="N1231" si="7222">N1232*N1201</f>
        <v>408.6244384591655</v>
      </c>
      <c r="O1231" s="170">
        <f t="shared" ref="O1231" si="7223">O1232*O1201</f>
        <v>380.2707937993153</v>
      </c>
      <c r="P1231" s="170">
        <f t="shared" ref="P1231" si="7224">P1232*P1201</f>
        <v>377.97470430960595</v>
      </c>
      <c r="Q1231" s="170">
        <f t="shared" ref="Q1231" si="7225">Q1232*Q1201</f>
        <v>424.9207252380146</v>
      </c>
      <c r="R1231" s="170">
        <f t="shared" ref="R1231" si="7226">R1232*R1201</f>
        <v>319.61747601240359</v>
      </c>
      <c r="S1231" s="169">
        <f t="shared" ref="S1231" si="7227">S1232*S1201</f>
        <v>387.69414547775239</v>
      </c>
      <c r="T1231" s="170">
        <f t="shared" ref="T1231" si="7228">T1232*T1201</f>
        <v>373.33210659410798</v>
      </c>
      <c r="U1231" s="170">
        <f t="shared" ref="U1231" si="7229">U1232*U1201</f>
        <v>377.66953822081308</v>
      </c>
      <c r="V1231" s="170">
        <f t="shared" ref="V1231" si="7230">V1232*V1201</f>
        <v>334.08674336217649</v>
      </c>
      <c r="W1231" s="170">
        <f t="shared" ref="W1231" si="7231">W1232*W1201</f>
        <v>384.48542038794551</v>
      </c>
      <c r="X1231" s="170">
        <f t="shared" ref="X1231" si="7232">X1232*X1201</f>
        <v>371.50455920665775</v>
      </c>
      <c r="Y1231" s="170">
        <f t="shared" ref="Y1231" si="7233">Y1232*Y1201</f>
        <v>465.55992616496462</v>
      </c>
      <c r="Z1231" s="170">
        <f t="shared" ref="Z1231" si="7234">Z1232*Z1201</f>
        <v>429.65813122169226</v>
      </c>
      <c r="AA1231" s="170">
        <f t="shared" ref="AA1231" si="7235">AA1232*AA1201</f>
        <v>380.77281841170685</v>
      </c>
      <c r="AB1231" s="170">
        <f t="shared" ref="AB1231" si="7236">AB1232*AB1201</f>
        <v>396.22288952103281</v>
      </c>
      <c r="AC1231" s="170">
        <f t="shared" ref="AC1231" si="7237">AC1232*AC1201</f>
        <v>351.03248941571314</v>
      </c>
      <c r="AD1231" s="171">
        <f t="shared" ref="AD1231" si="7238">AD1232*AD1201</f>
        <v>262.46069889414679</v>
      </c>
      <c r="AE1231" s="26"/>
      <c r="AF1231" s="68">
        <f>SUM(G1231:R1231)</f>
        <v>4192.2969199801746</v>
      </c>
      <c r="AG1231" s="99">
        <f>SUM(S1231:AD1231)</f>
        <v>4514.4794668787099</v>
      </c>
    </row>
    <row r="1232" spans="2:33" x14ac:dyDescent="0.2">
      <c r="B1232" s="9">
        <f>G1191</f>
        <v>25</v>
      </c>
      <c r="C1232" s="9" t="str">
        <f t="shared" si="6947"/>
        <v>25 - Collections as a % of Production</v>
      </c>
      <c r="D1232" s="9" t="s">
        <v>56</v>
      </c>
      <c r="F1232" s="16" t="s">
        <v>17</v>
      </c>
      <c r="G1232" s="140">
        <v>0.96353381728452758</v>
      </c>
      <c r="H1232" s="141">
        <v>0.97917288486855436</v>
      </c>
      <c r="I1232" s="141">
        <v>0.98671617070456119</v>
      </c>
      <c r="J1232" s="141">
        <v>0.97473877454386704</v>
      </c>
      <c r="K1232" s="141">
        <v>0.96670898547880069</v>
      </c>
      <c r="L1232" s="141">
        <v>0.96267996248588772</v>
      </c>
      <c r="M1232" s="141">
        <v>0.97276929217740993</v>
      </c>
      <c r="N1232" s="141">
        <v>0.96158005599988594</v>
      </c>
      <c r="O1232" s="141">
        <v>0.98475016917442726</v>
      </c>
      <c r="P1232" s="141">
        <v>0.99396203659660876</v>
      </c>
      <c r="Q1232" s="141">
        <v>0.98888885997641351</v>
      </c>
      <c r="R1232" s="141">
        <v>0.99484850052002582</v>
      </c>
      <c r="S1232" s="140">
        <v>0.99015468919525418</v>
      </c>
      <c r="T1232" s="141">
        <v>0.97829397484085701</v>
      </c>
      <c r="U1232" s="141">
        <v>0.97095416683309144</v>
      </c>
      <c r="V1232" s="141">
        <v>0.97314891426112127</v>
      </c>
      <c r="W1232" s="141">
        <v>0.96568058555571679</v>
      </c>
      <c r="X1232" s="141">
        <v>0.98263101447464485</v>
      </c>
      <c r="Y1232" s="141">
        <v>0.97160593589596211</v>
      </c>
      <c r="Z1232" s="141">
        <v>0.97940558949298828</v>
      </c>
      <c r="AA1232" s="141">
        <v>0.96355658694867996</v>
      </c>
      <c r="AB1232" s="141">
        <v>0.96873862628639285</v>
      </c>
      <c r="AC1232" s="141">
        <v>0.97712285397261023</v>
      </c>
      <c r="AD1232" s="142">
        <v>0.98882531019150188</v>
      </c>
      <c r="AE1232" s="15"/>
      <c r="AF1232" s="96">
        <f t="shared" ref="AF1232" si="7239">AF1231/AF1201</f>
        <v>0.97796543222923182</v>
      </c>
      <c r="AG1232" s="97">
        <f t="shared" ref="AG1232" si="7240">AG1231/AG1201</f>
        <v>0.97539143808545747</v>
      </c>
    </row>
    <row r="1233" spans="2:34" ht="6" customHeight="1" x14ac:dyDescent="0.2">
      <c r="B1233" s="9">
        <f>G1191</f>
        <v>25</v>
      </c>
      <c r="C1233" s="9" t="str">
        <f t="shared" si="6947"/>
        <v xml:space="preserve">25 - </v>
      </c>
      <c r="D1233" s="9" t="s">
        <v>56</v>
      </c>
      <c r="F1233" s="27"/>
      <c r="R1233" s="15"/>
      <c r="AD1233" s="15"/>
      <c r="AE1233" s="15"/>
      <c r="AF1233" s="11"/>
      <c r="AG1233" s="15"/>
    </row>
    <row r="1234" spans="2:34" s="24" customFormat="1" x14ac:dyDescent="0.2">
      <c r="B1234" s="9">
        <f>G1191</f>
        <v>25</v>
      </c>
      <c r="C1234" s="9" t="str">
        <f t="shared" si="6947"/>
        <v>25 - Production per Vet Workday - YoY Change</v>
      </c>
      <c r="D1234" s="9" t="s">
        <v>56</v>
      </c>
      <c r="E1234" s="49"/>
      <c r="F1234" s="24" t="s">
        <v>55</v>
      </c>
      <c r="G1234" s="88"/>
      <c r="H1234" s="89"/>
      <c r="I1234" s="89"/>
      <c r="J1234" s="89"/>
      <c r="K1234" s="89"/>
      <c r="L1234" s="89"/>
      <c r="M1234" s="89"/>
      <c r="N1234" s="89"/>
      <c r="O1234" s="89"/>
      <c r="P1234" s="89"/>
      <c r="Q1234" s="89"/>
      <c r="R1234" s="89"/>
      <c r="S1234" s="151">
        <f>S1200/G1200-1</f>
        <v>-3.6253796884011535E-4</v>
      </c>
      <c r="T1234" s="152">
        <f t="shared" ref="T1234" si="7241">T1200/H1200-1</f>
        <v>-5.0553371728391583E-2</v>
      </c>
      <c r="U1234" s="152">
        <f t="shared" ref="U1234" si="7242">U1200/I1200-1</f>
        <v>-0.12577806398380464</v>
      </c>
      <c r="V1234" s="152">
        <f t="shared" ref="V1234" si="7243">V1200/J1200-1</f>
        <v>-2.9292073655514561E-2</v>
      </c>
      <c r="W1234" s="152">
        <f t="shared" ref="W1234" si="7244">W1200/K1200-1</f>
        <v>-7.818594205426399E-2</v>
      </c>
      <c r="X1234" s="152">
        <f t="shared" ref="X1234" si="7245">X1200/L1200-1</f>
        <v>1.5622356088535128E-2</v>
      </c>
      <c r="Y1234" s="152">
        <f t="shared" ref="Y1234" si="7246">Y1200/M1200-1</f>
        <v>2.0929930793404994E-2</v>
      </c>
      <c r="Z1234" s="152">
        <f t="shared" ref="Z1234" si="7247">Z1200/N1200-1</f>
        <v>7.72214012311081E-2</v>
      </c>
      <c r="AA1234" s="152">
        <f t="shared" ref="AA1234" si="7248">AA1200/O1200-1</f>
        <v>7.2075059609872705E-2</v>
      </c>
      <c r="AB1234" s="152">
        <f t="shared" ref="AB1234" si="7249">AB1200/P1200-1</f>
        <v>-1.4057824797347518E-2</v>
      </c>
      <c r="AC1234" s="152">
        <f t="shared" ref="AC1234" si="7250">AC1200/Q1200-1</f>
        <v>9.2579082075282981E-2</v>
      </c>
      <c r="AD1234" s="153">
        <f t="shared" ref="AD1234" si="7251">AD1200/R1200-1</f>
        <v>3.2716585486950889E-2</v>
      </c>
      <c r="AF1234" s="43"/>
      <c r="AG1234" s="104">
        <f>AG1200/AF1200-1</f>
        <v>-5.7391381618175918E-3</v>
      </c>
    </row>
    <row r="1235" spans="2:34" s="24" customFormat="1" ht="6" customHeight="1" x14ac:dyDescent="0.2">
      <c r="D1235" s="9" t="s">
        <v>56</v>
      </c>
      <c r="E1235" s="49"/>
      <c r="G1235" s="28"/>
      <c r="H1235" s="30"/>
      <c r="I1235" s="30"/>
      <c r="J1235" s="30"/>
      <c r="K1235" s="30"/>
      <c r="L1235" s="30"/>
      <c r="M1235" s="30"/>
      <c r="N1235" s="30"/>
      <c r="O1235" s="30"/>
      <c r="P1235" s="30"/>
      <c r="Q1235" s="30"/>
      <c r="R1235" s="29"/>
      <c r="S1235" s="30"/>
      <c r="T1235" s="30"/>
      <c r="U1235" s="30"/>
      <c r="V1235" s="30"/>
      <c r="W1235" s="30"/>
      <c r="X1235" s="30"/>
      <c r="Y1235" s="30"/>
      <c r="Z1235" s="30"/>
      <c r="AA1235" s="30"/>
      <c r="AB1235" s="30"/>
      <c r="AC1235" s="30"/>
      <c r="AD1235" s="29"/>
      <c r="AE1235" s="25"/>
      <c r="AF1235" s="28"/>
      <c r="AG1235" s="29"/>
    </row>
    <row r="1236" spans="2:34" s="24" customFormat="1" ht="6" customHeight="1" x14ac:dyDescent="0.2">
      <c r="D1236" s="9" t="s">
        <v>56</v>
      </c>
      <c r="E1236" s="49"/>
    </row>
    <row r="1237" spans="2:34" x14ac:dyDescent="0.2">
      <c r="D1237" s="9" t="s">
        <v>56</v>
      </c>
      <c r="F1237" s="16"/>
    </row>
    <row r="1238" spans="2:34" ht="15.75" thickBot="1" x14ac:dyDescent="0.4">
      <c r="B1238" s="35" t="s">
        <v>52</v>
      </c>
      <c r="C1238" s="35"/>
      <c r="D1238" s="9" t="s">
        <v>56</v>
      </c>
      <c r="E1238" s="48" t="s">
        <v>0</v>
      </c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74">
        <f ca="1">AG$2</f>
        <v>45999</v>
      </c>
      <c r="AH1238" s="1"/>
    </row>
    <row r="1239" spans="2:34" x14ac:dyDescent="0.2">
      <c r="B1239" s="9">
        <f>G1240</f>
        <v>26</v>
      </c>
      <c r="C1239" s="9"/>
      <c r="D1239" s="9" t="s">
        <v>56</v>
      </c>
      <c r="F1239" t="s">
        <v>159</v>
      </c>
      <c r="AG1239" s="6" t="s">
        <v>16</v>
      </c>
    </row>
    <row r="1240" spans="2:34" x14ac:dyDescent="0.2">
      <c r="B1240" s="9">
        <f>G1240</f>
        <v>26</v>
      </c>
      <c r="C1240" s="9"/>
      <c r="D1240" s="9" t="s">
        <v>56</v>
      </c>
      <c r="F1240" s="40" t="s">
        <v>53</v>
      </c>
      <c r="G1240" s="42">
        <v>26</v>
      </c>
    </row>
    <row r="1241" spans="2:34" x14ac:dyDescent="0.2">
      <c r="B1241" s="9">
        <f>G1240</f>
        <v>26</v>
      </c>
      <c r="C1241" s="9"/>
      <c r="D1241" s="9" t="s">
        <v>56</v>
      </c>
      <c r="F1241" s="39" t="s">
        <v>43</v>
      </c>
      <c r="G1241" s="41"/>
      <c r="H1241" s="11"/>
    </row>
    <row r="1242" spans="2:34" x14ac:dyDescent="0.2">
      <c r="B1242" s="9">
        <f>G1240</f>
        <v>26</v>
      </c>
      <c r="C1242" s="9"/>
      <c r="D1242" s="9" t="s">
        <v>56</v>
      </c>
      <c r="G1242" s="23"/>
    </row>
    <row r="1243" spans="2:34" x14ac:dyDescent="0.2">
      <c r="B1243" s="9">
        <f>G1240</f>
        <v>26</v>
      </c>
      <c r="C1243" s="9"/>
      <c r="D1243" s="9" t="s">
        <v>56</v>
      </c>
      <c r="G1243" s="20">
        <v>2023</v>
      </c>
      <c r="H1243" s="21"/>
      <c r="I1243" s="21"/>
      <c r="J1243" s="21"/>
      <c r="K1243" s="21"/>
      <c r="L1243" s="21"/>
      <c r="M1243" s="21"/>
      <c r="N1243" s="21"/>
      <c r="O1243" s="21"/>
      <c r="P1243" s="21"/>
      <c r="Q1243" s="21"/>
      <c r="R1243" s="22"/>
      <c r="S1243" s="20">
        <v>2024</v>
      </c>
      <c r="T1243" s="21"/>
      <c r="U1243" s="21"/>
      <c r="V1243" s="21"/>
      <c r="W1243" s="21"/>
      <c r="X1243" s="21"/>
      <c r="Y1243" s="21"/>
      <c r="Z1243" s="21"/>
      <c r="AA1243" s="21"/>
      <c r="AB1243" s="21"/>
      <c r="AC1243" s="21"/>
      <c r="AD1243" s="22"/>
      <c r="AF1243" s="17" t="s">
        <v>14</v>
      </c>
      <c r="AG1243" s="18"/>
    </row>
    <row r="1244" spans="2:34" ht="15" customHeight="1" x14ac:dyDescent="0.35">
      <c r="B1244" s="9">
        <f>G1240</f>
        <v>26</v>
      </c>
      <c r="C1244" s="9"/>
      <c r="D1244" s="9" t="s">
        <v>56</v>
      </c>
      <c r="G1244" s="165">
        <v>44957</v>
      </c>
      <c r="H1244" s="166">
        <v>44985</v>
      </c>
      <c r="I1244" s="166">
        <v>45016</v>
      </c>
      <c r="J1244" s="166">
        <v>45046</v>
      </c>
      <c r="K1244" s="166">
        <v>45077</v>
      </c>
      <c r="L1244" s="166">
        <v>45107</v>
      </c>
      <c r="M1244" s="166">
        <v>45138</v>
      </c>
      <c r="N1244" s="166">
        <v>45169</v>
      </c>
      <c r="O1244" s="166">
        <v>45199</v>
      </c>
      <c r="P1244" s="166">
        <v>45230</v>
      </c>
      <c r="Q1244" s="166">
        <v>45260</v>
      </c>
      <c r="R1244" s="167">
        <v>45291</v>
      </c>
      <c r="S1244" s="165">
        <v>45322</v>
      </c>
      <c r="T1244" s="166">
        <v>45351</v>
      </c>
      <c r="U1244" s="166">
        <v>45382</v>
      </c>
      <c r="V1244" s="166">
        <v>45412</v>
      </c>
      <c r="W1244" s="166">
        <v>45443</v>
      </c>
      <c r="X1244" s="166">
        <v>45473</v>
      </c>
      <c r="Y1244" s="166">
        <v>45504</v>
      </c>
      <c r="Z1244" s="166">
        <v>45535</v>
      </c>
      <c r="AA1244" s="166">
        <v>45565</v>
      </c>
      <c r="AB1244" s="166">
        <v>45596</v>
      </c>
      <c r="AC1244" s="166">
        <v>45626</v>
      </c>
      <c r="AD1244" s="167">
        <v>45657</v>
      </c>
      <c r="AE1244" s="168"/>
      <c r="AF1244" s="13">
        <v>45291</v>
      </c>
      <c r="AG1244" s="14">
        <v>45657</v>
      </c>
    </row>
    <row r="1245" spans="2:34" ht="0.95" customHeight="1" x14ac:dyDescent="0.2">
      <c r="B1245" s="9">
        <f>G1240</f>
        <v>26</v>
      </c>
      <c r="C1245" s="9"/>
      <c r="D1245" s="9" t="s">
        <v>56</v>
      </c>
      <c r="G1245" s="11"/>
      <c r="S1245" s="11"/>
      <c r="AD1245" s="15"/>
      <c r="AE1245" s="15"/>
      <c r="AF1245" s="11"/>
      <c r="AG1245" s="15"/>
    </row>
    <row r="1246" spans="2:34" x14ac:dyDescent="0.2">
      <c r="B1246" s="9">
        <f>G1240</f>
        <v>26</v>
      </c>
      <c r="C1246" s="9" t="str">
        <f>B1246&amp;" - "&amp;F1246</f>
        <v>26 - Employed Vets</v>
      </c>
      <c r="D1246" s="9" t="s">
        <v>56</v>
      </c>
      <c r="F1246" s="7" t="s">
        <v>160</v>
      </c>
      <c r="G1246" s="121">
        <v>1</v>
      </c>
      <c r="H1246" s="154">
        <f>MAX(MIN(IF(H1249/G1249&gt;1.1,G1246-1,IF(H1249/G1249&lt;0.9,G1246+1,G1246)),5),1)</f>
        <v>1</v>
      </c>
      <c r="I1246" s="154">
        <f t="shared" ref="I1246:AC1246" si="7252">MAX(MIN(IF(I1249/H1249&gt;1.1,H1246-1,IF(I1249/H1249&lt;0.9,H1246+1,H1246)),5),1)</f>
        <v>1</v>
      </c>
      <c r="J1246" s="154">
        <f t="shared" si="7252"/>
        <v>1</v>
      </c>
      <c r="K1246" s="154">
        <f t="shared" si="7252"/>
        <v>1</v>
      </c>
      <c r="L1246" s="154">
        <f t="shared" si="7252"/>
        <v>1</v>
      </c>
      <c r="M1246" s="154">
        <f t="shared" si="7252"/>
        <v>1</v>
      </c>
      <c r="N1246" s="154">
        <f t="shared" si="7252"/>
        <v>2</v>
      </c>
      <c r="O1246" s="154">
        <f t="shared" si="7252"/>
        <v>2</v>
      </c>
      <c r="P1246" s="154">
        <f t="shared" si="7252"/>
        <v>2</v>
      </c>
      <c r="Q1246" s="154">
        <f t="shared" si="7252"/>
        <v>3</v>
      </c>
      <c r="R1246" s="154">
        <f t="shared" si="7252"/>
        <v>4</v>
      </c>
      <c r="S1246" s="155">
        <f t="shared" si="7252"/>
        <v>3</v>
      </c>
      <c r="T1246" s="154">
        <f t="shared" si="7252"/>
        <v>3</v>
      </c>
      <c r="U1246" s="154">
        <f t="shared" si="7252"/>
        <v>2</v>
      </c>
      <c r="V1246" s="154">
        <f t="shared" si="7252"/>
        <v>2</v>
      </c>
      <c r="W1246" s="154">
        <f t="shared" si="7252"/>
        <v>2</v>
      </c>
      <c r="X1246" s="154">
        <f t="shared" si="7252"/>
        <v>2</v>
      </c>
      <c r="Y1246" s="154">
        <f t="shared" si="7252"/>
        <v>2</v>
      </c>
      <c r="Z1246" s="154">
        <f t="shared" si="7252"/>
        <v>2</v>
      </c>
      <c r="AA1246" s="154">
        <f t="shared" si="7252"/>
        <v>2</v>
      </c>
      <c r="AB1246" s="154">
        <f t="shared" si="7252"/>
        <v>2</v>
      </c>
      <c r="AC1246" s="154">
        <f t="shared" si="7252"/>
        <v>3</v>
      </c>
      <c r="AD1246" s="156">
        <f>AC1246</f>
        <v>3</v>
      </c>
      <c r="AE1246" s="15"/>
      <c r="AF1246" s="90">
        <f>AVERAGE(G1246:R1246)</f>
        <v>1.6666666666666667</v>
      </c>
      <c r="AG1246" s="91">
        <f>AVERAGE(S1246:AD1246)</f>
        <v>2.3333333333333335</v>
      </c>
    </row>
    <row r="1247" spans="2:34" x14ac:dyDescent="0.2">
      <c r="B1247" s="9">
        <f>G1240</f>
        <v>26</v>
      </c>
      <c r="C1247" s="9" t="str">
        <f t="shared" ref="C1247:C1283" si="7253">B1247&amp;" - "&amp;F1247</f>
        <v>26 - Workdays in Month / Year</v>
      </c>
      <c r="D1247" s="9" t="s">
        <v>56</v>
      </c>
      <c r="F1247" s="7" t="s">
        <v>54</v>
      </c>
      <c r="G1247" s="121">
        <v>22</v>
      </c>
      <c r="H1247" s="124">
        <v>21</v>
      </c>
      <c r="I1247" s="124">
        <v>24</v>
      </c>
      <c r="J1247" s="122">
        <v>21</v>
      </c>
      <c r="K1247" s="122">
        <v>23</v>
      </c>
      <c r="L1247" s="122">
        <v>23</v>
      </c>
      <c r="M1247" s="122">
        <v>22</v>
      </c>
      <c r="N1247" s="122">
        <v>24</v>
      </c>
      <c r="O1247" s="122">
        <v>22</v>
      </c>
      <c r="P1247" s="122">
        <v>22</v>
      </c>
      <c r="Q1247" s="122">
        <v>23</v>
      </c>
      <c r="R1247" s="122">
        <v>22</v>
      </c>
      <c r="S1247" s="121">
        <v>23</v>
      </c>
      <c r="T1247" s="122">
        <v>22</v>
      </c>
      <c r="U1247" s="122">
        <v>22</v>
      </c>
      <c r="V1247" s="122">
        <v>22</v>
      </c>
      <c r="W1247" s="122">
        <v>24</v>
      </c>
      <c r="X1247" s="122">
        <v>21</v>
      </c>
      <c r="Y1247" s="122">
        <v>23</v>
      </c>
      <c r="Z1247" s="122">
        <v>23</v>
      </c>
      <c r="AA1247" s="122">
        <v>21</v>
      </c>
      <c r="AB1247" s="122">
        <v>24</v>
      </c>
      <c r="AC1247" s="122">
        <v>22</v>
      </c>
      <c r="AD1247" s="123">
        <v>22</v>
      </c>
      <c r="AE1247" s="15"/>
      <c r="AF1247" s="144">
        <v>269</v>
      </c>
      <c r="AG1247" s="145">
        <v>269</v>
      </c>
    </row>
    <row r="1248" spans="2:34" x14ac:dyDescent="0.2">
      <c r="B1248" s="9">
        <f>G1240</f>
        <v>26</v>
      </c>
      <c r="C1248" s="9" t="str">
        <f t="shared" si="7253"/>
        <v>26 - Total Vet Days</v>
      </c>
      <c r="D1248" s="9" t="s">
        <v>56</v>
      </c>
      <c r="F1248" s="8" t="s">
        <v>51</v>
      </c>
      <c r="G1248" s="125">
        <f>G1246*G1247</f>
        <v>22</v>
      </c>
      <c r="H1248" s="126">
        <f t="shared" ref="H1248" si="7254">H1246*H1247</f>
        <v>21</v>
      </c>
      <c r="I1248" s="126">
        <f t="shared" ref="I1248" si="7255">I1246*I1247</f>
        <v>24</v>
      </c>
      <c r="J1248" s="127">
        <f t="shared" ref="J1248" si="7256">J1246*J1247</f>
        <v>21</v>
      </c>
      <c r="K1248" s="127">
        <f t="shared" ref="K1248" si="7257">K1246*K1247</f>
        <v>23</v>
      </c>
      <c r="L1248" s="127">
        <f t="shared" ref="L1248" si="7258">L1246*L1247</f>
        <v>23</v>
      </c>
      <c r="M1248" s="127">
        <f t="shared" ref="M1248" si="7259">M1246*M1247</f>
        <v>22</v>
      </c>
      <c r="N1248" s="127">
        <f t="shared" ref="N1248" si="7260">N1246*N1247</f>
        <v>48</v>
      </c>
      <c r="O1248" s="127">
        <f t="shared" ref="O1248" si="7261">O1246*O1247</f>
        <v>44</v>
      </c>
      <c r="P1248" s="127">
        <f t="shared" ref="P1248" si="7262">P1246*P1247</f>
        <v>44</v>
      </c>
      <c r="Q1248" s="127">
        <f t="shared" ref="Q1248" si="7263">Q1246*Q1247</f>
        <v>69</v>
      </c>
      <c r="R1248" s="127">
        <f t="shared" ref="R1248" si="7264">R1246*R1247</f>
        <v>88</v>
      </c>
      <c r="S1248" s="125">
        <f t="shared" ref="S1248" si="7265">S1246*S1247</f>
        <v>69</v>
      </c>
      <c r="T1248" s="127">
        <f t="shared" ref="T1248" si="7266">T1246*T1247</f>
        <v>66</v>
      </c>
      <c r="U1248" s="127">
        <f t="shared" ref="U1248" si="7267">U1246*U1247</f>
        <v>44</v>
      </c>
      <c r="V1248" s="127">
        <f t="shared" ref="V1248" si="7268">V1246*V1247</f>
        <v>44</v>
      </c>
      <c r="W1248" s="127">
        <f t="shared" ref="W1248" si="7269">W1246*W1247</f>
        <v>48</v>
      </c>
      <c r="X1248" s="127">
        <f t="shared" ref="X1248" si="7270">X1246*X1247</f>
        <v>42</v>
      </c>
      <c r="Y1248" s="127">
        <f t="shared" ref="Y1248" si="7271">Y1246*Y1247</f>
        <v>46</v>
      </c>
      <c r="Z1248" s="127">
        <f t="shared" ref="Z1248" si="7272">Z1246*Z1247</f>
        <v>46</v>
      </c>
      <c r="AA1248" s="127">
        <f t="shared" ref="AA1248" si="7273">AA1246*AA1247</f>
        <v>42</v>
      </c>
      <c r="AB1248" s="127">
        <f t="shared" ref="AB1248" si="7274">AB1246*AB1247</f>
        <v>48</v>
      </c>
      <c r="AC1248" s="127">
        <f t="shared" ref="AC1248" si="7275">AC1246*AC1247</f>
        <v>66</v>
      </c>
      <c r="AD1248" s="128">
        <f t="shared" ref="AD1248" si="7276">AD1246*AD1247</f>
        <v>66</v>
      </c>
      <c r="AF1248" s="119">
        <f>SUM(G1248:R1248)</f>
        <v>449</v>
      </c>
      <c r="AG1248" s="120">
        <f>SUM(S1248:AD1248)</f>
        <v>627</v>
      </c>
    </row>
    <row r="1249" spans="2:33" x14ac:dyDescent="0.2">
      <c r="B1249" s="9">
        <f>G1240</f>
        <v>26</v>
      </c>
      <c r="C1249" s="9" t="str">
        <f t="shared" si="7253"/>
        <v>26 - Production per Vet Workday</v>
      </c>
      <c r="D1249" s="9" t="s">
        <v>56</v>
      </c>
      <c r="F1249" s="7" t="s">
        <v>50</v>
      </c>
      <c r="G1249" s="129">
        <v>7.4277537742169359</v>
      </c>
      <c r="H1249" s="130">
        <v>8.1954731539229435</v>
      </c>
      <c r="I1249" s="130">
        <v>8.8334395658731744</v>
      </c>
      <c r="J1249" s="130">
        <v>8.9477642119947962</v>
      </c>
      <c r="K1249" s="130">
        <v>10.374959329898701</v>
      </c>
      <c r="L1249" s="130">
        <v>9.5874069177222765</v>
      </c>
      <c r="M1249" s="130">
        <v>8.6456355938612361</v>
      </c>
      <c r="N1249" s="130">
        <v>7.4202695040390951</v>
      </c>
      <c r="O1249" s="130">
        <v>7.3125889456269251</v>
      </c>
      <c r="P1249" s="130">
        <v>7.1884135282701269</v>
      </c>
      <c r="Q1249" s="130">
        <v>5.9485222077048432</v>
      </c>
      <c r="R1249" s="130">
        <v>4.668357567184664</v>
      </c>
      <c r="S1249" s="129">
        <v>7.0489230682026793</v>
      </c>
      <c r="T1249" s="130">
        <v>7.7133463727443239</v>
      </c>
      <c r="U1249" s="130">
        <v>8.5473557030049658</v>
      </c>
      <c r="V1249" s="130">
        <v>8.7578640097205653</v>
      </c>
      <c r="W1249" s="130">
        <v>9.5467399877617645</v>
      </c>
      <c r="X1249" s="130">
        <v>8.9003145332627476</v>
      </c>
      <c r="Y1249" s="130">
        <v>8.1488577870453209</v>
      </c>
      <c r="Z1249" s="130">
        <v>7.4441070568128316</v>
      </c>
      <c r="AA1249" s="130">
        <v>6.8199138598446085</v>
      </c>
      <c r="AB1249" s="130">
        <v>7.1564075078347731</v>
      </c>
      <c r="AC1249" s="130">
        <v>5.5704425421039598</v>
      </c>
      <c r="AD1249" s="131">
        <v>4.1265395000281995</v>
      </c>
      <c r="AE1249" s="15"/>
      <c r="AF1249" s="132">
        <v>7.8862004603575402</v>
      </c>
      <c r="AG1249" s="133">
        <v>7.7885439671237355</v>
      </c>
    </row>
    <row r="1250" spans="2:33" x14ac:dyDescent="0.2">
      <c r="B1250" s="9">
        <f>G1240</f>
        <v>26</v>
      </c>
      <c r="C1250" s="9" t="str">
        <f t="shared" si="7253"/>
        <v>26 - Total Production</v>
      </c>
      <c r="D1250" s="9" t="s">
        <v>56</v>
      </c>
      <c r="F1250" s="8" t="s">
        <v>1</v>
      </c>
      <c r="G1250" s="134">
        <f>G1249*G1248</f>
        <v>163.41058303277259</v>
      </c>
      <c r="H1250" s="135">
        <f t="shared" ref="H1250" si="7277">H1249*H1248</f>
        <v>172.10493623238182</v>
      </c>
      <c r="I1250" s="135">
        <f t="shared" ref="I1250" si="7278">I1249*I1248</f>
        <v>212.00254958095618</v>
      </c>
      <c r="J1250" s="135">
        <f t="shared" ref="J1250" si="7279">J1249*J1248</f>
        <v>187.90304845189073</v>
      </c>
      <c r="K1250" s="135">
        <f t="shared" ref="K1250" si="7280">K1249*K1248</f>
        <v>238.62406458767012</v>
      </c>
      <c r="L1250" s="135">
        <f t="shared" ref="L1250" si="7281">L1249*L1248</f>
        <v>220.51035910761237</v>
      </c>
      <c r="M1250" s="135">
        <f t="shared" ref="M1250" si="7282">M1249*M1248</f>
        <v>190.20398306494718</v>
      </c>
      <c r="N1250" s="135">
        <f t="shared" ref="N1250" si="7283">N1249*N1248</f>
        <v>356.17293619387658</v>
      </c>
      <c r="O1250" s="135">
        <f t="shared" ref="O1250" si="7284">O1249*O1248</f>
        <v>321.75391360758471</v>
      </c>
      <c r="P1250" s="135">
        <f t="shared" ref="P1250" si="7285">P1249*P1248</f>
        <v>316.29019524388559</v>
      </c>
      <c r="Q1250" s="135">
        <f t="shared" ref="Q1250" si="7286">Q1249*Q1248</f>
        <v>410.44803233163418</v>
      </c>
      <c r="R1250" s="135">
        <f t="shared" ref="R1250" si="7287">R1249*R1248</f>
        <v>410.81546591225043</v>
      </c>
      <c r="S1250" s="134">
        <f t="shared" ref="S1250" si="7288">S1249*S1248</f>
        <v>486.37569170598488</v>
      </c>
      <c r="T1250" s="135">
        <f t="shared" ref="T1250" si="7289">T1249*T1248</f>
        <v>509.08086060112538</v>
      </c>
      <c r="U1250" s="135">
        <f t="shared" ref="U1250" si="7290">U1249*U1248</f>
        <v>376.08365093221852</v>
      </c>
      <c r="V1250" s="135">
        <f t="shared" ref="V1250" si="7291">V1249*V1248</f>
        <v>385.34601642770485</v>
      </c>
      <c r="W1250" s="135">
        <f t="shared" ref="W1250" si="7292">W1249*W1248</f>
        <v>458.24351941256469</v>
      </c>
      <c r="X1250" s="135">
        <f t="shared" ref="X1250" si="7293">X1249*X1248</f>
        <v>373.81321039703539</v>
      </c>
      <c r="Y1250" s="135">
        <f t="shared" ref="Y1250" si="7294">Y1249*Y1248</f>
        <v>374.84745820408477</v>
      </c>
      <c r="Z1250" s="135">
        <f t="shared" ref="Z1250" si="7295">Z1249*Z1248</f>
        <v>342.42892461339028</v>
      </c>
      <c r="AA1250" s="135">
        <f t="shared" ref="AA1250" si="7296">AA1249*AA1248</f>
        <v>286.43638211347354</v>
      </c>
      <c r="AB1250" s="135">
        <f t="shared" ref="AB1250" si="7297">AB1249*AB1248</f>
        <v>343.50756037606914</v>
      </c>
      <c r="AC1250" s="135">
        <f t="shared" ref="AC1250" si="7298">AC1249*AC1248</f>
        <v>367.64920777886135</v>
      </c>
      <c r="AD1250" s="136">
        <f t="shared" ref="AD1250" si="7299">AD1249*AD1248</f>
        <v>272.35160700186117</v>
      </c>
      <c r="AE1250" s="15"/>
      <c r="AF1250" s="94">
        <f>SUM(G1250:R1250)</f>
        <v>3200.2400673474626</v>
      </c>
      <c r="AG1250" s="95">
        <f>SUM(S1250:AD1250)</f>
        <v>4576.1640895643741</v>
      </c>
    </row>
    <row r="1251" spans="2:33" x14ac:dyDescent="0.2">
      <c r="B1251" s="9">
        <f>G1240</f>
        <v>26</v>
      </c>
      <c r="C1251" s="9" t="str">
        <f t="shared" si="7253"/>
        <v>26 - Revenue as a % of Production</v>
      </c>
      <c r="D1251" s="9" t="s">
        <v>56</v>
      </c>
      <c r="F1251" s="7" t="s">
        <v>2</v>
      </c>
      <c r="G1251" s="137">
        <v>0.97386918433674852</v>
      </c>
      <c r="H1251" s="138">
        <v>0.97386918433674852</v>
      </c>
      <c r="I1251" s="138">
        <v>0.97386918433674852</v>
      </c>
      <c r="J1251" s="138">
        <v>0.97386918433674852</v>
      </c>
      <c r="K1251" s="138">
        <v>0.97386918433674852</v>
      </c>
      <c r="L1251" s="138">
        <v>0.97386918433674852</v>
      </c>
      <c r="M1251" s="138">
        <v>0.97386918433674852</v>
      </c>
      <c r="N1251" s="138">
        <v>0.97386918433674852</v>
      </c>
      <c r="O1251" s="138">
        <v>0.97386918433674852</v>
      </c>
      <c r="P1251" s="138">
        <v>0.97386918433674852</v>
      </c>
      <c r="Q1251" s="138">
        <v>0.97386918433674852</v>
      </c>
      <c r="R1251" s="138">
        <v>0.97386918433674852</v>
      </c>
      <c r="S1251" s="137">
        <v>0.98422733712055221</v>
      </c>
      <c r="T1251" s="138">
        <v>0.98422733712055221</v>
      </c>
      <c r="U1251" s="138">
        <v>0.98422733712055221</v>
      </c>
      <c r="V1251" s="138">
        <v>0.98422733712055221</v>
      </c>
      <c r="W1251" s="138">
        <v>0.98422733712055221</v>
      </c>
      <c r="X1251" s="138">
        <v>0.98422733712055221</v>
      </c>
      <c r="Y1251" s="138">
        <v>0.98422733712055221</v>
      </c>
      <c r="Z1251" s="138">
        <v>0.98422733712055221</v>
      </c>
      <c r="AA1251" s="138">
        <v>0.98422733712055221</v>
      </c>
      <c r="AB1251" s="138">
        <v>0.98422733712055221</v>
      </c>
      <c r="AC1251" s="138">
        <v>0.98422733712055221</v>
      </c>
      <c r="AD1251" s="139">
        <v>0.98422733712055221</v>
      </c>
      <c r="AE1251" s="15"/>
      <c r="AF1251" s="161">
        <v>0.97386918433674841</v>
      </c>
      <c r="AG1251" s="162">
        <v>0.98422733712055199</v>
      </c>
    </row>
    <row r="1252" spans="2:33" x14ac:dyDescent="0.2">
      <c r="B1252" s="9">
        <f>G1240</f>
        <v>26</v>
      </c>
      <c r="C1252" s="9" t="str">
        <f t="shared" si="7253"/>
        <v>26 - Total Revenue</v>
      </c>
      <c r="D1252" s="9" t="s">
        <v>56</v>
      </c>
      <c r="F1252" s="8" t="s">
        <v>3</v>
      </c>
      <c r="G1252" s="134">
        <f>G1251*G1250</f>
        <v>159.14053121011875</v>
      </c>
      <c r="H1252" s="135">
        <f t="shared" ref="H1252" si="7300">H1251*H1250</f>
        <v>167.6076938689578</v>
      </c>
      <c r="I1252" s="135">
        <f t="shared" ref="I1252" si="7301">I1251*I1250</f>
        <v>206.46275003771689</v>
      </c>
      <c r="J1252" s="135">
        <f t="shared" ref="J1252" si="7302">J1251*J1250</f>
        <v>182.99298853023134</v>
      </c>
      <c r="K1252" s="135">
        <f t="shared" ref="K1252" si="7303">K1251*K1250</f>
        <v>232.3886231431139</v>
      </c>
      <c r="L1252" s="135">
        <f t="shared" ref="L1252" si="7304">L1251*L1250</f>
        <v>214.74824356193398</v>
      </c>
      <c r="M1252" s="135">
        <f t="shared" ref="M1252" si="7305">M1251*M1250</f>
        <v>185.23379784506085</v>
      </c>
      <c r="N1252" s="135">
        <f t="shared" ref="N1252" si="7306">N1251*N1250</f>
        <v>346.86584685395536</v>
      </c>
      <c r="O1252" s="135">
        <f t="shared" ref="O1252" si="7307">O1251*O1250</f>
        <v>313.34622140217516</v>
      </c>
      <c r="P1252" s="135">
        <f t="shared" ref="P1252" si="7308">P1251*P1250</f>
        <v>308.02527445587378</v>
      </c>
      <c r="Q1252" s="135">
        <f t="shared" ref="Q1252" si="7309">Q1251*Q1250</f>
        <v>399.72269045943199</v>
      </c>
      <c r="R1252" s="135">
        <f t="shared" ref="R1252" si="7310">R1251*R1250</f>
        <v>400.08052270088461</v>
      </c>
      <c r="S1252" s="134">
        <f t="shared" ref="S1252" si="7311">S1251*S1250</f>
        <v>478.70425188794815</v>
      </c>
      <c r="T1252" s="135">
        <f t="shared" ref="T1252" si="7312">T1251*T1250</f>
        <v>501.05129980848466</v>
      </c>
      <c r="U1252" s="135">
        <f t="shared" ref="U1252" si="7313">U1251*U1250</f>
        <v>370.15181029159271</v>
      </c>
      <c r="V1252" s="135">
        <f t="shared" ref="V1252" si="7314">V1251*V1250</f>
        <v>379.2680836186525</v>
      </c>
      <c r="W1252" s="135">
        <f t="shared" ref="W1252" si="7315">W1251*W1250</f>
        <v>451.01579886417863</v>
      </c>
      <c r="X1252" s="135">
        <f t="shared" ref="X1252" si="7316">X1251*X1250</f>
        <v>367.91718064955887</v>
      </c>
      <c r="Y1252" s="135">
        <f t="shared" ref="Y1252" si="7317">Y1251*Y1250</f>
        <v>368.93511561461384</v>
      </c>
      <c r="Z1252" s="135">
        <f t="shared" ref="Z1252" si="7318">Z1251*Z1250</f>
        <v>337.02790862529145</v>
      </c>
      <c r="AA1252" s="135">
        <f t="shared" ref="AA1252" si="7319">AA1251*AA1250</f>
        <v>281.91851762198905</v>
      </c>
      <c r="AB1252" s="135">
        <f t="shared" ref="AB1252" si="7320">AB1251*AB1250</f>
        <v>338.08953142971586</v>
      </c>
      <c r="AC1252" s="135">
        <f t="shared" ref="AC1252" si="7321">AC1251*AC1250</f>
        <v>361.85040076666934</v>
      </c>
      <c r="AD1252" s="136">
        <f t="shared" ref="AD1252" si="7322">AD1251*AD1250</f>
        <v>268.05589691994498</v>
      </c>
      <c r="AE1252" s="15"/>
      <c r="AF1252" s="94">
        <f>SUM(G1252:R1252)</f>
        <v>3116.6151840694542</v>
      </c>
      <c r="AG1252" s="95">
        <f>SUM(S1252:AD1252)</f>
        <v>4503.9857960986401</v>
      </c>
    </row>
    <row r="1253" spans="2:33" x14ac:dyDescent="0.2">
      <c r="B1253" s="9">
        <f>G1240</f>
        <v>26</v>
      </c>
      <c r="C1253" s="9" t="str">
        <f t="shared" si="7253"/>
        <v>26 - % YoY Revenue Growth</v>
      </c>
      <c r="D1253" s="9" t="s">
        <v>56</v>
      </c>
      <c r="F1253" s="16" t="s">
        <v>174</v>
      </c>
      <c r="G1253" s="82"/>
      <c r="H1253" s="83"/>
      <c r="I1253" s="83"/>
      <c r="J1253" s="83"/>
      <c r="K1253" s="83"/>
      <c r="L1253" s="83"/>
      <c r="M1253" s="83"/>
      <c r="N1253" s="83"/>
      <c r="O1253" s="83"/>
      <c r="P1253" s="83"/>
      <c r="Q1253" s="83"/>
      <c r="R1253" s="83"/>
      <c r="S1253" s="148">
        <f>S1252/G1252-1</f>
        <v>2.0080599093633684</v>
      </c>
      <c r="T1253" s="149">
        <f t="shared" ref="T1253" si="7323">T1252/H1252-1</f>
        <v>1.9894289948301895</v>
      </c>
      <c r="U1253" s="149">
        <f t="shared" ref="U1253" si="7324">U1252/I1252-1</f>
        <v>0.79282611620727161</v>
      </c>
      <c r="V1253" s="149">
        <f t="shared" ref="V1253" si="7325">V1252/J1252-1</f>
        <v>1.0725825981906163</v>
      </c>
      <c r="W1253" s="149">
        <f t="shared" ref="W1253" si="7326">W1252/K1252-1</f>
        <v>0.94078261131753282</v>
      </c>
      <c r="X1253" s="149">
        <f t="shared" ref="X1253" si="7327">X1252/L1252-1</f>
        <v>0.71324884686868484</v>
      </c>
      <c r="Y1253" s="149">
        <f t="shared" ref="Y1253" si="7328">Y1252/M1252-1</f>
        <v>0.99172677938186138</v>
      </c>
      <c r="Z1253" s="149">
        <f t="shared" ref="Z1253" si="7329">Z1252/N1252-1</f>
        <v>-2.8362372132895719E-2</v>
      </c>
      <c r="AA1253" s="149">
        <f t="shared" ref="AA1253" si="7330">AA1252/O1252-1</f>
        <v>-0.10029705684514745</v>
      </c>
      <c r="AB1253" s="149">
        <f t="shared" ref="AB1253" si="7331">AB1252/P1252-1</f>
        <v>9.760321462889876E-2</v>
      </c>
      <c r="AC1253" s="149">
        <f t="shared" ref="AC1253" si="7332">AC1252/Q1252-1</f>
        <v>-9.4746409440087387E-2</v>
      </c>
      <c r="AD1253" s="150">
        <f t="shared" ref="AD1253" si="7333">AD1252/R1252-1</f>
        <v>-0.32999513420363691</v>
      </c>
      <c r="AE1253" s="15"/>
      <c r="AF1253" s="11"/>
      <c r="AG1253" s="97">
        <f>AG1252/AF1252-1</f>
        <v>0.44515300416962478</v>
      </c>
    </row>
    <row r="1254" spans="2:33" ht="6" customHeight="1" x14ac:dyDescent="0.2">
      <c r="B1254" s="9">
        <f>G1240</f>
        <v>26</v>
      </c>
      <c r="C1254" s="9" t="str">
        <f t="shared" si="7253"/>
        <v xml:space="preserve">26 - </v>
      </c>
      <c r="D1254" s="9" t="s">
        <v>56</v>
      </c>
      <c r="G1254" s="11"/>
      <c r="S1254" s="11"/>
      <c r="AD1254" s="15"/>
      <c r="AE1254" s="15"/>
      <c r="AF1254" s="11"/>
      <c r="AG1254" s="15"/>
    </row>
    <row r="1255" spans="2:33" x14ac:dyDescent="0.2">
      <c r="B1255" s="9">
        <f>G1240</f>
        <v>26</v>
      </c>
      <c r="C1255" s="9" t="str">
        <f t="shared" si="7253"/>
        <v>26 - Doctor Compensation</v>
      </c>
      <c r="D1255" s="9" t="s">
        <v>56</v>
      </c>
      <c r="F1255" t="s">
        <v>4</v>
      </c>
      <c r="G1255" s="144">
        <v>-53.623867337142272</v>
      </c>
      <c r="H1255" s="70">
        <v>-56.209631371929781</v>
      </c>
      <c r="I1255" s="70">
        <v>-71.124384082704964</v>
      </c>
      <c r="J1255" s="70">
        <v>-63.654805661745364</v>
      </c>
      <c r="K1255" s="70">
        <v>-78.651102646015318</v>
      </c>
      <c r="L1255" s="70">
        <v>-74.819645161330826</v>
      </c>
      <c r="M1255" s="70">
        <v>-62.990468963869233</v>
      </c>
      <c r="N1255" s="70">
        <v>-59.661789986848639</v>
      </c>
      <c r="O1255" s="70">
        <v>-52.75828667665369</v>
      </c>
      <c r="P1255" s="70">
        <v>-51.207485995839228</v>
      </c>
      <c r="Q1255" s="70">
        <v>-45.234981152585853</v>
      </c>
      <c r="R1255" s="70">
        <v>-33.428040526775931</v>
      </c>
      <c r="S1255" s="144">
        <v>-111.13322025075388</v>
      </c>
      <c r="T1255" s="70">
        <v>-113.24653879491204</v>
      </c>
      <c r="U1255" s="70">
        <v>-123.06305794305943</v>
      </c>
      <c r="V1255" s="70">
        <v>-134.60128605640213</v>
      </c>
      <c r="W1255" s="70">
        <v>-157.3278651122329</v>
      </c>
      <c r="X1255" s="70">
        <v>-125.71544327909683</v>
      </c>
      <c r="Y1255" s="70">
        <v>-123.90118718593423</v>
      </c>
      <c r="Z1255" s="70">
        <v>-103.55920479424593</v>
      </c>
      <c r="AA1255" s="70">
        <v>-84.1479915384609</v>
      </c>
      <c r="AB1255" s="70">
        <v>-99.271970324805551</v>
      </c>
      <c r="AC1255" s="70">
        <v>-72.333802850594608</v>
      </c>
      <c r="AD1255" s="145">
        <v>-54.81396499178723</v>
      </c>
      <c r="AE1255" s="15"/>
      <c r="AF1255" s="92">
        <f>SUM(G1255:R1255)</f>
        <v>-703.364489563441</v>
      </c>
      <c r="AG1255" s="93">
        <f>SUM(S1255:AD1255)</f>
        <v>-1303.1155331222856</v>
      </c>
    </row>
    <row r="1256" spans="2:33" x14ac:dyDescent="0.2">
      <c r="B1256" s="9">
        <f>G1240</f>
        <v>26</v>
      </c>
      <c r="C1256" s="9" t="str">
        <f t="shared" si="7253"/>
        <v>26 - % of Revenue - Doctor Compensation</v>
      </c>
      <c r="D1256" s="9" t="s">
        <v>56</v>
      </c>
      <c r="F1256" s="16" t="str">
        <f>"% of Revenue - "&amp;F1255</f>
        <v>% of Revenue - Doctor Compensation</v>
      </c>
      <c r="G1256" s="148">
        <f>G1255/G1252</f>
        <v>-0.33695920787357952</v>
      </c>
      <c r="H1256" s="149">
        <f t="shared" ref="H1256" si="7334">H1255/H1252</f>
        <v>-0.33536426684491377</v>
      </c>
      <c r="I1256" s="149">
        <f t="shared" ref="I1256" si="7335">I1255/I1252</f>
        <v>-0.34449015170877978</v>
      </c>
      <c r="J1256" s="149">
        <f t="shared" ref="J1256" si="7336">J1255/J1252</f>
        <v>-0.34785379578206777</v>
      </c>
      <c r="K1256" s="149">
        <f t="shared" ref="K1256" si="7337">K1255/K1252</f>
        <v>-0.33844644192232648</v>
      </c>
      <c r="L1256" s="149">
        <f t="shared" ref="L1256" si="7338">L1255/L1252</f>
        <v>-0.34840631951316814</v>
      </c>
      <c r="M1256" s="149">
        <f t="shared" ref="M1256" si="7339">M1255/M1252</f>
        <v>-0.34005926400406544</v>
      </c>
      <c r="N1256" s="149">
        <f t="shared" ref="N1256" si="7340">N1255/N1252</f>
        <v>-0.17200249182205787</v>
      </c>
      <c r="O1256" s="149">
        <f t="shared" ref="O1256" si="7341">O1255/O1252</f>
        <v>-0.16837058522859677</v>
      </c>
      <c r="P1256" s="149">
        <f t="shared" ref="P1256" si="7342">P1255/P1252</f>
        <v>-0.16624442941020726</v>
      </c>
      <c r="Q1256" s="149">
        <f t="shared" ref="Q1256" si="7343">Q1255/Q1252</f>
        <v>-0.11316590784624664</v>
      </c>
      <c r="R1256" s="149">
        <f t="shared" ref="R1256" si="7344">R1255/R1252</f>
        <v>-8.3553281477209029E-2</v>
      </c>
      <c r="S1256" s="148">
        <f t="shared" ref="S1256" si="7345">S1255/S1252</f>
        <v>-0.23215423680165514</v>
      </c>
      <c r="T1256" s="149">
        <f t="shared" ref="T1256" si="7346">T1255/T1252</f>
        <v>-0.22601785253964599</v>
      </c>
      <c r="U1256" s="149">
        <f t="shared" ref="U1256" si="7347">U1255/U1252</f>
        <v>-0.33246644895810357</v>
      </c>
      <c r="V1256" s="149">
        <f t="shared" ref="V1256" si="7348">V1255/V1252</f>
        <v>-0.35489747719384002</v>
      </c>
      <c r="W1256" s="149">
        <f t="shared" ref="W1256" si="7349">W1255/W1252</f>
        <v>-0.34883005320088906</v>
      </c>
      <c r="X1256" s="149">
        <f t="shared" ref="X1256" si="7350">X1255/X1252</f>
        <v>-0.34169495172023728</v>
      </c>
      <c r="Y1256" s="149">
        <f t="shared" ref="Y1256" si="7351">Y1255/Y1252</f>
        <v>-0.33583462766759303</v>
      </c>
      <c r="Z1256" s="149">
        <f t="shared" ref="Z1256" si="7352">Z1255/Z1252</f>
        <v>-0.30727189690804907</v>
      </c>
      <c r="AA1256" s="149">
        <f t="shared" ref="AA1256" si="7353">AA1255/AA1252</f>
        <v>-0.29848337827631061</v>
      </c>
      <c r="AB1256" s="149">
        <f t="shared" ref="AB1256" si="7354">AB1255/AB1252</f>
        <v>-0.29362627675871361</v>
      </c>
      <c r="AC1256" s="149">
        <f t="shared" ref="AC1256" si="7355">AC1255/AC1252</f>
        <v>-0.19989974502539615</v>
      </c>
      <c r="AD1256" s="150">
        <f t="shared" ref="AD1256" si="7356">AD1255/AD1252</f>
        <v>-0.20448707012835254</v>
      </c>
      <c r="AE1256" s="15"/>
      <c r="AF1256" s="96">
        <f t="shared" ref="AF1256" si="7357">AF1255/AF1252</f>
        <v>-0.22568217377579408</v>
      </c>
      <c r="AG1256" s="97">
        <f t="shared" ref="AG1256" si="7358">AG1255/AG1252</f>
        <v>-0.28932496506783978</v>
      </c>
    </row>
    <row r="1257" spans="2:33" ht="3" customHeight="1" x14ac:dyDescent="0.2">
      <c r="B1257" s="9">
        <f>G1240</f>
        <v>26</v>
      </c>
      <c r="C1257" s="9" t="str">
        <f t="shared" si="7253"/>
        <v xml:space="preserve">26 - </v>
      </c>
      <c r="D1257" s="9" t="s">
        <v>56</v>
      </c>
      <c r="F1257" s="16"/>
      <c r="G1257" s="36"/>
      <c r="H1257" s="37"/>
      <c r="I1257" s="37"/>
      <c r="J1257" s="37"/>
      <c r="K1257" s="37"/>
      <c r="L1257" s="37"/>
      <c r="M1257" s="37"/>
      <c r="N1257" s="37"/>
      <c r="O1257" s="37"/>
      <c r="P1257" s="37"/>
      <c r="Q1257" s="37"/>
      <c r="R1257" s="37"/>
      <c r="S1257" s="36"/>
      <c r="T1257" s="37"/>
      <c r="U1257" s="37"/>
      <c r="V1257" s="37"/>
      <c r="W1257" s="37"/>
      <c r="X1257" s="37"/>
      <c r="Y1257" s="37"/>
      <c r="Z1257" s="37"/>
      <c r="AA1257" s="37"/>
      <c r="AB1257" s="37"/>
      <c r="AC1257" s="37"/>
      <c r="AD1257" s="38"/>
      <c r="AE1257" s="15"/>
      <c r="AF1257" s="36"/>
      <c r="AG1257" s="38"/>
    </row>
    <row r="1258" spans="2:33" x14ac:dyDescent="0.2">
      <c r="B1258" s="9">
        <f>G1240</f>
        <v>26</v>
      </c>
      <c r="C1258" s="9" t="str">
        <f t="shared" si="7253"/>
        <v>26 - Administrative Staff Compensation</v>
      </c>
      <c r="D1258" s="9" t="s">
        <v>56</v>
      </c>
      <c r="F1258" t="s">
        <v>5</v>
      </c>
      <c r="G1258" s="144">
        <v>-27.548867227321896</v>
      </c>
      <c r="H1258" s="70">
        <v>-29.316794169977051</v>
      </c>
      <c r="I1258" s="70">
        <v>-37.410374520720225</v>
      </c>
      <c r="J1258" s="70">
        <v>-32.886579081417558</v>
      </c>
      <c r="K1258" s="70">
        <v>-42.236119878897888</v>
      </c>
      <c r="L1258" s="70">
        <v>-38.388270793369514</v>
      </c>
      <c r="M1258" s="70">
        <v>-33.006786177517832</v>
      </c>
      <c r="N1258" s="70">
        <v>-31.727165257577209</v>
      </c>
      <c r="O1258" s="70">
        <v>-29.289821595178239</v>
      </c>
      <c r="P1258" s="70">
        <v>-29.905290044594725</v>
      </c>
      <c r="Q1258" s="70">
        <v>-26.125382611757924</v>
      </c>
      <c r="R1258" s="70">
        <v>-19.185166620544333</v>
      </c>
      <c r="S1258" s="144">
        <v>-37.721198103119271</v>
      </c>
      <c r="T1258" s="70">
        <v>-38.015049847807248</v>
      </c>
      <c r="U1258" s="70">
        <v>-43.646588793316383</v>
      </c>
      <c r="V1258" s="70">
        <v>-49.624553473941148</v>
      </c>
      <c r="W1258" s="70">
        <v>-57.618933574763616</v>
      </c>
      <c r="X1258" s="70">
        <v>-46.754428316620391</v>
      </c>
      <c r="Y1258" s="70">
        <v>-47.761172714271176</v>
      </c>
      <c r="Z1258" s="70">
        <v>-40.692807206284428</v>
      </c>
      <c r="AA1258" s="70">
        <v>-32.358702752316155</v>
      </c>
      <c r="AB1258" s="70">
        <v>-37.872608286009921</v>
      </c>
      <c r="AC1258" s="70">
        <v>-28.03331164536888</v>
      </c>
      <c r="AD1258" s="145">
        <v>-21.626133840825947</v>
      </c>
      <c r="AE1258" s="15"/>
      <c r="AF1258" s="92">
        <f>SUM(G1258:R1258)</f>
        <v>-377.02661797887436</v>
      </c>
      <c r="AG1258" s="93">
        <f>SUM(S1258:AD1258)</f>
        <v>-481.7254885546447</v>
      </c>
    </row>
    <row r="1259" spans="2:33" x14ac:dyDescent="0.2">
      <c r="B1259" s="9">
        <f>G1240</f>
        <v>26</v>
      </c>
      <c r="C1259" s="9" t="str">
        <f t="shared" si="7253"/>
        <v>26 - % of Revenue - Administrative Staff Compensation</v>
      </c>
      <c r="D1259" s="9" t="s">
        <v>56</v>
      </c>
      <c r="F1259" s="16" t="str">
        <f>"% of Revenue - "&amp;F1258</f>
        <v>% of Revenue - Administrative Staff Compensation</v>
      </c>
      <c r="G1259" s="148">
        <f>G1258/G1252</f>
        <v>-0.17311031336792621</v>
      </c>
      <c r="H1259" s="149">
        <f t="shared" ref="H1259" si="7359">H1258/H1252</f>
        <v>-0.17491317667611403</v>
      </c>
      <c r="I1259" s="149">
        <f t="shared" ref="I1259" si="7360">I1258/I1252</f>
        <v>-0.18119672683758231</v>
      </c>
      <c r="J1259" s="149">
        <f t="shared" ref="J1259" si="7361">J1258/J1252</f>
        <v>-0.1797149680190317</v>
      </c>
      <c r="K1259" s="149">
        <f t="shared" ref="K1259" si="7362">K1258/K1252</f>
        <v>-0.18174779517019321</v>
      </c>
      <c r="L1259" s="149">
        <f t="shared" ref="L1259" si="7363">L1258/L1252</f>
        <v>-0.17875941687177635</v>
      </c>
      <c r="M1259" s="149">
        <f t="shared" ref="M1259" si="7364">M1258/M1252</f>
        <v>-0.17818986902771608</v>
      </c>
      <c r="N1259" s="149">
        <f t="shared" ref="N1259" si="7365">N1258/N1252</f>
        <v>-9.1468115253605917E-2</v>
      </c>
      <c r="O1259" s="149">
        <f t="shared" ref="O1259" si="7366">O1258/O1252</f>
        <v>-9.3474309229295588E-2</v>
      </c>
      <c r="P1259" s="149">
        <f t="shared" ref="P1259" si="7367">P1258/P1252</f>
        <v>-9.7087130585054679E-2</v>
      </c>
      <c r="Q1259" s="149">
        <f t="shared" ref="Q1259" si="7368">Q1258/Q1252</f>
        <v>-6.5358768054247854E-2</v>
      </c>
      <c r="R1259" s="149">
        <f t="shared" ref="R1259" si="7369">R1258/R1252</f>
        <v>-4.7953263235680915E-2</v>
      </c>
      <c r="S1259" s="148">
        <f t="shared" ref="S1259" si="7370">S1258/S1252</f>
        <v>-7.8798544099726933E-2</v>
      </c>
      <c r="T1259" s="149">
        <f t="shared" ref="T1259" si="7371">T1258/T1252</f>
        <v>-7.5870574255246168E-2</v>
      </c>
      <c r="U1259" s="149">
        <f t="shared" ref="U1259" si="7372">U1258/U1252</f>
        <v>-0.11791537304365234</v>
      </c>
      <c r="V1259" s="149">
        <f t="shared" ref="V1259" si="7373">V1258/V1252</f>
        <v>-0.13084294623598694</v>
      </c>
      <c r="W1259" s="149">
        <f t="shared" ref="W1259" si="7374">W1258/W1252</f>
        <v>-0.12775369226503591</v>
      </c>
      <c r="X1259" s="149">
        <f t="shared" ref="X1259" si="7375">X1258/X1252</f>
        <v>-0.12707867633165515</v>
      </c>
      <c r="Y1259" s="149">
        <f t="shared" ref="Y1259" si="7376">Y1258/Y1252</f>
        <v>-0.12945683588482818</v>
      </c>
      <c r="Z1259" s="149">
        <f t="shared" ref="Z1259" si="7377">Z1258/Z1252</f>
        <v>-0.12074017066499618</v>
      </c>
      <c r="AA1259" s="149">
        <f t="shared" ref="AA1259" si="7378">AA1258/AA1252</f>
        <v>-0.11478033803974658</v>
      </c>
      <c r="AB1259" s="149">
        <f t="shared" ref="AB1259" si="7379">AB1258/AB1252</f>
        <v>-0.11201946456565488</v>
      </c>
      <c r="AC1259" s="149">
        <f t="shared" ref="AC1259" si="7380">AC1258/AC1252</f>
        <v>-7.7472103349819132E-2</v>
      </c>
      <c r="AD1259" s="150">
        <f t="shared" ref="AD1259" si="7381">AD1258/AD1252</f>
        <v>-8.0677702260303574E-2</v>
      </c>
      <c r="AE1259" s="15"/>
      <c r="AF1259" s="96">
        <f t="shared" ref="AF1259" si="7382">AF1258/AF1252</f>
        <v>-0.12097310566477439</v>
      </c>
      <c r="AG1259" s="97">
        <f t="shared" ref="AG1259" si="7383">AG1258/AG1252</f>
        <v>-0.10695537471985726</v>
      </c>
    </row>
    <row r="1260" spans="2:33" ht="3" customHeight="1" x14ac:dyDescent="0.2">
      <c r="B1260" s="9">
        <f>G1240</f>
        <v>26</v>
      </c>
      <c r="C1260" s="9" t="str">
        <f t="shared" si="7253"/>
        <v xml:space="preserve">26 - </v>
      </c>
      <c r="D1260" s="9" t="s">
        <v>56</v>
      </c>
      <c r="F1260" s="16"/>
      <c r="G1260" s="36"/>
      <c r="H1260" s="37"/>
      <c r="I1260" s="37"/>
      <c r="J1260" s="37"/>
      <c r="K1260" s="37"/>
      <c r="L1260" s="37"/>
      <c r="M1260" s="37"/>
      <c r="N1260" s="37"/>
      <c r="O1260" s="37"/>
      <c r="P1260" s="37"/>
      <c r="Q1260" s="37"/>
      <c r="R1260" s="37"/>
      <c r="S1260" s="36"/>
      <c r="T1260" s="37"/>
      <c r="U1260" s="37"/>
      <c r="V1260" s="37"/>
      <c r="W1260" s="37"/>
      <c r="X1260" s="37"/>
      <c r="Y1260" s="37"/>
      <c r="Z1260" s="37"/>
      <c r="AA1260" s="37"/>
      <c r="AB1260" s="37"/>
      <c r="AC1260" s="37"/>
      <c r="AD1260" s="38"/>
      <c r="AE1260" s="15"/>
      <c r="AF1260" s="36"/>
      <c r="AG1260" s="38"/>
    </row>
    <row r="1261" spans="2:33" x14ac:dyDescent="0.2">
      <c r="B1261" s="9">
        <f>G1240</f>
        <v>26</v>
      </c>
      <c r="C1261" s="9" t="str">
        <f t="shared" si="7253"/>
        <v>26 - Office Supplies</v>
      </c>
      <c r="D1261" s="9" t="s">
        <v>56</v>
      </c>
      <c r="F1261" t="s">
        <v>6</v>
      </c>
      <c r="G1261" s="144">
        <v>-13.007684987375555</v>
      </c>
      <c r="H1261" s="70">
        <v>-14.015518236896039</v>
      </c>
      <c r="I1261" s="70">
        <v>-17.548591308170444</v>
      </c>
      <c r="J1261" s="70">
        <v>-15.921969978254078</v>
      </c>
      <c r="K1261" s="70">
        <v>-20.799095846819579</v>
      </c>
      <c r="L1261" s="70">
        <v>-18.840026465042914</v>
      </c>
      <c r="M1261" s="70">
        <v>-15.770395531794149</v>
      </c>
      <c r="N1261" s="70">
        <v>-14.833208614516838</v>
      </c>
      <c r="O1261" s="70">
        <v>-13.864098422467647</v>
      </c>
      <c r="P1261" s="70">
        <v>-13.37402468539017</v>
      </c>
      <c r="Q1261" s="70">
        <v>-11.86801357204987</v>
      </c>
      <c r="R1261" s="70">
        <v>-8.8950321179522671</v>
      </c>
      <c r="S1261" s="144">
        <v>-13.481709817936553</v>
      </c>
      <c r="T1261" s="70">
        <v>-14.878215468560597</v>
      </c>
      <c r="U1261" s="70">
        <v>-16.365727064195337</v>
      </c>
      <c r="V1261" s="70">
        <v>-19.253052261324193</v>
      </c>
      <c r="W1261" s="70">
        <v>-23.805480176840057</v>
      </c>
      <c r="X1261" s="70">
        <v>-20.314114703690329</v>
      </c>
      <c r="Y1261" s="70">
        <v>-19.799881263220925</v>
      </c>
      <c r="Z1261" s="70">
        <v>-16.054238187330725</v>
      </c>
      <c r="AA1261" s="70">
        <v>-13.426717177093629</v>
      </c>
      <c r="AB1261" s="70">
        <v>-16.553100056967143</v>
      </c>
      <c r="AC1261" s="70">
        <v>-11.469010142813488</v>
      </c>
      <c r="AD1261" s="145">
        <v>-8.3107599199665749</v>
      </c>
      <c r="AE1261" s="15"/>
      <c r="AF1261" s="92">
        <f>SUM(G1261:R1261)</f>
        <v>-178.73765976672954</v>
      </c>
      <c r="AG1261" s="93">
        <f>SUM(S1261:AD1261)</f>
        <v>-193.71200623993954</v>
      </c>
    </row>
    <row r="1262" spans="2:33" x14ac:dyDescent="0.2">
      <c r="B1262" s="9">
        <f>G1240</f>
        <v>26</v>
      </c>
      <c r="C1262" s="9" t="str">
        <f t="shared" si="7253"/>
        <v>26 - % of Revenue - Office Supplies</v>
      </c>
      <c r="D1262" s="9" t="s">
        <v>56</v>
      </c>
      <c r="F1262" s="16" t="str">
        <f>"% of Revenue - "&amp;F1261</f>
        <v>% of Revenue - Office Supplies</v>
      </c>
      <c r="G1262" s="148">
        <f>G1261/G1252</f>
        <v>-8.1737096693494493E-2</v>
      </c>
      <c r="H1262" s="149">
        <f t="shared" ref="H1262" si="7384">H1261/H1252</f>
        <v>-8.3620971766689395E-2</v>
      </c>
      <c r="I1262" s="149">
        <f t="shared" ref="I1262" si="7385">I1261/I1252</f>
        <v>-8.4996403975848636E-2</v>
      </c>
      <c r="J1262" s="149">
        <f t="shared" ref="J1262" si="7386">J1261/J1252</f>
        <v>-8.7008634080117719E-2</v>
      </c>
      <c r="K1262" s="149">
        <f t="shared" ref="K1262" si="7387">K1261/K1252</f>
        <v>-8.950135150984001E-2</v>
      </c>
      <c r="L1262" s="149">
        <f t="shared" ref="L1262" si="7388">L1261/L1252</f>
        <v>-8.7730759295404429E-2</v>
      </c>
      <c r="M1262" s="149">
        <f t="shared" ref="M1262" si="7389">M1261/M1252</f>
        <v>-8.5137786490699308E-2</v>
      </c>
      <c r="N1262" s="149">
        <f t="shared" ref="N1262" si="7390">N1261/N1252</f>
        <v>-4.2763531633491211E-2</v>
      </c>
      <c r="O1262" s="149">
        <f t="shared" ref="O1262" si="7391">O1261/O1252</f>
        <v>-4.424530272114973E-2</v>
      </c>
      <c r="P1262" s="149">
        <f t="shared" ref="P1262" si="7392">P1261/P1252</f>
        <v>-4.3418595142932233E-2</v>
      </c>
      <c r="Q1262" s="149">
        <f t="shared" ref="Q1262" si="7393">Q1261/Q1252</f>
        <v>-2.9690617658980158E-2</v>
      </c>
      <c r="R1262" s="149">
        <f t="shared" ref="R1262" si="7394">R1261/R1252</f>
        <v>-2.2233104620797875E-2</v>
      </c>
      <c r="S1262" s="148">
        <f t="shared" ref="S1262" si="7395">S1261/S1252</f>
        <v>-2.8162920560589173E-2</v>
      </c>
      <c r="T1262" s="149">
        <f t="shared" ref="T1262" si="7396">T1261/T1252</f>
        <v>-2.9693996351765683E-2</v>
      </c>
      <c r="U1262" s="149">
        <f t="shared" ref="U1262" si="7397">U1261/U1252</f>
        <v>-4.4213554031528268E-2</v>
      </c>
      <c r="V1262" s="149">
        <f t="shared" ref="V1262" si="7398">V1261/V1252</f>
        <v>-5.0763702755127697E-2</v>
      </c>
      <c r="W1262" s="149">
        <f t="shared" ref="W1262" si="7399">W1261/W1252</f>
        <v>-5.2781920803641226E-2</v>
      </c>
      <c r="X1262" s="149">
        <f t="shared" ref="X1262" si="7400">X1261/X1252</f>
        <v>-5.5213824665175187E-2</v>
      </c>
      <c r="Y1262" s="149">
        <f t="shared" ref="Y1262" si="7401">Y1261/Y1252</f>
        <v>-5.3667651641769162E-2</v>
      </c>
      <c r="Z1262" s="149">
        <f t="shared" ref="Z1262" si="7402">Z1261/Z1252</f>
        <v>-4.7634744116042543E-2</v>
      </c>
      <c r="AA1262" s="149">
        <f t="shared" ref="AA1262" si="7403">AA1261/AA1252</f>
        <v>-4.7626233602351964E-2</v>
      </c>
      <c r="AB1262" s="149">
        <f t="shared" ref="AB1262" si="7404">AB1261/AB1252</f>
        <v>-4.8960699809211049E-2</v>
      </c>
      <c r="AC1262" s="149">
        <f t="shared" ref="AC1262" si="7405">AC1261/AC1252</f>
        <v>-3.169544684353965E-2</v>
      </c>
      <c r="AD1262" s="150">
        <f t="shared" ref="AD1262" si="7406">AD1261/AD1252</f>
        <v>-3.1003831721145039E-2</v>
      </c>
      <c r="AE1262" s="15"/>
      <c r="AF1262" s="96">
        <f t="shared" ref="AF1262" si="7407">AF1261/AF1252</f>
        <v>-5.7349929077014451E-2</v>
      </c>
      <c r="AG1262" s="97">
        <f t="shared" ref="AG1262" si="7408">AG1261/AG1252</f>
        <v>-4.3009018014162743E-2</v>
      </c>
    </row>
    <row r="1263" spans="2:33" ht="6" customHeight="1" x14ac:dyDescent="0.2">
      <c r="B1263" s="9">
        <f>G1240</f>
        <v>26</v>
      </c>
      <c r="C1263" s="9" t="str">
        <f t="shared" si="7253"/>
        <v xml:space="preserve">26 - </v>
      </c>
      <c r="D1263" s="9" t="s">
        <v>56</v>
      </c>
      <c r="F1263" s="16"/>
      <c r="G1263" s="11"/>
      <c r="S1263" s="11"/>
      <c r="AD1263" s="15"/>
      <c r="AE1263" s="15"/>
      <c r="AF1263" s="11"/>
      <c r="AG1263" s="15"/>
    </row>
    <row r="1264" spans="2:33" x14ac:dyDescent="0.2">
      <c r="B1264" s="9">
        <f>G1240</f>
        <v>26</v>
      </c>
      <c r="C1264" s="9" t="str">
        <f t="shared" si="7253"/>
        <v>26 - Office Gross Profit</v>
      </c>
      <c r="D1264" s="9" t="s">
        <v>56</v>
      </c>
      <c r="F1264" s="8" t="s">
        <v>11</v>
      </c>
      <c r="G1264" s="134">
        <f>G1252+G1255+G1258+G1261</f>
        <v>64.960111658279033</v>
      </c>
      <c r="H1264" s="135">
        <f t="shared" ref="H1264:AD1264" si="7409">H1252+H1255+H1258+H1261</f>
        <v>68.065750090154921</v>
      </c>
      <c r="I1264" s="135">
        <f t="shared" si="7409"/>
        <v>80.37940012612124</v>
      </c>
      <c r="J1264" s="135">
        <f t="shared" si="7409"/>
        <v>70.529633808814339</v>
      </c>
      <c r="K1264" s="135">
        <f t="shared" si="7409"/>
        <v>90.702304771381122</v>
      </c>
      <c r="L1264" s="135">
        <f t="shared" si="7409"/>
        <v>82.700301142190739</v>
      </c>
      <c r="M1264" s="135">
        <f t="shared" si="7409"/>
        <v>73.466147171879641</v>
      </c>
      <c r="N1264" s="135">
        <f t="shared" si="7409"/>
        <v>240.64368299501265</v>
      </c>
      <c r="O1264" s="135">
        <f t="shared" si="7409"/>
        <v>217.43401470787558</v>
      </c>
      <c r="P1264" s="135">
        <f t="shared" si="7409"/>
        <v>213.53847373004965</v>
      </c>
      <c r="Q1264" s="135">
        <f t="shared" si="7409"/>
        <v>316.49431312303835</v>
      </c>
      <c r="R1264" s="135">
        <f t="shared" si="7409"/>
        <v>338.57228343561206</v>
      </c>
      <c r="S1264" s="134">
        <f t="shared" si="7409"/>
        <v>316.36812371613843</v>
      </c>
      <c r="T1264" s="135">
        <f t="shared" si="7409"/>
        <v>334.91149569720477</v>
      </c>
      <c r="U1264" s="135">
        <f t="shared" si="7409"/>
        <v>187.07643649102155</v>
      </c>
      <c r="V1264" s="135">
        <f t="shared" si="7409"/>
        <v>175.78919182698502</v>
      </c>
      <c r="W1264" s="135">
        <f t="shared" si="7409"/>
        <v>212.26352000034203</v>
      </c>
      <c r="X1264" s="135">
        <f t="shared" si="7409"/>
        <v>175.13319435015131</v>
      </c>
      <c r="Y1264" s="135">
        <f t="shared" si="7409"/>
        <v>177.47287445118749</v>
      </c>
      <c r="Z1264" s="135">
        <f t="shared" si="7409"/>
        <v>176.72165843743034</v>
      </c>
      <c r="AA1264" s="135">
        <f t="shared" si="7409"/>
        <v>151.98510615411837</v>
      </c>
      <c r="AB1264" s="135">
        <f t="shared" si="7409"/>
        <v>184.39185276193325</v>
      </c>
      <c r="AC1264" s="135">
        <f t="shared" si="7409"/>
        <v>250.01427612789234</v>
      </c>
      <c r="AD1264" s="136">
        <f t="shared" si="7409"/>
        <v>183.30503816736521</v>
      </c>
      <c r="AE1264" s="15"/>
      <c r="AF1264" s="98">
        <f>SUM(G1264:R1264)</f>
        <v>1857.4864167604092</v>
      </c>
      <c r="AG1264" s="95">
        <f>SUM(S1264:AD1264)</f>
        <v>2525.4327681817699</v>
      </c>
    </row>
    <row r="1265" spans="2:33" x14ac:dyDescent="0.2">
      <c r="B1265" s="9">
        <f>G1240</f>
        <v>26</v>
      </c>
      <c r="C1265" s="9" t="str">
        <f t="shared" si="7253"/>
        <v>26 - % of Revenue - Office Gross Profit</v>
      </c>
      <c r="D1265" s="9" t="s">
        <v>56</v>
      </c>
      <c r="F1265" s="16" t="str">
        <f>"% of Revenue - "&amp;F1264</f>
        <v>% of Revenue - Office Gross Profit</v>
      </c>
      <c r="G1265" s="148">
        <f>G1264/G1252</f>
        <v>0.40819338206499983</v>
      </c>
      <c r="H1265" s="149">
        <f t="shared" ref="H1265" si="7410">H1264/H1252</f>
        <v>0.40610158471228275</v>
      </c>
      <c r="I1265" s="149">
        <f t="shared" ref="I1265" si="7411">I1264/I1252</f>
        <v>0.38931671747778923</v>
      </c>
      <c r="J1265" s="149">
        <f t="shared" ref="J1265" si="7412">J1264/J1252</f>
        <v>0.38542260211878282</v>
      </c>
      <c r="K1265" s="149">
        <f t="shared" ref="K1265" si="7413">K1264/K1252</f>
        <v>0.39030441139764027</v>
      </c>
      <c r="L1265" s="149">
        <f t="shared" ref="L1265" si="7414">L1264/L1252</f>
        <v>0.38510350431965118</v>
      </c>
      <c r="M1265" s="149">
        <f t="shared" ref="M1265" si="7415">M1264/M1252</f>
        <v>0.3966130804775192</v>
      </c>
      <c r="N1265" s="149">
        <f t="shared" ref="N1265" si="7416">N1264/N1252</f>
        <v>0.69376586129084494</v>
      </c>
      <c r="O1265" s="149">
        <f t="shared" ref="O1265" si="7417">O1264/O1252</f>
        <v>0.69390980282095782</v>
      </c>
      <c r="P1265" s="149">
        <f t="shared" ref="P1265" si="7418">P1264/P1252</f>
        <v>0.69324984486180574</v>
      </c>
      <c r="Q1265" s="149">
        <f t="shared" ref="Q1265" si="7419">Q1264/Q1252</f>
        <v>0.79178470644052534</v>
      </c>
      <c r="R1265" s="149">
        <f t="shared" ref="R1265" si="7420">R1264/R1252</f>
        <v>0.84626035066631211</v>
      </c>
      <c r="S1265" s="148">
        <f t="shared" ref="S1265" si="7421">S1264/S1252</f>
        <v>0.66088429853802877</v>
      </c>
      <c r="T1265" s="149">
        <f t="shared" ref="T1265" si="7422">T1264/T1252</f>
        <v>0.66841757685334213</v>
      </c>
      <c r="U1265" s="149">
        <f t="shared" ref="U1265" si="7423">U1264/U1252</f>
        <v>0.50540462396671582</v>
      </c>
      <c r="V1265" s="149">
        <f t="shared" ref="V1265" si="7424">V1264/V1252</f>
        <v>0.46349587381504531</v>
      </c>
      <c r="W1265" s="149">
        <f t="shared" ref="W1265" si="7425">W1264/W1252</f>
        <v>0.47063433373043373</v>
      </c>
      <c r="X1265" s="149">
        <f t="shared" ref="X1265" si="7426">X1264/X1252</f>
        <v>0.47601254728293235</v>
      </c>
      <c r="Y1265" s="149">
        <f t="shared" ref="Y1265" si="7427">Y1264/Y1252</f>
        <v>0.48104088480580959</v>
      </c>
      <c r="Z1265" s="149">
        <f t="shared" ref="Z1265" si="7428">Z1264/Z1252</f>
        <v>0.52435318831091215</v>
      </c>
      <c r="AA1265" s="149">
        <f t="shared" ref="AA1265" si="7429">AA1264/AA1252</f>
        <v>0.53911005008159085</v>
      </c>
      <c r="AB1265" s="149">
        <f t="shared" ref="AB1265" si="7430">AB1264/AB1252</f>
        <v>0.54539355886642049</v>
      </c>
      <c r="AC1265" s="149">
        <f t="shared" ref="AC1265" si="7431">AC1264/AC1252</f>
        <v>0.69093270478124502</v>
      </c>
      <c r="AD1265" s="150">
        <f t="shared" ref="AD1265" si="7432">AD1264/AD1252</f>
        <v>0.68383139589019881</v>
      </c>
      <c r="AE1265" s="15"/>
      <c r="AF1265" s="111">
        <f t="shared" ref="AF1265" si="7433">AF1264/AF1252</f>
        <v>0.59599479148241707</v>
      </c>
      <c r="AG1265" s="97">
        <f t="shared" ref="AG1265" si="7434">AG1264/AG1252</f>
        <v>0.56071064219814015</v>
      </c>
    </row>
    <row r="1266" spans="2:33" ht="6" customHeight="1" x14ac:dyDescent="0.2">
      <c r="B1266" s="9">
        <f>G1240</f>
        <v>26</v>
      </c>
      <c r="C1266" s="9" t="str">
        <f t="shared" si="7253"/>
        <v xml:space="preserve">26 - </v>
      </c>
      <c r="D1266" s="9" t="s">
        <v>56</v>
      </c>
      <c r="F1266" s="16"/>
      <c r="G1266" s="11"/>
      <c r="S1266" s="11"/>
      <c r="AD1266" s="15"/>
      <c r="AE1266" s="15"/>
      <c r="AF1266" s="11"/>
      <c r="AG1266" s="15"/>
    </row>
    <row r="1267" spans="2:33" x14ac:dyDescent="0.2">
      <c r="B1267" s="9">
        <f>G1240</f>
        <v>26</v>
      </c>
      <c r="C1267" s="9" t="str">
        <f t="shared" si="7253"/>
        <v>26 - General and Administrative Expense</v>
      </c>
      <c r="D1267" s="9" t="s">
        <v>56</v>
      </c>
      <c r="F1267" t="s">
        <v>10</v>
      </c>
      <c r="G1267" s="144">
        <v>-8.613922535221576</v>
      </c>
      <c r="H1267" s="70">
        <v>-8.7388020209470998</v>
      </c>
      <c r="I1267" s="70">
        <v>-10.976473839491735</v>
      </c>
      <c r="J1267" s="70">
        <v>-10.249624439961286</v>
      </c>
      <c r="K1267" s="70">
        <v>-12.620845383348032</v>
      </c>
      <c r="L1267" s="70">
        <v>-11.054206333793466</v>
      </c>
      <c r="M1267" s="70">
        <v>-9.0662302673635953</v>
      </c>
      <c r="N1267" s="70">
        <v>-7.9388993185737622</v>
      </c>
      <c r="O1267" s="70">
        <v>-6.8436505545599964</v>
      </c>
      <c r="P1267" s="70">
        <v>-6.5652764293855874</v>
      </c>
      <c r="Q1267" s="70">
        <v>-5.3783033818411168</v>
      </c>
      <c r="R1267" s="70">
        <v>-4.2828564881215447</v>
      </c>
      <c r="S1267" s="144">
        <v>-7.5011179828710626</v>
      </c>
      <c r="T1267" s="70">
        <v>-7.8138897538532746</v>
      </c>
      <c r="U1267" s="70">
        <v>-9.0661346473416629</v>
      </c>
      <c r="V1267" s="70">
        <v>-10.239420444891282</v>
      </c>
      <c r="W1267" s="70">
        <v>-11.567058365355859</v>
      </c>
      <c r="X1267" s="70">
        <v>-8.5142195641728087</v>
      </c>
      <c r="Y1267" s="70">
        <v>-8.7113934904236139</v>
      </c>
      <c r="Z1267" s="70">
        <v>-7.7047114291633996</v>
      </c>
      <c r="AA1267" s="70">
        <v>-6.6073806216392219</v>
      </c>
      <c r="AB1267" s="70">
        <v>-7.7086405996293488</v>
      </c>
      <c r="AC1267" s="70">
        <v>-5.7928552442388339</v>
      </c>
      <c r="AD1267" s="145">
        <v>-4.1927931284662581</v>
      </c>
      <c r="AE1267" s="15"/>
      <c r="AF1267" s="144">
        <v>-102.3290909926088</v>
      </c>
      <c r="AG1267" s="145">
        <v>-95.419615272046627</v>
      </c>
    </row>
    <row r="1268" spans="2:33" x14ac:dyDescent="0.2">
      <c r="B1268" s="9">
        <f>G1240</f>
        <v>26</v>
      </c>
      <c r="C1268" s="9" t="str">
        <f t="shared" si="7253"/>
        <v>26 - % of Revenue - General and Administrative Expense</v>
      </c>
      <c r="D1268" s="9" t="s">
        <v>56</v>
      </c>
      <c r="F1268" s="16" t="str">
        <f>"% of Revenue - "&amp;F1267</f>
        <v>% of Revenue - General and Administrative Expense</v>
      </c>
      <c r="G1268" s="148">
        <f>G1267/G1252</f>
        <v>-5.412777291693413E-2</v>
      </c>
      <c r="H1268" s="149">
        <f t="shared" ref="H1268" si="7435">H1267/H1252</f>
        <v>-5.2138430039968417E-2</v>
      </c>
      <c r="I1268" s="149">
        <f t="shared" ref="I1268" si="7436">I1267/I1252</f>
        <v>-5.3164427178687385E-2</v>
      </c>
      <c r="J1268" s="149">
        <f t="shared" ref="J1268" si="7437">J1267/J1252</f>
        <v>-5.6011022729802552E-2</v>
      </c>
      <c r="K1268" s="149">
        <f t="shared" ref="K1268" si="7438">K1267/K1252</f>
        <v>-5.4309222252999993E-2</v>
      </c>
      <c r="L1268" s="149">
        <f t="shared" ref="L1268" si="7439">L1267/L1252</f>
        <v>-5.1475188576363858E-2</v>
      </c>
      <c r="M1268" s="149">
        <f t="shared" ref="M1268" si="7440">M1267/M1252</f>
        <v>-4.8944795025727759E-2</v>
      </c>
      <c r="N1268" s="149">
        <f t="shared" ref="N1268" si="7441">N1267/N1252</f>
        <v>-2.2887520897715716E-2</v>
      </c>
      <c r="O1268" s="149">
        <f t="shared" ref="O1268" si="7442">O1267/O1252</f>
        <v>-2.1840539592070822E-2</v>
      </c>
      <c r="P1268" s="149">
        <f t="shared" ref="P1268" si="7443">P1267/P1252</f>
        <v>-2.1314083530915243E-2</v>
      </c>
      <c r="Q1268" s="149">
        <f t="shared" ref="Q1268" si="7444">Q1267/Q1252</f>
        <v>-1.3455086514251717E-2</v>
      </c>
      <c r="R1268" s="149">
        <f t="shared" ref="R1268" si="7445">R1267/R1252</f>
        <v>-1.0704986234292568E-2</v>
      </c>
      <c r="S1268" s="148">
        <f t="shared" ref="S1268" si="7446">S1267/S1252</f>
        <v>-1.5669628906130696E-2</v>
      </c>
      <c r="T1268" s="149">
        <f t="shared" ref="T1268" si="7447">T1267/T1252</f>
        <v>-1.5594989488780799E-2</v>
      </c>
      <c r="U1268" s="149">
        <f t="shared" ref="U1268" si="7448">U1267/U1252</f>
        <v>-2.4493017176384139E-2</v>
      </c>
      <c r="V1268" s="149">
        <f t="shared" ref="V1268" si="7449">V1267/V1252</f>
        <v>-2.6997843707794938E-2</v>
      </c>
      <c r="W1268" s="149">
        <f t="shared" ref="W1268" si="7450">W1267/W1252</f>
        <v>-2.5646681101828155E-2</v>
      </c>
      <c r="X1268" s="149">
        <f t="shared" ref="X1268" si="7451">X1267/X1252</f>
        <v>-2.3141674300561146E-2</v>
      </c>
      <c r="Y1268" s="149">
        <f t="shared" ref="Y1268" si="7452">Y1267/Y1252</f>
        <v>-2.3612264383972206E-2</v>
      </c>
      <c r="Z1268" s="149">
        <f t="shared" ref="Z1268" si="7453">Z1267/Z1252</f>
        <v>-2.2860751979235996E-2</v>
      </c>
      <c r="AA1268" s="149">
        <f t="shared" ref="AA1268" si="7454">AA1267/AA1252</f>
        <v>-2.3437199788694761E-2</v>
      </c>
      <c r="AB1268" s="149">
        <f t="shared" ref="AB1268" si="7455">AB1267/AB1252</f>
        <v>-2.2800589438634743E-2</v>
      </c>
      <c r="AC1268" s="149">
        <f t="shared" ref="AC1268" si="7456">AC1267/AC1252</f>
        <v>-1.6008978384341267E-2</v>
      </c>
      <c r="AD1268" s="150">
        <f t="shared" ref="AD1268" si="7457">AD1267/AD1252</f>
        <v>-1.564148812483852E-2</v>
      </c>
      <c r="AE1268" s="15"/>
      <c r="AF1268" s="96">
        <f t="shared" ref="AF1268" si="7458">AF1267/AF1252</f>
        <v>-3.2833405778057836E-2</v>
      </c>
      <c r="AG1268" s="97">
        <f t="shared" ref="AG1268" si="7459">AG1267/AG1252</f>
        <v>-2.1185594180758573E-2</v>
      </c>
    </row>
    <row r="1269" spans="2:33" ht="3" customHeight="1" x14ac:dyDescent="0.2">
      <c r="B1269" s="9">
        <f>G1240</f>
        <v>26</v>
      </c>
      <c r="C1269" s="9" t="str">
        <f t="shared" si="7253"/>
        <v xml:space="preserve">26 - </v>
      </c>
      <c r="D1269" s="9" t="s">
        <v>56</v>
      </c>
      <c r="F1269" s="16"/>
      <c r="G1269" s="36"/>
      <c r="H1269" s="37"/>
      <c r="I1269" s="37"/>
      <c r="J1269" s="37"/>
      <c r="K1269" s="37"/>
      <c r="L1269" s="37"/>
      <c r="M1269" s="37"/>
      <c r="N1269" s="37"/>
      <c r="O1269" s="37"/>
      <c r="P1269" s="37"/>
      <c r="Q1269" s="37"/>
      <c r="R1269" s="37"/>
      <c r="S1269" s="36"/>
      <c r="T1269" s="37"/>
      <c r="U1269" s="37"/>
      <c r="V1269" s="37"/>
      <c r="W1269" s="37"/>
      <c r="X1269" s="37"/>
      <c r="Y1269" s="37"/>
      <c r="Z1269" s="37"/>
      <c r="AA1269" s="37"/>
      <c r="AB1269" s="37"/>
      <c r="AC1269" s="37"/>
      <c r="AD1269" s="38"/>
      <c r="AE1269" s="15"/>
      <c r="AF1269" s="36"/>
      <c r="AG1269" s="38"/>
    </row>
    <row r="1270" spans="2:33" x14ac:dyDescent="0.2">
      <c r="B1270" s="9">
        <f>G1240</f>
        <v>26</v>
      </c>
      <c r="C1270" s="9" t="str">
        <f t="shared" si="7253"/>
        <v>26 - Marketing</v>
      </c>
      <c r="D1270" s="9" t="s">
        <v>56</v>
      </c>
      <c r="F1270" t="s">
        <v>7</v>
      </c>
      <c r="G1270" s="144">
        <v>-1.5994779010689433</v>
      </c>
      <c r="H1270" s="70">
        <v>-2.0014337042159163</v>
      </c>
      <c r="I1270" s="70">
        <v>-2.7485977672766624</v>
      </c>
      <c r="J1270" s="70">
        <v>-1.8299298853023134</v>
      </c>
      <c r="K1270" s="70">
        <v>-2.323886231431139</v>
      </c>
      <c r="L1270" s="70">
        <v>-2.1474824356193398</v>
      </c>
      <c r="M1270" s="70">
        <v>-2.6750493688904995</v>
      </c>
      <c r="N1270" s="70">
        <v>-1.7343292342697769</v>
      </c>
      <c r="O1270" s="70">
        <v>-1.8582339038502782</v>
      </c>
      <c r="P1270" s="70">
        <v>-1.540126372279369</v>
      </c>
      <c r="Q1270" s="70">
        <v>-1.3324089681981068</v>
      </c>
      <c r="R1270" s="70">
        <v>-1.0002013067522115</v>
      </c>
      <c r="S1270" s="144">
        <v>-1.7338959612558638</v>
      </c>
      <c r="T1270" s="70">
        <v>-1.8258232894050195</v>
      </c>
      <c r="U1270" s="70">
        <v>-2.6749570342144704</v>
      </c>
      <c r="V1270" s="70">
        <v>-3.1169197071101267</v>
      </c>
      <c r="W1270" s="70">
        <v>-4.8562649247064353</v>
      </c>
      <c r="X1270" s="70">
        <v>-4.6943312509942441</v>
      </c>
      <c r="Y1270" s="70">
        <v>-5.350780915869918</v>
      </c>
      <c r="Z1270" s="70">
        <v>-4.3873531919912336</v>
      </c>
      <c r="AA1270" s="70">
        <v>-3.7229167378201593</v>
      </c>
      <c r="AB1270" s="70">
        <v>-4.3146530214139434</v>
      </c>
      <c r="AC1270" s="70">
        <v>-2.8337909524995735</v>
      </c>
      <c r="AD1270" s="145">
        <v>-2.0598549192456321</v>
      </c>
      <c r="AE1270" s="15"/>
      <c r="AF1270" s="144">
        <v>-22.791157079154555</v>
      </c>
      <c r="AG1270" s="145">
        <v>-41.571541906526626</v>
      </c>
    </row>
    <row r="1271" spans="2:33" x14ac:dyDescent="0.2">
      <c r="B1271" s="9">
        <f>G1240</f>
        <v>26</v>
      </c>
      <c r="C1271" s="9" t="str">
        <f t="shared" si="7253"/>
        <v>26 - % of Revenue - Marketing</v>
      </c>
      <c r="D1271" s="9" t="s">
        <v>56</v>
      </c>
      <c r="F1271" s="16" t="str">
        <f>"% of Revenue - "&amp;F1270</f>
        <v>% of Revenue - Marketing</v>
      </c>
      <c r="G1271" s="148">
        <f>G1270/G1252</f>
        <v>-1.0050726165775438E-2</v>
      </c>
      <c r="H1271" s="149">
        <f t="shared" ref="H1271" si="7460">H1270/H1252</f>
        <v>-1.1941180371950674E-2</v>
      </c>
      <c r="I1271" s="149">
        <f t="shared" ref="I1271" si="7461">I1270/I1252</f>
        <v>-1.3312802269535521E-2</v>
      </c>
      <c r="J1271" s="149">
        <f t="shared" ref="J1271" si="7462">J1270/J1252</f>
        <v>-0.01</v>
      </c>
      <c r="K1271" s="149">
        <f t="shared" ref="K1271" si="7463">K1270/K1252</f>
        <v>-0.01</v>
      </c>
      <c r="L1271" s="149">
        <f t="shared" ref="L1271" si="7464">L1270/L1252</f>
        <v>-0.01</v>
      </c>
      <c r="M1271" s="149">
        <f t="shared" ref="M1271" si="7465">M1270/M1252</f>
        <v>-1.4441475583889122E-2</v>
      </c>
      <c r="N1271" s="149">
        <f t="shared" ref="N1271" si="7466">N1270/N1252</f>
        <v>-5.0000000000000001E-3</v>
      </c>
      <c r="O1271" s="149">
        <f t="shared" ref="O1271" si="7467">O1270/O1252</f>
        <v>-5.9302898102136774E-3</v>
      </c>
      <c r="P1271" s="149">
        <f t="shared" ref="P1271" si="7468">P1270/P1252</f>
        <v>-5.0000000000000001E-3</v>
      </c>
      <c r="Q1271" s="149">
        <f t="shared" ref="Q1271" si="7469">Q1270/Q1252</f>
        <v>-3.333333333333334E-3</v>
      </c>
      <c r="R1271" s="149">
        <f t="shared" ref="R1271" si="7470">R1270/R1252</f>
        <v>-2.5000000000000001E-3</v>
      </c>
      <c r="S1271" s="148">
        <f t="shared" ref="S1271" si="7471">S1270/S1252</f>
        <v>-3.6220609163540966E-3</v>
      </c>
      <c r="T1271" s="149">
        <f t="shared" ref="T1271" si="7472">T1270/T1252</f>
        <v>-3.643984737895897E-3</v>
      </c>
      <c r="U1271" s="149">
        <f t="shared" ref="U1271" si="7473">U1270/U1252</f>
        <v>-7.2266485259311099E-3</v>
      </c>
      <c r="V1271" s="149">
        <f t="shared" ref="V1271" si="7474">V1270/V1252</f>
        <v>-8.2182494170644094E-3</v>
      </c>
      <c r="W1271" s="149">
        <f t="shared" ref="W1271" si="7475">W1270/W1252</f>
        <v>-1.0767394261877903E-2</v>
      </c>
      <c r="X1271" s="149">
        <f t="shared" ref="X1271" si="7476">X1270/X1252</f>
        <v>-1.2759206413536841E-2</v>
      </c>
      <c r="Y1271" s="149">
        <f t="shared" ref="Y1271" si="7477">Y1270/Y1252</f>
        <v>-1.4503311529334859E-2</v>
      </c>
      <c r="Z1271" s="149">
        <f t="shared" ref="Z1271" si="7478">Z1270/Z1252</f>
        <v>-1.3017774135936929E-2</v>
      </c>
      <c r="AA1271" s="149">
        <f t="shared" ref="AA1271" si="7479">AA1270/AA1252</f>
        <v>-1.3205648104364818E-2</v>
      </c>
      <c r="AB1271" s="149">
        <f t="shared" ref="AB1271" si="7480">AB1270/AB1252</f>
        <v>-1.2761865187508475E-2</v>
      </c>
      <c r="AC1271" s="149">
        <f t="shared" ref="AC1271" si="7481">AC1270/AC1252</f>
        <v>-7.8313881827835156E-3</v>
      </c>
      <c r="AD1271" s="150">
        <f t="shared" ref="AD1271" si="7482">AD1270/AD1252</f>
        <v>-7.6844230733741654E-3</v>
      </c>
      <c r="AE1271" s="15"/>
      <c r="AF1271" s="96">
        <f t="shared" ref="AF1271" si="7483">AF1270/AF1252</f>
        <v>-7.3127915167876083E-3</v>
      </c>
      <c r="AG1271" s="97">
        <f t="shared" ref="AG1271" si="7484">AG1270/AG1252</f>
        <v>-9.2299451615802091E-3</v>
      </c>
    </row>
    <row r="1272" spans="2:33" ht="3" customHeight="1" x14ac:dyDescent="0.2">
      <c r="B1272" s="9">
        <f>G1240</f>
        <v>26</v>
      </c>
      <c r="C1272" s="9" t="str">
        <f t="shared" si="7253"/>
        <v xml:space="preserve">26 - </v>
      </c>
      <c r="D1272" s="9" t="s">
        <v>56</v>
      </c>
      <c r="F1272" s="16"/>
      <c r="G1272" s="36"/>
      <c r="H1272" s="37"/>
      <c r="I1272" s="37"/>
      <c r="J1272" s="37"/>
      <c r="K1272" s="37"/>
      <c r="L1272" s="37"/>
      <c r="M1272" s="37"/>
      <c r="N1272" s="37"/>
      <c r="O1272" s="37"/>
      <c r="P1272" s="37"/>
      <c r="Q1272" s="37"/>
      <c r="R1272" s="37"/>
      <c r="S1272" s="36"/>
      <c r="T1272" s="37"/>
      <c r="U1272" s="37"/>
      <c r="V1272" s="37"/>
      <c r="W1272" s="37"/>
      <c r="X1272" s="37"/>
      <c r="Y1272" s="37"/>
      <c r="Z1272" s="37"/>
      <c r="AA1272" s="37"/>
      <c r="AB1272" s="37"/>
      <c r="AC1272" s="37"/>
      <c r="AD1272" s="38"/>
      <c r="AE1272" s="15"/>
      <c r="AF1272" s="36"/>
      <c r="AG1272" s="38"/>
    </row>
    <row r="1273" spans="2:33" x14ac:dyDescent="0.2">
      <c r="B1273" s="9">
        <f>G1240</f>
        <v>26</v>
      </c>
      <c r="C1273" s="9" t="str">
        <f t="shared" si="7253"/>
        <v>26 - Office Rent</v>
      </c>
      <c r="D1273" s="9" t="s">
        <v>56</v>
      </c>
      <c r="F1273" t="s">
        <v>162</v>
      </c>
      <c r="G1273" s="144">
        <v>-15.656642838159593</v>
      </c>
      <c r="H1273" s="70">
        <v>-15.656642838159593</v>
      </c>
      <c r="I1273" s="70">
        <v>-15.656642838159593</v>
      </c>
      <c r="J1273" s="70">
        <v>-15.656642838159593</v>
      </c>
      <c r="K1273" s="70">
        <v>-15.656642838159593</v>
      </c>
      <c r="L1273" s="70">
        <v>-16.126342123304379</v>
      </c>
      <c r="M1273" s="70">
        <v>-16.126342123304379</v>
      </c>
      <c r="N1273" s="70">
        <v>-16.126342123304379</v>
      </c>
      <c r="O1273" s="70">
        <v>-16.126342123304379</v>
      </c>
      <c r="P1273" s="70">
        <v>-16.126342123304379</v>
      </c>
      <c r="Q1273" s="70">
        <v>-16.126342123304379</v>
      </c>
      <c r="R1273" s="70">
        <v>-16.126342123304379</v>
      </c>
      <c r="S1273" s="144">
        <v>-16.126674833981447</v>
      </c>
      <c r="T1273" s="70">
        <v>-16.126674833981447</v>
      </c>
      <c r="U1273" s="70">
        <v>-16.126674833981447</v>
      </c>
      <c r="V1273" s="70">
        <v>-16.126674833981447</v>
      </c>
      <c r="W1273" s="70">
        <v>-16.126674833981447</v>
      </c>
      <c r="X1273" s="70">
        <v>-16.610475079000889</v>
      </c>
      <c r="Y1273" s="70">
        <v>-16.610475079000889</v>
      </c>
      <c r="Z1273" s="70">
        <v>-16.610475079000889</v>
      </c>
      <c r="AA1273" s="70">
        <v>-16.610475079000889</v>
      </c>
      <c r="AB1273" s="70">
        <v>-16.610475079000889</v>
      </c>
      <c r="AC1273" s="70">
        <v>-16.610475079000889</v>
      </c>
      <c r="AD1273" s="145">
        <v>-16.610475079000889</v>
      </c>
      <c r="AE1273" s="15"/>
      <c r="AF1273" s="144">
        <v>-191.1676090539286</v>
      </c>
      <c r="AG1273" s="145">
        <v>-196.9066997229134</v>
      </c>
    </row>
    <row r="1274" spans="2:33" x14ac:dyDescent="0.2">
      <c r="B1274" s="9">
        <f>G1240</f>
        <v>26</v>
      </c>
      <c r="C1274" s="9" t="str">
        <f t="shared" si="7253"/>
        <v>26 - % YoY Growth</v>
      </c>
      <c r="D1274" s="9" t="s">
        <v>56</v>
      </c>
      <c r="F1274" s="16" t="s">
        <v>8</v>
      </c>
      <c r="G1274" s="82"/>
      <c r="H1274" s="83"/>
      <c r="I1274" s="83"/>
      <c r="J1274" s="83"/>
      <c r="K1274" s="83"/>
      <c r="L1274" s="83"/>
      <c r="M1274" s="83"/>
      <c r="N1274" s="83"/>
      <c r="O1274" s="83"/>
      <c r="P1274" s="83"/>
      <c r="Q1274" s="83"/>
      <c r="R1274" s="83"/>
      <c r="S1274" s="148">
        <f>S1273/G1273-1</f>
        <v>3.0021250448164727E-2</v>
      </c>
      <c r="T1274" s="149">
        <f t="shared" ref="T1274" si="7485">T1273/H1273-1</f>
        <v>3.0021250448164727E-2</v>
      </c>
      <c r="U1274" s="149">
        <f t="shared" ref="U1274" si="7486">U1273/I1273-1</f>
        <v>3.0021250448164727E-2</v>
      </c>
      <c r="V1274" s="149">
        <f t="shared" ref="V1274" si="7487">V1273/J1273-1</f>
        <v>3.0021250448164727E-2</v>
      </c>
      <c r="W1274" s="149">
        <f t="shared" ref="W1274" si="7488">W1273/K1273-1</f>
        <v>3.0021250448164727E-2</v>
      </c>
      <c r="X1274" s="149">
        <f t="shared" ref="X1274" si="7489">X1273/L1273-1</f>
        <v>3.0021250448164727E-2</v>
      </c>
      <c r="Y1274" s="149">
        <f t="shared" ref="Y1274" si="7490">Y1273/M1273-1</f>
        <v>3.0021250448164727E-2</v>
      </c>
      <c r="Z1274" s="149">
        <f t="shared" ref="Z1274" si="7491">Z1273/N1273-1</f>
        <v>3.0021250448164727E-2</v>
      </c>
      <c r="AA1274" s="149">
        <f t="shared" ref="AA1274" si="7492">AA1273/O1273-1</f>
        <v>3.0021250448164727E-2</v>
      </c>
      <c r="AB1274" s="149">
        <f t="shared" ref="AB1274" si="7493">AB1273/P1273-1</f>
        <v>3.0021250448164727E-2</v>
      </c>
      <c r="AC1274" s="149">
        <f t="shared" ref="AC1274" si="7494">AC1273/Q1273-1</f>
        <v>3.0021250448164727E-2</v>
      </c>
      <c r="AD1274" s="150">
        <f t="shared" ref="AD1274" si="7495">AD1273/R1273-1</f>
        <v>3.0021250448164727E-2</v>
      </c>
      <c r="AE1274" s="15"/>
      <c r="AF1274" s="11"/>
      <c r="AG1274" s="97">
        <f>AG1273/AF1273-1</f>
        <v>3.0021250448164505E-2</v>
      </c>
    </row>
    <row r="1275" spans="2:33" ht="6" customHeight="1" x14ac:dyDescent="0.2">
      <c r="B1275" s="9">
        <f>G1240</f>
        <v>26</v>
      </c>
      <c r="C1275" s="9" t="str">
        <f t="shared" si="7253"/>
        <v xml:space="preserve">26 - </v>
      </c>
      <c r="D1275" s="9" t="s">
        <v>56</v>
      </c>
      <c r="F1275" s="16"/>
      <c r="G1275" s="11"/>
      <c r="S1275" s="11"/>
      <c r="AD1275" s="15"/>
      <c r="AE1275" s="15"/>
      <c r="AF1275" s="11"/>
      <c r="AG1275" s="15"/>
    </row>
    <row r="1276" spans="2:33" x14ac:dyDescent="0.2">
      <c r="B1276" s="9">
        <f>G1240</f>
        <v>26</v>
      </c>
      <c r="C1276" s="9" t="str">
        <f t="shared" si="7253"/>
        <v>26 - Office EBITDA</v>
      </c>
      <c r="D1276" s="9" t="s">
        <v>56</v>
      </c>
      <c r="F1276" s="8" t="s">
        <v>12</v>
      </c>
      <c r="G1276" s="134">
        <f>G1264+G1267+G1270+G1273</f>
        <v>39.090068383828921</v>
      </c>
      <c r="H1276" s="135">
        <f t="shared" ref="H1276:AD1276" si="7496">H1264+H1267+H1270+H1273</f>
        <v>41.668871526832312</v>
      </c>
      <c r="I1276" s="135">
        <f t="shared" si="7496"/>
        <v>50.997685681193254</v>
      </c>
      <c r="J1276" s="135">
        <f t="shared" si="7496"/>
        <v>42.793436645391147</v>
      </c>
      <c r="K1276" s="135">
        <f t="shared" si="7496"/>
        <v>60.100930318442359</v>
      </c>
      <c r="L1276" s="135">
        <f t="shared" si="7496"/>
        <v>53.372270249473544</v>
      </c>
      <c r="M1276" s="135">
        <f t="shared" si="7496"/>
        <v>45.598525412321166</v>
      </c>
      <c r="N1276" s="135">
        <f t="shared" si="7496"/>
        <v>214.84411231886475</v>
      </c>
      <c r="O1276" s="135">
        <f t="shared" si="7496"/>
        <v>192.60578812616095</v>
      </c>
      <c r="P1276" s="135">
        <f t="shared" si="7496"/>
        <v>189.30672880508033</v>
      </c>
      <c r="Q1276" s="135">
        <f t="shared" si="7496"/>
        <v>293.65725864969477</v>
      </c>
      <c r="R1276" s="135">
        <f t="shared" si="7496"/>
        <v>317.16288351743395</v>
      </c>
      <c r="S1276" s="134">
        <f t="shared" si="7496"/>
        <v>291.00643493803005</v>
      </c>
      <c r="T1276" s="135">
        <f t="shared" si="7496"/>
        <v>309.14510781996501</v>
      </c>
      <c r="U1276" s="135">
        <f t="shared" si="7496"/>
        <v>159.20866997548399</v>
      </c>
      <c r="V1276" s="135">
        <f t="shared" si="7496"/>
        <v>146.30617684100216</v>
      </c>
      <c r="W1276" s="135">
        <f t="shared" si="7496"/>
        <v>179.7135218762983</v>
      </c>
      <c r="X1276" s="135">
        <f t="shared" si="7496"/>
        <v>145.31416845598338</v>
      </c>
      <c r="Y1276" s="135">
        <f t="shared" si="7496"/>
        <v>146.80022496589311</v>
      </c>
      <c r="Z1276" s="135">
        <f t="shared" si="7496"/>
        <v>148.01911873727482</v>
      </c>
      <c r="AA1276" s="135">
        <f t="shared" si="7496"/>
        <v>125.04433371565811</v>
      </c>
      <c r="AB1276" s="135">
        <f t="shared" si="7496"/>
        <v>155.75808406188909</v>
      </c>
      <c r="AC1276" s="135">
        <f t="shared" si="7496"/>
        <v>224.77715485215305</v>
      </c>
      <c r="AD1276" s="136">
        <f t="shared" si="7496"/>
        <v>160.44191504065245</v>
      </c>
      <c r="AE1276" s="15"/>
      <c r="AF1276" s="94">
        <f>SUM(G1276:R1276)</f>
        <v>1541.1985596347174</v>
      </c>
      <c r="AG1276" s="95">
        <f>SUM(S1276:AD1276)</f>
        <v>2191.5349112802833</v>
      </c>
    </row>
    <row r="1277" spans="2:33" x14ac:dyDescent="0.2">
      <c r="B1277" s="9">
        <f>G1240</f>
        <v>26</v>
      </c>
      <c r="C1277" s="9" t="str">
        <f t="shared" si="7253"/>
        <v>26 - % of Revenue - Office EBITDA</v>
      </c>
      <c r="D1277" s="9" t="s">
        <v>56</v>
      </c>
      <c r="F1277" s="16" t="str">
        <f>"% of Revenue - "&amp;F1276</f>
        <v>% of Revenue - Office EBITDA</v>
      </c>
      <c r="G1277" s="148">
        <f>G1276/G1252</f>
        <v>0.24563238595840145</v>
      </c>
      <c r="H1277" s="149">
        <f t="shared" ref="H1277" si="7497">H1276/H1252</f>
        <v>0.24860953912659078</v>
      </c>
      <c r="I1277" s="149">
        <f t="shared" ref="I1277" si="7498">I1276/I1252</f>
        <v>0.24700671511871719</v>
      </c>
      <c r="J1277" s="149">
        <f t="shared" ref="J1277" si="7499">J1276/J1252</f>
        <v>0.23385287594404996</v>
      </c>
      <c r="K1277" s="149">
        <f t="shared" ref="K1277" si="7500">K1276/K1252</f>
        <v>0.25862251561871807</v>
      </c>
      <c r="L1277" s="149">
        <f t="shared" ref="L1277" si="7501">L1276/L1252</f>
        <v>0.24853414102118529</v>
      </c>
      <c r="M1277" s="149">
        <f t="shared" ref="M1277" si="7502">M1276/M1252</f>
        <v>0.2461674162209973</v>
      </c>
      <c r="N1277" s="149">
        <f t="shared" ref="N1277" si="7503">N1276/N1252</f>
        <v>0.61938675792812448</v>
      </c>
      <c r="O1277" s="149">
        <f t="shared" ref="O1277" si="7504">O1276/O1252</f>
        <v>0.61467404095150813</v>
      </c>
      <c r="P1277" s="149">
        <f t="shared" ref="P1277" si="7505">P1276/P1252</f>
        <v>0.61458180384544869</v>
      </c>
      <c r="Q1277" s="149">
        <f t="shared" ref="Q1277" si="7506">Q1276/Q1252</f>
        <v>0.73465246196599931</v>
      </c>
      <c r="R1277" s="149">
        <f t="shared" ref="R1277" si="7507">R1276/R1252</f>
        <v>0.79274762334420601</v>
      </c>
      <c r="S1277" s="148">
        <f t="shared" ref="S1277" si="7508">S1276/S1252</f>
        <v>0.60790442907147368</v>
      </c>
      <c r="T1277" s="149">
        <f t="shared" ref="T1277" si="7509">T1276/T1252</f>
        <v>0.61699292654889548</v>
      </c>
      <c r="U1277" s="149">
        <f t="shared" ref="U1277" si="7510">U1276/U1252</f>
        <v>0.43011722636197547</v>
      </c>
      <c r="V1277" s="149">
        <f t="shared" ref="V1277" si="7511">V1276/V1252</f>
        <v>0.38575926412017969</v>
      </c>
      <c r="W1277" s="149">
        <f t="shared" ref="W1277" si="7512">W1276/W1252</f>
        <v>0.39846391707093659</v>
      </c>
      <c r="X1277" s="149">
        <f t="shared" ref="X1277" si="7513">X1276/X1252</f>
        <v>0.39496434550686321</v>
      </c>
      <c r="Y1277" s="149">
        <f t="shared" ref="Y1277" si="7514">Y1276/Y1252</f>
        <v>0.39790255454902063</v>
      </c>
      <c r="Z1277" s="149">
        <f t="shared" ref="Z1277" si="7515">Z1276/Z1252</f>
        <v>0.43918950018422032</v>
      </c>
      <c r="AA1277" s="149">
        <f t="shared" ref="AA1277" si="7516">AA1276/AA1252</f>
        <v>0.44354778384342963</v>
      </c>
      <c r="AB1277" s="149">
        <f t="shared" ref="AB1277" si="7517">AB1276/AB1252</f>
        <v>0.46070070079726511</v>
      </c>
      <c r="AC1277" s="149">
        <f t="shared" ref="AC1277" si="7518">AC1276/AC1252</f>
        <v>0.62118807765835604</v>
      </c>
      <c r="AD1277" s="150">
        <f t="shared" ref="AD1277" si="7519">AD1276/AD1252</f>
        <v>0.59853902445044327</v>
      </c>
      <c r="AE1277" s="15"/>
      <c r="AF1277" s="96">
        <f t="shared" ref="AF1277" si="7520">AF1276/AF1252</f>
        <v>0.49451038020752053</v>
      </c>
      <c r="AG1277" s="97">
        <f t="shared" ref="AG1277" si="7521">AG1276/AG1252</f>
        <v>0.48657678120978853</v>
      </c>
    </row>
    <row r="1278" spans="2:33" ht="6" customHeight="1" x14ac:dyDescent="0.2">
      <c r="B1278" s="9">
        <f>G1240</f>
        <v>26</v>
      </c>
      <c r="C1278" s="9" t="str">
        <f t="shared" si="7253"/>
        <v xml:space="preserve">26 - </v>
      </c>
      <c r="D1278" s="9" t="s">
        <v>56</v>
      </c>
      <c r="G1278" s="11"/>
      <c r="S1278" s="11"/>
      <c r="AD1278" s="15"/>
      <c r="AE1278" s="15"/>
      <c r="AF1278" s="11"/>
      <c r="AG1278" s="15"/>
    </row>
    <row r="1279" spans="2:33" x14ac:dyDescent="0.2">
      <c r="B1279" s="9">
        <f>G1240</f>
        <v>26</v>
      </c>
      <c r="C1279" s="9" t="str">
        <f t="shared" si="7253"/>
        <v>26 - Memo:</v>
      </c>
      <c r="D1279" s="9" t="s">
        <v>56</v>
      </c>
      <c r="F1279" s="6" t="s">
        <v>13</v>
      </c>
      <c r="G1279" s="11"/>
      <c r="S1279" s="11"/>
      <c r="AD1279" s="15"/>
      <c r="AE1279" s="15"/>
      <c r="AF1279" s="11"/>
      <c r="AG1279" s="15"/>
    </row>
    <row r="1280" spans="2:33" s="24" customFormat="1" x14ac:dyDescent="0.2">
      <c r="B1280" s="9">
        <f>G1240</f>
        <v>26</v>
      </c>
      <c r="C1280" s="9" t="str">
        <f t="shared" si="7253"/>
        <v>26 - Collections</v>
      </c>
      <c r="D1280" s="9" t="s">
        <v>56</v>
      </c>
      <c r="E1280" s="49"/>
      <c r="F1280" s="24" t="s">
        <v>15</v>
      </c>
      <c r="G1280" s="169">
        <f>G1281*G1250</f>
        <v>158.30773932412794</v>
      </c>
      <c r="H1280" s="170">
        <f t="shared" ref="H1280" si="7522">H1281*H1250</f>
        <v>165.720699441184</v>
      </c>
      <c r="I1280" s="170">
        <f t="shared" ref="I1280" si="7523">I1281*I1250</f>
        <v>206.42832021429169</v>
      </c>
      <c r="J1280" s="170">
        <f t="shared" ref="J1280" si="7524">J1281*J1250</f>
        <v>187.79773643330668</v>
      </c>
      <c r="K1280" s="170">
        <f t="shared" ref="K1280" si="7525">K1281*K1250</f>
        <v>230.23432792634134</v>
      </c>
      <c r="L1280" s="170">
        <f t="shared" ref="L1280" si="7526">L1281*L1250</f>
        <v>218.34764887730941</v>
      </c>
      <c r="M1280" s="170">
        <f t="shared" ref="M1280" si="7527">M1281*M1250</f>
        <v>184.45106102330845</v>
      </c>
      <c r="N1280" s="170">
        <f t="shared" ref="N1280" si="7528">N1281*N1250</f>
        <v>342.83332375672603</v>
      </c>
      <c r="O1280" s="170">
        <f t="shared" ref="O1280" si="7529">O1281*O1250</f>
        <v>318.87542275387369</v>
      </c>
      <c r="P1280" s="170">
        <f t="shared" ref="P1280" si="7530">P1281*P1250</f>
        <v>313.4538759438388</v>
      </c>
      <c r="Q1280" s="170">
        <f t="shared" ref="Q1280" si="7531">Q1281*Q1250</f>
        <v>402.47594340855153</v>
      </c>
      <c r="R1280" s="170">
        <f t="shared" ref="R1280" si="7532">R1281*R1250</f>
        <v>396.32038357487744</v>
      </c>
      <c r="S1280" s="169">
        <f t="shared" ref="S1280" si="7533">S1281*S1250</f>
        <v>470.77221370586432</v>
      </c>
      <c r="T1280" s="170">
        <f t="shared" ref="T1280" si="7534">T1281*T1250</f>
        <v>500.01412827413242</v>
      </c>
      <c r="U1280" s="170">
        <f t="shared" ref="U1280" si="7535">U1281*U1250</f>
        <v>372.78070919010611</v>
      </c>
      <c r="V1280" s="170">
        <f t="shared" ref="V1280" si="7536">V1281*V1250</f>
        <v>379.50970719847197</v>
      </c>
      <c r="W1280" s="170">
        <f t="shared" ref="W1280" si="7537">W1281*W1250</f>
        <v>441.73918882490659</v>
      </c>
      <c r="X1280" s="170">
        <f t="shared" ref="X1280" si="7538">X1281*X1250</f>
        <v>366.92298960238179</v>
      </c>
      <c r="Y1280" s="170">
        <f t="shared" ref="Y1280" si="7539">Y1281*Y1250</f>
        <v>362.57492409920576</v>
      </c>
      <c r="Z1280" s="170">
        <f t="shared" ref="Z1280" si="7540">Z1281*Z1250</f>
        <v>340.30851287915317</v>
      </c>
      <c r="AA1280" s="170">
        <f t="shared" ref="AA1280" si="7541">AA1281*AA1250</f>
        <v>278.33895055876667</v>
      </c>
      <c r="AB1280" s="170">
        <f t="shared" ref="AB1280" si="7542">AB1281*AB1250</f>
        <v>330.49225700662208</v>
      </c>
      <c r="AC1280" s="170">
        <f t="shared" ref="AC1280" si="7543">AC1281*AC1250</f>
        <v>365.17522094205822</v>
      </c>
      <c r="AD1280" s="171">
        <f t="shared" ref="AD1280" si="7544">AD1281*AD1250</f>
        <v>270.00772242597662</v>
      </c>
      <c r="AE1280" s="26"/>
      <c r="AF1280" s="68">
        <f>SUM(G1280:R1280)</f>
        <v>3125.2464826777368</v>
      </c>
      <c r="AG1280" s="99">
        <f>SUM(S1280:AD1280)</f>
        <v>4478.6365247076455</v>
      </c>
    </row>
    <row r="1281" spans="2:34" x14ac:dyDescent="0.2">
      <c r="B1281" s="9">
        <f>G1240</f>
        <v>26</v>
      </c>
      <c r="C1281" s="9" t="str">
        <f t="shared" si="7253"/>
        <v>26 - Collections as a % of Production</v>
      </c>
      <c r="D1281" s="9" t="s">
        <v>56</v>
      </c>
      <c r="F1281" s="16" t="s">
        <v>17</v>
      </c>
      <c r="G1281" s="140">
        <v>0.96877286884398883</v>
      </c>
      <c r="H1281" s="141">
        <v>0.96290497570286071</v>
      </c>
      <c r="I1281" s="141">
        <v>0.97370678146238099</v>
      </c>
      <c r="J1281" s="141">
        <v>0.99943954065965568</v>
      </c>
      <c r="K1281" s="141">
        <v>0.96484119623129461</v>
      </c>
      <c r="L1281" s="141">
        <v>0.99019225110758846</v>
      </c>
      <c r="M1281" s="141">
        <v>0.96975393496531392</v>
      </c>
      <c r="N1281" s="141">
        <v>0.96254737212855113</v>
      </c>
      <c r="O1281" s="141">
        <v>0.99105375029805653</v>
      </c>
      <c r="P1281" s="141">
        <v>0.99103254118307471</v>
      </c>
      <c r="Q1281" s="141">
        <v>0.98057710527251019</v>
      </c>
      <c r="R1281" s="141">
        <v>0.96471631781148881</v>
      </c>
      <c r="S1281" s="140">
        <v>0.96791887780125141</v>
      </c>
      <c r="T1281" s="141">
        <v>0.98218999567910115</v>
      </c>
      <c r="U1281" s="141">
        <v>0.99121753435990834</v>
      </c>
      <c r="V1281" s="141">
        <v>0.98485436729478204</v>
      </c>
      <c r="W1281" s="141">
        <v>0.96398349373534953</v>
      </c>
      <c r="X1281" s="141">
        <v>0.98156774398813951</v>
      </c>
      <c r="Y1281" s="141">
        <v>0.96725992444052467</v>
      </c>
      <c r="Z1281" s="141">
        <v>0.99380773181870918</v>
      </c>
      <c r="AA1281" s="141">
        <v>0.97173043628410638</v>
      </c>
      <c r="AB1281" s="141">
        <v>0.96211057667785238</v>
      </c>
      <c r="AC1281" s="141">
        <v>0.99327079513716443</v>
      </c>
      <c r="AD1281" s="142">
        <v>0.99139390216313827</v>
      </c>
      <c r="AE1281" s="15"/>
      <c r="AF1281" s="96">
        <f t="shared" ref="AF1281" si="7545">AF1280/AF1250</f>
        <v>0.97656626281418801</v>
      </c>
      <c r="AG1281" s="97">
        <f t="shared" ref="AG1281" si="7546">AG1280/AG1250</f>
        <v>0.97868792225367673</v>
      </c>
    </row>
    <row r="1282" spans="2:34" ht="6" customHeight="1" x14ac:dyDescent="0.2">
      <c r="B1282" s="9">
        <f>G1240</f>
        <v>26</v>
      </c>
      <c r="C1282" s="9" t="str">
        <f t="shared" si="7253"/>
        <v xml:space="preserve">26 - </v>
      </c>
      <c r="D1282" s="9" t="s">
        <v>56</v>
      </c>
      <c r="F1282" s="27"/>
      <c r="R1282" s="15"/>
      <c r="AD1282" s="15"/>
      <c r="AE1282" s="15"/>
      <c r="AF1282" s="11"/>
      <c r="AG1282" s="15"/>
    </row>
    <row r="1283" spans="2:34" s="24" customFormat="1" x14ac:dyDescent="0.2">
      <c r="B1283" s="9">
        <f>G1240</f>
        <v>26</v>
      </c>
      <c r="C1283" s="9" t="str">
        <f t="shared" si="7253"/>
        <v>26 - Production per Vet Workday - YoY Change</v>
      </c>
      <c r="D1283" s="9" t="s">
        <v>56</v>
      </c>
      <c r="E1283" s="49"/>
      <c r="F1283" s="24" t="s">
        <v>55</v>
      </c>
      <c r="G1283" s="88"/>
      <c r="H1283" s="89"/>
      <c r="I1283" s="89"/>
      <c r="J1283" s="89"/>
      <c r="K1283" s="89"/>
      <c r="L1283" s="89"/>
      <c r="M1283" s="89"/>
      <c r="N1283" s="89"/>
      <c r="O1283" s="89"/>
      <c r="P1283" s="89"/>
      <c r="Q1283" s="89"/>
      <c r="R1283" s="89"/>
      <c r="S1283" s="151">
        <f>S1249/G1249-1</f>
        <v>-5.1002054932036911E-2</v>
      </c>
      <c r="T1283" s="152">
        <f t="shared" ref="T1283" si="7547">T1249/H1249-1</f>
        <v>-5.8828425415296426E-2</v>
      </c>
      <c r="U1283" s="152">
        <f t="shared" ref="U1283" si="7548">U1249/I1249-1</f>
        <v>-3.2386462910037439E-2</v>
      </c>
      <c r="V1283" s="152">
        <f t="shared" ref="V1283" si="7549">V1249/J1249-1</f>
        <v>-2.1223201436137873E-2</v>
      </c>
      <c r="W1283" s="152">
        <f t="shared" ref="W1283" si="7550">W1249/K1249-1</f>
        <v>-7.9828683255669497E-2</v>
      </c>
      <c r="X1283" s="152">
        <f t="shared" ref="X1283" si="7551">X1249/L1249-1</f>
        <v>-7.1666133539136867E-2</v>
      </c>
      <c r="Y1283" s="152">
        <f t="shared" ref="Y1283" si="7552">Y1249/M1249-1</f>
        <v>-5.7459952067451026E-2</v>
      </c>
      <c r="Z1283" s="152">
        <f t="shared" ref="Z1283" si="7553">Z1249/N1249-1</f>
        <v>3.2124915086657602E-3</v>
      </c>
      <c r="AA1283" s="152">
        <f t="shared" ref="AA1283" si="7554">AA1249/O1249-1</f>
        <v>-6.7373551206778348E-2</v>
      </c>
      <c r="AB1283" s="152">
        <f t="shared" ref="AB1283" si="7555">AB1249/P1249-1</f>
        <v>-4.4524456348375985E-3</v>
      </c>
      <c r="AC1283" s="152">
        <f t="shared" ref="AC1283" si="7556">AC1249/Q1249-1</f>
        <v>-6.3558586889223445E-2</v>
      </c>
      <c r="AD1283" s="153">
        <f t="shared" ref="AD1283" si="7557">AD1249/R1249-1</f>
        <v>-0.11606181817885419</v>
      </c>
      <c r="AF1283" s="43"/>
      <c r="AG1283" s="104">
        <f>AG1249/AF1249-1</f>
        <v>-1.238321213424709E-2</v>
      </c>
    </row>
    <row r="1284" spans="2:34" s="24" customFormat="1" ht="6" customHeight="1" x14ac:dyDescent="0.2">
      <c r="D1284" s="9" t="s">
        <v>56</v>
      </c>
      <c r="E1284" s="49"/>
      <c r="G1284" s="28"/>
      <c r="H1284" s="30"/>
      <c r="I1284" s="30"/>
      <c r="J1284" s="30"/>
      <c r="K1284" s="30"/>
      <c r="L1284" s="30"/>
      <c r="M1284" s="30"/>
      <c r="N1284" s="30"/>
      <c r="O1284" s="30"/>
      <c r="P1284" s="30"/>
      <c r="Q1284" s="30"/>
      <c r="R1284" s="29"/>
      <c r="S1284" s="30"/>
      <c r="T1284" s="30"/>
      <c r="U1284" s="30"/>
      <c r="V1284" s="30"/>
      <c r="W1284" s="30"/>
      <c r="X1284" s="30"/>
      <c r="Y1284" s="30"/>
      <c r="Z1284" s="30"/>
      <c r="AA1284" s="30"/>
      <c r="AB1284" s="30"/>
      <c r="AC1284" s="30"/>
      <c r="AD1284" s="29"/>
      <c r="AE1284" s="25"/>
      <c r="AF1284" s="28"/>
      <c r="AG1284" s="29"/>
    </row>
    <row r="1285" spans="2:34" s="24" customFormat="1" ht="6" customHeight="1" x14ac:dyDescent="0.2">
      <c r="D1285" s="9" t="s">
        <v>56</v>
      </c>
      <c r="E1285" s="49"/>
    </row>
    <row r="1286" spans="2:34" x14ac:dyDescent="0.2">
      <c r="D1286" s="9" t="s">
        <v>56</v>
      </c>
      <c r="F1286" s="16"/>
    </row>
    <row r="1287" spans="2:34" ht="15.75" thickBot="1" x14ac:dyDescent="0.4">
      <c r="B1287" s="35" t="s">
        <v>52</v>
      </c>
      <c r="C1287" s="35"/>
      <c r="D1287" s="9" t="s">
        <v>56</v>
      </c>
      <c r="E1287" s="48" t="s">
        <v>0</v>
      </c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74">
        <f ca="1">AG$2</f>
        <v>45999</v>
      </c>
      <c r="AH1287" s="1"/>
    </row>
    <row r="1288" spans="2:34" x14ac:dyDescent="0.2">
      <c r="B1288" s="9">
        <f>G1289</f>
        <v>27</v>
      </c>
      <c r="C1288" s="9"/>
      <c r="D1288" s="9" t="s">
        <v>56</v>
      </c>
      <c r="F1288" t="s">
        <v>159</v>
      </c>
      <c r="AG1288" s="6" t="s">
        <v>16</v>
      </c>
    </row>
    <row r="1289" spans="2:34" x14ac:dyDescent="0.2">
      <c r="B1289" s="9">
        <f>G1289</f>
        <v>27</v>
      </c>
      <c r="C1289" s="9"/>
      <c r="D1289" s="9" t="s">
        <v>56</v>
      </c>
      <c r="F1289" s="40" t="s">
        <v>53</v>
      </c>
      <c r="G1289" s="42">
        <v>27</v>
      </c>
    </row>
    <row r="1290" spans="2:34" x14ac:dyDescent="0.2">
      <c r="B1290" s="9">
        <f>G1289</f>
        <v>27</v>
      </c>
      <c r="C1290" s="9"/>
      <c r="D1290" s="9" t="s">
        <v>56</v>
      </c>
      <c r="F1290" s="39" t="s">
        <v>44</v>
      </c>
      <c r="G1290" s="41"/>
      <c r="H1290" s="11"/>
    </row>
    <row r="1291" spans="2:34" x14ac:dyDescent="0.2">
      <c r="B1291" s="9">
        <f>G1289</f>
        <v>27</v>
      </c>
      <c r="C1291" s="9"/>
      <c r="D1291" s="9" t="s">
        <v>56</v>
      </c>
      <c r="G1291" s="23"/>
    </row>
    <row r="1292" spans="2:34" x14ac:dyDescent="0.2">
      <c r="B1292" s="9">
        <f>G1289</f>
        <v>27</v>
      </c>
      <c r="C1292" s="9"/>
      <c r="D1292" s="9" t="s">
        <v>56</v>
      </c>
      <c r="G1292" s="20">
        <v>2023</v>
      </c>
      <c r="H1292" s="21"/>
      <c r="I1292" s="21"/>
      <c r="J1292" s="21"/>
      <c r="K1292" s="21"/>
      <c r="L1292" s="21"/>
      <c r="M1292" s="21"/>
      <c r="N1292" s="21"/>
      <c r="O1292" s="21"/>
      <c r="P1292" s="21"/>
      <c r="Q1292" s="21"/>
      <c r="R1292" s="22"/>
      <c r="S1292" s="20">
        <v>2024</v>
      </c>
      <c r="T1292" s="21"/>
      <c r="U1292" s="21"/>
      <c r="V1292" s="21"/>
      <c r="W1292" s="21"/>
      <c r="X1292" s="21"/>
      <c r="Y1292" s="21"/>
      <c r="Z1292" s="21"/>
      <c r="AA1292" s="21"/>
      <c r="AB1292" s="21"/>
      <c r="AC1292" s="21"/>
      <c r="AD1292" s="22"/>
      <c r="AF1292" s="17" t="s">
        <v>14</v>
      </c>
      <c r="AG1292" s="18"/>
    </row>
    <row r="1293" spans="2:34" ht="15" customHeight="1" x14ac:dyDescent="0.35">
      <c r="B1293" s="9">
        <f>G1289</f>
        <v>27</v>
      </c>
      <c r="C1293" s="9"/>
      <c r="D1293" s="9" t="s">
        <v>56</v>
      </c>
      <c r="G1293" s="165">
        <v>44957</v>
      </c>
      <c r="H1293" s="166">
        <v>44985</v>
      </c>
      <c r="I1293" s="166">
        <v>45016</v>
      </c>
      <c r="J1293" s="166">
        <v>45046</v>
      </c>
      <c r="K1293" s="166">
        <v>45077</v>
      </c>
      <c r="L1293" s="166">
        <v>45107</v>
      </c>
      <c r="M1293" s="166">
        <v>45138</v>
      </c>
      <c r="N1293" s="166">
        <v>45169</v>
      </c>
      <c r="O1293" s="166">
        <v>45199</v>
      </c>
      <c r="P1293" s="166">
        <v>45230</v>
      </c>
      <c r="Q1293" s="166">
        <v>45260</v>
      </c>
      <c r="R1293" s="167">
        <v>45291</v>
      </c>
      <c r="S1293" s="165">
        <v>45322</v>
      </c>
      <c r="T1293" s="166">
        <v>45351</v>
      </c>
      <c r="U1293" s="166">
        <v>45382</v>
      </c>
      <c r="V1293" s="166">
        <v>45412</v>
      </c>
      <c r="W1293" s="166">
        <v>45443</v>
      </c>
      <c r="X1293" s="166">
        <v>45473</v>
      </c>
      <c r="Y1293" s="166">
        <v>45504</v>
      </c>
      <c r="Z1293" s="166">
        <v>45535</v>
      </c>
      <c r="AA1293" s="166">
        <v>45565</v>
      </c>
      <c r="AB1293" s="166">
        <v>45596</v>
      </c>
      <c r="AC1293" s="166">
        <v>45626</v>
      </c>
      <c r="AD1293" s="167">
        <v>45657</v>
      </c>
      <c r="AE1293" s="168"/>
      <c r="AF1293" s="13">
        <v>45291</v>
      </c>
      <c r="AG1293" s="14">
        <v>45657</v>
      </c>
    </row>
    <row r="1294" spans="2:34" ht="0.95" customHeight="1" x14ac:dyDescent="0.2">
      <c r="B1294" s="9">
        <f>G1289</f>
        <v>27</v>
      </c>
      <c r="C1294" s="9"/>
      <c r="D1294" s="9" t="s">
        <v>56</v>
      </c>
      <c r="G1294" s="11"/>
      <c r="S1294" s="11"/>
      <c r="AD1294" s="15"/>
      <c r="AE1294" s="15"/>
      <c r="AF1294" s="11"/>
      <c r="AG1294" s="15"/>
    </row>
    <row r="1295" spans="2:34" x14ac:dyDescent="0.2">
      <c r="B1295" s="9">
        <f>G1289</f>
        <v>27</v>
      </c>
      <c r="C1295" s="9" t="str">
        <f>B1295&amp;" - "&amp;F1295</f>
        <v>27 - Employed Vets</v>
      </c>
      <c r="D1295" s="9" t="s">
        <v>56</v>
      </c>
      <c r="F1295" s="7" t="s">
        <v>160</v>
      </c>
      <c r="G1295" s="121">
        <v>4</v>
      </c>
      <c r="H1295" s="154">
        <f>MAX(MIN(IF(H1298/G1298&gt;1.1,G1295-1,IF(H1298/G1298&lt;0.9,G1295+1,G1295)),5),1)</f>
        <v>4</v>
      </c>
      <c r="I1295" s="154">
        <f t="shared" ref="I1295:AC1295" si="7558">MAX(MIN(IF(I1298/H1298&gt;1.1,H1295-1,IF(I1298/H1298&lt;0.9,H1295+1,H1295)),5),1)</f>
        <v>3</v>
      </c>
      <c r="J1295" s="154">
        <f t="shared" si="7558"/>
        <v>3</v>
      </c>
      <c r="K1295" s="154">
        <f t="shared" si="7558"/>
        <v>3</v>
      </c>
      <c r="L1295" s="154">
        <f t="shared" si="7558"/>
        <v>3</v>
      </c>
      <c r="M1295" s="154">
        <f t="shared" si="7558"/>
        <v>4</v>
      </c>
      <c r="N1295" s="154">
        <f t="shared" si="7558"/>
        <v>5</v>
      </c>
      <c r="O1295" s="154">
        <f t="shared" si="7558"/>
        <v>5</v>
      </c>
      <c r="P1295" s="154">
        <f t="shared" si="7558"/>
        <v>5</v>
      </c>
      <c r="Q1295" s="154">
        <f t="shared" si="7558"/>
        <v>5</v>
      </c>
      <c r="R1295" s="154">
        <f t="shared" si="7558"/>
        <v>5</v>
      </c>
      <c r="S1295" s="155">
        <f t="shared" si="7558"/>
        <v>4</v>
      </c>
      <c r="T1295" s="154">
        <f t="shared" si="7558"/>
        <v>4</v>
      </c>
      <c r="U1295" s="154">
        <f t="shared" si="7558"/>
        <v>3</v>
      </c>
      <c r="V1295" s="154">
        <f t="shared" si="7558"/>
        <v>2</v>
      </c>
      <c r="W1295" s="154">
        <f t="shared" si="7558"/>
        <v>1</v>
      </c>
      <c r="X1295" s="154">
        <f t="shared" si="7558"/>
        <v>1</v>
      </c>
      <c r="Y1295" s="154">
        <f t="shared" si="7558"/>
        <v>2</v>
      </c>
      <c r="Z1295" s="154">
        <f t="shared" si="7558"/>
        <v>2</v>
      </c>
      <c r="AA1295" s="154">
        <f t="shared" si="7558"/>
        <v>3</v>
      </c>
      <c r="AB1295" s="154">
        <f t="shared" si="7558"/>
        <v>3</v>
      </c>
      <c r="AC1295" s="154">
        <f t="shared" si="7558"/>
        <v>3</v>
      </c>
      <c r="AD1295" s="156">
        <f>MROUND(AVERAGE(S1295:AC1295),1)</f>
        <v>3</v>
      </c>
      <c r="AE1295" s="15"/>
      <c r="AF1295" s="90">
        <f>AVERAGE(G1295:R1295)</f>
        <v>4.083333333333333</v>
      </c>
      <c r="AG1295" s="91">
        <f>AVERAGE(S1295:AD1295)</f>
        <v>2.5833333333333335</v>
      </c>
    </row>
    <row r="1296" spans="2:34" x14ac:dyDescent="0.2">
      <c r="B1296" s="9">
        <f>G1289</f>
        <v>27</v>
      </c>
      <c r="C1296" s="9" t="str">
        <f t="shared" ref="C1296:C1332" si="7559">B1296&amp;" - "&amp;F1296</f>
        <v>27 - Workdays in Month / Year</v>
      </c>
      <c r="D1296" s="9" t="s">
        <v>56</v>
      </c>
      <c r="F1296" s="7" t="s">
        <v>54</v>
      </c>
      <c r="G1296" s="121">
        <v>22</v>
      </c>
      <c r="H1296" s="124">
        <v>21</v>
      </c>
      <c r="I1296" s="124">
        <v>24</v>
      </c>
      <c r="J1296" s="122">
        <v>21</v>
      </c>
      <c r="K1296" s="122">
        <v>23</v>
      </c>
      <c r="L1296" s="122">
        <v>23</v>
      </c>
      <c r="M1296" s="122">
        <v>22</v>
      </c>
      <c r="N1296" s="122">
        <v>24</v>
      </c>
      <c r="O1296" s="122">
        <v>22</v>
      </c>
      <c r="P1296" s="122">
        <v>22</v>
      </c>
      <c r="Q1296" s="122">
        <v>23</v>
      </c>
      <c r="R1296" s="122">
        <v>22</v>
      </c>
      <c r="S1296" s="121">
        <v>23</v>
      </c>
      <c r="T1296" s="122">
        <v>22</v>
      </c>
      <c r="U1296" s="122">
        <v>22</v>
      </c>
      <c r="V1296" s="122">
        <v>22</v>
      </c>
      <c r="W1296" s="122">
        <v>24</v>
      </c>
      <c r="X1296" s="122">
        <v>21</v>
      </c>
      <c r="Y1296" s="122">
        <v>23</v>
      </c>
      <c r="Z1296" s="122">
        <v>23</v>
      </c>
      <c r="AA1296" s="122">
        <v>21</v>
      </c>
      <c r="AB1296" s="122">
        <v>24</v>
      </c>
      <c r="AC1296" s="122">
        <v>22</v>
      </c>
      <c r="AD1296" s="123">
        <v>22</v>
      </c>
      <c r="AE1296" s="15"/>
      <c r="AF1296" s="144">
        <v>269</v>
      </c>
      <c r="AG1296" s="145">
        <v>269</v>
      </c>
    </row>
    <row r="1297" spans="2:33" x14ac:dyDescent="0.2">
      <c r="B1297" s="9">
        <f>G1289</f>
        <v>27</v>
      </c>
      <c r="C1297" s="9" t="str">
        <f t="shared" si="7559"/>
        <v>27 - Total Vet Days</v>
      </c>
      <c r="D1297" s="9" t="s">
        <v>56</v>
      </c>
      <c r="F1297" s="8" t="s">
        <v>51</v>
      </c>
      <c r="G1297" s="125">
        <f>G1295*G1296</f>
        <v>88</v>
      </c>
      <c r="H1297" s="126">
        <f t="shared" ref="H1297" si="7560">H1295*H1296</f>
        <v>84</v>
      </c>
      <c r="I1297" s="126">
        <f t="shared" ref="I1297" si="7561">I1295*I1296</f>
        <v>72</v>
      </c>
      <c r="J1297" s="127">
        <f t="shared" ref="J1297" si="7562">J1295*J1296</f>
        <v>63</v>
      </c>
      <c r="K1297" s="127">
        <f t="shared" ref="K1297" si="7563">K1295*K1296</f>
        <v>69</v>
      </c>
      <c r="L1297" s="127">
        <f t="shared" ref="L1297" si="7564">L1295*L1296</f>
        <v>69</v>
      </c>
      <c r="M1297" s="127">
        <f t="shared" ref="M1297" si="7565">M1295*M1296</f>
        <v>88</v>
      </c>
      <c r="N1297" s="127">
        <f t="shared" ref="N1297" si="7566">N1295*N1296</f>
        <v>120</v>
      </c>
      <c r="O1297" s="127">
        <f t="shared" ref="O1297" si="7567">O1295*O1296</f>
        <v>110</v>
      </c>
      <c r="P1297" s="127">
        <f t="shared" ref="P1297" si="7568">P1295*P1296</f>
        <v>110</v>
      </c>
      <c r="Q1297" s="127">
        <f t="shared" ref="Q1297" si="7569">Q1295*Q1296</f>
        <v>115</v>
      </c>
      <c r="R1297" s="127">
        <f t="shared" ref="R1297" si="7570">R1295*R1296</f>
        <v>110</v>
      </c>
      <c r="S1297" s="125">
        <f t="shared" ref="S1297" si="7571">S1295*S1296</f>
        <v>92</v>
      </c>
      <c r="T1297" s="127">
        <f t="shared" ref="T1297" si="7572">T1295*T1296</f>
        <v>88</v>
      </c>
      <c r="U1297" s="127">
        <f t="shared" ref="U1297" si="7573">U1295*U1296</f>
        <v>66</v>
      </c>
      <c r="V1297" s="127">
        <f t="shared" ref="V1297" si="7574">V1295*V1296</f>
        <v>44</v>
      </c>
      <c r="W1297" s="127">
        <f t="shared" ref="W1297" si="7575">W1295*W1296</f>
        <v>24</v>
      </c>
      <c r="X1297" s="127">
        <f t="shared" ref="X1297" si="7576">X1295*X1296</f>
        <v>21</v>
      </c>
      <c r="Y1297" s="127">
        <f t="shared" ref="Y1297" si="7577">Y1295*Y1296</f>
        <v>46</v>
      </c>
      <c r="Z1297" s="127">
        <f t="shared" ref="Z1297" si="7578">Z1295*Z1296</f>
        <v>46</v>
      </c>
      <c r="AA1297" s="127">
        <f t="shared" ref="AA1297" si="7579">AA1295*AA1296</f>
        <v>63</v>
      </c>
      <c r="AB1297" s="127">
        <f t="shared" ref="AB1297" si="7580">AB1295*AB1296</f>
        <v>72</v>
      </c>
      <c r="AC1297" s="127">
        <f t="shared" ref="AC1297" si="7581">AC1295*AC1296</f>
        <v>66</v>
      </c>
      <c r="AD1297" s="128">
        <f t="shared" ref="AD1297" si="7582">AD1295*AD1296</f>
        <v>66</v>
      </c>
      <c r="AF1297" s="119">
        <f>SUM(G1297:R1297)</f>
        <v>1098</v>
      </c>
      <c r="AG1297" s="120">
        <f>SUM(S1297:AD1297)</f>
        <v>694</v>
      </c>
    </row>
    <row r="1298" spans="2:33" x14ac:dyDescent="0.2">
      <c r="B1298" s="9">
        <f>G1289</f>
        <v>27</v>
      </c>
      <c r="C1298" s="9" t="str">
        <f t="shared" si="7559"/>
        <v>27 - Production per Vet Workday</v>
      </c>
      <c r="D1298" s="9" t="s">
        <v>56</v>
      </c>
      <c r="F1298" s="7" t="s">
        <v>50</v>
      </c>
      <c r="G1298" s="129">
        <v>4.7463134791812225</v>
      </c>
      <c r="H1298" s="130">
        <v>5.0140634256976844</v>
      </c>
      <c r="I1298" s="130">
        <v>5.7119104054424303</v>
      </c>
      <c r="J1298" s="130">
        <v>6.2516445635692053</v>
      </c>
      <c r="K1298" s="130">
        <v>6.6674674449963813</v>
      </c>
      <c r="L1298" s="130">
        <v>6.4775408225059916</v>
      </c>
      <c r="M1298" s="130">
        <v>5.7263022992484931</v>
      </c>
      <c r="N1298" s="130">
        <v>5.0455519855235735</v>
      </c>
      <c r="O1298" s="130">
        <v>5.2076096792630677</v>
      </c>
      <c r="P1298" s="130">
        <v>5.163595300116496</v>
      </c>
      <c r="Q1298" s="130">
        <v>4.4586731937607933</v>
      </c>
      <c r="R1298" s="130">
        <v>3.4704367004714038</v>
      </c>
      <c r="S1298" s="129">
        <v>4.8897591022841382</v>
      </c>
      <c r="T1298" s="130">
        <v>5.0457906148138143</v>
      </c>
      <c r="U1298" s="130">
        <v>5.5638439414485612</v>
      </c>
      <c r="V1298" s="130">
        <v>6.2923266302240703</v>
      </c>
      <c r="W1298" s="130">
        <v>6.9276125664425461</v>
      </c>
      <c r="X1298" s="130">
        <v>6.48308959912295</v>
      </c>
      <c r="Y1298" s="130">
        <v>5.6977636834701197</v>
      </c>
      <c r="Z1298" s="130">
        <v>5.215740165078719</v>
      </c>
      <c r="AA1298" s="130">
        <v>4.3528687580113754</v>
      </c>
      <c r="AB1298" s="130">
        <v>4.343120448589266</v>
      </c>
      <c r="AC1298" s="130">
        <v>4.3340664256996471</v>
      </c>
      <c r="AD1298" s="131">
        <v>3.3561657154738329</v>
      </c>
      <c r="AE1298" s="15"/>
      <c r="AF1298" s="132">
        <v>5.332926776390396</v>
      </c>
      <c r="AG1298" s="133">
        <v>5.2139628956812683</v>
      </c>
    </row>
    <row r="1299" spans="2:33" x14ac:dyDescent="0.2">
      <c r="B1299" s="9">
        <f>G1289</f>
        <v>27</v>
      </c>
      <c r="C1299" s="9" t="str">
        <f t="shared" si="7559"/>
        <v>27 - Total Production</v>
      </c>
      <c r="D1299" s="9" t="s">
        <v>56</v>
      </c>
      <c r="F1299" s="8" t="s">
        <v>1</v>
      </c>
      <c r="G1299" s="134">
        <f>G1298*G1297</f>
        <v>417.67558616794759</v>
      </c>
      <c r="H1299" s="135">
        <f t="shared" ref="H1299" si="7583">H1298*H1297</f>
        <v>421.18132775860551</v>
      </c>
      <c r="I1299" s="135">
        <f t="shared" ref="I1299" si="7584">I1298*I1297</f>
        <v>411.25754919185499</v>
      </c>
      <c r="J1299" s="135">
        <f t="shared" ref="J1299" si="7585">J1298*J1297</f>
        <v>393.85360750485995</v>
      </c>
      <c r="K1299" s="135">
        <f t="shared" ref="K1299" si="7586">K1298*K1297</f>
        <v>460.05525370475033</v>
      </c>
      <c r="L1299" s="135">
        <f t="shared" ref="L1299" si="7587">L1298*L1297</f>
        <v>446.95031675291341</v>
      </c>
      <c r="M1299" s="135">
        <f t="shared" ref="M1299" si="7588">M1298*M1297</f>
        <v>503.91460233386738</v>
      </c>
      <c r="N1299" s="135">
        <f t="shared" ref="N1299" si="7589">N1298*N1297</f>
        <v>605.46623826282882</v>
      </c>
      <c r="O1299" s="135">
        <f t="shared" ref="O1299" si="7590">O1298*O1297</f>
        <v>572.83706471893743</v>
      </c>
      <c r="P1299" s="135">
        <f t="shared" ref="P1299" si="7591">P1298*P1297</f>
        <v>567.99548301281459</v>
      </c>
      <c r="Q1299" s="135">
        <f t="shared" ref="Q1299" si="7592">Q1298*Q1297</f>
        <v>512.74741728249126</v>
      </c>
      <c r="R1299" s="135">
        <f t="shared" ref="R1299" si="7593">R1298*R1297</f>
        <v>381.7480370518544</v>
      </c>
      <c r="S1299" s="134">
        <f t="shared" ref="S1299" si="7594">S1298*S1297</f>
        <v>449.85783741014075</v>
      </c>
      <c r="T1299" s="135">
        <f t="shared" ref="T1299" si="7595">T1298*T1297</f>
        <v>444.02957410361569</v>
      </c>
      <c r="U1299" s="135">
        <f t="shared" ref="U1299" si="7596">U1298*U1297</f>
        <v>367.21370013560505</v>
      </c>
      <c r="V1299" s="135">
        <f t="shared" ref="V1299" si="7597">V1298*V1297</f>
        <v>276.86237172985909</v>
      </c>
      <c r="W1299" s="135">
        <f t="shared" ref="W1299" si="7598">W1298*W1297</f>
        <v>166.26270159462109</v>
      </c>
      <c r="X1299" s="135">
        <f t="shared" ref="X1299" si="7599">X1298*X1297</f>
        <v>136.14488158158196</v>
      </c>
      <c r="Y1299" s="135">
        <f t="shared" ref="Y1299" si="7600">Y1298*Y1297</f>
        <v>262.09712943962552</v>
      </c>
      <c r="Z1299" s="135">
        <f t="shared" ref="Z1299" si="7601">Z1298*Z1297</f>
        <v>239.92404759362108</v>
      </c>
      <c r="AA1299" s="135">
        <f t="shared" ref="AA1299" si="7602">AA1298*AA1297</f>
        <v>274.23073175471666</v>
      </c>
      <c r="AB1299" s="135">
        <f t="shared" ref="AB1299" si="7603">AB1298*AB1297</f>
        <v>312.70467229842717</v>
      </c>
      <c r="AC1299" s="135">
        <f t="shared" ref="AC1299" si="7604">AC1298*AC1297</f>
        <v>286.04838409617673</v>
      </c>
      <c r="AD1299" s="136">
        <f t="shared" ref="AD1299" si="7605">AD1298*AD1297</f>
        <v>221.50693722127298</v>
      </c>
      <c r="AE1299" s="15"/>
      <c r="AF1299" s="94">
        <f>SUM(G1299:R1299)</f>
        <v>5695.6824837437252</v>
      </c>
      <c r="AG1299" s="95">
        <f>SUM(S1299:AD1299)</f>
        <v>3436.882968959264</v>
      </c>
    </row>
    <row r="1300" spans="2:33" x14ac:dyDescent="0.2">
      <c r="B1300" s="9">
        <f>G1289</f>
        <v>27</v>
      </c>
      <c r="C1300" s="9" t="str">
        <f t="shared" si="7559"/>
        <v>27 - Revenue as a % of Production</v>
      </c>
      <c r="D1300" s="9" t="s">
        <v>56</v>
      </c>
      <c r="F1300" s="7" t="s">
        <v>2</v>
      </c>
      <c r="G1300" s="137">
        <v>0.97605502329527005</v>
      </c>
      <c r="H1300" s="138">
        <v>0.97605502329527005</v>
      </c>
      <c r="I1300" s="138">
        <v>0.97605502329527005</v>
      </c>
      <c r="J1300" s="138">
        <v>0.97605502329527005</v>
      </c>
      <c r="K1300" s="138">
        <v>0.97605502329527005</v>
      </c>
      <c r="L1300" s="138">
        <v>0.97605502329527005</v>
      </c>
      <c r="M1300" s="138">
        <v>0.97605502329527005</v>
      </c>
      <c r="N1300" s="138">
        <v>0.97605502329527005</v>
      </c>
      <c r="O1300" s="138">
        <v>0.97605502329527005</v>
      </c>
      <c r="P1300" s="138">
        <v>0.97605502329527005</v>
      </c>
      <c r="Q1300" s="138">
        <v>0.97605502329527005</v>
      </c>
      <c r="R1300" s="138">
        <v>0.97605502329527005</v>
      </c>
      <c r="S1300" s="137">
        <v>0.98366424525708984</v>
      </c>
      <c r="T1300" s="138">
        <v>0.98366424525708984</v>
      </c>
      <c r="U1300" s="138">
        <v>0.98366424525708984</v>
      </c>
      <c r="V1300" s="138">
        <v>0.98366424525708984</v>
      </c>
      <c r="W1300" s="138">
        <v>0.98366424525708984</v>
      </c>
      <c r="X1300" s="138">
        <v>0.98366424525708984</v>
      </c>
      <c r="Y1300" s="138">
        <v>0.98366424525708984</v>
      </c>
      <c r="Z1300" s="138">
        <v>0.98366424525708984</v>
      </c>
      <c r="AA1300" s="138">
        <v>0.98366424525708984</v>
      </c>
      <c r="AB1300" s="138">
        <v>0.98366424525708984</v>
      </c>
      <c r="AC1300" s="138">
        <v>0.98366424525708984</v>
      </c>
      <c r="AD1300" s="139">
        <v>0.98366424525708984</v>
      </c>
      <c r="AE1300" s="15"/>
      <c r="AF1300" s="161">
        <v>0.97605502329527005</v>
      </c>
      <c r="AG1300" s="162">
        <v>0.98366424525708984</v>
      </c>
    </row>
    <row r="1301" spans="2:33" x14ac:dyDescent="0.2">
      <c r="B1301" s="9">
        <f>G1289</f>
        <v>27</v>
      </c>
      <c r="C1301" s="9" t="str">
        <f t="shared" si="7559"/>
        <v>27 - Total Revenue</v>
      </c>
      <c r="D1301" s="9" t="s">
        <v>56</v>
      </c>
      <c r="F1301" s="8" t="s">
        <v>3</v>
      </c>
      <c r="G1301" s="134">
        <f>G1300*G1299</f>
        <v>407.67435398702168</v>
      </c>
      <c r="H1301" s="135">
        <f t="shared" ref="H1301" si="7606">H1300*H1299</f>
        <v>411.09615067695847</v>
      </c>
      <c r="I1301" s="135">
        <f t="shared" ref="I1301" si="7607">I1300*I1299</f>
        <v>401.40999675681167</v>
      </c>
      <c r="J1301" s="135">
        <f t="shared" ref="J1301" si="7608">J1300*J1299</f>
        <v>384.42279204808221</v>
      </c>
      <c r="K1301" s="135">
        <f t="shared" ref="K1301" si="7609">K1300*K1299</f>
        <v>449.03924137190148</v>
      </c>
      <c r="L1301" s="135">
        <f t="shared" ref="L1301" si="7610">L1300*L1299</f>
        <v>436.24810183009322</v>
      </c>
      <c r="M1301" s="135">
        <f t="shared" ref="M1301" si="7611">M1300*M1299</f>
        <v>491.84837891980965</v>
      </c>
      <c r="N1301" s="135">
        <f t="shared" ref="N1301" si="7612">N1300*N1299</f>
        <v>590.96836329212488</v>
      </c>
      <c r="O1301" s="135">
        <f t="shared" ref="O1301" si="7613">O1300*O1299</f>
        <v>559.12049454863654</v>
      </c>
      <c r="P1301" s="135">
        <f t="shared" ref="P1301" si="7614">P1300*P1299</f>
        <v>554.39484440368096</v>
      </c>
      <c r="Q1301" s="135">
        <f t="shared" ref="Q1301" si="7615">Q1300*Q1299</f>
        <v>500.46969232025157</v>
      </c>
      <c r="R1301" s="135">
        <f t="shared" ref="R1301" si="7616">R1300*R1299</f>
        <v>372.60708919757138</v>
      </c>
      <c r="S1301" s="134">
        <f t="shared" ref="S1301" si="7617">S1300*S1299</f>
        <v>442.50907010903273</v>
      </c>
      <c r="T1301" s="135">
        <f t="shared" ref="T1301" si="7618">T1300*T1299</f>
        <v>436.77601588246017</v>
      </c>
      <c r="U1301" s="135">
        <f t="shared" ref="U1301" si="7619">U1300*U1299</f>
        <v>361.21498719195324</v>
      </c>
      <c r="V1301" s="135">
        <f t="shared" ref="V1301" si="7620">V1300*V1299</f>
        <v>272.33961592773971</v>
      </c>
      <c r="W1301" s="135">
        <f t="shared" ref="W1301" si="7621">W1300*W1299</f>
        <v>163.54667487847772</v>
      </c>
      <c r="X1301" s="135">
        <f t="shared" ref="X1301" si="7622">X1300*X1299</f>
        <v>133.92085218656268</v>
      </c>
      <c r="Y1301" s="135">
        <f t="shared" ref="Y1301" si="7623">Y1300*Y1299</f>
        <v>257.81557501427903</v>
      </c>
      <c r="Z1301" s="135">
        <f t="shared" ref="Z1301" si="7624">Z1300*Z1299</f>
        <v>236.00470719520538</v>
      </c>
      <c r="AA1301" s="135">
        <f t="shared" ref="AA1301" si="7625">AA1300*AA1299</f>
        <v>269.75096577780283</v>
      </c>
      <c r="AB1301" s="135">
        <f t="shared" ref="AB1301" si="7626">AB1300*AB1299</f>
        <v>307.59640546479795</v>
      </c>
      <c r="AC1301" s="135">
        <f t="shared" ref="AC1301" si="7627">AC1300*AC1299</f>
        <v>281.37556784897583</v>
      </c>
      <c r="AD1301" s="136">
        <f t="shared" ref="AD1301" si="7628">AD1300*AD1299</f>
        <v>217.88845422097307</v>
      </c>
      <c r="AE1301" s="15"/>
      <c r="AF1301" s="94">
        <f>SUM(G1301:R1301)</f>
        <v>5559.2994993529437</v>
      </c>
      <c r="AG1301" s="95">
        <f>SUM(S1301:AD1301)</f>
        <v>3380.7388916982604</v>
      </c>
    </row>
    <row r="1302" spans="2:33" x14ac:dyDescent="0.2">
      <c r="B1302" s="9">
        <f>G1289</f>
        <v>27</v>
      </c>
      <c r="C1302" s="9" t="str">
        <f t="shared" si="7559"/>
        <v>27 - % YoY Revenue Growth</v>
      </c>
      <c r="D1302" s="9" t="s">
        <v>56</v>
      </c>
      <c r="F1302" s="16" t="s">
        <v>174</v>
      </c>
      <c r="G1302" s="82"/>
      <c r="H1302" s="83"/>
      <c r="I1302" s="83"/>
      <c r="J1302" s="83"/>
      <c r="K1302" s="83"/>
      <c r="L1302" s="83"/>
      <c r="M1302" s="83"/>
      <c r="N1302" s="83"/>
      <c r="O1302" s="83"/>
      <c r="P1302" s="83"/>
      <c r="Q1302" s="83"/>
      <c r="R1302" s="83"/>
      <c r="S1302" s="148">
        <f>S1301/G1301-1</f>
        <v>8.5447406198919218E-2</v>
      </c>
      <c r="T1302" s="149">
        <f t="shared" ref="T1302" si="7629">T1301/H1301-1</f>
        <v>6.2466810168896547E-2</v>
      </c>
      <c r="U1302" s="149">
        <f t="shared" ref="U1302" si="7630">U1301/I1301-1</f>
        <v>-0.10013455043375508</v>
      </c>
      <c r="V1302" s="149">
        <f t="shared" ref="V1302" si="7631">V1301/J1301-1</f>
        <v>-0.29156225499325639</v>
      </c>
      <c r="W1302" s="149">
        <f t="shared" ref="W1302" si="7632">W1301/K1301-1</f>
        <v>-0.63578533943089011</v>
      </c>
      <c r="X1302" s="149">
        <f t="shared" ref="X1302" si="7633">X1301/L1301-1</f>
        <v>-0.69301676815382174</v>
      </c>
      <c r="Y1302" s="149">
        <f t="shared" ref="Y1302" si="7634">Y1301/M1301-1</f>
        <v>-0.4758230664895351</v>
      </c>
      <c r="Z1302" s="149">
        <f t="shared" ref="Z1302" si="7635">Z1301/N1301-1</f>
        <v>-0.60064747649013395</v>
      </c>
      <c r="AA1302" s="149">
        <f t="shared" ref="AA1302" si="7636">AA1301/O1301-1</f>
        <v>-0.51754412795122851</v>
      </c>
      <c r="AB1302" s="149">
        <f t="shared" ref="AB1302" si="7637">AB1301/P1301-1</f>
        <v>-0.44516726919483662</v>
      </c>
      <c r="AC1302" s="149">
        <f t="shared" ref="AC1302" si="7638">AC1301/Q1301-1</f>
        <v>-0.43777700794532226</v>
      </c>
      <c r="AD1302" s="150">
        <f t="shared" ref="AD1302" si="7639">AD1301/R1301-1</f>
        <v>-0.41523266588886665</v>
      </c>
      <c r="AE1302" s="15"/>
      <c r="AF1302" s="11"/>
      <c r="AG1302" s="97">
        <f>AG1301/AF1301-1</f>
        <v>-0.39187681971591015</v>
      </c>
    </row>
    <row r="1303" spans="2:33" ht="6" customHeight="1" x14ac:dyDescent="0.2">
      <c r="B1303" s="9">
        <f>G1289</f>
        <v>27</v>
      </c>
      <c r="C1303" s="9" t="str">
        <f t="shared" si="7559"/>
        <v xml:space="preserve">27 - </v>
      </c>
      <c r="D1303" s="9" t="s">
        <v>56</v>
      </c>
      <c r="G1303" s="11"/>
      <c r="S1303" s="11"/>
      <c r="AD1303" s="15"/>
      <c r="AE1303" s="15"/>
      <c r="AF1303" s="11"/>
      <c r="AG1303" s="15"/>
    </row>
    <row r="1304" spans="2:33" x14ac:dyDescent="0.2">
      <c r="B1304" s="9">
        <f>G1289</f>
        <v>27</v>
      </c>
      <c r="C1304" s="9" t="str">
        <f t="shared" si="7559"/>
        <v>27 - Doctor Compensation</v>
      </c>
      <c r="D1304" s="9" t="s">
        <v>56</v>
      </c>
      <c r="F1304" t="s">
        <v>4</v>
      </c>
      <c r="G1304" s="144">
        <v>-149.77459315832257</v>
      </c>
      <c r="H1304" s="70">
        <v>-152.70631015230583</v>
      </c>
      <c r="I1304" s="70">
        <v>-131.90826411910896</v>
      </c>
      <c r="J1304" s="70">
        <v>-126.02485920078506</v>
      </c>
      <c r="K1304" s="70">
        <v>-150.35184761997689</v>
      </c>
      <c r="L1304" s="70">
        <v>-145.67444558394837</v>
      </c>
      <c r="M1304" s="70">
        <v>-188.03699166196424</v>
      </c>
      <c r="N1304" s="70">
        <v>-180.10577451107105</v>
      </c>
      <c r="O1304" s="70">
        <v>-171.96916578642833</v>
      </c>
      <c r="P1304" s="70">
        <v>-173.79415708310623</v>
      </c>
      <c r="Q1304" s="70">
        <v>-153.87087768018674</v>
      </c>
      <c r="R1304" s="70">
        <v>-111.78384912089888</v>
      </c>
      <c r="S1304" s="144">
        <v>-162.59555516429339</v>
      </c>
      <c r="T1304" s="70">
        <v>-163.86045479675687</v>
      </c>
      <c r="U1304" s="70">
        <v>-122.06988977400971</v>
      </c>
      <c r="V1304" s="70">
        <v>-89.783458382239573</v>
      </c>
      <c r="W1304" s="70">
        <v>-47.495440372927675</v>
      </c>
      <c r="X1304" s="70">
        <v>-58.049983248194991</v>
      </c>
      <c r="Y1304" s="70">
        <v>-82.086838048268262</v>
      </c>
      <c r="Z1304" s="70">
        <v>-74.514544935612861</v>
      </c>
      <c r="AA1304" s="70">
        <v>-85.157798352427292</v>
      </c>
      <c r="AB1304" s="70">
        <v>-95.209422453630978</v>
      </c>
      <c r="AC1304" s="70">
        <v>-87.054633293650326</v>
      </c>
      <c r="AD1304" s="145">
        <v>-104.02359992676429</v>
      </c>
      <c r="AE1304" s="15"/>
      <c r="AF1304" s="92">
        <f>SUM(G1304:R1304)</f>
        <v>-1836.0011356781031</v>
      </c>
      <c r="AG1304" s="93">
        <f>SUM(S1304:AD1304)</f>
        <v>-1171.9016187487762</v>
      </c>
    </row>
    <row r="1305" spans="2:33" x14ac:dyDescent="0.2">
      <c r="B1305" s="9">
        <f>G1289</f>
        <v>27</v>
      </c>
      <c r="C1305" s="9" t="str">
        <f t="shared" si="7559"/>
        <v>27 - % of Revenue - Doctor Compensation</v>
      </c>
      <c r="D1305" s="9" t="s">
        <v>56</v>
      </c>
      <c r="F1305" s="16" t="str">
        <f>"% of Revenue - "&amp;F1304</f>
        <v>% of Revenue - Doctor Compensation</v>
      </c>
      <c r="G1305" s="148">
        <f>G1304/G1301</f>
        <v>-0.36738782239682083</v>
      </c>
      <c r="H1305" s="149">
        <f t="shared" ref="H1305" si="7640">H1304/H1301</f>
        <v>-0.37146129901932179</v>
      </c>
      <c r="I1305" s="149">
        <f t="shared" ref="I1305" si="7641">I1304/I1301</f>
        <v>-0.32861230458847701</v>
      </c>
      <c r="J1305" s="149">
        <f t="shared" ref="J1305" si="7642">J1304/J1301</f>
        <v>-0.3278287911321926</v>
      </c>
      <c r="K1305" s="149">
        <f t="shared" ref="K1305" si="7643">K1304/K1301</f>
        <v>-0.33483008558589</v>
      </c>
      <c r="L1305" s="149">
        <f t="shared" ref="L1305" si="7644">L1304/L1301</f>
        <v>-0.33392568351090407</v>
      </c>
      <c r="M1305" s="149">
        <f t="shared" ref="M1305" si="7645">M1304/M1301</f>
        <v>-0.3823068240560808</v>
      </c>
      <c r="N1305" s="149">
        <f t="shared" ref="N1305" si="7646">N1304/N1301</f>
        <v>-0.3047638176564148</v>
      </c>
      <c r="O1305" s="149">
        <f t="shared" ref="O1305" si="7647">O1304/O1301</f>
        <v>-0.3075708500459361</v>
      </c>
      <c r="P1305" s="149">
        <f t="shared" ref="P1305" si="7648">P1304/P1301</f>
        <v>-0.31348443954244015</v>
      </c>
      <c r="Q1305" s="149">
        <f t="shared" ref="Q1305" si="7649">Q1304/Q1301</f>
        <v>-0.3074529387919947</v>
      </c>
      <c r="R1305" s="149">
        <f t="shared" ref="R1305" si="7650">R1304/R1301</f>
        <v>-0.30000462246070297</v>
      </c>
      <c r="S1305" s="148">
        <f t="shared" ref="S1305" si="7651">S1304/S1301</f>
        <v>-0.3674400507185771</v>
      </c>
      <c r="T1305" s="149">
        <f t="shared" ref="T1305" si="7652">T1304/T1301</f>
        <v>-0.3751590033296448</v>
      </c>
      <c r="U1305" s="149">
        <f t="shared" ref="U1305" si="7653">U1304/U1301</f>
        <v>-0.33794248329220228</v>
      </c>
      <c r="V1305" s="149">
        <f t="shared" ref="V1305" si="7654">V1304/V1301</f>
        <v>-0.32967461629255568</v>
      </c>
      <c r="W1305" s="149">
        <f t="shared" ref="W1305" si="7655">W1304/W1301</f>
        <v>-0.29040908601913706</v>
      </c>
      <c r="X1305" s="149">
        <f t="shared" ref="X1305" si="7656">X1304/X1301</f>
        <v>-0.43346485853694111</v>
      </c>
      <c r="Y1305" s="149">
        <f t="shared" ref="Y1305" si="7657">Y1304/Y1301</f>
        <v>-0.31839363484429484</v>
      </c>
      <c r="Z1305" s="149">
        <f t="shared" ref="Z1305" si="7658">Z1304/Z1301</f>
        <v>-0.31573329964973967</v>
      </c>
      <c r="AA1305" s="149">
        <f t="shared" ref="AA1305" si="7659">AA1304/AA1301</f>
        <v>-0.31569042990034302</v>
      </c>
      <c r="AB1305" s="149">
        <f t="shared" ref="AB1305" si="7660">AB1304/AB1301</f>
        <v>-0.30952709707307346</v>
      </c>
      <c r="AC1305" s="149">
        <f t="shared" ref="AC1305" si="7661">AC1304/AC1301</f>
        <v>-0.30938945395705292</v>
      </c>
      <c r="AD1305" s="150">
        <f t="shared" ref="AD1305" si="7662">AD1304/AD1301</f>
        <v>-0.47741676032667635</v>
      </c>
      <c r="AE1305" s="15"/>
      <c r="AF1305" s="96">
        <f t="shared" ref="AF1305" si="7663">AF1304/AF1301</f>
        <v>-0.33025764053399143</v>
      </c>
      <c r="AG1305" s="97">
        <f t="shared" ref="AG1305" si="7664">AG1304/AG1301</f>
        <v>-0.34664067716867952</v>
      </c>
    </row>
    <row r="1306" spans="2:33" ht="3" customHeight="1" x14ac:dyDescent="0.2">
      <c r="B1306" s="9">
        <f>G1289</f>
        <v>27</v>
      </c>
      <c r="C1306" s="9" t="str">
        <f t="shared" si="7559"/>
        <v xml:space="preserve">27 - </v>
      </c>
      <c r="D1306" s="9" t="s">
        <v>56</v>
      </c>
      <c r="F1306" s="16"/>
      <c r="G1306" s="36"/>
      <c r="H1306" s="37"/>
      <c r="I1306" s="37"/>
      <c r="J1306" s="37"/>
      <c r="K1306" s="37"/>
      <c r="L1306" s="37"/>
      <c r="M1306" s="37"/>
      <c r="N1306" s="37"/>
      <c r="O1306" s="37"/>
      <c r="P1306" s="37"/>
      <c r="Q1306" s="37"/>
      <c r="R1306" s="37"/>
      <c r="S1306" s="36"/>
      <c r="T1306" s="37"/>
      <c r="U1306" s="37"/>
      <c r="V1306" s="37"/>
      <c r="W1306" s="37"/>
      <c r="X1306" s="37"/>
      <c r="Y1306" s="37"/>
      <c r="Z1306" s="37"/>
      <c r="AA1306" s="37"/>
      <c r="AB1306" s="37"/>
      <c r="AC1306" s="37"/>
      <c r="AD1306" s="38"/>
      <c r="AE1306" s="15"/>
      <c r="AF1306" s="36"/>
      <c r="AG1306" s="38"/>
    </row>
    <row r="1307" spans="2:33" x14ac:dyDescent="0.2">
      <c r="B1307" s="9">
        <f>G1289</f>
        <v>27</v>
      </c>
      <c r="C1307" s="9" t="str">
        <f t="shared" si="7559"/>
        <v>27 - Administrative Staff Compensation</v>
      </c>
      <c r="D1307" s="9" t="s">
        <v>56</v>
      </c>
      <c r="F1307" t="s">
        <v>5</v>
      </c>
      <c r="G1307" s="144">
        <v>-85.218763291356467</v>
      </c>
      <c r="H1307" s="70">
        <v>-82.886238108083091</v>
      </c>
      <c r="I1307" s="70">
        <v>-105.31805403698648</v>
      </c>
      <c r="J1307" s="70">
        <v>-99.505406175181378</v>
      </c>
      <c r="K1307" s="70">
        <v>-119.01043909134744</v>
      </c>
      <c r="L1307" s="70">
        <v>-111.8304291545343</v>
      </c>
      <c r="M1307" s="70">
        <v>-90.43079485485228</v>
      </c>
      <c r="N1307" s="70">
        <v>-84.199690497479381</v>
      </c>
      <c r="O1307" s="70">
        <v>-83.431334886646908</v>
      </c>
      <c r="P1307" s="70">
        <v>-87.089461807529332</v>
      </c>
      <c r="Q1307" s="70">
        <v>-81.669443632655714</v>
      </c>
      <c r="R1307" s="70">
        <v>-63.547444186572505</v>
      </c>
      <c r="S1307" s="144">
        <v>-64.186640034186482</v>
      </c>
      <c r="T1307" s="70">
        <v>-61.639783207726403</v>
      </c>
      <c r="U1307" s="70">
        <v>-58.939366069678627</v>
      </c>
      <c r="V1307" s="70">
        <v>-65.274167001154453</v>
      </c>
      <c r="W1307" s="70">
        <v>-67.039368828347591</v>
      </c>
      <c r="X1307" s="70">
        <v>-64.528442761965763</v>
      </c>
      <c r="Y1307" s="70">
        <v>-63.407877680875792</v>
      </c>
      <c r="Z1307" s="70">
        <v>-56.966212320261775</v>
      </c>
      <c r="AA1307" s="70">
        <v>-51.631606108537667</v>
      </c>
      <c r="AB1307" s="70">
        <v>-59.75044491274712</v>
      </c>
      <c r="AC1307" s="70">
        <v>-53.938286519110541</v>
      </c>
      <c r="AD1307" s="145">
        <v>-43.00213206680219</v>
      </c>
      <c r="AE1307" s="15"/>
      <c r="AF1307" s="92">
        <f>SUM(G1307:R1307)</f>
        <v>-1094.1374997232253</v>
      </c>
      <c r="AG1307" s="93">
        <f>SUM(S1307:AD1307)</f>
        <v>-710.30432751139449</v>
      </c>
    </row>
    <row r="1308" spans="2:33" x14ac:dyDescent="0.2">
      <c r="B1308" s="9">
        <f>G1289</f>
        <v>27</v>
      </c>
      <c r="C1308" s="9" t="str">
        <f t="shared" si="7559"/>
        <v>27 - % of Revenue - Administrative Staff Compensation</v>
      </c>
      <c r="D1308" s="9" t="s">
        <v>56</v>
      </c>
      <c r="F1308" s="16" t="str">
        <f>"% of Revenue - "&amp;F1307</f>
        <v>% of Revenue - Administrative Staff Compensation</v>
      </c>
      <c r="G1308" s="148">
        <f>G1307/G1301</f>
        <v>-0.20903636065875611</v>
      </c>
      <c r="H1308" s="149">
        <f t="shared" ref="H1308" si="7665">H1307/H1301</f>
        <v>-0.20162251086903399</v>
      </c>
      <c r="I1308" s="149">
        <f t="shared" ref="I1308" si="7666">I1307/I1301</f>
        <v>-0.26237028197579215</v>
      </c>
      <c r="J1308" s="149">
        <f t="shared" ref="J1308" si="7667">J1307/J1301</f>
        <v>-0.25884366960930766</v>
      </c>
      <c r="K1308" s="149">
        <f t="shared" ref="K1308" si="7668">K1307/K1301</f>
        <v>-0.26503349401657544</v>
      </c>
      <c r="L1308" s="149">
        <f t="shared" ref="L1308" si="7669">L1307/L1301</f>
        <v>-0.25634593866517091</v>
      </c>
      <c r="M1308" s="149">
        <f t="shared" ref="M1308" si="7670">M1307/M1301</f>
        <v>-0.18385908896041314</v>
      </c>
      <c r="N1308" s="149">
        <f t="shared" ref="N1308" si="7671">N1307/N1301</f>
        <v>-0.14247749241334287</v>
      </c>
      <c r="O1308" s="149">
        <f t="shared" ref="O1308" si="7672">O1307/O1301</f>
        <v>-0.14921888161870878</v>
      </c>
      <c r="P1308" s="149">
        <f t="shared" ref="P1308" si="7673">P1307/P1301</f>
        <v>-0.1570892346612722</v>
      </c>
      <c r="Q1308" s="149">
        <f t="shared" ref="Q1308" si="7674">Q1307/Q1301</f>
        <v>-0.16318559322548401</v>
      </c>
      <c r="R1308" s="149">
        <f t="shared" ref="R1308" si="7675">R1307/R1301</f>
        <v>-0.17054813509701389</v>
      </c>
      <c r="S1308" s="148">
        <f t="shared" ref="S1308" si="7676">S1307/S1301</f>
        <v>-0.14505158056618164</v>
      </c>
      <c r="T1308" s="149">
        <f t="shared" ref="T1308" si="7677">T1307/T1301</f>
        <v>-0.14112446875817958</v>
      </c>
      <c r="U1308" s="149">
        <f t="shared" ref="U1308" si="7678">U1307/U1301</f>
        <v>-0.16316976913905751</v>
      </c>
      <c r="V1308" s="149">
        <f t="shared" ref="V1308" si="7679">V1307/V1301</f>
        <v>-0.23967929446766109</v>
      </c>
      <c r="W1308" s="149">
        <f t="shared" ref="W1308" si="7680">W1307/W1301</f>
        <v>-0.40990970240245334</v>
      </c>
      <c r="X1308" s="149">
        <f t="shared" ref="X1308" si="7681">X1307/X1301</f>
        <v>-0.4818401444464554</v>
      </c>
      <c r="Y1308" s="149">
        <f t="shared" ref="Y1308" si="7682">Y1307/Y1301</f>
        <v>-0.24594277392808392</v>
      </c>
      <c r="Z1308" s="149">
        <f t="shared" ref="Z1308" si="7683">Z1307/Z1301</f>
        <v>-0.24137744114206841</v>
      </c>
      <c r="AA1308" s="149">
        <f t="shared" ref="AA1308" si="7684">AA1307/AA1301</f>
        <v>-0.19140471271219564</v>
      </c>
      <c r="AB1308" s="149">
        <f t="shared" ref="AB1308" si="7685">AB1307/AB1301</f>
        <v>-0.19424949008250064</v>
      </c>
      <c r="AC1308" s="149">
        <f t="shared" ref="AC1308" si="7686">AC1307/AC1301</f>
        <v>-0.19169498948132241</v>
      </c>
      <c r="AD1308" s="150">
        <f t="shared" ref="AD1308" si="7687">AD1307/AD1301</f>
        <v>-0.19735847050982921</v>
      </c>
      <c r="AE1308" s="15"/>
      <c r="AF1308" s="96">
        <f t="shared" ref="AF1308" si="7688">AF1307/AF1301</f>
        <v>-0.19681211631979423</v>
      </c>
      <c r="AG1308" s="97">
        <f t="shared" ref="AG1308" si="7689">AG1307/AG1301</f>
        <v>-0.21010327927294747</v>
      </c>
    </row>
    <row r="1309" spans="2:33" ht="3" customHeight="1" x14ac:dyDescent="0.2">
      <c r="B1309" s="9">
        <f>G1289</f>
        <v>27</v>
      </c>
      <c r="C1309" s="9" t="str">
        <f t="shared" si="7559"/>
        <v xml:space="preserve">27 - </v>
      </c>
      <c r="D1309" s="9" t="s">
        <v>56</v>
      </c>
      <c r="F1309" s="16"/>
      <c r="G1309" s="36"/>
      <c r="H1309" s="37"/>
      <c r="I1309" s="37"/>
      <c r="J1309" s="37"/>
      <c r="K1309" s="37"/>
      <c r="L1309" s="37"/>
      <c r="M1309" s="37"/>
      <c r="N1309" s="37"/>
      <c r="O1309" s="37"/>
      <c r="P1309" s="37"/>
      <c r="Q1309" s="37"/>
      <c r="R1309" s="37"/>
      <c r="S1309" s="36"/>
      <c r="T1309" s="37"/>
      <c r="U1309" s="37"/>
      <c r="V1309" s="37"/>
      <c r="W1309" s="37"/>
      <c r="X1309" s="37"/>
      <c r="Y1309" s="37"/>
      <c r="Z1309" s="37"/>
      <c r="AA1309" s="37"/>
      <c r="AB1309" s="37"/>
      <c r="AC1309" s="37"/>
      <c r="AD1309" s="38"/>
      <c r="AE1309" s="15"/>
      <c r="AF1309" s="36"/>
      <c r="AG1309" s="38"/>
    </row>
    <row r="1310" spans="2:33" x14ac:dyDescent="0.2">
      <c r="B1310" s="9">
        <f>G1289</f>
        <v>27</v>
      </c>
      <c r="C1310" s="9" t="str">
        <f t="shared" si="7559"/>
        <v>27 - Office Supplies</v>
      </c>
      <c r="D1310" s="9" t="s">
        <v>56</v>
      </c>
      <c r="F1310" t="s">
        <v>6</v>
      </c>
      <c r="G1310" s="144">
        <v>-21.021071630670306</v>
      </c>
      <c r="H1310" s="70">
        <v>-21.278086935450332</v>
      </c>
      <c r="I1310" s="70">
        <v>-28.688810969834517</v>
      </c>
      <c r="J1310" s="70">
        <v>-25.140607368992761</v>
      </c>
      <c r="K1310" s="70">
        <v>-26.827547977410237</v>
      </c>
      <c r="L1310" s="70">
        <v>-27.07368202077399</v>
      </c>
      <c r="M1310" s="70">
        <v>-24.170334562207959</v>
      </c>
      <c r="N1310" s="70">
        <v>-23.773179415719191</v>
      </c>
      <c r="O1310" s="70">
        <v>-21.523497718688368</v>
      </c>
      <c r="P1310" s="70">
        <v>-20.566449577834081</v>
      </c>
      <c r="Q1310" s="70">
        <v>-16.729380587810795</v>
      </c>
      <c r="R1310" s="70">
        <v>-13.131048370899999</v>
      </c>
      <c r="S1310" s="144">
        <v>-19.66503707091827</v>
      </c>
      <c r="T1310" s="70">
        <v>-19.990624182073809</v>
      </c>
      <c r="U1310" s="70">
        <v>-22.09904496922988</v>
      </c>
      <c r="V1310" s="70">
        <v>-25.663450034333806</v>
      </c>
      <c r="W1310" s="70">
        <v>-29.17259637702065</v>
      </c>
      <c r="X1310" s="70">
        <v>-26.501564562565459</v>
      </c>
      <c r="Y1310" s="70">
        <v>-26.085457330542333</v>
      </c>
      <c r="Z1310" s="70">
        <v>-25.379148115527531</v>
      </c>
      <c r="AA1310" s="70">
        <v>-20.443082633535443</v>
      </c>
      <c r="AB1310" s="70">
        <v>-21.601754466023042</v>
      </c>
      <c r="AC1310" s="70">
        <v>-19.332463084828905</v>
      </c>
      <c r="AD1310" s="145">
        <v>-15.931739675258001</v>
      </c>
      <c r="AE1310" s="15"/>
      <c r="AF1310" s="92">
        <f>SUM(G1310:R1310)</f>
        <v>-269.9236971362925</v>
      </c>
      <c r="AG1310" s="93">
        <f>SUM(S1310:AD1310)</f>
        <v>-271.8659625018571</v>
      </c>
    </row>
    <row r="1311" spans="2:33" x14ac:dyDescent="0.2">
      <c r="B1311" s="9">
        <f>G1289</f>
        <v>27</v>
      </c>
      <c r="C1311" s="9" t="str">
        <f t="shared" si="7559"/>
        <v>27 - % of Revenue - Office Supplies</v>
      </c>
      <c r="D1311" s="9" t="s">
        <v>56</v>
      </c>
      <c r="F1311" s="16" t="str">
        <f>"% of Revenue - "&amp;F1310</f>
        <v>% of Revenue - Office Supplies</v>
      </c>
      <c r="G1311" s="148">
        <f>G1310/G1301</f>
        <v>-5.1563389811220536E-2</v>
      </c>
      <c r="H1311" s="149">
        <f t="shared" ref="H1311" si="7690">H1310/H1301</f>
        <v>-5.1759392298885244E-2</v>
      </c>
      <c r="I1311" s="149">
        <f t="shared" ref="I1311" si="7691">I1310/I1301</f>
        <v>-7.1470095915959986E-2</v>
      </c>
      <c r="J1311" s="149">
        <f t="shared" ref="J1311" si="7692">J1310/J1301</f>
        <v>-6.5398326761666792E-2</v>
      </c>
      <c r="K1311" s="149">
        <f t="shared" ref="K1311" si="7693">K1310/K1301</f>
        <v>-5.974432857014212E-2</v>
      </c>
      <c r="L1311" s="149">
        <f t="shared" ref="L1311" si="7694">L1310/L1301</f>
        <v>-6.206028612433586E-2</v>
      </c>
      <c r="M1311" s="149">
        <f t="shared" ref="M1311" si="7695">M1310/M1301</f>
        <v>-4.9141840449470425E-2</v>
      </c>
      <c r="N1311" s="149">
        <f t="shared" ref="N1311" si="7696">N1310/N1301</f>
        <v>-4.0227499291646068E-2</v>
      </c>
      <c r="O1311" s="149">
        <f t="shared" ref="O1311" si="7697">O1310/O1301</f>
        <v>-3.8495275935223464E-2</v>
      </c>
      <c r="P1311" s="149">
        <f t="shared" ref="P1311" si="7698">P1310/P1301</f>
        <v>-3.7097115504304154E-2</v>
      </c>
      <c r="Q1311" s="149">
        <f t="shared" ref="Q1311" si="7699">Q1310/Q1301</f>
        <v>-3.3427360027039617E-2</v>
      </c>
      <c r="R1311" s="149">
        <f t="shared" ref="R1311" si="7700">R1310/R1301</f>
        <v>-3.5241005207867597E-2</v>
      </c>
      <c r="S1311" s="148">
        <f t="shared" ref="S1311" si="7701">S1310/S1301</f>
        <v>-4.4439850839832214E-2</v>
      </c>
      <c r="T1311" s="149">
        <f t="shared" ref="T1311" si="7702">T1310/T1301</f>
        <v>-4.5768594096644355E-2</v>
      </c>
      <c r="U1311" s="149">
        <f t="shared" ref="U1311" si="7703">U1310/U1301</f>
        <v>-6.117975652401772E-2</v>
      </c>
      <c r="V1311" s="149">
        <f t="shared" ref="V1311" si="7704">V1310/V1301</f>
        <v>-9.4233260728189938E-2</v>
      </c>
      <c r="W1311" s="149">
        <f t="shared" ref="W1311" si="7705">W1310/W1301</f>
        <v>-0.17837474469411962</v>
      </c>
      <c r="X1311" s="149">
        <f t="shared" ref="X1311" si="7706">X1310/X1301</f>
        <v>-0.19788975450698756</v>
      </c>
      <c r="Y1311" s="149">
        <f t="shared" ref="Y1311" si="7707">Y1310/Y1301</f>
        <v>-0.10117874891420969</v>
      </c>
      <c r="Z1311" s="149">
        <f t="shared" ref="Z1311" si="7708">Z1310/Z1301</f>
        <v>-0.10753661830370105</v>
      </c>
      <c r="AA1311" s="149">
        <f t="shared" ref="AA1311" si="7709">AA1310/AA1301</f>
        <v>-7.5785021101183597E-2</v>
      </c>
      <c r="AB1311" s="149">
        <f t="shared" ref="AB1311" si="7710">AB1310/AB1301</f>
        <v>-7.0227590707314672E-2</v>
      </c>
      <c r="AC1311" s="149">
        <f t="shared" ref="AC1311" si="7711">AC1310/AC1301</f>
        <v>-6.8706971371463629E-2</v>
      </c>
      <c r="AD1311" s="150">
        <f t="shared" ref="AD1311" si="7712">AD1310/AD1301</f>
        <v>-7.3118787923937986E-2</v>
      </c>
      <c r="AE1311" s="15"/>
      <c r="AF1311" s="96">
        <f t="shared" ref="AF1311" si="7713">AF1310/AF1301</f>
        <v>-4.8553544770831181E-2</v>
      </c>
      <c r="AG1311" s="97">
        <f t="shared" ref="AG1311" si="7714">AG1310/AG1301</f>
        <v>-8.0416137185113853E-2</v>
      </c>
    </row>
    <row r="1312" spans="2:33" ht="6" customHeight="1" x14ac:dyDescent="0.2">
      <c r="B1312" s="9">
        <f>G1289</f>
        <v>27</v>
      </c>
      <c r="C1312" s="9" t="str">
        <f t="shared" si="7559"/>
        <v xml:space="preserve">27 - </v>
      </c>
      <c r="D1312" s="9" t="s">
        <v>56</v>
      </c>
      <c r="F1312" s="16"/>
      <c r="G1312" s="11"/>
      <c r="S1312" s="11"/>
      <c r="AD1312" s="15"/>
      <c r="AE1312" s="15"/>
      <c r="AF1312" s="11"/>
      <c r="AG1312" s="15"/>
    </row>
    <row r="1313" spans="2:33" x14ac:dyDescent="0.2">
      <c r="B1313" s="9">
        <f>G1289</f>
        <v>27</v>
      </c>
      <c r="C1313" s="9" t="str">
        <f t="shared" si="7559"/>
        <v>27 - Office Gross Profit</v>
      </c>
      <c r="D1313" s="9" t="s">
        <v>56</v>
      </c>
      <c r="F1313" s="8" t="s">
        <v>11</v>
      </c>
      <c r="G1313" s="134">
        <f>G1301+G1304+G1307+G1310</f>
        <v>151.6599259066723</v>
      </c>
      <c r="H1313" s="135">
        <f t="shared" ref="H1313:AD1313" si="7715">H1301+H1304+H1307+H1310</f>
        <v>154.2255154811192</v>
      </c>
      <c r="I1313" s="135">
        <f t="shared" si="7715"/>
        <v>135.49486763088171</v>
      </c>
      <c r="J1313" s="135">
        <f t="shared" si="7715"/>
        <v>133.75191930312303</v>
      </c>
      <c r="K1313" s="135">
        <f t="shared" si="7715"/>
        <v>152.84940668316688</v>
      </c>
      <c r="L1313" s="135">
        <f t="shared" si="7715"/>
        <v>151.66954507083659</v>
      </c>
      <c r="M1313" s="135">
        <f t="shared" si="7715"/>
        <v>189.21025784078518</v>
      </c>
      <c r="N1313" s="135">
        <f t="shared" si="7715"/>
        <v>302.88971886785527</v>
      </c>
      <c r="O1313" s="135">
        <f t="shared" si="7715"/>
        <v>282.19649615687291</v>
      </c>
      <c r="P1313" s="135">
        <f t="shared" si="7715"/>
        <v>272.94477593521128</v>
      </c>
      <c r="Q1313" s="135">
        <f t="shared" si="7715"/>
        <v>248.19999041959829</v>
      </c>
      <c r="R1313" s="135">
        <f t="shared" si="7715"/>
        <v>184.1447475192</v>
      </c>
      <c r="S1313" s="134">
        <f t="shared" si="7715"/>
        <v>196.06183783963459</v>
      </c>
      <c r="T1313" s="135">
        <f t="shared" si="7715"/>
        <v>191.28515369590309</v>
      </c>
      <c r="U1313" s="135">
        <f t="shared" si="7715"/>
        <v>158.10668637903504</v>
      </c>
      <c r="V1313" s="135">
        <f t="shared" si="7715"/>
        <v>91.618540510011869</v>
      </c>
      <c r="W1313" s="135">
        <f t="shared" si="7715"/>
        <v>19.839269300181801</v>
      </c>
      <c r="X1313" s="135">
        <f t="shared" si="7715"/>
        <v>-15.15913838616353</v>
      </c>
      <c r="Y1313" s="135">
        <f t="shared" si="7715"/>
        <v>86.235401954592646</v>
      </c>
      <c r="Z1313" s="135">
        <f t="shared" si="7715"/>
        <v>79.14480182380322</v>
      </c>
      <c r="AA1313" s="135">
        <f t="shared" si="7715"/>
        <v>112.51847868330246</v>
      </c>
      <c r="AB1313" s="135">
        <f t="shared" si="7715"/>
        <v>131.03478363239682</v>
      </c>
      <c r="AC1313" s="135">
        <f t="shared" si="7715"/>
        <v>121.05018495138606</v>
      </c>
      <c r="AD1313" s="136">
        <f t="shared" si="7715"/>
        <v>54.930982552148592</v>
      </c>
      <c r="AE1313" s="15"/>
      <c r="AF1313" s="98">
        <f>SUM(G1313:R1313)</f>
        <v>2359.2371668153223</v>
      </c>
      <c r="AG1313" s="95">
        <f>SUM(S1313:AD1313)</f>
        <v>1226.6669829362324</v>
      </c>
    </row>
    <row r="1314" spans="2:33" x14ac:dyDescent="0.2">
      <c r="B1314" s="9">
        <f>G1289</f>
        <v>27</v>
      </c>
      <c r="C1314" s="9" t="str">
        <f t="shared" si="7559"/>
        <v>27 - % of Revenue - Office Gross Profit</v>
      </c>
      <c r="D1314" s="9" t="s">
        <v>56</v>
      </c>
      <c r="F1314" s="16" t="str">
        <f>"% of Revenue - "&amp;F1313</f>
        <v>% of Revenue - Office Gross Profit</v>
      </c>
      <c r="G1314" s="148">
        <f>G1313/G1301</f>
        <v>0.37201242713320248</v>
      </c>
      <c r="H1314" s="149">
        <f t="shared" ref="H1314" si="7716">H1313/H1301</f>
        <v>0.37515679781275896</v>
      </c>
      <c r="I1314" s="149">
        <f t="shared" ref="I1314" si="7717">I1313/I1301</f>
        <v>0.33754731751977091</v>
      </c>
      <c r="J1314" s="149">
        <f t="shared" ref="J1314" si="7718">J1313/J1301</f>
        <v>0.34792921249683295</v>
      </c>
      <c r="K1314" s="149">
        <f t="shared" ref="K1314" si="7719">K1313/K1301</f>
        <v>0.34039209182739233</v>
      </c>
      <c r="L1314" s="149">
        <f t="shared" ref="L1314" si="7720">L1313/L1301</f>
        <v>0.34766809169958923</v>
      </c>
      <c r="M1314" s="149">
        <f t="shared" ref="M1314" si="7721">M1313/M1301</f>
        <v>0.38469224653403561</v>
      </c>
      <c r="N1314" s="149">
        <f t="shared" ref="N1314" si="7722">N1313/N1301</f>
        <v>0.5125311906385962</v>
      </c>
      <c r="O1314" s="149">
        <f t="shared" ref="O1314" si="7723">O1313/O1301</f>
        <v>0.50471499240013162</v>
      </c>
      <c r="P1314" s="149">
        <f t="shared" ref="P1314" si="7724">P1313/P1301</f>
        <v>0.49232921029198345</v>
      </c>
      <c r="Q1314" s="149">
        <f t="shared" ref="Q1314" si="7725">Q1313/Q1301</f>
        <v>0.4959341079554816</v>
      </c>
      <c r="R1314" s="149">
        <f t="shared" ref="R1314" si="7726">R1313/R1301</f>
        <v>0.49420623723441554</v>
      </c>
      <c r="S1314" s="148">
        <f t="shared" ref="S1314" si="7727">S1313/S1301</f>
        <v>0.44306851787540902</v>
      </c>
      <c r="T1314" s="149">
        <f t="shared" ref="T1314" si="7728">T1313/T1301</f>
        <v>0.43794793381553127</v>
      </c>
      <c r="U1314" s="149">
        <f t="shared" ref="U1314" si="7729">U1313/U1301</f>
        <v>0.43770799104472252</v>
      </c>
      <c r="V1314" s="149">
        <f t="shared" ref="V1314" si="7730">V1313/V1301</f>
        <v>0.33641282851159326</v>
      </c>
      <c r="W1314" s="149">
        <f t="shared" ref="W1314" si="7731">W1313/W1301</f>
        <v>0.12130646688429</v>
      </c>
      <c r="X1314" s="149">
        <f t="shared" ref="X1314" si="7732">X1313/X1301</f>
        <v>-0.11319475749038405</v>
      </c>
      <c r="Y1314" s="149">
        <f t="shared" ref="Y1314" si="7733">Y1313/Y1301</f>
        <v>0.33448484231341152</v>
      </c>
      <c r="Z1314" s="149">
        <f t="shared" ref="Z1314" si="7734">Z1313/Z1301</f>
        <v>0.33535264090449085</v>
      </c>
      <c r="AA1314" s="149">
        <f t="shared" ref="AA1314" si="7735">AA1313/AA1301</f>
        <v>0.41711983628627786</v>
      </c>
      <c r="AB1314" s="149">
        <f t="shared" ref="AB1314" si="7736">AB1313/AB1301</f>
        <v>0.42599582213711124</v>
      </c>
      <c r="AC1314" s="149">
        <f t="shared" ref="AC1314" si="7737">AC1313/AC1301</f>
        <v>0.43020858519016103</v>
      </c>
      <c r="AD1314" s="150">
        <f t="shared" ref="AD1314" si="7738">AD1313/AD1301</f>
        <v>0.25210598123955646</v>
      </c>
      <c r="AE1314" s="15"/>
      <c r="AF1314" s="111">
        <f t="shared" ref="AF1314" si="7739">AF1313/AF1301</f>
        <v>0.42437669837538305</v>
      </c>
      <c r="AG1314" s="97">
        <f t="shared" ref="AG1314" si="7740">AG1313/AG1301</f>
        <v>0.36283990637325908</v>
      </c>
    </row>
    <row r="1315" spans="2:33" ht="6" customHeight="1" x14ac:dyDescent="0.2">
      <c r="B1315" s="9">
        <f>G1289</f>
        <v>27</v>
      </c>
      <c r="C1315" s="9" t="str">
        <f t="shared" si="7559"/>
        <v xml:space="preserve">27 - </v>
      </c>
      <c r="D1315" s="9" t="s">
        <v>56</v>
      </c>
      <c r="F1315" s="16"/>
      <c r="G1315" s="11"/>
      <c r="S1315" s="11"/>
      <c r="AD1315" s="15"/>
      <c r="AE1315" s="15"/>
      <c r="AF1315" s="11"/>
      <c r="AG1315" s="15"/>
    </row>
    <row r="1316" spans="2:33" x14ac:dyDescent="0.2">
      <c r="B1316" s="9">
        <f>G1289</f>
        <v>27</v>
      </c>
      <c r="C1316" s="9" t="str">
        <f t="shared" si="7559"/>
        <v>27 - General and Administrative Expense</v>
      </c>
      <c r="D1316" s="9" t="s">
        <v>56</v>
      </c>
      <c r="F1316" t="s">
        <v>10</v>
      </c>
      <c r="G1316" s="144">
        <v>-30.33033960018653</v>
      </c>
      <c r="H1316" s="70">
        <v>-30.642574280986196</v>
      </c>
      <c r="I1316" s="70">
        <v>-38.670817775035047</v>
      </c>
      <c r="J1316" s="70">
        <v>-39.516996252255794</v>
      </c>
      <c r="K1316" s="70">
        <v>-47.474923967853144</v>
      </c>
      <c r="L1316" s="70">
        <v>-48.257441048031232</v>
      </c>
      <c r="M1316" s="70">
        <v>-38.541723160283773</v>
      </c>
      <c r="N1316" s="70">
        <v>-36.140003405253786</v>
      </c>
      <c r="O1316" s="70">
        <v>-32.957507454653012</v>
      </c>
      <c r="P1316" s="70">
        <v>-34.582907887000893</v>
      </c>
      <c r="Q1316" s="70">
        <v>-32.799771476813099</v>
      </c>
      <c r="R1316" s="70">
        <v>-24.561348611557488</v>
      </c>
      <c r="S1316" s="144">
        <v>-36.947953598558932</v>
      </c>
      <c r="T1316" s="70">
        <v>-36.709241060564764</v>
      </c>
      <c r="U1316" s="70">
        <v>-39.019419932450568</v>
      </c>
      <c r="V1316" s="70">
        <v>-42.844593653407486</v>
      </c>
      <c r="W1316" s="70">
        <v>-54.314228956406673</v>
      </c>
      <c r="X1316" s="70">
        <v>-43.078530085810151</v>
      </c>
      <c r="Y1316" s="70">
        <v>-41.246286947514484</v>
      </c>
      <c r="Z1316" s="70">
        <v>-37.441601830100062</v>
      </c>
      <c r="AA1316" s="70">
        <v>-27.874324250815974</v>
      </c>
      <c r="AB1316" s="70">
        <v>-31.441787075266834</v>
      </c>
      <c r="AC1316" s="70">
        <v>-28.472721290416313</v>
      </c>
      <c r="AD1316" s="145">
        <v>-22.599677629331605</v>
      </c>
      <c r="AE1316" s="15"/>
      <c r="AF1316" s="144">
        <v>-434.47635491990997</v>
      </c>
      <c r="AG1316" s="145">
        <v>-441.99036631064388</v>
      </c>
    </row>
    <row r="1317" spans="2:33" x14ac:dyDescent="0.2">
      <c r="B1317" s="9">
        <f>G1289</f>
        <v>27</v>
      </c>
      <c r="C1317" s="9" t="str">
        <f t="shared" si="7559"/>
        <v>27 - % of Revenue - General and Administrative Expense</v>
      </c>
      <c r="D1317" s="9" t="s">
        <v>56</v>
      </c>
      <c r="F1317" s="16" t="str">
        <f>"% of Revenue - "&amp;F1316</f>
        <v>% of Revenue - General and Administrative Expense</v>
      </c>
      <c r="G1317" s="148">
        <f>G1316/G1301</f>
        <v>-7.4398448917765619E-2</v>
      </c>
      <c r="H1317" s="149">
        <f t="shared" ref="H1317" si="7741">H1316/H1301</f>
        <v>-7.4538703976008022E-2</v>
      </c>
      <c r="I1317" s="149">
        <f t="shared" ref="I1317" si="7742">I1316/I1301</f>
        <v>-9.6337455687390841E-2</v>
      </c>
      <c r="J1317" s="149">
        <f t="shared" ref="J1317" si="7743">J1316/J1301</f>
        <v>-0.10279566422615533</v>
      </c>
      <c r="K1317" s="149">
        <f t="shared" ref="K1317" si="7744">K1316/K1301</f>
        <v>-0.10572555713128344</v>
      </c>
      <c r="L1317" s="149">
        <f t="shared" ref="L1317" si="7745">L1316/L1301</f>
        <v>-0.110619257357425</v>
      </c>
      <c r="M1317" s="149">
        <f t="shared" ref="M1317" si="7746">M1316/M1301</f>
        <v>-7.836098442558366E-2</v>
      </c>
      <c r="N1317" s="149">
        <f t="shared" ref="N1317" si="7747">N1316/N1301</f>
        <v>-6.1153871594627512E-2</v>
      </c>
      <c r="O1317" s="149">
        <f t="shared" ref="O1317" si="7748">O1316/O1301</f>
        <v>-5.8945268105864645E-2</v>
      </c>
      <c r="P1317" s="149">
        <f t="shared" ref="P1317" si="7749">P1316/P1301</f>
        <v>-6.2379562573672581E-2</v>
      </c>
      <c r="Q1317" s="149">
        <f t="shared" ref="Q1317" si="7750">Q1316/Q1301</f>
        <v>-6.5537977584114046E-2</v>
      </c>
      <c r="R1317" s="149">
        <f t="shared" ref="R1317" si="7751">R1316/R1301</f>
        <v>-6.5917555848042556E-2</v>
      </c>
      <c r="S1317" s="148">
        <f t="shared" ref="S1317" si="7752">S1316/S1301</f>
        <v>-8.3496488760004581E-2</v>
      </c>
      <c r="T1317" s="149">
        <f t="shared" ref="T1317" si="7753">T1316/T1301</f>
        <v>-8.4045917645907339E-2</v>
      </c>
      <c r="U1317" s="149">
        <f t="shared" ref="U1317" si="7754">U1316/U1301</f>
        <v>-0.1080227048046466</v>
      </c>
      <c r="V1317" s="149">
        <f t="shared" ref="V1317" si="7755">V1316/V1301</f>
        <v>-0.15732045999791491</v>
      </c>
      <c r="W1317" s="149">
        <f t="shared" ref="W1317" si="7756">W1316/W1301</f>
        <v>-0.33210231266862811</v>
      </c>
      <c r="X1317" s="149">
        <f t="shared" ref="X1317" si="7757">X1316/X1301</f>
        <v>-0.32167156482694897</v>
      </c>
      <c r="Y1317" s="149">
        <f t="shared" ref="Y1317" si="7758">Y1316/Y1301</f>
        <v>-0.1599836896790664</v>
      </c>
      <c r="Z1317" s="149">
        <f t="shared" ref="Z1317" si="7759">Z1316/Z1301</f>
        <v>-0.15864769086631469</v>
      </c>
      <c r="AA1317" s="149">
        <f t="shared" ref="AA1317" si="7760">AA1316/AA1301</f>
        <v>-0.1033335475572547</v>
      </c>
      <c r="AB1317" s="149">
        <f t="shared" ref="AB1317" si="7761">AB1316/AB1301</f>
        <v>-0.10221766742610751</v>
      </c>
      <c r="AC1317" s="149">
        <f t="shared" ref="AC1317" si="7762">AC1316/AC1301</f>
        <v>-0.10119116420832466</v>
      </c>
      <c r="AD1317" s="150">
        <f t="shared" ref="AD1317" si="7763">AD1316/AD1301</f>
        <v>-0.10372131791073237</v>
      </c>
      <c r="AE1317" s="15"/>
      <c r="AF1317" s="96">
        <f t="shared" ref="AF1317" si="7764">AF1316/AF1301</f>
        <v>-7.8153075755403964E-2</v>
      </c>
      <c r="AG1317" s="97">
        <f t="shared" ref="AG1317" si="7765">AG1316/AG1301</f>
        <v>-0.13073780036547486</v>
      </c>
    </row>
    <row r="1318" spans="2:33" ht="3" customHeight="1" x14ac:dyDescent="0.2">
      <c r="B1318" s="9">
        <f>G1289</f>
        <v>27</v>
      </c>
      <c r="C1318" s="9" t="str">
        <f t="shared" si="7559"/>
        <v xml:space="preserve">27 - </v>
      </c>
      <c r="D1318" s="9" t="s">
        <v>56</v>
      </c>
      <c r="F1318" s="16"/>
      <c r="G1318" s="36"/>
      <c r="H1318" s="37"/>
      <c r="I1318" s="37"/>
      <c r="J1318" s="37"/>
      <c r="K1318" s="37"/>
      <c r="L1318" s="37"/>
      <c r="M1318" s="37"/>
      <c r="N1318" s="37"/>
      <c r="O1318" s="37"/>
      <c r="P1318" s="37"/>
      <c r="Q1318" s="37"/>
      <c r="R1318" s="37"/>
      <c r="S1318" s="36"/>
      <c r="T1318" s="37"/>
      <c r="U1318" s="37"/>
      <c r="V1318" s="37"/>
      <c r="W1318" s="37"/>
      <c r="X1318" s="37"/>
      <c r="Y1318" s="37"/>
      <c r="Z1318" s="37"/>
      <c r="AA1318" s="37"/>
      <c r="AB1318" s="37"/>
      <c r="AC1318" s="37"/>
      <c r="AD1318" s="38"/>
      <c r="AE1318" s="15"/>
      <c r="AF1318" s="36"/>
      <c r="AG1318" s="38"/>
    </row>
    <row r="1319" spans="2:33" x14ac:dyDescent="0.2">
      <c r="B1319" s="9">
        <f>G1289</f>
        <v>27</v>
      </c>
      <c r="C1319" s="9" t="str">
        <f t="shared" si="7559"/>
        <v>27 - Marketing</v>
      </c>
      <c r="D1319" s="9" t="s">
        <v>56</v>
      </c>
      <c r="F1319" t="s">
        <v>7</v>
      </c>
      <c r="G1319" s="144">
        <v>-15.106929639348117</v>
      </c>
      <c r="H1319" s="70">
        <v>-14.191120756479524</v>
      </c>
      <c r="I1319" s="70">
        <v>-20.357725956185977</v>
      </c>
      <c r="J1319" s="70">
        <v>-20.720560479311104</v>
      </c>
      <c r="K1319" s="70">
        <v>-22.694601807401725</v>
      </c>
      <c r="L1319" s="70">
        <v>-23.893321032932857</v>
      </c>
      <c r="M1319" s="70">
        <v>-21.204032543743651</v>
      </c>
      <c r="N1319" s="70">
        <v>-19.766845000724096</v>
      </c>
      <c r="O1319" s="70">
        <v>-19.035471753634162</v>
      </c>
      <c r="P1319" s="70">
        <v>-19.973117562653098</v>
      </c>
      <c r="Q1319" s="70">
        <v>-17.020645204898216</v>
      </c>
      <c r="R1319" s="70">
        <v>-12.972676171111434</v>
      </c>
      <c r="S1319" s="144">
        <v>-18.482351752933738</v>
      </c>
      <c r="T1319" s="70">
        <v>-16.612079341953017</v>
      </c>
      <c r="U1319" s="70">
        <v>-18.422817609061571</v>
      </c>
      <c r="V1319" s="70">
        <v>-19.733445438547456</v>
      </c>
      <c r="W1319" s="70">
        <v>-21.420001476100957</v>
      </c>
      <c r="X1319" s="70">
        <v>-17.976644536774202</v>
      </c>
      <c r="Y1319" s="70">
        <v>-15.675946918168293</v>
      </c>
      <c r="Z1319" s="70">
        <v>-14.278555763715458</v>
      </c>
      <c r="AA1319" s="70">
        <v>-10.823507805229429</v>
      </c>
      <c r="AB1319" s="70">
        <v>-12.464697656187557</v>
      </c>
      <c r="AC1319" s="70">
        <v>-12.565130066953643</v>
      </c>
      <c r="AD1319" s="145">
        <v>-10.353836298125096</v>
      </c>
      <c r="AE1319" s="15"/>
      <c r="AF1319" s="144">
        <v>-226.93704790842398</v>
      </c>
      <c r="AG1319" s="145">
        <v>-188.80901466375042</v>
      </c>
    </row>
    <row r="1320" spans="2:33" x14ac:dyDescent="0.2">
      <c r="B1320" s="9">
        <f>G1289</f>
        <v>27</v>
      </c>
      <c r="C1320" s="9" t="str">
        <f t="shared" si="7559"/>
        <v>27 - % of Revenue - Marketing</v>
      </c>
      <c r="D1320" s="9" t="s">
        <v>56</v>
      </c>
      <c r="F1320" s="16" t="str">
        <f>"% of Revenue - "&amp;F1319</f>
        <v>% of Revenue - Marketing</v>
      </c>
      <c r="G1320" s="148">
        <f>G1319/G1301</f>
        <v>-3.7056364943253324E-2</v>
      </c>
      <c r="H1320" s="149">
        <f t="shared" ref="H1320" si="7766">H1319/H1301</f>
        <v>-3.4520198579117763E-2</v>
      </c>
      <c r="I1320" s="149">
        <f t="shared" ref="I1320" si="7767">I1319/I1301</f>
        <v>-5.0715543012545862E-2</v>
      </c>
      <c r="J1320" s="149">
        <f t="shared" ref="J1320" si="7768">J1319/J1301</f>
        <v>-5.390044739261831E-2</v>
      </c>
      <c r="K1320" s="149">
        <f t="shared" ref="K1320" si="7769">K1319/K1301</f>
        <v>-5.0540353083764658E-2</v>
      </c>
      <c r="L1320" s="149">
        <f t="shared" ref="L1320" si="7770">L1319/L1301</f>
        <v>-5.4770028643559933E-2</v>
      </c>
      <c r="M1320" s="149">
        <f t="shared" ref="M1320" si="7771">M1319/M1301</f>
        <v>-4.3110912737603493E-2</v>
      </c>
      <c r="N1320" s="149">
        <f t="shared" ref="N1320" si="7772">N1319/N1301</f>
        <v>-3.3448228752226854E-2</v>
      </c>
      <c r="O1320" s="149">
        <f t="shared" ref="O1320" si="7773">O1319/O1301</f>
        <v>-3.404538366815011E-2</v>
      </c>
      <c r="P1320" s="149">
        <f t="shared" ref="P1320" si="7774">P1319/P1301</f>
        <v>-3.6026881859149706E-2</v>
      </c>
      <c r="Q1320" s="149">
        <f t="shared" ref="Q1320" si="7775">Q1319/Q1301</f>
        <v>-3.4009342555765938E-2</v>
      </c>
      <c r="R1320" s="149">
        <f t="shared" ref="R1320" si="7776">R1319/R1301</f>
        <v>-3.4815967133230777E-2</v>
      </c>
      <c r="S1320" s="148">
        <f t="shared" ref="S1320" si="7777">S1319/S1301</f>
        <v>-4.1767170441003046E-2</v>
      </c>
      <c r="T1320" s="149">
        <f t="shared" ref="T1320" si="7778">T1319/T1301</f>
        <v>-3.803340553942746E-2</v>
      </c>
      <c r="U1320" s="149">
        <f t="shared" ref="U1320" si="7779">U1319/U1301</f>
        <v>-5.1002362200634553E-2</v>
      </c>
      <c r="V1320" s="149">
        <f t="shared" ref="V1320" si="7780">V1319/V1301</f>
        <v>-7.2458960373151735E-2</v>
      </c>
      <c r="W1320" s="149">
        <f t="shared" ref="W1320" si="7781">W1319/W1301</f>
        <v>-0.13097179439457848</v>
      </c>
      <c r="X1320" s="149">
        <f t="shared" ref="X1320" si="7782">X1319/X1301</f>
        <v>-0.13423334934974329</v>
      </c>
      <c r="Y1320" s="149">
        <f t="shared" ref="Y1320" si="7783">Y1319/Y1301</f>
        <v>-6.080294767800621E-2</v>
      </c>
      <c r="Z1320" s="149">
        <f t="shared" ref="Z1320" si="7784">Z1319/Z1301</f>
        <v>-6.0501148190681246E-2</v>
      </c>
      <c r="AA1320" s="149">
        <f t="shared" ref="AA1320" si="7785">AA1319/AA1301</f>
        <v>-4.0124074343981721E-2</v>
      </c>
      <c r="AB1320" s="149">
        <f t="shared" ref="AB1320" si="7786">AB1319/AB1301</f>
        <v>-4.0522897650096389E-2</v>
      </c>
      <c r="AC1320" s="149">
        <f t="shared" ref="AC1320" si="7787">AC1319/AC1301</f>
        <v>-4.4656080707397419E-2</v>
      </c>
      <c r="AD1320" s="150">
        <f t="shared" ref="AD1320" si="7788">AD1319/AD1301</f>
        <v>-4.7518976327330688E-2</v>
      </c>
      <c r="AE1320" s="15"/>
      <c r="AF1320" s="96">
        <f t="shared" ref="AF1320" si="7789">AF1319/AF1301</f>
        <v>-4.0821158841116145E-2</v>
      </c>
      <c r="AG1320" s="97">
        <f t="shared" ref="AG1320" si="7790">AG1319/AG1301</f>
        <v>-5.5848446364015182E-2</v>
      </c>
    </row>
    <row r="1321" spans="2:33" ht="3" customHeight="1" x14ac:dyDescent="0.2">
      <c r="B1321" s="9">
        <f>G1289</f>
        <v>27</v>
      </c>
      <c r="C1321" s="9" t="str">
        <f t="shared" si="7559"/>
        <v xml:space="preserve">27 - </v>
      </c>
      <c r="D1321" s="9" t="s">
        <v>56</v>
      </c>
      <c r="F1321" s="16"/>
      <c r="G1321" s="36"/>
      <c r="H1321" s="37"/>
      <c r="I1321" s="37"/>
      <c r="J1321" s="37"/>
      <c r="K1321" s="37"/>
      <c r="L1321" s="37"/>
      <c r="M1321" s="37"/>
      <c r="N1321" s="37"/>
      <c r="O1321" s="37"/>
      <c r="P1321" s="37"/>
      <c r="Q1321" s="37"/>
      <c r="R1321" s="37"/>
      <c r="S1321" s="36"/>
      <c r="T1321" s="37"/>
      <c r="U1321" s="37"/>
      <c r="V1321" s="37"/>
      <c r="W1321" s="37"/>
      <c r="X1321" s="37"/>
      <c r="Y1321" s="37"/>
      <c r="Z1321" s="37"/>
      <c r="AA1321" s="37"/>
      <c r="AB1321" s="37"/>
      <c r="AC1321" s="37"/>
      <c r="AD1321" s="38"/>
      <c r="AE1321" s="15"/>
      <c r="AF1321" s="36"/>
      <c r="AG1321" s="38"/>
    </row>
    <row r="1322" spans="2:33" x14ac:dyDescent="0.2">
      <c r="B1322" s="9">
        <f>G1289</f>
        <v>27</v>
      </c>
      <c r="C1322" s="9" t="str">
        <f t="shared" si="7559"/>
        <v>27 - Office Rent</v>
      </c>
      <c r="D1322" s="9" t="s">
        <v>56</v>
      </c>
      <c r="F1322" t="s">
        <v>162</v>
      </c>
      <c r="G1322" s="144">
        <v>-30.536264980197938</v>
      </c>
      <c r="H1322" s="70">
        <v>-30.536264980197938</v>
      </c>
      <c r="I1322" s="70">
        <v>-30.536264980197938</v>
      </c>
      <c r="J1322" s="70">
        <v>-30.536264980197938</v>
      </c>
      <c r="K1322" s="70">
        <v>-30.536264980197938</v>
      </c>
      <c r="L1322" s="70">
        <v>-31.452352929603876</v>
      </c>
      <c r="M1322" s="70">
        <v>-31.452352929603876</v>
      </c>
      <c r="N1322" s="70">
        <v>-31.452352929603876</v>
      </c>
      <c r="O1322" s="70">
        <v>-31.452352929603876</v>
      </c>
      <c r="P1322" s="70">
        <v>-31.452352929603876</v>
      </c>
      <c r="Q1322" s="70">
        <v>-31.452352929603876</v>
      </c>
      <c r="R1322" s="70">
        <v>-31.452352929603876</v>
      </c>
      <c r="S1322" s="144">
        <v>-31.45225218796686</v>
      </c>
      <c r="T1322" s="70">
        <v>-31.45225218796686</v>
      </c>
      <c r="U1322" s="70">
        <v>-31.45225218796686</v>
      </c>
      <c r="V1322" s="70">
        <v>-31.45225218796686</v>
      </c>
      <c r="W1322" s="70">
        <v>-31.45225218796686</v>
      </c>
      <c r="X1322" s="70">
        <v>-32.395819753605863</v>
      </c>
      <c r="Y1322" s="70">
        <v>-32.395819753605863</v>
      </c>
      <c r="Z1322" s="70">
        <v>-32.395819753605863</v>
      </c>
      <c r="AA1322" s="70">
        <v>-32.395819753605863</v>
      </c>
      <c r="AB1322" s="70">
        <v>-32.395819753605863</v>
      </c>
      <c r="AC1322" s="70">
        <v>-32.395819753605863</v>
      </c>
      <c r="AD1322" s="145">
        <v>-32.395819753605863</v>
      </c>
      <c r="AE1322" s="15"/>
      <c r="AF1322" s="144">
        <v>-372.84779540821683</v>
      </c>
      <c r="AG1322" s="145">
        <v>-384.03199921507525</v>
      </c>
    </row>
    <row r="1323" spans="2:33" x14ac:dyDescent="0.2">
      <c r="B1323" s="9">
        <f>G1289</f>
        <v>27</v>
      </c>
      <c r="C1323" s="9" t="str">
        <f t="shared" si="7559"/>
        <v>27 - % YoY Growth</v>
      </c>
      <c r="D1323" s="9" t="s">
        <v>56</v>
      </c>
      <c r="F1323" s="16" t="s">
        <v>8</v>
      </c>
      <c r="G1323" s="82"/>
      <c r="H1323" s="83"/>
      <c r="I1323" s="83"/>
      <c r="J1323" s="83"/>
      <c r="K1323" s="83"/>
      <c r="L1323" s="83"/>
      <c r="M1323" s="83"/>
      <c r="N1323" s="83"/>
      <c r="O1323" s="83"/>
      <c r="P1323" s="83"/>
      <c r="Q1323" s="83"/>
      <c r="R1323" s="83"/>
      <c r="S1323" s="148">
        <f>S1322/G1322-1</f>
        <v>2.9996700918167862E-2</v>
      </c>
      <c r="T1323" s="149">
        <f t="shared" ref="T1323" si="7791">T1322/H1322-1</f>
        <v>2.9996700918167862E-2</v>
      </c>
      <c r="U1323" s="149">
        <f t="shared" ref="U1323" si="7792">U1322/I1322-1</f>
        <v>2.9996700918167862E-2</v>
      </c>
      <c r="V1323" s="149">
        <f t="shared" ref="V1323" si="7793">V1322/J1322-1</f>
        <v>2.9996700918167862E-2</v>
      </c>
      <c r="W1323" s="149">
        <f t="shared" ref="W1323" si="7794">W1322/K1322-1</f>
        <v>2.9996700918167862E-2</v>
      </c>
      <c r="X1323" s="149">
        <f t="shared" ref="X1323" si="7795">X1322/L1322-1</f>
        <v>2.9996700918167862E-2</v>
      </c>
      <c r="Y1323" s="149">
        <f t="shared" ref="Y1323" si="7796">Y1322/M1322-1</f>
        <v>2.9996700918167862E-2</v>
      </c>
      <c r="Z1323" s="149">
        <f t="shared" ref="Z1323" si="7797">Z1322/N1322-1</f>
        <v>2.9996700918167862E-2</v>
      </c>
      <c r="AA1323" s="149">
        <f t="shared" ref="AA1323" si="7798">AA1322/O1322-1</f>
        <v>2.9996700918167862E-2</v>
      </c>
      <c r="AB1323" s="149">
        <f t="shared" ref="AB1323" si="7799">AB1322/P1322-1</f>
        <v>2.9996700918167862E-2</v>
      </c>
      <c r="AC1323" s="149">
        <f t="shared" ref="AC1323" si="7800">AC1322/Q1322-1</f>
        <v>2.9996700918167862E-2</v>
      </c>
      <c r="AD1323" s="150">
        <f t="shared" ref="AD1323" si="7801">AD1322/R1322-1</f>
        <v>2.9996700918167862E-2</v>
      </c>
      <c r="AE1323" s="15"/>
      <c r="AF1323" s="11"/>
      <c r="AG1323" s="97">
        <f>AG1322/AF1322-1</f>
        <v>2.999670091816764E-2</v>
      </c>
    </row>
    <row r="1324" spans="2:33" ht="6" customHeight="1" x14ac:dyDescent="0.2">
      <c r="B1324" s="9">
        <f>G1289</f>
        <v>27</v>
      </c>
      <c r="C1324" s="9" t="str">
        <f t="shared" si="7559"/>
        <v xml:space="preserve">27 - </v>
      </c>
      <c r="D1324" s="9" t="s">
        <v>56</v>
      </c>
      <c r="F1324" s="16"/>
      <c r="G1324" s="11"/>
      <c r="S1324" s="11"/>
      <c r="AD1324" s="15"/>
      <c r="AE1324" s="15"/>
      <c r="AF1324" s="11"/>
      <c r="AG1324" s="15"/>
    </row>
    <row r="1325" spans="2:33" x14ac:dyDescent="0.2">
      <c r="B1325" s="9">
        <f>G1289</f>
        <v>27</v>
      </c>
      <c r="C1325" s="9" t="str">
        <f t="shared" si="7559"/>
        <v>27 - Office EBITDA</v>
      </c>
      <c r="D1325" s="9" t="s">
        <v>56</v>
      </c>
      <c r="F1325" s="8" t="s">
        <v>12</v>
      </c>
      <c r="G1325" s="134">
        <f>G1313+G1316+G1319+G1322</f>
        <v>75.6863916869397</v>
      </c>
      <c r="H1325" s="135">
        <f t="shared" ref="H1325:AD1325" si="7802">H1313+H1316+H1319+H1322</f>
        <v>78.855555463455545</v>
      </c>
      <c r="I1325" s="135">
        <f t="shared" si="7802"/>
        <v>45.930058919462752</v>
      </c>
      <c r="J1325" s="135">
        <f t="shared" si="7802"/>
        <v>42.978097591358193</v>
      </c>
      <c r="K1325" s="135">
        <f t="shared" si="7802"/>
        <v>52.143615927714066</v>
      </c>
      <c r="L1325" s="135">
        <f t="shared" si="7802"/>
        <v>48.066430060268615</v>
      </c>
      <c r="M1325" s="135">
        <f t="shared" si="7802"/>
        <v>98.012149207153868</v>
      </c>
      <c r="N1325" s="135">
        <f t="shared" si="7802"/>
        <v>215.53051753227354</v>
      </c>
      <c r="O1325" s="135">
        <f t="shared" si="7802"/>
        <v>198.75116401898185</v>
      </c>
      <c r="P1325" s="135">
        <f t="shared" si="7802"/>
        <v>186.93639755595342</v>
      </c>
      <c r="Q1325" s="135">
        <f t="shared" si="7802"/>
        <v>166.9272208082831</v>
      </c>
      <c r="R1325" s="135">
        <f t="shared" si="7802"/>
        <v>115.1583698069272</v>
      </c>
      <c r="S1325" s="134">
        <f t="shared" si="7802"/>
        <v>109.17928030017505</v>
      </c>
      <c r="T1325" s="135">
        <f t="shared" si="7802"/>
        <v>106.51158110541847</v>
      </c>
      <c r="U1325" s="135">
        <f t="shared" si="7802"/>
        <v>69.212196649556034</v>
      </c>
      <c r="V1325" s="135">
        <f t="shared" si="7802"/>
        <v>-2.4117507699099328</v>
      </c>
      <c r="W1325" s="135">
        <f t="shared" si="7802"/>
        <v>-87.347213320292681</v>
      </c>
      <c r="X1325" s="135">
        <f t="shared" si="7802"/>
        <v>-108.61013276235374</v>
      </c>
      <c r="Y1325" s="135">
        <f t="shared" si="7802"/>
        <v>-3.0826516646959945</v>
      </c>
      <c r="Z1325" s="135">
        <f t="shared" si="7802"/>
        <v>-4.9711755236181645</v>
      </c>
      <c r="AA1325" s="135">
        <f t="shared" si="7802"/>
        <v>41.424826873651199</v>
      </c>
      <c r="AB1325" s="135">
        <f t="shared" si="7802"/>
        <v>54.732479147336576</v>
      </c>
      <c r="AC1325" s="135">
        <f t="shared" si="7802"/>
        <v>47.616513840410235</v>
      </c>
      <c r="AD1325" s="136">
        <f t="shared" si="7802"/>
        <v>-10.418351128913976</v>
      </c>
      <c r="AE1325" s="15"/>
      <c r="AF1325" s="94">
        <f>SUM(G1325:R1325)</f>
        <v>1324.9759685787717</v>
      </c>
      <c r="AG1325" s="95">
        <f>SUM(S1325:AD1325)</f>
        <v>211.83560274676313</v>
      </c>
    </row>
    <row r="1326" spans="2:33" x14ac:dyDescent="0.2">
      <c r="B1326" s="9">
        <f>G1289</f>
        <v>27</v>
      </c>
      <c r="C1326" s="9" t="str">
        <f t="shared" si="7559"/>
        <v>27 - % of Revenue - Office EBITDA</v>
      </c>
      <c r="D1326" s="9" t="s">
        <v>56</v>
      </c>
      <c r="F1326" s="16" t="str">
        <f>"% of Revenue - "&amp;F1325</f>
        <v>% of Revenue - Office EBITDA</v>
      </c>
      <c r="G1326" s="148">
        <f>G1325/G1301</f>
        <v>0.18565404212144573</v>
      </c>
      <c r="H1326" s="149">
        <f t="shared" ref="H1326" si="7803">H1325/H1301</f>
        <v>0.19181779088323467</v>
      </c>
      <c r="I1326" s="149">
        <f t="shared" ref="I1326" si="7804">I1325/I1301</f>
        <v>0.11442181134140712</v>
      </c>
      <c r="J1326" s="149">
        <f t="shared" ref="J1326" si="7805">J1325/J1301</f>
        <v>0.11179903606231195</v>
      </c>
      <c r="K1326" s="149">
        <f t="shared" ref="K1326" si="7806">K1325/K1301</f>
        <v>0.11612262609478241</v>
      </c>
      <c r="L1326" s="149">
        <f t="shared" ref="L1326" si="7807">L1325/L1301</f>
        <v>0.11018140791587715</v>
      </c>
      <c r="M1326" s="149">
        <f t="shared" ref="M1326" si="7808">M1325/M1301</f>
        <v>0.19927309595368953</v>
      </c>
      <c r="N1326" s="149">
        <f t="shared" ref="N1326" si="7809">N1325/N1301</f>
        <v>0.3647073700047348</v>
      </c>
      <c r="O1326" s="149">
        <f t="shared" ref="O1326" si="7810">O1325/O1301</f>
        <v>0.35547107637223796</v>
      </c>
      <c r="P1326" s="149">
        <f t="shared" ref="P1326" si="7811">P1325/P1301</f>
        <v>0.33718999994854976</v>
      </c>
      <c r="Q1326" s="149">
        <f t="shared" ref="Q1326" si="7812">Q1325/Q1301</f>
        <v>0.33354111821314053</v>
      </c>
      <c r="R1326" s="149">
        <f t="shared" ref="R1326" si="7813">R1325/R1301</f>
        <v>0.30906113475974573</v>
      </c>
      <c r="S1326" s="148">
        <f t="shared" ref="S1326" si="7814">S1325/S1301</f>
        <v>0.24672777955324995</v>
      </c>
      <c r="T1326" s="149">
        <f t="shared" ref="T1326" si="7815">T1325/T1301</f>
        <v>0.24385858479482436</v>
      </c>
      <c r="U1326" s="149">
        <f t="shared" ref="U1326" si="7816">U1325/U1301</f>
        <v>0.19160942680591486</v>
      </c>
      <c r="V1326" s="149">
        <f t="shared" ref="V1326" si="7817">V1325/V1301</f>
        <v>-8.8556736841027429E-3</v>
      </c>
      <c r="W1326" s="149">
        <f t="shared" ref="W1326" si="7818">W1325/W1301</f>
        <v>-0.53408125469500045</v>
      </c>
      <c r="X1326" s="149">
        <f t="shared" ref="X1326" si="7819">X1325/X1301</f>
        <v>-0.81100240171001126</v>
      </c>
      <c r="Y1326" s="149">
        <f t="shared" ref="Y1326" si="7820">Y1325/Y1301</f>
        <v>-1.1956809298760413E-2</v>
      </c>
      <c r="Z1326" s="149">
        <f t="shared" ref="Z1326" si="7821">Z1325/Z1301</f>
        <v>-2.1063882931395859E-2</v>
      </c>
      <c r="AA1326" s="149">
        <f t="shared" ref="AA1326" si="7822">AA1325/AA1301</f>
        <v>0.15356692701435343</v>
      </c>
      <c r="AB1326" s="149">
        <f t="shared" ref="AB1326" si="7823">AB1325/AB1301</f>
        <v>0.17793601672500783</v>
      </c>
      <c r="AC1326" s="149">
        <f t="shared" ref="AC1326" si="7824">AC1325/AC1301</f>
        <v>0.1692276063782755</v>
      </c>
      <c r="AD1326" s="150">
        <f t="shared" ref="AD1326" si="7825">AD1325/AD1301</f>
        <v>-4.7815067421370261E-2</v>
      </c>
      <c r="AE1326" s="15"/>
      <c r="AF1326" s="96">
        <f t="shared" ref="AF1326" si="7826">AF1325/AF1301</f>
        <v>0.23833505799300575</v>
      </c>
      <c r="AG1326" s="97">
        <f t="shared" ref="AG1326" si="7827">AG1325/AG1301</f>
        <v>6.2659557431940821E-2</v>
      </c>
    </row>
    <row r="1327" spans="2:33" ht="6" customHeight="1" x14ac:dyDescent="0.2">
      <c r="B1327" s="9">
        <f>G1289</f>
        <v>27</v>
      </c>
      <c r="C1327" s="9" t="str">
        <f t="shared" si="7559"/>
        <v xml:space="preserve">27 - </v>
      </c>
      <c r="D1327" s="9" t="s">
        <v>56</v>
      </c>
      <c r="G1327" s="11"/>
      <c r="S1327" s="11"/>
      <c r="AD1327" s="15"/>
      <c r="AE1327" s="15"/>
      <c r="AF1327" s="11"/>
      <c r="AG1327" s="15"/>
    </row>
    <row r="1328" spans="2:33" x14ac:dyDescent="0.2">
      <c r="B1328" s="9">
        <f>G1289</f>
        <v>27</v>
      </c>
      <c r="C1328" s="9" t="str">
        <f t="shared" si="7559"/>
        <v>27 - Memo:</v>
      </c>
      <c r="D1328" s="9" t="s">
        <v>56</v>
      </c>
      <c r="F1328" s="6" t="s">
        <v>13</v>
      </c>
      <c r="G1328" s="11"/>
      <c r="S1328" s="11"/>
      <c r="AD1328" s="15"/>
      <c r="AE1328" s="15"/>
      <c r="AF1328" s="11"/>
      <c r="AG1328" s="15"/>
    </row>
    <row r="1329" spans="2:34" s="24" customFormat="1" x14ac:dyDescent="0.2">
      <c r="B1329" s="9">
        <f>G1289</f>
        <v>27</v>
      </c>
      <c r="C1329" s="9" t="str">
        <f t="shared" si="7559"/>
        <v>27 - Collections</v>
      </c>
      <c r="D1329" s="9" t="s">
        <v>56</v>
      </c>
      <c r="E1329" s="49"/>
      <c r="F1329" s="24" t="s">
        <v>15</v>
      </c>
      <c r="G1329" s="169">
        <f>G1330*G1299</f>
        <v>412.44147459147638</v>
      </c>
      <c r="H1329" s="170">
        <f t="shared" ref="H1329" si="7828">H1330*H1299</f>
        <v>418.37106951219772</v>
      </c>
      <c r="I1329" s="170">
        <f t="shared" ref="I1329" si="7829">I1330*I1299</f>
        <v>402.36106131862351</v>
      </c>
      <c r="J1329" s="170">
        <f t="shared" ref="J1329" si="7830">J1330*J1299</f>
        <v>385.10206799533569</v>
      </c>
      <c r="K1329" s="170">
        <f t="shared" ref="K1329" si="7831">K1330*K1299</f>
        <v>458.08495732158832</v>
      </c>
      <c r="L1329" s="170">
        <f t="shared" ref="L1329" si="7832">L1330*L1299</f>
        <v>434.75813332314175</v>
      </c>
      <c r="M1329" s="170">
        <f t="shared" ref="M1329" si="7833">M1330*M1299</f>
        <v>496.53491774176467</v>
      </c>
      <c r="N1329" s="170">
        <f t="shared" ref="N1329" si="7834">N1330*N1299</f>
        <v>596.12814501129674</v>
      </c>
      <c r="O1329" s="170">
        <f t="shared" ref="O1329" si="7835">O1330*O1299</f>
        <v>551.39741562427685</v>
      </c>
      <c r="P1329" s="170">
        <f t="shared" ref="P1329" si="7836">P1330*P1299</f>
        <v>548.26916696234116</v>
      </c>
      <c r="Q1329" s="170">
        <f t="shared" ref="Q1329" si="7837">Q1330*Q1299</f>
        <v>495.55719657753718</v>
      </c>
      <c r="R1329" s="170">
        <f t="shared" ref="R1329" si="7838">R1330*R1299</f>
        <v>373.97816255823278</v>
      </c>
      <c r="S1329" s="169">
        <f t="shared" ref="S1329" si="7839">S1330*S1299</f>
        <v>443.5571782137269</v>
      </c>
      <c r="T1329" s="170">
        <f t="shared" ref="T1329" si="7840">T1330*T1299</f>
        <v>436.15977504045816</v>
      </c>
      <c r="U1329" s="170">
        <f t="shared" ref="U1329" si="7841">U1330*U1299</f>
        <v>354.03310991788555</v>
      </c>
      <c r="V1329" s="170">
        <f t="shared" ref="V1329" si="7842">V1330*V1299</f>
        <v>271.46936009785486</v>
      </c>
      <c r="W1329" s="170">
        <f t="shared" ref="W1329" si="7843">W1330*W1299</f>
        <v>160.5534769740905</v>
      </c>
      <c r="X1329" s="170">
        <f t="shared" ref="X1329" si="7844">X1330*X1299</f>
        <v>132.67684355413164</v>
      </c>
      <c r="Y1329" s="170">
        <f t="shared" ref="Y1329" si="7845">Y1330*Y1299</f>
        <v>255.91804290304492</v>
      </c>
      <c r="Z1329" s="170">
        <f t="shared" ref="Z1329" si="7846">Z1330*Z1299</f>
        <v>233.81941680092956</v>
      </c>
      <c r="AA1329" s="170">
        <f t="shared" ref="AA1329" si="7847">AA1330*AA1299</f>
        <v>270.68562269915509</v>
      </c>
      <c r="AB1329" s="170">
        <f t="shared" ref="AB1329" si="7848">AB1330*AB1299</f>
        <v>306.35146557900629</v>
      </c>
      <c r="AC1329" s="170">
        <f t="shared" ref="AC1329" si="7849">AC1330*AC1299</f>
        <v>278.15553925448569</v>
      </c>
      <c r="AD1329" s="171">
        <f t="shared" ref="AD1329" si="7850">AD1330*AD1299</f>
        <v>212.8676054525076</v>
      </c>
      <c r="AE1329" s="26"/>
      <c r="AF1329" s="68">
        <f>SUM(G1329:R1329)</f>
        <v>5572.9837685378125</v>
      </c>
      <c r="AG1329" s="99">
        <f>SUM(S1329:AD1329)</f>
        <v>3356.2474364872764</v>
      </c>
    </row>
    <row r="1330" spans="2:34" x14ac:dyDescent="0.2">
      <c r="B1330" s="9">
        <f>G1289</f>
        <v>27</v>
      </c>
      <c r="C1330" s="9" t="str">
        <f t="shared" si="7559"/>
        <v>27 - Collections as a % of Production</v>
      </c>
      <c r="D1330" s="9" t="s">
        <v>56</v>
      </c>
      <c r="F1330" s="16" t="s">
        <v>17</v>
      </c>
      <c r="G1330" s="140">
        <v>0.98746847613361199</v>
      </c>
      <c r="H1330" s="141">
        <v>0.99332767608345063</v>
      </c>
      <c r="I1330" s="141">
        <v>0.978367599839289</v>
      </c>
      <c r="J1330" s="141">
        <v>0.97777971473978109</v>
      </c>
      <c r="K1330" s="141">
        <v>0.99571726142176287</v>
      </c>
      <c r="L1330" s="141">
        <v>0.97272138988881884</v>
      </c>
      <c r="M1330" s="141">
        <v>0.98535528726906529</v>
      </c>
      <c r="N1330" s="141">
        <v>0.98457702071328623</v>
      </c>
      <c r="O1330" s="141">
        <v>0.96257286684970367</v>
      </c>
      <c r="P1330" s="141">
        <v>0.96527029414769416</v>
      </c>
      <c r="Q1330" s="141">
        <v>0.96647429099485183</v>
      </c>
      <c r="R1330" s="141">
        <v>0.979646589531602</v>
      </c>
      <c r="S1330" s="140">
        <v>0.98599411042233442</v>
      </c>
      <c r="T1330" s="141">
        <v>0.98227640787430726</v>
      </c>
      <c r="U1330" s="141">
        <v>0.96410648564350365</v>
      </c>
      <c r="V1330" s="141">
        <v>0.98052096571192304</v>
      </c>
      <c r="W1330" s="141">
        <v>0.96566142276184874</v>
      </c>
      <c r="X1330" s="141">
        <v>0.97452685707194819</v>
      </c>
      <c r="Y1330" s="141">
        <v>0.97642444024552366</v>
      </c>
      <c r="Z1330" s="141">
        <v>0.97455598613844896</v>
      </c>
      <c r="AA1330" s="141">
        <v>0.98707253183158017</v>
      </c>
      <c r="AB1330" s="141">
        <v>0.97968304511498394</v>
      </c>
      <c r="AC1330" s="141">
        <v>0.97240730841172218</v>
      </c>
      <c r="AD1330" s="142">
        <v>0.9609974663676778</v>
      </c>
      <c r="AE1330" s="15"/>
      <c r="AF1330" s="96">
        <f t="shared" ref="AF1330" si="7851">AF1329/AF1299</f>
        <v>0.97845759212243444</v>
      </c>
      <c r="AG1330" s="97">
        <f t="shared" ref="AG1330" si="7852">AG1329/AG1299</f>
        <v>0.97653817915819086</v>
      </c>
    </row>
    <row r="1331" spans="2:34" ht="6" customHeight="1" x14ac:dyDescent="0.2">
      <c r="B1331" s="9">
        <f>G1289</f>
        <v>27</v>
      </c>
      <c r="C1331" s="9" t="str">
        <f t="shared" si="7559"/>
        <v xml:space="preserve">27 - </v>
      </c>
      <c r="D1331" s="9" t="s">
        <v>56</v>
      </c>
      <c r="F1331" s="27"/>
      <c r="R1331" s="15"/>
      <c r="AD1331" s="15"/>
      <c r="AE1331" s="15"/>
      <c r="AF1331" s="11"/>
      <c r="AG1331" s="15"/>
    </row>
    <row r="1332" spans="2:34" s="24" customFormat="1" x14ac:dyDescent="0.2">
      <c r="B1332" s="9">
        <f>G1289</f>
        <v>27</v>
      </c>
      <c r="C1332" s="9" t="str">
        <f t="shared" si="7559"/>
        <v>27 - Production per Vet Workday - YoY Change</v>
      </c>
      <c r="D1332" s="9" t="s">
        <v>56</v>
      </c>
      <c r="E1332" s="49"/>
      <c r="F1332" s="24" t="s">
        <v>55</v>
      </c>
      <c r="G1332" s="88"/>
      <c r="H1332" s="89"/>
      <c r="I1332" s="89"/>
      <c r="J1332" s="89"/>
      <c r="K1332" s="89"/>
      <c r="L1332" s="89"/>
      <c r="M1332" s="89"/>
      <c r="N1332" s="89"/>
      <c r="O1332" s="89"/>
      <c r="P1332" s="89"/>
      <c r="Q1332" s="89"/>
      <c r="R1332" s="89"/>
      <c r="S1332" s="151">
        <f>S1298/G1298-1</f>
        <v>3.0222534548573821E-2</v>
      </c>
      <c r="T1332" s="152">
        <f t="shared" ref="T1332" si="7853">T1298/H1298-1</f>
        <v>6.3276401637690771E-3</v>
      </c>
      <c r="U1332" s="152">
        <f t="shared" ref="U1332" si="7854">U1298/I1298-1</f>
        <v>-2.5922406600213499E-2</v>
      </c>
      <c r="V1332" s="152">
        <f t="shared" ref="V1332" si="7855">V1298/J1298-1</f>
        <v>6.5074183666702368E-3</v>
      </c>
      <c r="W1332" s="152">
        <f t="shared" ref="W1332" si="7856">W1298/K1298-1</f>
        <v>3.90170816119082E-2</v>
      </c>
      <c r="X1332" s="152">
        <f t="shared" ref="X1332" si="7857">X1298/L1298-1</f>
        <v>8.5661777656098614E-4</v>
      </c>
      <c r="Y1332" s="152">
        <f t="shared" ref="Y1332" si="7858">Y1298/M1298-1</f>
        <v>-4.9837773639925809E-3</v>
      </c>
      <c r="Z1332" s="152">
        <f t="shared" ref="Z1332" si="7859">Z1298/N1298-1</f>
        <v>3.3730339127104436E-2</v>
      </c>
      <c r="AA1332" s="152">
        <f t="shared" ref="AA1332" si="7860">AA1298/O1298-1</f>
        <v>-0.16413306178750464</v>
      </c>
      <c r="AB1332" s="152">
        <f t="shared" ref="AB1332" si="7861">AB1298/P1298-1</f>
        <v>-0.15889604119608658</v>
      </c>
      <c r="AC1332" s="152">
        <f t="shared" ref="AC1332" si="7862">AC1298/Q1298-1</f>
        <v>-2.7947051206963058E-2</v>
      </c>
      <c r="AD1332" s="153">
        <f t="shared" ref="AD1332" si="7863">AD1298/R1298-1</f>
        <v>-3.2926975726728869E-2</v>
      </c>
      <c r="AF1332" s="43"/>
      <c r="AG1332" s="104">
        <f>AG1298/AF1298-1</f>
        <v>-2.230742811542008E-2</v>
      </c>
    </row>
    <row r="1333" spans="2:34" s="24" customFormat="1" ht="6" customHeight="1" x14ac:dyDescent="0.2">
      <c r="D1333" s="9" t="s">
        <v>56</v>
      </c>
      <c r="E1333" s="49"/>
      <c r="G1333" s="28"/>
      <c r="H1333" s="30"/>
      <c r="I1333" s="30"/>
      <c r="J1333" s="30"/>
      <c r="K1333" s="30"/>
      <c r="L1333" s="30"/>
      <c r="M1333" s="30"/>
      <c r="N1333" s="30"/>
      <c r="O1333" s="30"/>
      <c r="P1333" s="30"/>
      <c r="Q1333" s="30"/>
      <c r="R1333" s="29"/>
      <c r="S1333" s="30"/>
      <c r="T1333" s="30"/>
      <c r="U1333" s="30"/>
      <c r="V1333" s="30"/>
      <c r="W1333" s="30"/>
      <c r="X1333" s="30"/>
      <c r="Y1333" s="30"/>
      <c r="Z1333" s="30"/>
      <c r="AA1333" s="30"/>
      <c r="AB1333" s="30"/>
      <c r="AC1333" s="30"/>
      <c r="AD1333" s="29"/>
      <c r="AE1333" s="25"/>
      <c r="AF1333" s="28"/>
      <c r="AG1333" s="29"/>
    </row>
    <row r="1334" spans="2:34" s="24" customFormat="1" ht="6" customHeight="1" x14ac:dyDescent="0.2">
      <c r="D1334" s="9" t="s">
        <v>56</v>
      </c>
      <c r="E1334" s="49"/>
    </row>
    <row r="1335" spans="2:34" s="24" customFormat="1" ht="12.75" customHeight="1" x14ac:dyDescent="0.2">
      <c r="D1335" s="9" t="s">
        <v>56</v>
      </c>
      <c r="E1335" s="49"/>
    </row>
    <row r="1336" spans="2:34" ht="15.75" thickBot="1" x14ac:dyDescent="0.4">
      <c r="B1336" s="35" t="s">
        <v>52</v>
      </c>
      <c r="C1336" s="35"/>
      <c r="D1336" s="9" t="s">
        <v>56</v>
      </c>
      <c r="E1336" s="48" t="s">
        <v>0</v>
      </c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74">
        <f ca="1">AG$2</f>
        <v>45999</v>
      </c>
      <c r="AH1336" s="1"/>
    </row>
    <row r="1337" spans="2:34" x14ac:dyDescent="0.2">
      <c r="B1337" s="9">
        <f>G1338</f>
        <v>28</v>
      </c>
      <c r="C1337" s="9"/>
      <c r="D1337" s="9" t="s">
        <v>56</v>
      </c>
      <c r="F1337" t="s">
        <v>159</v>
      </c>
      <c r="AG1337" s="6" t="s">
        <v>16</v>
      </c>
    </row>
    <row r="1338" spans="2:34" x14ac:dyDescent="0.2">
      <c r="B1338" s="9">
        <f>G1338</f>
        <v>28</v>
      </c>
      <c r="C1338" s="9"/>
      <c r="D1338" s="9" t="s">
        <v>56</v>
      </c>
      <c r="F1338" s="40" t="s">
        <v>53</v>
      </c>
      <c r="G1338" s="42">
        <v>28</v>
      </c>
    </row>
    <row r="1339" spans="2:34" x14ac:dyDescent="0.2">
      <c r="B1339" s="9">
        <f>G1338</f>
        <v>28</v>
      </c>
      <c r="C1339" s="9"/>
      <c r="D1339" s="9" t="s">
        <v>56</v>
      </c>
      <c r="F1339" s="39" t="s">
        <v>45</v>
      </c>
      <c r="G1339" s="41"/>
      <c r="H1339" s="11"/>
    </row>
    <row r="1340" spans="2:34" x14ac:dyDescent="0.2">
      <c r="B1340" s="9">
        <f>G1338</f>
        <v>28</v>
      </c>
      <c r="C1340" s="9"/>
      <c r="D1340" s="9" t="s">
        <v>56</v>
      </c>
      <c r="G1340" s="23"/>
    </row>
    <row r="1341" spans="2:34" x14ac:dyDescent="0.2">
      <c r="B1341" s="9">
        <f>G1338</f>
        <v>28</v>
      </c>
      <c r="C1341" s="9"/>
      <c r="D1341" s="9" t="s">
        <v>56</v>
      </c>
      <c r="G1341" s="20">
        <v>2023</v>
      </c>
      <c r="H1341" s="21"/>
      <c r="I1341" s="21"/>
      <c r="J1341" s="21"/>
      <c r="K1341" s="21"/>
      <c r="L1341" s="21"/>
      <c r="M1341" s="21"/>
      <c r="N1341" s="21"/>
      <c r="O1341" s="21"/>
      <c r="P1341" s="21"/>
      <c r="Q1341" s="21"/>
      <c r="R1341" s="22"/>
      <c r="S1341" s="20">
        <v>2024</v>
      </c>
      <c r="T1341" s="21"/>
      <c r="U1341" s="21"/>
      <c r="V1341" s="21"/>
      <c r="W1341" s="21"/>
      <c r="X1341" s="21"/>
      <c r="Y1341" s="21"/>
      <c r="Z1341" s="21"/>
      <c r="AA1341" s="21"/>
      <c r="AB1341" s="21"/>
      <c r="AC1341" s="21"/>
      <c r="AD1341" s="22"/>
      <c r="AF1341" s="17" t="s">
        <v>14</v>
      </c>
      <c r="AG1341" s="18"/>
    </row>
    <row r="1342" spans="2:34" ht="15" customHeight="1" x14ac:dyDescent="0.35">
      <c r="B1342" s="9">
        <f>G1338</f>
        <v>28</v>
      </c>
      <c r="C1342" s="9"/>
      <c r="D1342" s="9" t="s">
        <v>56</v>
      </c>
      <c r="G1342" s="165">
        <v>44957</v>
      </c>
      <c r="H1342" s="166">
        <v>44985</v>
      </c>
      <c r="I1342" s="166">
        <v>45016</v>
      </c>
      <c r="J1342" s="166">
        <v>45046</v>
      </c>
      <c r="K1342" s="166">
        <v>45077</v>
      </c>
      <c r="L1342" s="166">
        <v>45107</v>
      </c>
      <c r="M1342" s="166">
        <v>45138</v>
      </c>
      <c r="N1342" s="166">
        <v>45169</v>
      </c>
      <c r="O1342" s="166">
        <v>45199</v>
      </c>
      <c r="P1342" s="166">
        <v>45230</v>
      </c>
      <c r="Q1342" s="166">
        <v>45260</v>
      </c>
      <c r="R1342" s="167">
        <v>45291</v>
      </c>
      <c r="S1342" s="165">
        <v>45322</v>
      </c>
      <c r="T1342" s="166">
        <v>45351</v>
      </c>
      <c r="U1342" s="166">
        <v>45382</v>
      </c>
      <c r="V1342" s="166">
        <v>45412</v>
      </c>
      <c r="W1342" s="166">
        <v>45443</v>
      </c>
      <c r="X1342" s="166">
        <v>45473</v>
      </c>
      <c r="Y1342" s="166">
        <v>45504</v>
      </c>
      <c r="Z1342" s="166">
        <v>45535</v>
      </c>
      <c r="AA1342" s="166">
        <v>45565</v>
      </c>
      <c r="AB1342" s="166">
        <v>45596</v>
      </c>
      <c r="AC1342" s="166">
        <v>45626</v>
      </c>
      <c r="AD1342" s="167">
        <v>45657</v>
      </c>
      <c r="AE1342" s="168"/>
      <c r="AF1342" s="13">
        <v>45291</v>
      </c>
      <c r="AG1342" s="14">
        <v>45657</v>
      </c>
    </row>
    <row r="1343" spans="2:34" ht="0.95" customHeight="1" x14ac:dyDescent="0.2">
      <c r="B1343" s="9">
        <f>G1338</f>
        <v>28</v>
      </c>
      <c r="C1343" s="9"/>
      <c r="D1343" s="9" t="s">
        <v>56</v>
      </c>
      <c r="G1343" s="11"/>
      <c r="S1343" s="11"/>
      <c r="AD1343" s="15"/>
      <c r="AE1343" s="15"/>
      <c r="AF1343" s="11"/>
      <c r="AG1343" s="15"/>
    </row>
    <row r="1344" spans="2:34" x14ac:dyDescent="0.2">
      <c r="B1344" s="9">
        <f>G1338</f>
        <v>28</v>
      </c>
      <c r="C1344" s="9" t="str">
        <f>B1344&amp;" - "&amp;F1344</f>
        <v>28 - Employed Vets</v>
      </c>
      <c r="D1344" s="9" t="s">
        <v>56</v>
      </c>
      <c r="F1344" s="7" t="s">
        <v>160</v>
      </c>
      <c r="G1344" s="121">
        <v>2</v>
      </c>
      <c r="H1344" s="154">
        <f>MAX(MIN(IF(H1347/G1347&gt;1.1,G1344-1,IF(H1347/G1347&lt;0.9,G1344+1,G1344)),5),1)</f>
        <v>2</v>
      </c>
      <c r="I1344" s="154">
        <f t="shared" ref="I1344:AC1344" si="7864">MAX(MIN(IF(I1347/H1347&gt;1.1,H1344-1,IF(I1347/H1347&lt;0.9,H1344+1,H1344)),5),1)</f>
        <v>2</v>
      </c>
      <c r="J1344" s="154">
        <f t="shared" si="7864"/>
        <v>2</v>
      </c>
      <c r="K1344" s="154">
        <f t="shared" si="7864"/>
        <v>2</v>
      </c>
      <c r="L1344" s="154">
        <f t="shared" si="7864"/>
        <v>2</v>
      </c>
      <c r="M1344" s="154">
        <f t="shared" si="7864"/>
        <v>3</v>
      </c>
      <c r="N1344" s="154">
        <f t="shared" si="7864"/>
        <v>4</v>
      </c>
      <c r="O1344" s="154">
        <f t="shared" si="7864"/>
        <v>4</v>
      </c>
      <c r="P1344" s="154">
        <f t="shared" si="7864"/>
        <v>4</v>
      </c>
      <c r="Q1344" s="154">
        <f t="shared" si="7864"/>
        <v>5</v>
      </c>
      <c r="R1344" s="154">
        <f t="shared" si="7864"/>
        <v>5</v>
      </c>
      <c r="S1344" s="155">
        <f t="shared" si="7864"/>
        <v>4</v>
      </c>
      <c r="T1344" s="154">
        <f t="shared" si="7864"/>
        <v>4</v>
      </c>
      <c r="U1344" s="154">
        <f t="shared" si="7864"/>
        <v>4</v>
      </c>
      <c r="V1344" s="154">
        <f t="shared" si="7864"/>
        <v>4</v>
      </c>
      <c r="W1344" s="154">
        <f t="shared" si="7864"/>
        <v>3</v>
      </c>
      <c r="X1344" s="154">
        <f t="shared" si="7864"/>
        <v>3</v>
      </c>
      <c r="Y1344" s="154">
        <f t="shared" si="7864"/>
        <v>4</v>
      </c>
      <c r="Z1344" s="154">
        <f t="shared" si="7864"/>
        <v>4</v>
      </c>
      <c r="AA1344" s="154">
        <f t="shared" si="7864"/>
        <v>4</v>
      </c>
      <c r="AB1344" s="154">
        <f t="shared" si="7864"/>
        <v>4</v>
      </c>
      <c r="AC1344" s="154">
        <f t="shared" si="7864"/>
        <v>4</v>
      </c>
      <c r="AD1344" s="156">
        <f>MROUND(AVERAGE(S1344:AC1344),1)</f>
        <v>4</v>
      </c>
      <c r="AE1344" s="15"/>
      <c r="AF1344" s="90">
        <f>AVERAGE(G1344:R1344)</f>
        <v>3.0833333333333335</v>
      </c>
      <c r="AG1344" s="91">
        <f>AVERAGE(S1344:AD1344)</f>
        <v>3.8333333333333335</v>
      </c>
    </row>
    <row r="1345" spans="2:33" x14ac:dyDescent="0.2">
      <c r="B1345" s="9">
        <f>G1338</f>
        <v>28</v>
      </c>
      <c r="C1345" s="9" t="str">
        <f t="shared" ref="C1345:C1381" si="7865">B1345&amp;" - "&amp;F1345</f>
        <v>28 - Workdays in Month / Year</v>
      </c>
      <c r="D1345" s="9" t="s">
        <v>56</v>
      </c>
      <c r="F1345" s="7" t="s">
        <v>54</v>
      </c>
      <c r="G1345" s="121">
        <v>22</v>
      </c>
      <c r="H1345" s="124">
        <v>21</v>
      </c>
      <c r="I1345" s="124">
        <v>24</v>
      </c>
      <c r="J1345" s="122">
        <v>21</v>
      </c>
      <c r="K1345" s="122">
        <v>23</v>
      </c>
      <c r="L1345" s="122">
        <v>23</v>
      </c>
      <c r="M1345" s="122">
        <v>22</v>
      </c>
      <c r="N1345" s="122">
        <v>24</v>
      </c>
      <c r="O1345" s="122">
        <v>22</v>
      </c>
      <c r="P1345" s="122">
        <v>22</v>
      </c>
      <c r="Q1345" s="122">
        <v>23</v>
      </c>
      <c r="R1345" s="122">
        <v>22</v>
      </c>
      <c r="S1345" s="121">
        <v>23</v>
      </c>
      <c r="T1345" s="122">
        <v>22</v>
      </c>
      <c r="U1345" s="122">
        <v>22</v>
      </c>
      <c r="V1345" s="122">
        <v>22</v>
      </c>
      <c r="W1345" s="122">
        <v>24</v>
      </c>
      <c r="X1345" s="122">
        <v>21</v>
      </c>
      <c r="Y1345" s="122">
        <v>23</v>
      </c>
      <c r="Z1345" s="122">
        <v>23</v>
      </c>
      <c r="AA1345" s="122">
        <v>21</v>
      </c>
      <c r="AB1345" s="122">
        <v>24</v>
      </c>
      <c r="AC1345" s="122">
        <v>22</v>
      </c>
      <c r="AD1345" s="123">
        <v>22</v>
      </c>
      <c r="AE1345" s="15"/>
      <c r="AF1345" s="144">
        <v>269</v>
      </c>
      <c r="AG1345" s="145">
        <v>269</v>
      </c>
    </row>
    <row r="1346" spans="2:33" x14ac:dyDescent="0.2">
      <c r="B1346" s="9">
        <f>G1338</f>
        <v>28</v>
      </c>
      <c r="C1346" s="9" t="str">
        <f t="shared" si="7865"/>
        <v>28 - Total Vet Days</v>
      </c>
      <c r="D1346" s="9" t="s">
        <v>56</v>
      </c>
      <c r="F1346" s="8" t="s">
        <v>51</v>
      </c>
      <c r="G1346" s="125">
        <f>G1344*G1345</f>
        <v>44</v>
      </c>
      <c r="H1346" s="126">
        <f t="shared" ref="H1346" si="7866">H1344*H1345</f>
        <v>42</v>
      </c>
      <c r="I1346" s="126">
        <f t="shared" ref="I1346" si="7867">I1344*I1345</f>
        <v>48</v>
      </c>
      <c r="J1346" s="127">
        <f t="shared" ref="J1346" si="7868">J1344*J1345</f>
        <v>42</v>
      </c>
      <c r="K1346" s="127">
        <f t="shared" ref="K1346" si="7869">K1344*K1345</f>
        <v>46</v>
      </c>
      <c r="L1346" s="127">
        <f t="shared" ref="L1346" si="7870">L1344*L1345</f>
        <v>46</v>
      </c>
      <c r="M1346" s="127">
        <f t="shared" ref="M1346" si="7871">M1344*M1345</f>
        <v>66</v>
      </c>
      <c r="N1346" s="127">
        <f t="shared" ref="N1346" si="7872">N1344*N1345</f>
        <v>96</v>
      </c>
      <c r="O1346" s="127">
        <f t="shared" ref="O1346" si="7873">O1344*O1345</f>
        <v>88</v>
      </c>
      <c r="P1346" s="127">
        <f t="shared" ref="P1346" si="7874">P1344*P1345</f>
        <v>88</v>
      </c>
      <c r="Q1346" s="127">
        <f t="shared" ref="Q1346" si="7875">Q1344*Q1345</f>
        <v>115</v>
      </c>
      <c r="R1346" s="127">
        <f t="shared" ref="R1346" si="7876">R1344*R1345</f>
        <v>110</v>
      </c>
      <c r="S1346" s="125">
        <f t="shared" ref="S1346" si="7877">S1344*S1345</f>
        <v>92</v>
      </c>
      <c r="T1346" s="127">
        <f t="shared" ref="T1346" si="7878">T1344*T1345</f>
        <v>88</v>
      </c>
      <c r="U1346" s="127">
        <f t="shared" ref="U1346" si="7879">U1344*U1345</f>
        <v>88</v>
      </c>
      <c r="V1346" s="127">
        <f t="shared" ref="V1346" si="7880">V1344*V1345</f>
        <v>88</v>
      </c>
      <c r="W1346" s="127">
        <f t="shared" ref="W1346" si="7881">W1344*W1345</f>
        <v>72</v>
      </c>
      <c r="X1346" s="127">
        <f t="shared" ref="X1346" si="7882">X1344*X1345</f>
        <v>63</v>
      </c>
      <c r="Y1346" s="127">
        <f t="shared" ref="Y1346" si="7883">Y1344*Y1345</f>
        <v>92</v>
      </c>
      <c r="Z1346" s="127">
        <f t="shared" ref="Z1346" si="7884">Z1344*Z1345</f>
        <v>92</v>
      </c>
      <c r="AA1346" s="127">
        <f t="shared" ref="AA1346" si="7885">AA1344*AA1345</f>
        <v>84</v>
      </c>
      <c r="AB1346" s="127">
        <f t="shared" ref="AB1346" si="7886">AB1344*AB1345</f>
        <v>96</v>
      </c>
      <c r="AC1346" s="127">
        <f t="shared" ref="AC1346" si="7887">AC1344*AC1345</f>
        <v>88</v>
      </c>
      <c r="AD1346" s="128">
        <f t="shared" ref="AD1346" si="7888">AD1344*AD1345</f>
        <v>88</v>
      </c>
      <c r="AF1346" s="119">
        <f>SUM(G1346:R1346)</f>
        <v>831</v>
      </c>
      <c r="AG1346" s="120">
        <f>SUM(S1346:AD1346)</f>
        <v>1031</v>
      </c>
    </row>
    <row r="1347" spans="2:33" x14ac:dyDescent="0.2">
      <c r="B1347" s="9">
        <f>G1338</f>
        <v>28</v>
      </c>
      <c r="C1347" s="9" t="str">
        <f t="shared" si="7865"/>
        <v>28 - Production per Vet Workday</v>
      </c>
      <c r="D1347" s="9" t="s">
        <v>56</v>
      </c>
      <c r="F1347" s="7" t="s">
        <v>50</v>
      </c>
      <c r="G1347" s="129">
        <v>5.0851565439210553</v>
      </c>
      <c r="H1347" s="130">
        <v>5.3883930289146313</v>
      </c>
      <c r="I1347" s="130">
        <v>5.6823306286902229</v>
      </c>
      <c r="J1347" s="130">
        <v>5.7075666723471814</v>
      </c>
      <c r="K1347" s="130">
        <v>6.0600242297703835</v>
      </c>
      <c r="L1347" s="130">
        <v>6.00821463726533</v>
      </c>
      <c r="M1347" s="130">
        <v>5.2368777975938947</v>
      </c>
      <c r="N1347" s="130">
        <v>4.6335665067623966</v>
      </c>
      <c r="O1347" s="130">
        <v>4.835475748204825</v>
      </c>
      <c r="P1347" s="130">
        <v>5.0465005440525692</v>
      </c>
      <c r="Q1347" s="130">
        <v>4.1481728717815329</v>
      </c>
      <c r="R1347" s="130">
        <v>3.3393728808305121</v>
      </c>
      <c r="S1347" s="129">
        <v>4.8915265313149403</v>
      </c>
      <c r="T1347" s="130">
        <v>5.044488615073436</v>
      </c>
      <c r="U1347" s="130">
        <v>5.5418345935577262</v>
      </c>
      <c r="V1347" s="130">
        <v>5.5109447816275763</v>
      </c>
      <c r="W1347" s="130">
        <v>6.3637957274907482</v>
      </c>
      <c r="X1347" s="130">
        <v>5.8996620795716179</v>
      </c>
      <c r="Y1347" s="130">
        <v>5.0302763942402766</v>
      </c>
      <c r="Z1347" s="130">
        <v>4.6461818147587026</v>
      </c>
      <c r="AA1347" s="130">
        <v>4.6935932915043113</v>
      </c>
      <c r="AB1347" s="130">
        <v>4.8565801104291397</v>
      </c>
      <c r="AC1347" s="130">
        <v>4.4199212862342714</v>
      </c>
      <c r="AD1347" s="131">
        <v>3.5223707131881312</v>
      </c>
      <c r="AE1347" s="15"/>
      <c r="AF1347" s="132">
        <v>5.0986193021985899</v>
      </c>
      <c r="AG1347" s="133">
        <v>5.0397076271482426</v>
      </c>
    </row>
    <row r="1348" spans="2:33" x14ac:dyDescent="0.2">
      <c r="B1348" s="9">
        <f>G1338</f>
        <v>28</v>
      </c>
      <c r="C1348" s="9" t="str">
        <f t="shared" si="7865"/>
        <v>28 - Total Production</v>
      </c>
      <c r="D1348" s="9" t="s">
        <v>56</v>
      </c>
      <c r="F1348" s="8" t="s">
        <v>1</v>
      </c>
      <c r="G1348" s="134">
        <f>G1347*G1346</f>
        <v>223.74688793252642</v>
      </c>
      <c r="H1348" s="135">
        <f t="shared" ref="H1348" si="7889">H1347*H1346</f>
        <v>226.31250721441452</v>
      </c>
      <c r="I1348" s="135">
        <f t="shared" ref="I1348" si="7890">I1347*I1346</f>
        <v>272.75187017713068</v>
      </c>
      <c r="J1348" s="135">
        <f t="shared" ref="J1348" si="7891">J1347*J1346</f>
        <v>239.71780023858162</v>
      </c>
      <c r="K1348" s="135">
        <f t="shared" ref="K1348" si="7892">K1347*K1346</f>
        <v>278.76111456943767</v>
      </c>
      <c r="L1348" s="135">
        <f t="shared" ref="L1348" si="7893">L1347*L1346</f>
        <v>276.3778733142052</v>
      </c>
      <c r="M1348" s="135">
        <f t="shared" ref="M1348" si="7894">M1347*M1346</f>
        <v>345.63393464119707</v>
      </c>
      <c r="N1348" s="135">
        <f t="shared" ref="N1348" si="7895">N1347*N1346</f>
        <v>444.8223846491901</v>
      </c>
      <c r="O1348" s="135">
        <f t="shared" ref="O1348" si="7896">O1347*O1346</f>
        <v>425.52186584202457</v>
      </c>
      <c r="P1348" s="135">
        <f t="shared" ref="P1348" si="7897">P1347*P1346</f>
        <v>444.09204787662611</v>
      </c>
      <c r="Q1348" s="135">
        <f t="shared" ref="Q1348" si="7898">Q1347*Q1346</f>
        <v>477.03988025487627</v>
      </c>
      <c r="R1348" s="135">
        <f t="shared" ref="R1348" si="7899">R1347*R1346</f>
        <v>367.33101689135634</v>
      </c>
      <c r="S1348" s="134">
        <f t="shared" ref="S1348" si="7900">S1347*S1346</f>
        <v>450.02044088097449</v>
      </c>
      <c r="T1348" s="135">
        <f t="shared" ref="T1348" si="7901">T1347*T1346</f>
        <v>443.91499812646236</v>
      </c>
      <c r="U1348" s="135">
        <f t="shared" ref="U1348" si="7902">U1347*U1346</f>
        <v>487.6814442330799</v>
      </c>
      <c r="V1348" s="135">
        <f t="shared" ref="V1348" si="7903">V1347*V1346</f>
        <v>484.96314078322672</v>
      </c>
      <c r="W1348" s="135">
        <f t="shared" ref="W1348" si="7904">W1347*W1346</f>
        <v>458.19329237933385</v>
      </c>
      <c r="X1348" s="135">
        <f t="shared" ref="X1348" si="7905">X1347*X1346</f>
        <v>371.67871101301193</v>
      </c>
      <c r="Y1348" s="135">
        <f t="shared" ref="Y1348" si="7906">Y1347*Y1346</f>
        <v>462.78542827010546</v>
      </c>
      <c r="Z1348" s="135">
        <f t="shared" ref="Z1348" si="7907">Z1347*Z1346</f>
        <v>427.44872695780066</v>
      </c>
      <c r="AA1348" s="135">
        <f t="shared" ref="AA1348" si="7908">AA1347*AA1346</f>
        <v>394.26183648636214</v>
      </c>
      <c r="AB1348" s="135">
        <f t="shared" ref="AB1348" si="7909">AB1347*AB1346</f>
        <v>466.23169060119744</v>
      </c>
      <c r="AC1348" s="135">
        <f t="shared" ref="AC1348" si="7910">AC1347*AC1346</f>
        <v>388.95307318861586</v>
      </c>
      <c r="AD1348" s="136">
        <f t="shared" ref="AD1348" si="7911">AD1347*AD1346</f>
        <v>309.96862276055555</v>
      </c>
      <c r="AE1348" s="15"/>
      <c r="AF1348" s="94">
        <f>SUM(G1348:R1348)</f>
        <v>4022.1091836015667</v>
      </c>
      <c r="AG1348" s="95">
        <f>SUM(S1348:AD1348)</f>
        <v>5146.1014056807271</v>
      </c>
    </row>
    <row r="1349" spans="2:33" x14ac:dyDescent="0.2">
      <c r="B1349" s="9">
        <f>G1338</f>
        <v>28</v>
      </c>
      <c r="C1349" s="9" t="str">
        <f t="shared" si="7865"/>
        <v>28 - Revenue as a % of Production</v>
      </c>
      <c r="D1349" s="9" t="s">
        <v>56</v>
      </c>
      <c r="F1349" s="7" t="s">
        <v>2</v>
      </c>
      <c r="G1349" s="137">
        <v>0.98680129700544117</v>
      </c>
      <c r="H1349" s="138">
        <v>0.98680129700544117</v>
      </c>
      <c r="I1349" s="138">
        <v>0.98680129700544117</v>
      </c>
      <c r="J1349" s="138">
        <v>0.98680129700544117</v>
      </c>
      <c r="K1349" s="138">
        <v>0.98680129700544117</v>
      </c>
      <c r="L1349" s="138">
        <v>0.98680129700544117</v>
      </c>
      <c r="M1349" s="138">
        <v>0.98680129700544117</v>
      </c>
      <c r="N1349" s="138">
        <v>0.98680129700544117</v>
      </c>
      <c r="O1349" s="138">
        <v>0.98680129700544117</v>
      </c>
      <c r="P1349" s="138">
        <v>0.98680129700544117</v>
      </c>
      <c r="Q1349" s="138">
        <v>0.98680129700544117</v>
      </c>
      <c r="R1349" s="138">
        <v>0.98680129700544117</v>
      </c>
      <c r="S1349" s="137">
        <v>0.98024434002464211</v>
      </c>
      <c r="T1349" s="138">
        <v>0.98024434002464211</v>
      </c>
      <c r="U1349" s="138">
        <v>0.98024434002464211</v>
      </c>
      <c r="V1349" s="138">
        <v>0.98024434002464211</v>
      </c>
      <c r="W1349" s="138">
        <v>0.98024434002464211</v>
      </c>
      <c r="X1349" s="138">
        <v>0.98024434002464211</v>
      </c>
      <c r="Y1349" s="138">
        <v>0.98024434002464211</v>
      </c>
      <c r="Z1349" s="138">
        <v>0.98024434002464211</v>
      </c>
      <c r="AA1349" s="138">
        <v>0.98024434002464211</v>
      </c>
      <c r="AB1349" s="138">
        <v>0.98024434002464211</v>
      </c>
      <c r="AC1349" s="138">
        <v>0.98024434002464211</v>
      </c>
      <c r="AD1349" s="139">
        <v>0.98024434002464211</v>
      </c>
      <c r="AE1349" s="15"/>
      <c r="AF1349" s="161">
        <v>0.98680129700544117</v>
      </c>
      <c r="AG1349" s="162">
        <v>0.98024434002464222</v>
      </c>
    </row>
    <row r="1350" spans="2:33" x14ac:dyDescent="0.2">
      <c r="B1350" s="9">
        <f>G1338</f>
        <v>28</v>
      </c>
      <c r="C1350" s="9" t="str">
        <f t="shared" si="7865"/>
        <v>28 - Total Revenue</v>
      </c>
      <c r="D1350" s="9" t="s">
        <v>56</v>
      </c>
      <c r="F1350" s="8" t="s">
        <v>3</v>
      </c>
      <c r="G1350" s="134">
        <f>G1349*G1348</f>
        <v>220.79371921274816</v>
      </c>
      <c r="H1350" s="135">
        <f t="shared" ref="H1350" si="7912">H1349*H1348</f>
        <v>223.32547564773751</v>
      </c>
      <c r="I1350" s="135">
        <f t="shared" ref="I1350" si="7913">I1349*I1348</f>
        <v>269.15189925145228</v>
      </c>
      <c r="J1350" s="135">
        <f t="shared" ref="J1350" si="7914">J1349*J1348</f>
        <v>236.55383619072359</v>
      </c>
      <c r="K1350" s="135">
        <f t="shared" ref="K1350" si="7915">K1349*K1348</f>
        <v>275.08182941180348</v>
      </c>
      <c r="L1350" s="135">
        <f t="shared" ref="L1350" si="7916">L1349*L1348</f>
        <v>272.73004385006323</v>
      </c>
      <c r="M1350" s="135">
        <f t="shared" ref="M1350" si="7917">M1349*M1348</f>
        <v>341.07201499302715</v>
      </c>
      <c r="N1350" s="135">
        <f t="shared" ref="N1350" si="7918">N1349*N1348</f>
        <v>438.95130610887401</v>
      </c>
      <c r="O1350" s="135">
        <f t="shared" ref="O1350" si="7919">O1349*O1348</f>
        <v>419.90552911708517</v>
      </c>
      <c r="P1350" s="135">
        <f t="shared" ref="P1350" si="7920">P1349*P1348</f>
        <v>438.23060883445714</v>
      </c>
      <c r="Q1350" s="135">
        <f t="shared" ref="Q1350" si="7921">Q1349*Q1348</f>
        <v>470.74357255883223</v>
      </c>
      <c r="R1350" s="135">
        <f t="shared" ref="R1350" si="7922">R1349*R1348</f>
        <v>362.48272389871806</v>
      </c>
      <c r="S1350" s="134">
        <f t="shared" ref="S1350" si="7923">S1349*S1348</f>
        <v>441.12999006896933</v>
      </c>
      <c r="T1350" s="135">
        <f t="shared" ref="T1350" si="7924">T1349*T1348</f>
        <v>435.14516436551435</v>
      </c>
      <c r="U1350" s="135">
        <f t="shared" ref="U1350" si="7925">U1349*U1348</f>
        <v>478.04697544451972</v>
      </c>
      <c r="V1350" s="135">
        <f t="shared" ref="V1350" si="7926">V1349*V1348</f>
        <v>475.38237387333169</v>
      </c>
      <c r="W1350" s="135">
        <f t="shared" ref="W1350" si="7927">W1349*W1348</f>
        <v>449.14138149209799</v>
      </c>
      <c r="X1350" s="135">
        <f t="shared" ref="X1350" si="7928">X1349*X1348</f>
        <v>364.33595277815954</v>
      </c>
      <c r="Y1350" s="135">
        <f t="shared" ref="Y1350" si="7929">Y1349*Y1348</f>
        <v>453.64279670765086</v>
      </c>
      <c r="Z1350" s="135">
        <f t="shared" ref="Z1350" si="7930">Z1349*Z1348</f>
        <v>419.00419525112278</v>
      </c>
      <c r="AA1350" s="135">
        <f t="shared" ref="AA1350" si="7931">AA1349*AA1348</f>
        <v>386.47293370347739</v>
      </c>
      <c r="AB1350" s="135">
        <f t="shared" ref="AB1350" si="7932">AB1349*AB1348</f>
        <v>457.02097585194394</v>
      </c>
      <c r="AC1350" s="135">
        <f t="shared" ref="AC1350" si="7933">AC1349*AC1348</f>
        <v>381.2690485283311</v>
      </c>
      <c r="AD1350" s="136">
        <f t="shared" ref="AD1350" si="7934">AD1349*AD1348</f>
        <v>303.84498804626804</v>
      </c>
      <c r="AE1350" s="15"/>
      <c r="AF1350" s="94">
        <f>SUM(G1350:R1350)</f>
        <v>3969.0225590755222</v>
      </c>
      <c r="AG1350" s="95">
        <f>SUM(S1350:AD1350)</f>
        <v>5044.4367761113863</v>
      </c>
    </row>
    <row r="1351" spans="2:33" x14ac:dyDescent="0.2">
      <c r="B1351" s="9">
        <f>G1338</f>
        <v>28</v>
      </c>
      <c r="C1351" s="9" t="str">
        <f t="shared" si="7865"/>
        <v>28 - % YoY Revenue Growth</v>
      </c>
      <c r="D1351" s="9" t="s">
        <v>56</v>
      </c>
      <c r="F1351" s="16" t="s">
        <v>174</v>
      </c>
      <c r="G1351" s="82"/>
      <c r="H1351" s="83"/>
      <c r="I1351" s="83"/>
      <c r="J1351" s="83"/>
      <c r="K1351" s="83"/>
      <c r="L1351" s="83"/>
      <c r="M1351" s="83"/>
      <c r="N1351" s="83"/>
      <c r="O1351" s="83"/>
      <c r="P1351" s="83"/>
      <c r="Q1351" s="83"/>
      <c r="R1351" s="83"/>
      <c r="S1351" s="148">
        <f>S1350/G1350-1</f>
        <v>0.99792816408837148</v>
      </c>
      <c r="T1351" s="149">
        <f t="shared" ref="T1351" si="7935">T1350/H1350-1</f>
        <v>0.94847973838815713</v>
      </c>
      <c r="U1351" s="149">
        <f t="shared" ref="U1351" si="7936">U1350/I1350-1</f>
        <v>0.77612335924075881</v>
      </c>
      <c r="V1351" s="149">
        <f t="shared" ref="V1351" si="7937">V1350/J1350-1</f>
        <v>1.0096159991675235</v>
      </c>
      <c r="W1351" s="149">
        <f t="shared" ref="W1351" si="7938">W1350/K1350-1</f>
        <v>0.63275554205989937</v>
      </c>
      <c r="X1351" s="149">
        <f t="shared" ref="X1351" si="7939">X1350/L1350-1</f>
        <v>0.33588491988237945</v>
      </c>
      <c r="Y1351" s="149">
        <f t="shared" ref="Y1351" si="7940">Y1350/M1350-1</f>
        <v>0.33004989200572532</v>
      </c>
      <c r="Z1351" s="149">
        <f t="shared" ref="Z1351" si="7941">Z1350/N1350-1</f>
        <v>-4.5442650654293093E-2</v>
      </c>
      <c r="AA1351" s="149">
        <f t="shared" ref="AA1351" si="7942">AA1350/O1350-1</f>
        <v>-7.9619326480184327E-2</v>
      </c>
      <c r="AB1351" s="149">
        <f t="shared" ref="AB1351" si="7943">AB1350/P1350-1</f>
        <v>4.2877805974034455E-2</v>
      </c>
      <c r="AC1351" s="149">
        <f t="shared" ref="AC1351" si="7944">AC1350/Q1350-1</f>
        <v>-0.19007062283217657</v>
      </c>
      <c r="AD1351" s="150">
        <f t="shared" ref="AD1351" si="7945">AD1350/R1350-1</f>
        <v>-0.16176698084191754</v>
      </c>
      <c r="AE1351" s="15"/>
      <c r="AF1351" s="11"/>
      <c r="AG1351" s="97">
        <f>AG1350/AF1350-1</f>
        <v>0.27095190340423581</v>
      </c>
    </row>
    <row r="1352" spans="2:33" ht="6" customHeight="1" x14ac:dyDescent="0.2">
      <c r="B1352" s="9">
        <f>G1338</f>
        <v>28</v>
      </c>
      <c r="C1352" s="9" t="str">
        <f t="shared" si="7865"/>
        <v xml:space="preserve">28 - </v>
      </c>
      <c r="D1352" s="9" t="s">
        <v>56</v>
      </c>
      <c r="G1352" s="11"/>
      <c r="S1352" s="11"/>
      <c r="AD1352" s="15"/>
      <c r="AE1352" s="15"/>
      <c r="AF1352" s="11"/>
      <c r="AG1352" s="15"/>
    </row>
    <row r="1353" spans="2:33" x14ac:dyDescent="0.2">
      <c r="B1353" s="9">
        <f>G1338</f>
        <v>28</v>
      </c>
      <c r="C1353" s="9" t="str">
        <f t="shared" si="7865"/>
        <v>28 - Doctor Compensation</v>
      </c>
      <c r="D1353" s="9" t="s">
        <v>56</v>
      </c>
      <c r="F1353" t="s">
        <v>4</v>
      </c>
      <c r="G1353" s="144">
        <v>-77.684053894520886</v>
      </c>
      <c r="H1353" s="70">
        <v>-80.515863857511604</v>
      </c>
      <c r="I1353" s="70">
        <v>-97.102096516735926</v>
      </c>
      <c r="J1353" s="70">
        <v>-85.797594080791256</v>
      </c>
      <c r="K1353" s="70">
        <v>-97.500434475197579</v>
      </c>
      <c r="L1353" s="70">
        <v>-93.948917488233164</v>
      </c>
      <c r="M1353" s="70">
        <v>-79.379371431598727</v>
      </c>
      <c r="N1353" s="70">
        <v>-74.826395106801826</v>
      </c>
      <c r="O1353" s="70">
        <v>-73.561068643083743</v>
      </c>
      <c r="P1353" s="70">
        <v>-76.707918735912045</v>
      </c>
      <c r="Q1353" s="70">
        <v>-66.465247192125304</v>
      </c>
      <c r="R1353" s="70">
        <v>-50.457366397146444</v>
      </c>
      <c r="S1353" s="144">
        <v>-136.21146687978936</v>
      </c>
      <c r="T1353" s="70">
        <v>-134.94670791493999</v>
      </c>
      <c r="U1353" s="70">
        <v>-147.48783440163095</v>
      </c>
      <c r="V1353" s="70">
        <v>-145.56174949683609</v>
      </c>
      <c r="W1353" s="70">
        <v>-188.42987900222579</v>
      </c>
      <c r="X1353" s="70">
        <v>-153.82845473694672</v>
      </c>
      <c r="Y1353" s="70">
        <v>-146.74559459943902</v>
      </c>
      <c r="Z1353" s="70">
        <v>-132.7466560012023</v>
      </c>
      <c r="AA1353" s="70">
        <v>-121.52224067221437</v>
      </c>
      <c r="AB1353" s="70">
        <v>-145.74566289048116</v>
      </c>
      <c r="AC1353" s="70">
        <v>-121.72320040972807</v>
      </c>
      <c r="AD1353" s="145">
        <v>-97.139063481911663</v>
      </c>
      <c r="AE1353" s="15"/>
      <c r="AF1353" s="92">
        <f>SUM(G1353:R1353)</f>
        <v>-953.94632781965845</v>
      </c>
      <c r="AG1353" s="93">
        <f>SUM(S1353:AD1353)</f>
        <v>-1672.0885104873455</v>
      </c>
    </row>
    <row r="1354" spans="2:33" x14ac:dyDescent="0.2">
      <c r="B1354" s="9">
        <f>G1338</f>
        <v>28</v>
      </c>
      <c r="C1354" s="9" t="str">
        <f t="shared" si="7865"/>
        <v>28 - % of Revenue - Doctor Compensation</v>
      </c>
      <c r="D1354" s="9" t="s">
        <v>56</v>
      </c>
      <c r="F1354" s="16" t="str">
        <f>"% of Revenue - "&amp;F1353</f>
        <v>% of Revenue - Doctor Compensation</v>
      </c>
      <c r="G1354" s="148">
        <f>G1353/G1350</f>
        <v>-0.35183996252931266</v>
      </c>
      <c r="H1354" s="149">
        <f t="shared" ref="H1354" si="7946">H1353/H1350</f>
        <v>-0.36053147821126025</v>
      </c>
      <c r="I1354" s="149">
        <f t="shared" ref="I1354" si="7947">I1353/I1350</f>
        <v>-0.36077061609741545</v>
      </c>
      <c r="J1354" s="149">
        <f t="shared" ref="J1354" si="7948">J1353/J1350</f>
        <v>-0.36269796111704655</v>
      </c>
      <c r="K1354" s="149">
        <f t="shared" ref="K1354" si="7949">K1353/K1350</f>
        <v>-0.35444156629203344</v>
      </c>
      <c r="L1354" s="149">
        <f t="shared" ref="L1354" si="7950">L1353/L1350</f>
        <v>-0.34447586397882429</v>
      </c>
      <c r="M1354" s="149">
        <f t="shared" ref="M1354" si="7951">M1353/M1350</f>
        <v>-0.23273492969870763</v>
      </c>
      <c r="N1354" s="149">
        <f t="shared" ref="N1354" si="7952">N1353/N1350</f>
        <v>-0.1704662773875936</v>
      </c>
      <c r="O1354" s="149">
        <f t="shared" ref="O1354" si="7953">O1353/O1350</f>
        <v>-0.17518480596756372</v>
      </c>
      <c r="P1354" s="149">
        <f t="shared" ref="P1354" si="7954">P1353/P1350</f>
        <v>-0.17504007522415824</v>
      </c>
      <c r="Q1354" s="149">
        <f t="shared" ref="Q1354" si="7955">Q1353/Q1350</f>
        <v>-0.14119204396321028</v>
      </c>
      <c r="R1354" s="149">
        <f t="shared" ref="R1354" si="7956">R1353/R1350</f>
        <v>-0.13919936888149412</v>
      </c>
      <c r="S1354" s="148">
        <f t="shared" ref="S1354" si="7957">S1353/S1350</f>
        <v>-0.30877852321600968</v>
      </c>
      <c r="T1354" s="149">
        <f t="shared" ref="T1354" si="7958">T1353/T1350</f>
        <v>-0.3101188269245872</v>
      </c>
      <c r="U1354" s="149">
        <f t="shared" ref="U1354" si="7959">U1353/U1350</f>
        <v>-0.30852163485499934</v>
      </c>
      <c r="V1354" s="149">
        <f t="shared" ref="V1354" si="7960">V1353/V1350</f>
        <v>-0.30619929870521839</v>
      </c>
      <c r="W1354" s="149">
        <f t="shared" ref="W1354" si="7961">W1353/W1350</f>
        <v>-0.41953355172093165</v>
      </c>
      <c r="X1354" s="149">
        <f t="shared" ref="X1354" si="7962">X1353/X1350</f>
        <v>-0.42221596184500437</v>
      </c>
      <c r="Y1354" s="149">
        <f t="shared" ref="Y1354" si="7963">Y1353/Y1350</f>
        <v>-0.32348269533751445</v>
      </c>
      <c r="Z1354" s="149">
        <f t="shared" ref="Z1354" si="7964">Z1353/Z1350</f>
        <v>-0.3168146226355632</v>
      </c>
      <c r="AA1354" s="149">
        <f t="shared" ref="AA1354" si="7965">AA1353/AA1350</f>
        <v>-0.31443920149257515</v>
      </c>
      <c r="AB1354" s="149">
        <f t="shared" ref="AB1354" si="7966">AB1353/AB1350</f>
        <v>-0.31890366217610278</v>
      </c>
      <c r="AC1354" s="149">
        <f t="shared" ref="AC1354" si="7967">AC1353/AC1350</f>
        <v>-0.31925801708680568</v>
      </c>
      <c r="AD1354" s="150">
        <f t="shared" ref="AD1354" si="7968">AD1353/AD1350</f>
        <v>-0.31969941023716936</v>
      </c>
      <c r="AE1354" s="15"/>
      <c r="AF1354" s="96">
        <f t="shared" ref="AF1354" si="7969">AF1353/AF1350</f>
        <v>-0.2403479228502684</v>
      </c>
      <c r="AG1354" s="97">
        <f t="shared" ref="AG1354" si="7970">AG1353/AG1350</f>
        <v>-0.33147179451346226</v>
      </c>
    </row>
    <row r="1355" spans="2:33" ht="3" customHeight="1" x14ac:dyDescent="0.2">
      <c r="B1355" s="9">
        <f>G1338</f>
        <v>28</v>
      </c>
      <c r="C1355" s="9" t="str">
        <f t="shared" si="7865"/>
        <v xml:space="preserve">28 - </v>
      </c>
      <c r="D1355" s="9" t="s">
        <v>56</v>
      </c>
      <c r="F1355" s="16"/>
      <c r="G1355" s="36"/>
      <c r="H1355" s="37"/>
      <c r="I1355" s="37"/>
      <c r="J1355" s="37"/>
      <c r="K1355" s="37"/>
      <c r="L1355" s="37"/>
      <c r="M1355" s="37"/>
      <c r="N1355" s="37"/>
      <c r="O1355" s="37"/>
      <c r="P1355" s="37"/>
      <c r="Q1355" s="37"/>
      <c r="R1355" s="37"/>
      <c r="S1355" s="36"/>
      <c r="T1355" s="37"/>
      <c r="U1355" s="37"/>
      <c r="V1355" s="37"/>
      <c r="W1355" s="37"/>
      <c r="X1355" s="37"/>
      <c r="Y1355" s="37"/>
      <c r="Z1355" s="37"/>
      <c r="AA1355" s="37"/>
      <c r="AB1355" s="37"/>
      <c r="AC1355" s="37"/>
      <c r="AD1355" s="38"/>
      <c r="AE1355" s="15"/>
      <c r="AF1355" s="36"/>
      <c r="AG1355" s="38"/>
    </row>
    <row r="1356" spans="2:33" x14ac:dyDescent="0.2">
      <c r="B1356" s="9">
        <f>G1338</f>
        <v>28</v>
      </c>
      <c r="C1356" s="9" t="str">
        <f t="shared" si="7865"/>
        <v>28 - Administrative Staff Compensation</v>
      </c>
      <c r="D1356" s="9" t="s">
        <v>56</v>
      </c>
      <c r="F1356" t="s">
        <v>5</v>
      </c>
      <c r="G1356" s="144">
        <v>-39.227964796188267</v>
      </c>
      <c r="H1356" s="70">
        <v>-39.918632973557926</v>
      </c>
      <c r="I1356" s="70">
        <v>-50.377459849062028</v>
      </c>
      <c r="J1356" s="70">
        <v>-41.995225705067391</v>
      </c>
      <c r="K1356" s="70">
        <v>-47.223752614407893</v>
      </c>
      <c r="L1356" s="70">
        <v>-47.07517883303079</v>
      </c>
      <c r="M1356" s="70">
        <v>-39.176799317179196</v>
      </c>
      <c r="N1356" s="70">
        <v>-37.197950136879875</v>
      </c>
      <c r="O1356" s="70">
        <v>-34.108585009142665</v>
      </c>
      <c r="P1356" s="70">
        <v>-36.791943311800139</v>
      </c>
      <c r="Q1356" s="70">
        <v>-31.152297230276641</v>
      </c>
      <c r="R1356" s="70">
        <v>-24.951309635578241</v>
      </c>
      <c r="S1356" s="144">
        <v>-56.638980722364316</v>
      </c>
      <c r="T1356" s="70">
        <v>-55.904007227760154</v>
      </c>
      <c r="U1356" s="70">
        <v>-59.204981980171056</v>
      </c>
      <c r="V1356" s="70">
        <v>-60.077444821284026</v>
      </c>
      <c r="W1356" s="70">
        <v>-77.973351547020556</v>
      </c>
      <c r="X1356" s="70">
        <v>-60.24195888475279</v>
      </c>
      <c r="Y1356" s="70">
        <v>-53.507754738606508</v>
      </c>
      <c r="Z1356" s="70">
        <v>-50.283059807762015</v>
      </c>
      <c r="AA1356" s="70">
        <v>-43.621024257911039</v>
      </c>
      <c r="AB1356" s="70">
        <v>-49.062076004788729</v>
      </c>
      <c r="AC1356" s="70">
        <v>-38.72270843172695</v>
      </c>
      <c r="AD1356" s="145">
        <v>-31.729948709800656</v>
      </c>
      <c r="AE1356" s="15"/>
      <c r="AF1356" s="92">
        <f>SUM(G1356:R1356)</f>
        <v>-469.19709941217099</v>
      </c>
      <c r="AG1356" s="93">
        <f>SUM(S1356:AD1356)</f>
        <v>-636.96729713394882</v>
      </c>
    </row>
    <row r="1357" spans="2:33" x14ac:dyDescent="0.2">
      <c r="B1357" s="9">
        <f>G1338</f>
        <v>28</v>
      </c>
      <c r="C1357" s="9" t="str">
        <f t="shared" si="7865"/>
        <v>28 - % of Revenue - Administrative Staff Compensation</v>
      </c>
      <c r="D1357" s="9" t="s">
        <v>56</v>
      </c>
      <c r="F1357" s="16" t="str">
        <f>"% of Revenue - "&amp;F1356</f>
        <v>% of Revenue - Administrative Staff Compensation</v>
      </c>
      <c r="G1357" s="148">
        <f>G1356/G1350</f>
        <v>-0.17766793791081412</v>
      </c>
      <c r="H1357" s="149">
        <f t="shared" ref="H1357" si="7971">H1356/H1350</f>
        <v>-0.17874643659787204</v>
      </c>
      <c r="I1357" s="149">
        <f t="shared" ref="I1357" si="7972">I1356/I1350</f>
        <v>-0.18717111039962392</v>
      </c>
      <c r="J1357" s="149">
        <f t="shared" ref="J1357" si="7973">J1356/J1350</f>
        <v>-0.17752925245823692</v>
      </c>
      <c r="K1357" s="149">
        <f t="shared" ref="K1357" si="7974">K1356/K1350</f>
        <v>-0.17167165390525635</v>
      </c>
      <c r="L1357" s="149">
        <f t="shared" ref="L1357" si="7975">L1356/L1350</f>
        <v>-0.17260723522968729</v>
      </c>
      <c r="M1357" s="149">
        <f t="shared" ref="M1357" si="7976">M1356/M1350</f>
        <v>-0.11486371673729996</v>
      </c>
      <c r="N1357" s="149">
        <f t="shared" ref="N1357" si="7977">N1356/N1350</f>
        <v>-8.4742771280542875E-2</v>
      </c>
      <c r="O1357" s="149">
        <f t="shared" ref="O1357" si="7978">O1356/O1350</f>
        <v>-8.1229187624323781E-2</v>
      </c>
      <c r="P1357" s="149">
        <f t="shared" ref="P1357" si="7979">P1356/P1350</f>
        <v>-8.3955667564285547E-2</v>
      </c>
      <c r="Q1357" s="149">
        <f t="shared" ref="Q1357" si="7980">Q1356/Q1350</f>
        <v>-6.6176787206974161E-2</v>
      </c>
      <c r="R1357" s="149">
        <f t="shared" ref="R1357" si="7981">R1356/R1350</f>
        <v>-6.8834479522808731E-2</v>
      </c>
      <c r="S1357" s="148">
        <f t="shared" ref="S1357" si="7982">S1356/S1350</f>
        <v>-0.12839521682375071</v>
      </c>
      <c r="T1357" s="149">
        <f t="shared" ref="T1357" si="7983">T1356/T1350</f>
        <v>-0.12847208657201523</v>
      </c>
      <c r="U1357" s="149">
        <f t="shared" ref="U1357" si="7984">U1356/U1350</f>
        <v>-0.12384762381378597</v>
      </c>
      <c r="V1357" s="149">
        <f t="shared" ref="V1357" si="7985">V1356/V1350</f>
        <v>-0.12637709793862067</v>
      </c>
      <c r="W1357" s="149">
        <f t="shared" ref="W1357" si="7986">W1356/W1350</f>
        <v>-0.17360536071734103</v>
      </c>
      <c r="X1357" s="149">
        <f t="shared" ref="X1357" si="7987">X1356/X1350</f>
        <v>-0.16534728023790041</v>
      </c>
      <c r="Y1357" s="149">
        <f t="shared" ref="Y1357" si="7988">Y1356/Y1350</f>
        <v>-0.11795129367630953</v>
      </c>
      <c r="Z1357" s="149">
        <f t="shared" ref="Z1357" si="7989">Z1356/Z1350</f>
        <v>-0.12000610107883466</v>
      </c>
      <c r="AA1357" s="149">
        <f t="shared" ref="AA1357" si="7990">AA1356/AA1350</f>
        <v>-0.11286954519660984</v>
      </c>
      <c r="AB1357" s="149">
        <f t="shared" ref="AB1357" si="7991">AB1356/AB1350</f>
        <v>-0.10735191292550833</v>
      </c>
      <c r="AC1357" s="149">
        <f t="shared" ref="AC1357" si="7992">AC1356/AC1350</f>
        <v>-0.10156268540862048</v>
      </c>
      <c r="AD1357" s="150">
        <f t="shared" ref="AD1357" si="7993">AD1356/AD1350</f>
        <v>-0.10442807996875358</v>
      </c>
      <c r="AE1357" s="15"/>
      <c r="AF1357" s="96">
        <f t="shared" ref="AF1357" si="7994">AF1356/AF1350</f>
        <v>-0.11821477263698343</v>
      </c>
      <c r="AG1357" s="97">
        <f t="shared" ref="AG1357" si="7995">AG1356/AG1350</f>
        <v>-0.12627124204438317</v>
      </c>
    </row>
    <row r="1358" spans="2:33" ht="3" customHeight="1" x14ac:dyDescent="0.2">
      <c r="B1358" s="9">
        <f>G1338</f>
        <v>28</v>
      </c>
      <c r="C1358" s="9" t="str">
        <f t="shared" si="7865"/>
        <v xml:space="preserve">28 - </v>
      </c>
      <c r="D1358" s="9" t="s">
        <v>56</v>
      </c>
      <c r="F1358" s="16"/>
      <c r="G1358" s="36"/>
      <c r="H1358" s="37"/>
      <c r="I1358" s="37"/>
      <c r="J1358" s="37"/>
      <c r="K1358" s="37"/>
      <c r="L1358" s="37"/>
      <c r="M1358" s="37"/>
      <c r="N1358" s="37"/>
      <c r="O1358" s="37"/>
      <c r="P1358" s="37"/>
      <c r="Q1358" s="37"/>
      <c r="R1358" s="37"/>
      <c r="S1358" s="36"/>
      <c r="T1358" s="37"/>
      <c r="U1358" s="37"/>
      <c r="V1358" s="37"/>
      <c r="W1358" s="37"/>
      <c r="X1358" s="37"/>
      <c r="Y1358" s="37"/>
      <c r="Z1358" s="37"/>
      <c r="AA1358" s="37"/>
      <c r="AB1358" s="37"/>
      <c r="AC1358" s="37"/>
      <c r="AD1358" s="38"/>
      <c r="AE1358" s="15"/>
      <c r="AF1358" s="36"/>
      <c r="AG1358" s="38"/>
    </row>
    <row r="1359" spans="2:33" x14ac:dyDescent="0.2">
      <c r="B1359" s="9">
        <f>G1338</f>
        <v>28</v>
      </c>
      <c r="C1359" s="9" t="str">
        <f t="shared" si="7865"/>
        <v>28 - Office Supplies</v>
      </c>
      <c r="D1359" s="9" t="s">
        <v>56</v>
      </c>
      <c r="F1359" t="s">
        <v>6</v>
      </c>
      <c r="G1359" s="144">
        <v>-18.134658110033115</v>
      </c>
      <c r="H1359" s="70">
        <v>-18.703902450277575</v>
      </c>
      <c r="I1359" s="70">
        <v>-21.86002658190198</v>
      </c>
      <c r="J1359" s="70">
        <v>-19.711643722208809</v>
      </c>
      <c r="K1359" s="70">
        <v>-23.978308053236702</v>
      </c>
      <c r="L1359" s="70">
        <v>-23.924221147515297</v>
      </c>
      <c r="M1359" s="70">
        <v>-20.662474416993732</v>
      </c>
      <c r="N1359" s="70">
        <v>-20.175318601030707</v>
      </c>
      <c r="O1359" s="70">
        <v>-19.677967039167505</v>
      </c>
      <c r="P1359" s="70">
        <v>-20.106075588994447</v>
      </c>
      <c r="Q1359" s="70">
        <v>-17.650662012250098</v>
      </c>
      <c r="R1359" s="70">
        <v>-14.014873132868965</v>
      </c>
      <c r="S1359" s="144">
        <v>-20.93060658119337</v>
      </c>
      <c r="T1359" s="70">
        <v>-21.116636683312215</v>
      </c>
      <c r="U1359" s="70">
        <v>-23.85108374494045</v>
      </c>
      <c r="V1359" s="70">
        <v>-24.876211544200668</v>
      </c>
      <c r="W1359" s="70">
        <v>-29.859999921429647</v>
      </c>
      <c r="X1359" s="70">
        <v>-24.305161941167206</v>
      </c>
      <c r="Y1359" s="70">
        <v>-23.094610027522936</v>
      </c>
      <c r="Z1359" s="70">
        <v>-21.16051492115459</v>
      </c>
      <c r="AA1359" s="70">
        <v>-19.484395529930012</v>
      </c>
      <c r="AB1359" s="70">
        <v>-23.858596611842678</v>
      </c>
      <c r="AC1359" s="70">
        <v>-20.292567681001952</v>
      </c>
      <c r="AD1359" s="145">
        <v>-15.481177462480716</v>
      </c>
      <c r="AE1359" s="15"/>
      <c r="AF1359" s="92">
        <f>SUM(G1359:R1359)</f>
        <v>-238.60013085647893</v>
      </c>
      <c r="AG1359" s="93">
        <f>SUM(S1359:AD1359)</f>
        <v>-268.31156265017648</v>
      </c>
    </row>
    <row r="1360" spans="2:33" x14ac:dyDescent="0.2">
      <c r="B1360" s="9">
        <f>G1338</f>
        <v>28</v>
      </c>
      <c r="C1360" s="9" t="str">
        <f t="shared" si="7865"/>
        <v>28 - % of Revenue - Office Supplies</v>
      </c>
      <c r="D1360" s="9" t="s">
        <v>56</v>
      </c>
      <c r="F1360" s="16" t="str">
        <f>"% of Revenue - "&amp;F1359</f>
        <v>% of Revenue - Office Supplies</v>
      </c>
      <c r="G1360" s="148">
        <f>G1359/G1350</f>
        <v>-8.2133940107957826E-2</v>
      </c>
      <c r="H1360" s="149">
        <f t="shared" ref="H1360" si="7996">H1359/H1350</f>
        <v>-8.3751763635690979E-2</v>
      </c>
      <c r="I1360" s="149">
        <f t="shared" ref="I1360" si="7997">I1359/I1350</f>
        <v>-8.1218176957686947E-2</v>
      </c>
      <c r="J1360" s="149">
        <f t="shared" ref="J1360" si="7998">J1359/J1350</f>
        <v>-8.3328362116757745E-2</v>
      </c>
      <c r="K1360" s="149">
        <f t="shared" ref="K1360" si="7999">K1359/K1350</f>
        <v>-8.7167909652587972E-2</v>
      </c>
      <c r="L1360" s="149">
        <f t="shared" ref="L1360" si="8000">L1359/L1350</f>
        <v>-8.7721252890891402E-2</v>
      </c>
      <c r="M1360" s="149">
        <f t="shared" ref="M1360" si="8001">M1359/M1350</f>
        <v>-6.0580972664720539E-2</v>
      </c>
      <c r="N1360" s="149">
        <f t="shared" ref="N1360" si="8002">N1359/N1350</f>
        <v>-4.5962543726949474E-2</v>
      </c>
      <c r="O1360" s="149">
        <f t="shared" ref="O1360" si="8003">O1359/O1350</f>
        <v>-4.6862843365133591E-2</v>
      </c>
      <c r="P1360" s="149">
        <f t="shared" ref="P1360" si="8004">P1359/P1350</f>
        <v>-4.5880126088110776E-2</v>
      </c>
      <c r="Q1360" s="149">
        <f t="shared" ref="Q1360" si="8005">Q1359/Q1350</f>
        <v>-3.749527989581667E-2</v>
      </c>
      <c r="R1360" s="149">
        <f t="shared" ref="R1360" si="8006">R1359/R1350</f>
        <v>-3.8663561623380666E-2</v>
      </c>
      <c r="S1360" s="148">
        <f t="shared" ref="S1360" si="8007">S1359/S1350</f>
        <v>-4.7447707143921304E-2</v>
      </c>
      <c r="T1360" s="149">
        <f t="shared" ref="T1360" si="8008">T1359/T1350</f>
        <v>-4.8527798106414458E-2</v>
      </c>
      <c r="U1360" s="149">
        <f t="shared" ref="U1360" si="8009">U1359/U1350</f>
        <v>-4.9892761527802018E-2</v>
      </c>
      <c r="V1360" s="149">
        <f t="shared" ref="V1360" si="8010">V1359/V1350</f>
        <v>-5.2328847074227192E-2</v>
      </c>
      <c r="W1360" s="149">
        <f t="shared" ref="W1360" si="8011">W1359/W1350</f>
        <v>-6.6482406546979442E-2</v>
      </c>
      <c r="X1360" s="149">
        <f t="shared" ref="X1360" si="8012">X1359/X1350</f>
        <v>-6.6710852321418782E-2</v>
      </c>
      <c r="Y1360" s="149">
        <f t="shared" ref="Y1360" si="8013">Y1359/Y1350</f>
        <v>-5.0909240034524801E-2</v>
      </c>
      <c r="Z1360" s="149">
        <f t="shared" ref="Z1360" si="8014">Z1359/Z1350</f>
        <v>-5.0501916594110491E-2</v>
      </c>
      <c r="AA1360" s="149">
        <f t="shared" ref="AA1360" si="8015">AA1359/AA1350</f>
        <v>-5.0415938169888701E-2</v>
      </c>
      <c r="AB1360" s="149">
        <f t="shared" ref="AB1360" si="8016">AB1359/AB1350</f>
        <v>-5.2204598634378402E-2</v>
      </c>
      <c r="AC1360" s="149">
        <f t="shared" ref="AC1360" si="8017">AC1359/AC1350</f>
        <v>-5.3223747795237211E-2</v>
      </c>
      <c r="AD1360" s="150">
        <f t="shared" ref="AD1360" si="8018">AD1359/AD1350</f>
        <v>-5.0950906124945912E-2</v>
      </c>
      <c r="AE1360" s="15"/>
      <c r="AF1360" s="96">
        <f t="shared" ref="AF1360" si="8019">AF1359/AF1350</f>
        <v>-6.0115589494672578E-2</v>
      </c>
      <c r="AG1360" s="97">
        <f t="shared" ref="AG1360" si="8020">AG1359/AG1350</f>
        <v>-5.3189597681311464E-2</v>
      </c>
    </row>
    <row r="1361" spans="2:33" ht="6" customHeight="1" x14ac:dyDescent="0.2">
      <c r="B1361" s="9">
        <f>G1338</f>
        <v>28</v>
      </c>
      <c r="C1361" s="9" t="str">
        <f t="shared" si="7865"/>
        <v xml:space="preserve">28 - </v>
      </c>
      <c r="D1361" s="9" t="s">
        <v>56</v>
      </c>
      <c r="F1361" s="16"/>
      <c r="G1361" s="11"/>
      <c r="S1361" s="11"/>
      <c r="AD1361" s="15"/>
      <c r="AE1361" s="15"/>
      <c r="AF1361" s="11"/>
      <c r="AG1361" s="15"/>
    </row>
    <row r="1362" spans="2:33" x14ac:dyDescent="0.2">
      <c r="B1362" s="9">
        <f>G1338</f>
        <v>28</v>
      </c>
      <c r="C1362" s="9" t="str">
        <f t="shared" si="7865"/>
        <v>28 - Office Gross Profit</v>
      </c>
      <c r="D1362" s="9" t="s">
        <v>56</v>
      </c>
      <c r="F1362" s="8" t="s">
        <v>11</v>
      </c>
      <c r="G1362" s="134">
        <f>G1350+G1353+G1356+G1359</f>
        <v>85.747042412005868</v>
      </c>
      <c r="H1362" s="135">
        <f t="shared" ref="H1362:AD1362" si="8021">H1350+H1353+H1356+H1359</f>
        <v>84.187076366390414</v>
      </c>
      <c r="I1362" s="135">
        <f t="shared" si="8021"/>
        <v>99.812316303752354</v>
      </c>
      <c r="J1362" s="135">
        <f t="shared" si="8021"/>
        <v>89.049372682656127</v>
      </c>
      <c r="K1362" s="135">
        <f t="shared" si="8021"/>
        <v>106.37933426896132</v>
      </c>
      <c r="L1362" s="135">
        <f t="shared" si="8021"/>
        <v>107.78172638128395</v>
      </c>
      <c r="M1362" s="135">
        <f t="shared" si="8021"/>
        <v>201.85336982725551</v>
      </c>
      <c r="N1362" s="135">
        <f t="shared" si="8021"/>
        <v>306.7516422641616</v>
      </c>
      <c r="O1362" s="135">
        <f t="shared" si="8021"/>
        <v>292.55790842569127</v>
      </c>
      <c r="P1362" s="135">
        <f t="shared" si="8021"/>
        <v>304.62467119775056</v>
      </c>
      <c r="Q1362" s="135">
        <f t="shared" si="8021"/>
        <v>355.47536612418014</v>
      </c>
      <c r="R1362" s="135">
        <f t="shared" si="8021"/>
        <v>273.05917473312445</v>
      </c>
      <c r="S1362" s="134">
        <f t="shared" si="8021"/>
        <v>227.34893588562227</v>
      </c>
      <c r="T1362" s="135">
        <f t="shared" si="8021"/>
        <v>223.17781253950196</v>
      </c>
      <c r="U1362" s="135">
        <f t="shared" si="8021"/>
        <v>247.50307531777727</v>
      </c>
      <c r="V1362" s="135">
        <f t="shared" si="8021"/>
        <v>244.86696801101095</v>
      </c>
      <c r="W1362" s="135">
        <f t="shared" si="8021"/>
        <v>152.87815102142198</v>
      </c>
      <c r="X1362" s="135">
        <f t="shared" si="8021"/>
        <v>125.96037721529282</v>
      </c>
      <c r="Y1362" s="135">
        <f t="shared" si="8021"/>
        <v>230.29483734208239</v>
      </c>
      <c r="Z1362" s="135">
        <f t="shared" si="8021"/>
        <v>214.81396452100384</v>
      </c>
      <c r="AA1362" s="135">
        <f t="shared" si="8021"/>
        <v>201.84527324342196</v>
      </c>
      <c r="AB1362" s="135">
        <f t="shared" si="8021"/>
        <v>238.35464034483138</v>
      </c>
      <c r="AC1362" s="135">
        <f t="shared" si="8021"/>
        <v>200.53057200587415</v>
      </c>
      <c r="AD1362" s="136">
        <f t="shared" si="8021"/>
        <v>159.49479839207504</v>
      </c>
      <c r="AE1362" s="15"/>
      <c r="AF1362" s="98">
        <f>SUM(G1362:R1362)</f>
        <v>2307.2790009872137</v>
      </c>
      <c r="AG1362" s="95">
        <f>SUM(S1362:AD1362)</f>
        <v>2467.0694058399158</v>
      </c>
    </row>
    <row r="1363" spans="2:33" x14ac:dyDescent="0.2">
      <c r="B1363" s="9">
        <f>G1338</f>
        <v>28</v>
      </c>
      <c r="C1363" s="9" t="str">
        <f t="shared" si="7865"/>
        <v>28 - % of Revenue - Office Gross Profit</v>
      </c>
      <c r="D1363" s="9" t="s">
        <v>56</v>
      </c>
      <c r="F1363" s="16" t="str">
        <f>"% of Revenue - "&amp;F1362</f>
        <v>% of Revenue - Office Gross Profit</v>
      </c>
      <c r="G1363" s="148">
        <f>G1362/G1350</f>
        <v>0.38835815945191532</v>
      </c>
      <c r="H1363" s="149">
        <f t="shared" ref="H1363" si="8022">H1362/H1350</f>
        <v>0.37697032155517679</v>
      </c>
      <c r="I1363" s="149">
        <f t="shared" ref="I1363" si="8023">I1362/I1350</f>
        <v>0.37084009654527372</v>
      </c>
      <c r="J1363" s="149">
        <f t="shared" ref="J1363" si="8024">J1362/J1350</f>
        <v>0.37644442430795877</v>
      </c>
      <c r="K1363" s="149">
        <f t="shared" ref="K1363" si="8025">K1362/K1350</f>
        <v>0.38671887015012224</v>
      </c>
      <c r="L1363" s="149">
        <f t="shared" ref="L1363" si="8026">L1362/L1350</f>
        <v>0.39519564790059691</v>
      </c>
      <c r="M1363" s="149">
        <f t="shared" ref="M1363" si="8027">M1362/M1350</f>
        <v>0.59182038089927191</v>
      </c>
      <c r="N1363" s="149">
        <f t="shared" ref="N1363" si="8028">N1362/N1350</f>
        <v>0.69882840760491405</v>
      </c>
      <c r="O1363" s="149">
        <f t="shared" ref="O1363" si="8029">O1362/O1350</f>
        <v>0.69672316304297899</v>
      </c>
      <c r="P1363" s="149">
        <f t="shared" ref="P1363" si="8030">P1362/P1350</f>
        <v>0.69512413112344551</v>
      </c>
      <c r="Q1363" s="149">
        <f t="shared" ref="Q1363" si="8031">Q1362/Q1350</f>
        <v>0.75513588893399886</v>
      </c>
      <c r="R1363" s="149">
        <f t="shared" ref="R1363" si="8032">R1362/R1350</f>
        <v>0.75330258997231658</v>
      </c>
      <c r="S1363" s="148">
        <f t="shared" ref="S1363" si="8033">S1362/S1350</f>
        <v>0.51537855281631828</v>
      </c>
      <c r="T1363" s="149">
        <f t="shared" ref="T1363" si="8034">T1362/T1350</f>
        <v>0.5128812883969831</v>
      </c>
      <c r="U1363" s="149">
        <f t="shared" ref="U1363" si="8035">U1362/U1350</f>
        <v>0.51773797980341274</v>
      </c>
      <c r="V1363" s="149">
        <f t="shared" ref="V1363" si="8036">V1362/V1350</f>
        <v>0.51509475628193391</v>
      </c>
      <c r="W1363" s="149">
        <f t="shared" ref="W1363" si="8037">W1362/W1350</f>
        <v>0.34037868101474783</v>
      </c>
      <c r="X1363" s="149">
        <f t="shared" ref="X1363" si="8038">X1362/X1350</f>
        <v>0.34572590559567645</v>
      </c>
      <c r="Y1363" s="149">
        <f t="shared" ref="Y1363" si="8039">Y1362/Y1350</f>
        <v>0.50765677095165118</v>
      </c>
      <c r="Z1363" s="149">
        <f t="shared" ref="Z1363" si="8040">Z1362/Z1350</f>
        <v>0.51267735969149153</v>
      </c>
      <c r="AA1363" s="149">
        <f t="shared" ref="AA1363" si="8041">AA1362/AA1350</f>
        <v>0.52227531514092629</v>
      </c>
      <c r="AB1363" s="149">
        <f t="shared" ref="AB1363" si="8042">AB1362/AB1350</f>
        <v>0.52153982626401052</v>
      </c>
      <c r="AC1363" s="149">
        <f t="shared" ref="AC1363" si="8043">AC1362/AC1350</f>
        <v>0.52595554970933667</v>
      </c>
      <c r="AD1363" s="150">
        <f t="shared" ref="AD1363" si="8044">AD1362/AD1350</f>
        <v>0.52492160366913132</v>
      </c>
      <c r="AE1363" s="15"/>
      <c r="AF1363" s="111">
        <f t="shared" ref="AF1363" si="8045">AF1362/AF1350</f>
        <v>0.58132171501807561</v>
      </c>
      <c r="AG1363" s="97">
        <f t="shared" ref="AG1363" si="8046">AG1362/AG1350</f>
        <v>0.48906736576084314</v>
      </c>
    </row>
    <row r="1364" spans="2:33" ht="6" customHeight="1" x14ac:dyDescent="0.2">
      <c r="B1364" s="9">
        <f>G1338</f>
        <v>28</v>
      </c>
      <c r="C1364" s="9" t="str">
        <f t="shared" si="7865"/>
        <v xml:space="preserve">28 - </v>
      </c>
      <c r="D1364" s="9" t="s">
        <v>56</v>
      </c>
      <c r="F1364" s="16"/>
      <c r="G1364" s="11"/>
      <c r="S1364" s="11"/>
      <c r="AD1364" s="15"/>
      <c r="AE1364" s="15"/>
      <c r="AF1364" s="11"/>
      <c r="AG1364" s="15"/>
    </row>
    <row r="1365" spans="2:33" x14ac:dyDescent="0.2">
      <c r="B1365" s="9">
        <f>G1338</f>
        <v>28</v>
      </c>
      <c r="C1365" s="9" t="str">
        <f t="shared" si="7865"/>
        <v>28 - General and Administrative Expense</v>
      </c>
      <c r="D1365" s="9" t="s">
        <v>56</v>
      </c>
      <c r="F1365" t="s">
        <v>10</v>
      </c>
      <c r="G1365" s="144">
        <v>-12.689747923632002</v>
      </c>
      <c r="H1365" s="70">
        <v>-13.138173622459568</v>
      </c>
      <c r="I1365" s="70">
        <v>-16.377573678056997</v>
      </c>
      <c r="J1365" s="70">
        <v>-13.503796212458294</v>
      </c>
      <c r="K1365" s="70">
        <v>-15.481786551214531</v>
      </c>
      <c r="L1365" s="70">
        <v>-15.471655782205067</v>
      </c>
      <c r="M1365" s="70">
        <v>-12.671094814957106</v>
      </c>
      <c r="N1365" s="70">
        <v>-11.456638348121261</v>
      </c>
      <c r="O1365" s="70">
        <v>-10.527677058436318</v>
      </c>
      <c r="P1365" s="70">
        <v>-11.118690063260665</v>
      </c>
      <c r="Q1365" s="70">
        <v>-9.8707690179701562</v>
      </c>
      <c r="R1365" s="70">
        <v>-7.0424145999276337</v>
      </c>
      <c r="S1365" s="144">
        <v>-9.6299789901055828</v>
      </c>
      <c r="T1365" s="70">
        <v>-8.888535891154369</v>
      </c>
      <c r="U1365" s="70">
        <v>-9.5225753379977434</v>
      </c>
      <c r="V1365" s="70">
        <v>-9.8658907572996331</v>
      </c>
      <c r="W1365" s="70">
        <v>-11.635607205144302</v>
      </c>
      <c r="X1365" s="70">
        <v>-10.273266466196816</v>
      </c>
      <c r="Y1365" s="70">
        <v>-9.1416278956678561</v>
      </c>
      <c r="Z1365" s="70">
        <v>-8.175847282421719</v>
      </c>
      <c r="AA1365" s="70">
        <v>-6.6168367103499381</v>
      </c>
      <c r="AB1365" s="70">
        <v>-7.2992471533476477</v>
      </c>
      <c r="AC1365" s="70">
        <v>-5.7629172154808304</v>
      </c>
      <c r="AD1365" s="145">
        <v>-5.2883288559937194</v>
      </c>
      <c r="AE1365" s="15"/>
      <c r="AF1365" s="144">
        <v>-149.35001767269958</v>
      </c>
      <c r="AG1365" s="145">
        <v>-102.10065976116016</v>
      </c>
    </row>
    <row r="1366" spans="2:33" x14ac:dyDescent="0.2">
      <c r="B1366" s="9">
        <f>G1338</f>
        <v>28</v>
      </c>
      <c r="C1366" s="9" t="str">
        <f t="shared" si="7865"/>
        <v>28 - % of Revenue - General and Administrative Expense</v>
      </c>
      <c r="D1366" s="9" t="s">
        <v>56</v>
      </c>
      <c r="F1366" s="16" t="str">
        <f>"% of Revenue - "&amp;F1365</f>
        <v>% of Revenue - General and Administrative Expense</v>
      </c>
      <c r="G1366" s="148">
        <f>G1365/G1350</f>
        <v>-5.7473319299470915E-2</v>
      </c>
      <c r="H1366" s="149">
        <f t="shared" ref="H1366" si="8047">H1365/H1350</f>
        <v>-5.8829712930660312E-2</v>
      </c>
      <c r="I1366" s="149">
        <f t="shared" ref="I1366" si="8048">I1365/I1350</f>
        <v>-6.0848813341482032E-2</v>
      </c>
      <c r="J1366" s="149">
        <f t="shared" ref="J1366" si="8049">J1365/J1350</f>
        <v>-5.7085509285804782E-2</v>
      </c>
      <c r="K1366" s="149">
        <f t="shared" ref="K1366" si="8050">K1365/K1350</f>
        <v>-5.6280658683703751E-2</v>
      </c>
      <c r="L1366" s="149">
        <f t="shared" ref="L1366" si="8051">L1365/L1350</f>
        <v>-5.6728828125407423E-2</v>
      </c>
      <c r="M1366" s="149">
        <f t="shared" ref="M1366" si="8052">M1365/M1350</f>
        <v>-3.7150790032469107E-2</v>
      </c>
      <c r="N1366" s="149">
        <f t="shared" ref="N1366" si="8053">N1365/N1350</f>
        <v>-2.6100021092726054E-2</v>
      </c>
      <c r="O1366" s="149">
        <f t="shared" ref="O1366" si="8054">O1365/O1350</f>
        <v>-2.5071537115913547E-2</v>
      </c>
      <c r="P1366" s="149">
        <f t="shared" ref="P1366" si="8055">P1365/P1350</f>
        <v>-2.5371778782939333E-2</v>
      </c>
      <c r="Q1366" s="149">
        <f t="shared" ref="Q1366" si="8056">Q1365/Q1350</f>
        <v>-2.0968462647966445E-2</v>
      </c>
      <c r="R1366" s="149">
        <f t="shared" ref="R1366" si="8057">R1365/R1350</f>
        <v>-1.9428276537381592E-2</v>
      </c>
      <c r="S1366" s="148">
        <f t="shared" ref="S1366" si="8058">S1365/S1350</f>
        <v>-2.1830252322223579E-2</v>
      </c>
      <c r="T1366" s="149">
        <f t="shared" ref="T1366" si="8059">T1365/T1350</f>
        <v>-2.0426599257088732E-2</v>
      </c>
      <c r="U1366" s="149">
        <f t="shared" ref="U1366" si="8060">U1365/U1350</f>
        <v>-1.991974811501113E-2</v>
      </c>
      <c r="V1366" s="149">
        <f t="shared" ref="V1366" si="8061">V1365/V1350</f>
        <v>-2.0753589740642037E-2</v>
      </c>
      <c r="W1366" s="149">
        <f t="shared" ref="W1366" si="8062">W1365/W1350</f>
        <v>-2.590633525347745E-2</v>
      </c>
      <c r="X1366" s="149">
        <f t="shared" ref="X1366" si="8063">X1365/X1350</f>
        <v>-2.8197234963665812E-2</v>
      </c>
      <c r="Y1366" s="149">
        <f t="shared" ref="Y1366" si="8064">Y1365/Y1350</f>
        <v>-2.0151599368520689E-2</v>
      </c>
      <c r="Z1366" s="149">
        <f t="shared" ref="Z1366" si="8065">Z1365/Z1350</f>
        <v>-1.9512566640345137E-2</v>
      </c>
      <c r="AA1366" s="149">
        <f t="shared" ref="AA1366" si="8066">AA1365/AA1350</f>
        <v>-1.7121086972229541E-2</v>
      </c>
      <c r="AB1366" s="149">
        <f t="shared" ref="AB1366" si="8067">AB1365/AB1350</f>
        <v>-1.597136135762903E-2</v>
      </c>
      <c r="AC1366" s="149">
        <f t="shared" ref="AC1366" si="8068">AC1365/AC1350</f>
        <v>-1.5115093233309241E-2</v>
      </c>
      <c r="AD1366" s="150">
        <f t="shared" ref="AD1366" si="8069">AD1365/AD1350</f>
        <v>-1.7404693393160194E-2</v>
      </c>
      <c r="AE1366" s="15"/>
      <c r="AF1366" s="96">
        <f t="shared" ref="AF1366" si="8070">AF1365/AF1350</f>
        <v>-3.7628916301117393E-2</v>
      </c>
      <c r="AG1366" s="97">
        <f t="shared" ref="AG1366" si="8071">AG1365/AG1350</f>
        <v>-2.0240249663683301E-2</v>
      </c>
    </row>
    <row r="1367" spans="2:33" ht="3" customHeight="1" x14ac:dyDescent="0.2">
      <c r="B1367" s="9">
        <f>G1338</f>
        <v>28</v>
      </c>
      <c r="C1367" s="9" t="str">
        <f t="shared" si="7865"/>
        <v xml:space="preserve">28 - </v>
      </c>
      <c r="D1367" s="9" t="s">
        <v>56</v>
      </c>
      <c r="F1367" s="16"/>
      <c r="G1367" s="36"/>
      <c r="H1367" s="37"/>
      <c r="I1367" s="37"/>
      <c r="J1367" s="37"/>
      <c r="K1367" s="37"/>
      <c r="L1367" s="37"/>
      <c r="M1367" s="37"/>
      <c r="N1367" s="37"/>
      <c r="O1367" s="37"/>
      <c r="P1367" s="37"/>
      <c r="Q1367" s="37"/>
      <c r="R1367" s="37"/>
      <c r="S1367" s="36"/>
      <c r="T1367" s="37"/>
      <c r="U1367" s="37"/>
      <c r="V1367" s="37"/>
      <c r="W1367" s="37"/>
      <c r="X1367" s="37"/>
      <c r="Y1367" s="37"/>
      <c r="Z1367" s="37"/>
      <c r="AA1367" s="37"/>
      <c r="AB1367" s="37"/>
      <c r="AC1367" s="37"/>
      <c r="AD1367" s="38"/>
      <c r="AE1367" s="15"/>
      <c r="AF1367" s="36"/>
      <c r="AG1367" s="38"/>
    </row>
    <row r="1368" spans="2:33" x14ac:dyDescent="0.2">
      <c r="B1368" s="9">
        <f>G1338</f>
        <v>28</v>
      </c>
      <c r="C1368" s="9" t="str">
        <f t="shared" si="7865"/>
        <v>28 - Marketing</v>
      </c>
      <c r="D1368" s="9" t="s">
        <v>56</v>
      </c>
      <c r="F1368" t="s">
        <v>7</v>
      </c>
      <c r="G1368" s="144">
        <v>-9.236121327108993</v>
      </c>
      <c r="H1368" s="70">
        <v>-10.204313590944768</v>
      </c>
      <c r="I1368" s="70">
        <v>-13.390207281332287</v>
      </c>
      <c r="J1368" s="70">
        <v>-12.605935895157089</v>
      </c>
      <c r="K1368" s="70">
        <v>-15.988732704193207</v>
      </c>
      <c r="L1368" s="70">
        <v>-15.950071378763388</v>
      </c>
      <c r="M1368" s="70">
        <v>-13.161187728774271</v>
      </c>
      <c r="N1368" s="70">
        <v>-11.868608863872288</v>
      </c>
      <c r="O1368" s="70">
        <v>-10.928894074007967</v>
      </c>
      <c r="P1368" s="70">
        <v>-11.161669015184625</v>
      </c>
      <c r="Q1368" s="70">
        <v>-9.1239211103397206</v>
      </c>
      <c r="R1368" s="70">
        <v>-6.6483096610182644</v>
      </c>
      <c r="S1368" s="144">
        <v>-9.5109832335155584</v>
      </c>
      <c r="T1368" s="70">
        <v>-9.6507049414123056</v>
      </c>
      <c r="U1368" s="70">
        <v>-11.567661367645101</v>
      </c>
      <c r="V1368" s="70">
        <v>-10.730452738712701</v>
      </c>
      <c r="W1368" s="70">
        <v>-12.331852195228088</v>
      </c>
      <c r="X1368" s="70">
        <v>-9.3815582092972729</v>
      </c>
      <c r="Y1368" s="70">
        <v>-9.3142961870177796</v>
      </c>
      <c r="Z1368" s="70">
        <v>-7.8906671608467782</v>
      </c>
      <c r="AA1368" s="70">
        <v>-7.8667458281035554</v>
      </c>
      <c r="AB1368" s="70">
        <v>-9.5299648218854234</v>
      </c>
      <c r="AC1368" s="70">
        <v>-7.7297729352919298</v>
      </c>
      <c r="AD1368" s="145">
        <v>-6.4217470266469148</v>
      </c>
      <c r="AE1368" s="15"/>
      <c r="AF1368" s="144">
        <v>-140.26797263069685</v>
      </c>
      <c r="AG1368" s="145">
        <v>-111.92640664560342</v>
      </c>
    </row>
    <row r="1369" spans="2:33" x14ac:dyDescent="0.2">
      <c r="B1369" s="9">
        <f>G1338</f>
        <v>28</v>
      </c>
      <c r="C1369" s="9" t="str">
        <f t="shared" si="7865"/>
        <v>28 - % of Revenue - Marketing</v>
      </c>
      <c r="D1369" s="9" t="s">
        <v>56</v>
      </c>
      <c r="F1369" s="16" t="str">
        <f>"% of Revenue - "&amp;F1368</f>
        <v>% of Revenue - Marketing</v>
      </c>
      <c r="G1369" s="148">
        <f>G1368/G1350</f>
        <v>-4.1831449554094562E-2</v>
      </c>
      <c r="H1369" s="149">
        <f t="shared" ref="H1369" si="8072">H1368/H1350</f>
        <v>-4.5692564009314117E-2</v>
      </c>
      <c r="I1369" s="149">
        <f t="shared" ref="I1369" si="8073">I1368/I1350</f>
        <v>-4.9749629553320109E-2</v>
      </c>
      <c r="J1369" s="149">
        <f t="shared" ref="J1369" si="8074">J1368/J1350</f>
        <v>-5.328992375753925E-2</v>
      </c>
      <c r="K1369" s="149">
        <f t="shared" ref="K1369" si="8075">K1368/K1350</f>
        <v>-5.8123550866232339E-2</v>
      </c>
      <c r="L1369" s="149">
        <f t="shared" ref="L1369" si="8076">L1368/L1350</f>
        <v>-5.8483000822352159E-2</v>
      </c>
      <c r="M1369" s="149">
        <f t="shared" ref="M1369" si="8077">M1368/M1350</f>
        <v>-3.8587709194034397E-2</v>
      </c>
      <c r="N1369" s="149">
        <f t="shared" ref="N1369" si="8078">N1368/N1350</f>
        <v>-2.7038554615733373E-2</v>
      </c>
      <c r="O1369" s="149">
        <f t="shared" ref="O1369" si="8079">O1368/O1350</f>
        <v>-2.6027030644220423E-2</v>
      </c>
      <c r="P1369" s="149">
        <f t="shared" ref="P1369" si="8080">P1368/P1350</f>
        <v>-2.5469852607673458E-2</v>
      </c>
      <c r="Q1369" s="149">
        <f t="shared" ref="Q1369" si="8081">Q1368/Q1350</f>
        <v>-1.9381934543990908E-2</v>
      </c>
      <c r="R1369" s="149">
        <f t="shared" ref="R1369" si="8082">R1368/R1350</f>
        <v>-1.8341038683200472E-2</v>
      </c>
      <c r="S1369" s="148">
        <f t="shared" ref="S1369" si="8083">S1368/S1350</f>
        <v>-2.1560500187322439E-2</v>
      </c>
      <c r="T1369" s="149">
        <f t="shared" ref="T1369" si="8084">T1368/T1350</f>
        <v>-2.2178127511732801E-2</v>
      </c>
      <c r="U1369" s="149">
        <f t="shared" ref="U1369" si="8085">U1368/U1350</f>
        <v>-2.4197750350556501E-2</v>
      </c>
      <c r="V1369" s="149">
        <f t="shared" ref="V1369" si="8086">V1368/V1350</f>
        <v>-2.2572256205636878E-2</v>
      </c>
      <c r="W1369" s="149">
        <f t="shared" ref="W1369" si="8087">W1368/W1350</f>
        <v>-2.7456504128522501E-2</v>
      </c>
      <c r="X1369" s="149">
        <f t="shared" ref="X1369" si="8088">X1368/X1350</f>
        <v>-2.5749745908303506E-2</v>
      </c>
      <c r="Y1369" s="149">
        <f t="shared" ref="Y1369" si="8089">Y1368/Y1350</f>
        <v>-2.053222547479434E-2</v>
      </c>
      <c r="Z1369" s="149">
        <f t="shared" ref="Z1369" si="8090">Z1368/Z1350</f>
        <v>-1.8831952639800292E-2</v>
      </c>
      <c r="AA1369" s="149">
        <f t="shared" ref="AA1369" si="8091">AA1368/AA1350</f>
        <v>-2.0355230967194566E-2</v>
      </c>
      <c r="AB1369" s="149">
        <f t="shared" ref="AB1369" si="8092">AB1368/AB1350</f>
        <v>-2.0852357605950982E-2</v>
      </c>
      <c r="AC1369" s="149">
        <f t="shared" ref="AC1369" si="8093">AC1368/AC1350</f>
        <v>-2.0273801309411955E-2</v>
      </c>
      <c r="AD1369" s="150">
        <f t="shared" ref="AD1369" si="8094">AD1368/AD1350</f>
        <v>-2.1134944722764497E-2</v>
      </c>
      <c r="AE1369" s="15"/>
      <c r="AF1369" s="96">
        <f t="shared" ref="AF1369" si="8095">AF1368/AF1350</f>
        <v>-3.5340684146519065E-2</v>
      </c>
      <c r="AG1369" s="97">
        <f t="shared" ref="AG1369" si="8096">AG1368/AG1350</f>
        <v>-2.2188087910159977E-2</v>
      </c>
    </row>
    <row r="1370" spans="2:33" ht="3" customHeight="1" x14ac:dyDescent="0.2">
      <c r="B1370" s="9">
        <f>G1338</f>
        <v>28</v>
      </c>
      <c r="C1370" s="9" t="str">
        <f t="shared" si="7865"/>
        <v xml:space="preserve">28 - </v>
      </c>
      <c r="D1370" s="9" t="s">
        <v>56</v>
      </c>
      <c r="F1370" s="16"/>
      <c r="G1370" s="36"/>
      <c r="H1370" s="37"/>
      <c r="I1370" s="37"/>
      <c r="J1370" s="37"/>
      <c r="K1370" s="37"/>
      <c r="L1370" s="37"/>
      <c r="M1370" s="37"/>
      <c r="N1370" s="37"/>
      <c r="O1370" s="37"/>
      <c r="P1370" s="37"/>
      <c r="Q1370" s="37"/>
      <c r="R1370" s="37"/>
      <c r="S1370" s="36"/>
      <c r="T1370" s="37"/>
      <c r="U1370" s="37"/>
      <c r="V1370" s="37"/>
      <c r="W1370" s="37"/>
      <c r="X1370" s="37"/>
      <c r="Y1370" s="37"/>
      <c r="Z1370" s="37"/>
      <c r="AA1370" s="37"/>
      <c r="AB1370" s="37"/>
      <c r="AC1370" s="37"/>
      <c r="AD1370" s="38"/>
      <c r="AE1370" s="15"/>
      <c r="AF1370" s="36"/>
      <c r="AG1370" s="38"/>
    </row>
    <row r="1371" spans="2:33" x14ac:dyDescent="0.2">
      <c r="B1371" s="9">
        <f>G1338</f>
        <v>28</v>
      </c>
      <c r="C1371" s="9" t="str">
        <f t="shared" si="7865"/>
        <v>28 - Office Rent</v>
      </c>
      <c r="D1371" s="9" t="s">
        <v>56</v>
      </c>
      <c r="F1371" t="s">
        <v>162</v>
      </c>
      <c r="G1371" s="144">
        <v>-21.107322854312528</v>
      </c>
      <c r="H1371" s="70">
        <v>-21.107322854312528</v>
      </c>
      <c r="I1371" s="70">
        <v>-21.740542539941906</v>
      </c>
      <c r="J1371" s="70">
        <v>-21.740542539941906</v>
      </c>
      <c r="K1371" s="70">
        <v>-21.740542539941906</v>
      </c>
      <c r="L1371" s="70">
        <v>-21.740542539941906</v>
      </c>
      <c r="M1371" s="70">
        <v>-21.740542539941906</v>
      </c>
      <c r="N1371" s="70">
        <v>-21.740542539941906</v>
      </c>
      <c r="O1371" s="70">
        <v>-21.740542539941906</v>
      </c>
      <c r="P1371" s="70">
        <v>-21.740542539941906</v>
      </c>
      <c r="Q1371" s="70">
        <v>-21.740542539941906</v>
      </c>
      <c r="R1371" s="70">
        <v>-21.740542539941906</v>
      </c>
      <c r="S1371" s="144">
        <v>-21.740131537395762</v>
      </c>
      <c r="T1371" s="70">
        <v>-21.740131537395762</v>
      </c>
      <c r="U1371" s="70">
        <v>-22.392335483517634</v>
      </c>
      <c r="V1371" s="70">
        <v>-22.392335483517634</v>
      </c>
      <c r="W1371" s="70">
        <v>-22.392335483517634</v>
      </c>
      <c r="X1371" s="70">
        <v>-22.392335483517634</v>
      </c>
      <c r="Y1371" s="70">
        <v>-22.392335483517634</v>
      </c>
      <c r="Z1371" s="70">
        <v>-22.392335483517634</v>
      </c>
      <c r="AA1371" s="70">
        <v>-22.392335483517634</v>
      </c>
      <c r="AB1371" s="70">
        <v>-22.392335483517634</v>
      </c>
      <c r="AC1371" s="70">
        <v>-22.392335483517634</v>
      </c>
      <c r="AD1371" s="145">
        <v>-22.392335483517634</v>
      </c>
      <c r="AE1371" s="15"/>
      <c r="AF1371" s="144">
        <v>-259.62007110804416</v>
      </c>
      <c r="AG1371" s="145">
        <v>-267.40361790996781</v>
      </c>
    </row>
    <row r="1372" spans="2:33" x14ac:dyDescent="0.2">
      <c r="B1372" s="9">
        <f>G1338</f>
        <v>28</v>
      </c>
      <c r="C1372" s="9" t="str">
        <f t="shared" si="7865"/>
        <v>28 - % YoY Growth</v>
      </c>
      <c r="D1372" s="9" t="s">
        <v>56</v>
      </c>
      <c r="F1372" s="16" t="s">
        <v>8</v>
      </c>
      <c r="G1372" s="82"/>
      <c r="H1372" s="83"/>
      <c r="I1372" s="83"/>
      <c r="J1372" s="83"/>
      <c r="K1372" s="83"/>
      <c r="L1372" s="83"/>
      <c r="M1372" s="83"/>
      <c r="N1372" s="83"/>
      <c r="O1372" s="83"/>
      <c r="P1372" s="83"/>
      <c r="Q1372" s="83"/>
      <c r="R1372" s="83"/>
      <c r="S1372" s="148">
        <f>S1371/G1371-1</f>
        <v>2.9980527964205583E-2</v>
      </c>
      <c r="T1372" s="149">
        <f t="shared" ref="T1372" si="8097">T1371/H1371-1</f>
        <v>2.9980527964205583E-2</v>
      </c>
      <c r="U1372" s="149">
        <f t="shared" ref="U1372" si="8098">U1371/I1371-1</f>
        <v>2.9980527964205583E-2</v>
      </c>
      <c r="V1372" s="149">
        <f t="shared" ref="V1372" si="8099">V1371/J1371-1</f>
        <v>2.9980527964205583E-2</v>
      </c>
      <c r="W1372" s="149">
        <f t="shared" ref="W1372" si="8100">W1371/K1371-1</f>
        <v>2.9980527964205583E-2</v>
      </c>
      <c r="X1372" s="149">
        <f t="shared" ref="X1372" si="8101">X1371/L1371-1</f>
        <v>2.9980527964205583E-2</v>
      </c>
      <c r="Y1372" s="149">
        <f t="shared" ref="Y1372" si="8102">Y1371/M1371-1</f>
        <v>2.9980527964205583E-2</v>
      </c>
      <c r="Z1372" s="149">
        <f t="shared" ref="Z1372" si="8103">Z1371/N1371-1</f>
        <v>2.9980527964205583E-2</v>
      </c>
      <c r="AA1372" s="149">
        <f t="shared" ref="AA1372" si="8104">AA1371/O1371-1</f>
        <v>2.9980527964205583E-2</v>
      </c>
      <c r="AB1372" s="149">
        <f t="shared" ref="AB1372" si="8105">AB1371/P1371-1</f>
        <v>2.9980527964205583E-2</v>
      </c>
      <c r="AC1372" s="149">
        <f t="shared" ref="AC1372" si="8106">AC1371/Q1371-1</f>
        <v>2.9980527964205583E-2</v>
      </c>
      <c r="AD1372" s="150">
        <f t="shared" ref="AD1372" si="8107">AD1371/R1371-1</f>
        <v>2.9980527964205583E-2</v>
      </c>
      <c r="AE1372" s="15"/>
      <c r="AF1372" s="11"/>
      <c r="AG1372" s="97">
        <f>AG1371/AF1371-1</f>
        <v>2.9980527964205139E-2</v>
      </c>
    </row>
    <row r="1373" spans="2:33" ht="6" customHeight="1" x14ac:dyDescent="0.2">
      <c r="B1373" s="9">
        <f>G1338</f>
        <v>28</v>
      </c>
      <c r="C1373" s="9" t="str">
        <f t="shared" si="7865"/>
        <v xml:space="preserve">28 - </v>
      </c>
      <c r="D1373" s="9" t="s">
        <v>56</v>
      </c>
      <c r="F1373" s="16"/>
      <c r="G1373" s="11"/>
      <c r="S1373" s="11"/>
      <c r="AD1373" s="15"/>
      <c r="AE1373" s="15"/>
      <c r="AF1373" s="11"/>
      <c r="AG1373" s="15"/>
    </row>
    <row r="1374" spans="2:33" x14ac:dyDescent="0.2">
      <c r="B1374" s="9">
        <f>G1338</f>
        <v>28</v>
      </c>
      <c r="C1374" s="9" t="str">
        <f t="shared" si="7865"/>
        <v>28 - Office EBITDA</v>
      </c>
      <c r="D1374" s="9" t="s">
        <v>56</v>
      </c>
      <c r="F1374" s="8" t="s">
        <v>12</v>
      </c>
      <c r="G1374" s="134">
        <f>G1362+G1365+G1368+G1371</f>
        <v>42.713850306952352</v>
      </c>
      <c r="H1374" s="135">
        <f t="shared" ref="H1374:AD1374" si="8108">H1362+H1365+H1368+H1371</f>
        <v>39.737266298673561</v>
      </c>
      <c r="I1374" s="135">
        <f t="shared" si="8108"/>
        <v>48.303992804421149</v>
      </c>
      <c r="J1374" s="135">
        <f t="shared" si="8108"/>
        <v>41.199098035098835</v>
      </c>
      <c r="K1374" s="135">
        <f t="shared" si="8108"/>
        <v>53.168272473611673</v>
      </c>
      <c r="L1374" s="135">
        <f t="shared" si="8108"/>
        <v>54.619456680373595</v>
      </c>
      <c r="M1374" s="135">
        <f t="shared" si="8108"/>
        <v>154.2805447435822</v>
      </c>
      <c r="N1374" s="135">
        <f t="shared" si="8108"/>
        <v>261.68585251222618</v>
      </c>
      <c r="O1374" s="135">
        <f t="shared" si="8108"/>
        <v>249.36079475330504</v>
      </c>
      <c r="P1374" s="135">
        <f t="shared" si="8108"/>
        <v>260.60376957936342</v>
      </c>
      <c r="Q1374" s="135">
        <f t="shared" si="8108"/>
        <v>314.7401334559284</v>
      </c>
      <c r="R1374" s="135">
        <f t="shared" si="8108"/>
        <v>237.62790793223664</v>
      </c>
      <c r="S1374" s="134">
        <f t="shared" si="8108"/>
        <v>186.46784212460537</v>
      </c>
      <c r="T1374" s="135">
        <f t="shared" si="8108"/>
        <v>182.89844016953953</v>
      </c>
      <c r="U1374" s="135">
        <f t="shared" si="8108"/>
        <v>204.02050312861678</v>
      </c>
      <c r="V1374" s="135">
        <f t="shared" si="8108"/>
        <v>201.87828903148099</v>
      </c>
      <c r="W1374" s="135">
        <f t="shared" si="8108"/>
        <v>106.51835613753195</v>
      </c>
      <c r="X1374" s="135">
        <f t="shared" si="8108"/>
        <v>83.913217056281098</v>
      </c>
      <c r="Y1374" s="135">
        <f t="shared" si="8108"/>
        <v>189.44657777587912</v>
      </c>
      <c r="Z1374" s="135">
        <f t="shared" si="8108"/>
        <v>176.3551145942177</v>
      </c>
      <c r="AA1374" s="135">
        <f t="shared" si="8108"/>
        <v>164.96935522145085</v>
      </c>
      <c r="AB1374" s="135">
        <f t="shared" si="8108"/>
        <v>199.1330928860807</v>
      </c>
      <c r="AC1374" s="135">
        <f t="shared" si="8108"/>
        <v>164.64554637158378</v>
      </c>
      <c r="AD1374" s="136">
        <f t="shared" si="8108"/>
        <v>125.39238702591678</v>
      </c>
      <c r="AE1374" s="15"/>
      <c r="AF1374" s="94">
        <f>SUM(G1374:R1374)</f>
        <v>1758.0409395757731</v>
      </c>
      <c r="AG1374" s="95">
        <f>SUM(S1374:AD1374)</f>
        <v>1985.6387215231848</v>
      </c>
    </row>
    <row r="1375" spans="2:33" x14ac:dyDescent="0.2">
      <c r="B1375" s="9">
        <f>G1338</f>
        <v>28</v>
      </c>
      <c r="C1375" s="9" t="str">
        <f t="shared" si="7865"/>
        <v>28 - % of Revenue - Office EBITDA</v>
      </c>
      <c r="D1375" s="9" t="s">
        <v>56</v>
      </c>
      <c r="F1375" s="16" t="str">
        <f>"% of Revenue - "&amp;F1374</f>
        <v>% of Revenue - Office EBITDA</v>
      </c>
      <c r="G1375" s="148">
        <f>G1374/G1350</f>
        <v>0.19345591196729181</v>
      </c>
      <c r="H1375" s="149">
        <f t="shared" ref="H1375" si="8109">H1374/H1350</f>
        <v>0.17793431843554269</v>
      </c>
      <c r="I1375" s="149">
        <f t="shared" ref="I1375" si="8110">I1374/I1350</f>
        <v>0.17946740460966862</v>
      </c>
      <c r="J1375" s="149">
        <f t="shared" ref="J1375" si="8111">J1374/J1350</f>
        <v>0.17416372821737588</v>
      </c>
      <c r="K1375" s="149">
        <f t="shared" ref="K1375" si="8112">K1374/K1350</f>
        <v>0.19328165945129588</v>
      </c>
      <c r="L1375" s="149">
        <f t="shared" ref="L1375" si="8113">L1374/L1350</f>
        <v>0.20026930626829412</v>
      </c>
      <c r="M1375" s="149">
        <f t="shared" ref="M1375" si="8114">M1374/M1350</f>
        <v>0.45234008643815676</v>
      </c>
      <c r="N1375" s="149">
        <f t="shared" ref="N1375" si="8115">N1374/N1350</f>
        <v>0.59616146226324174</v>
      </c>
      <c r="O1375" s="149">
        <f t="shared" ref="O1375" si="8116">O1374/O1350</f>
        <v>0.59384975300902509</v>
      </c>
      <c r="P1375" s="149">
        <f t="shared" ref="P1375" si="8117">P1374/P1350</f>
        <v>0.59467267763993004</v>
      </c>
      <c r="Q1375" s="149">
        <f t="shared" ref="Q1375" si="8118">Q1374/Q1350</f>
        <v>0.6686020836037927</v>
      </c>
      <c r="R1375" s="149">
        <f t="shared" ref="R1375" si="8119">R1374/R1350</f>
        <v>0.65555650591125181</v>
      </c>
      <c r="S1375" s="148">
        <f t="shared" ref="S1375" si="8120">S1374/S1350</f>
        <v>0.42270497658853728</v>
      </c>
      <c r="T1375" s="149">
        <f t="shared" ref="T1375" si="8121">T1374/T1350</f>
        <v>0.42031592017395836</v>
      </c>
      <c r="U1375" s="149">
        <f t="shared" ref="U1375" si="8122">U1374/U1350</f>
        <v>0.42677919453188679</v>
      </c>
      <c r="V1375" s="149">
        <f t="shared" ref="V1375" si="8123">V1374/V1350</f>
        <v>0.42466506990280756</v>
      </c>
      <c r="W1375" s="149">
        <f t="shared" ref="W1375" si="8124">W1374/W1350</f>
        <v>0.23715996905844222</v>
      </c>
      <c r="X1375" s="149">
        <f t="shared" ref="X1375" si="8125">X1374/X1350</f>
        <v>0.23031824451147428</v>
      </c>
      <c r="Y1375" s="149">
        <f t="shared" ref="Y1375" si="8126">Y1374/Y1350</f>
        <v>0.41761178431753554</v>
      </c>
      <c r="Z1375" s="149">
        <f t="shared" ref="Z1375" si="8127">Z1374/Z1350</f>
        <v>0.42089104737608263</v>
      </c>
      <c r="AA1375" s="149">
        <f t="shared" ref="AA1375" si="8128">AA1374/AA1350</f>
        <v>0.42685875474018092</v>
      </c>
      <c r="AB1375" s="149">
        <f t="shared" ref="AB1375" si="8129">AB1374/AB1350</f>
        <v>0.43571981026663348</v>
      </c>
      <c r="AC1375" s="149">
        <f t="shared" ref="AC1375" si="8130">AC1374/AC1350</f>
        <v>0.43183559485644796</v>
      </c>
      <c r="AD1375" s="150">
        <f t="shared" ref="AD1375" si="8131">AD1374/AD1350</f>
        <v>0.41268538879707511</v>
      </c>
      <c r="AE1375" s="15"/>
      <c r="AF1375" s="96">
        <f t="shared" ref="AF1375" si="8132">AF1374/AF1350</f>
        <v>0.44294052588737659</v>
      </c>
      <c r="AG1375" s="97">
        <f t="shared" ref="AG1375" si="8133">AG1374/AG1350</f>
        <v>0.39362941982471583</v>
      </c>
    </row>
    <row r="1376" spans="2:33" ht="6" customHeight="1" x14ac:dyDescent="0.2">
      <c r="B1376" s="9">
        <f>G1338</f>
        <v>28</v>
      </c>
      <c r="C1376" s="9" t="str">
        <f t="shared" si="7865"/>
        <v xml:space="preserve">28 - </v>
      </c>
      <c r="D1376" s="9" t="s">
        <v>56</v>
      </c>
      <c r="G1376" s="11"/>
      <c r="S1376" s="11"/>
      <c r="AD1376" s="15"/>
      <c r="AE1376" s="15"/>
      <c r="AF1376" s="11"/>
      <c r="AG1376" s="15"/>
    </row>
    <row r="1377" spans="2:34" x14ac:dyDescent="0.2">
      <c r="B1377" s="9">
        <f>G1338</f>
        <v>28</v>
      </c>
      <c r="C1377" s="9" t="str">
        <f t="shared" si="7865"/>
        <v>28 - Memo:</v>
      </c>
      <c r="D1377" s="9" t="s">
        <v>56</v>
      </c>
      <c r="F1377" s="6" t="s">
        <v>13</v>
      </c>
      <c r="G1377" s="11"/>
      <c r="S1377" s="11"/>
      <c r="AD1377" s="15"/>
      <c r="AE1377" s="15"/>
      <c r="AF1377" s="11"/>
      <c r="AG1377" s="15"/>
    </row>
    <row r="1378" spans="2:34" s="24" customFormat="1" x14ac:dyDescent="0.2">
      <c r="B1378" s="9">
        <f>G1338</f>
        <v>28</v>
      </c>
      <c r="C1378" s="9" t="str">
        <f t="shared" si="7865"/>
        <v>28 - Collections</v>
      </c>
      <c r="D1378" s="9" t="s">
        <v>56</v>
      </c>
      <c r="E1378" s="49"/>
      <c r="F1378" s="24" t="s">
        <v>15</v>
      </c>
      <c r="G1378" s="169">
        <f>G1379*G1348</f>
        <v>219.43521768760016</v>
      </c>
      <c r="H1378" s="170">
        <f t="shared" ref="H1378" si="8134">H1379*H1348</f>
        <v>217.58970604750513</v>
      </c>
      <c r="I1378" s="170">
        <f t="shared" ref="I1378" si="8135">I1379*I1348</f>
        <v>269.12697371180468</v>
      </c>
      <c r="J1378" s="170">
        <f t="shared" ref="J1378" si="8136">J1379*J1348</f>
        <v>235.04940034921668</v>
      </c>
      <c r="K1378" s="170">
        <f t="shared" ref="K1378" si="8137">K1379*K1348</f>
        <v>276.95181959840983</v>
      </c>
      <c r="L1378" s="170">
        <f t="shared" ref="L1378" si="8138">L1379*L1348</f>
        <v>274.85599647601828</v>
      </c>
      <c r="M1378" s="170">
        <f t="shared" ref="M1378" si="8139">M1379*M1348</f>
        <v>332.12055337391229</v>
      </c>
      <c r="N1378" s="170">
        <f t="shared" ref="N1378" si="8140">N1379*N1348</f>
        <v>435.9326680745948</v>
      </c>
      <c r="O1378" s="170">
        <f t="shared" ref="O1378" si="8141">O1379*O1348</f>
        <v>422.76707930553255</v>
      </c>
      <c r="P1378" s="170">
        <f t="shared" ref="P1378" si="8142">P1379*P1348</f>
        <v>428.36327244309672</v>
      </c>
      <c r="Q1378" s="170">
        <f t="shared" ref="Q1378" si="8143">Q1379*Q1348</f>
        <v>465.35518005521612</v>
      </c>
      <c r="R1378" s="170">
        <f t="shared" ref="R1378" si="8144">R1379*R1348</f>
        <v>364.01192824915961</v>
      </c>
      <c r="S1378" s="169">
        <f t="shared" ref="S1378" si="8145">S1379*S1348</f>
        <v>449.10534988568838</v>
      </c>
      <c r="T1378" s="170">
        <f t="shared" ref="T1378" si="8146">T1379*T1348</f>
        <v>439.79954915391602</v>
      </c>
      <c r="U1378" s="170">
        <f t="shared" ref="U1378" si="8147">U1379*U1348</f>
        <v>477.64716095056821</v>
      </c>
      <c r="V1378" s="170">
        <f t="shared" ref="V1378" si="8148">V1379*V1348</f>
        <v>466.4744495510667</v>
      </c>
      <c r="W1378" s="170">
        <f t="shared" ref="W1378" si="8149">W1379*W1348</f>
        <v>445.22174409594277</v>
      </c>
      <c r="X1378" s="170">
        <f t="shared" ref="X1378" si="8150">X1379*X1348</f>
        <v>359.20751526936505</v>
      </c>
      <c r="Y1378" s="170">
        <f t="shared" ref="Y1378" si="8151">Y1379*Y1348</f>
        <v>457.42705224775631</v>
      </c>
      <c r="Z1378" s="170">
        <f t="shared" ref="Z1378" si="8152">Z1379*Z1348</f>
        <v>415.25752670443063</v>
      </c>
      <c r="AA1378" s="170">
        <f t="shared" ref="AA1378" si="8153">AA1379*AA1348</f>
        <v>385.73358453784124</v>
      </c>
      <c r="AB1378" s="170">
        <f t="shared" ref="AB1378" si="8154">AB1379*AB1348</f>
        <v>449.75711833249585</v>
      </c>
      <c r="AC1378" s="170">
        <f t="shared" ref="AC1378" si="8155">AC1379*AC1348</f>
        <v>374.09850150575141</v>
      </c>
      <c r="AD1378" s="171">
        <f t="shared" ref="AD1378" si="8156">AD1379*AD1348</f>
        <v>308.35824654502295</v>
      </c>
      <c r="AE1378" s="26"/>
      <c r="AF1378" s="68">
        <f>SUM(G1378:R1378)</f>
        <v>3941.5597953720671</v>
      </c>
      <c r="AG1378" s="99">
        <f>SUM(S1378:AD1378)</f>
        <v>5028.0877987798458</v>
      </c>
    </row>
    <row r="1379" spans="2:34" x14ac:dyDescent="0.2">
      <c r="B1379" s="9">
        <f>G1338</f>
        <v>28</v>
      </c>
      <c r="C1379" s="9" t="str">
        <f t="shared" si="7865"/>
        <v>28 - Collections as a % of Production</v>
      </c>
      <c r="D1379" s="9" t="s">
        <v>56</v>
      </c>
      <c r="F1379" s="16" t="s">
        <v>17</v>
      </c>
      <c r="G1379" s="140">
        <v>0.98072969736130367</v>
      </c>
      <c r="H1379" s="141">
        <v>0.96145683120091474</v>
      </c>
      <c r="I1379" s="141">
        <v>0.98670991160217558</v>
      </c>
      <c r="J1379" s="141">
        <v>0.9805254349709589</v>
      </c>
      <c r="K1379" s="141">
        <v>0.9935095145037629</v>
      </c>
      <c r="L1379" s="141">
        <v>0.99449349247847807</v>
      </c>
      <c r="M1379" s="141">
        <v>0.96090262004709392</v>
      </c>
      <c r="N1379" s="141">
        <v>0.98001513214851765</v>
      </c>
      <c r="O1379" s="141">
        <v>0.99352609875630993</v>
      </c>
      <c r="P1379" s="141">
        <v>0.96458217275284552</v>
      </c>
      <c r="Q1379" s="141">
        <v>0.97550582103656169</v>
      </c>
      <c r="R1379" s="141">
        <v>0.99096431150768194</v>
      </c>
      <c r="S1379" s="140">
        <v>0.99796655682240853</v>
      </c>
      <c r="T1379" s="141">
        <v>0.99072919592733844</v>
      </c>
      <c r="U1379" s="141">
        <v>0.97942451286353238</v>
      </c>
      <c r="V1379" s="141">
        <v>0.96187608979457628</v>
      </c>
      <c r="W1379" s="141">
        <v>0.97168979009703171</v>
      </c>
      <c r="X1379" s="141">
        <v>0.96644630059747949</v>
      </c>
      <c r="Y1379" s="141">
        <v>0.98842146771479222</v>
      </c>
      <c r="Z1379" s="141">
        <v>0.97147915180345457</v>
      </c>
      <c r="AA1379" s="141">
        <v>0.97836906553136316</v>
      </c>
      <c r="AB1379" s="141">
        <v>0.96466440913216789</v>
      </c>
      <c r="AC1379" s="141">
        <v>0.96180883323253508</v>
      </c>
      <c r="AD1379" s="142">
        <v>0.9948047121634741</v>
      </c>
      <c r="AE1379" s="15"/>
      <c r="AF1379" s="96">
        <f t="shared" ref="AF1379" si="8157">AF1378/AF1348</f>
        <v>0.97997334618415999</v>
      </c>
      <c r="AG1379" s="97">
        <f t="shared" ref="AG1379" si="8158">AG1378/AG1348</f>
        <v>0.97706737633063212</v>
      </c>
    </row>
    <row r="1380" spans="2:34" ht="6" customHeight="1" x14ac:dyDescent="0.2">
      <c r="B1380" s="9">
        <f>G1338</f>
        <v>28</v>
      </c>
      <c r="C1380" s="9" t="str">
        <f t="shared" si="7865"/>
        <v xml:space="preserve">28 - </v>
      </c>
      <c r="D1380" s="9" t="s">
        <v>56</v>
      </c>
      <c r="F1380" s="27"/>
      <c r="R1380" s="15"/>
      <c r="AD1380" s="15"/>
      <c r="AE1380" s="15"/>
      <c r="AF1380" s="11"/>
      <c r="AG1380" s="15"/>
    </row>
    <row r="1381" spans="2:34" s="24" customFormat="1" x14ac:dyDescent="0.2">
      <c r="B1381" s="9">
        <f>G1338</f>
        <v>28</v>
      </c>
      <c r="C1381" s="9" t="str">
        <f t="shared" si="7865"/>
        <v>28 - Production per Vet Workday - YoY Change</v>
      </c>
      <c r="D1381" s="9" t="s">
        <v>56</v>
      </c>
      <c r="E1381" s="49"/>
      <c r="F1381" s="24" t="s">
        <v>55</v>
      </c>
      <c r="G1381" s="88"/>
      <c r="H1381" s="89"/>
      <c r="I1381" s="89"/>
      <c r="J1381" s="89"/>
      <c r="K1381" s="89"/>
      <c r="L1381" s="89"/>
      <c r="M1381" s="89"/>
      <c r="N1381" s="89"/>
      <c r="O1381" s="89"/>
      <c r="P1381" s="89"/>
      <c r="Q1381" s="89"/>
      <c r="R1381" s="89"/>
      <c r="S1381" s="151">
        <f>S1347/G1347-1</f>
        <v>-3.8077492980542749E-2</v>
      </c>
      <c r="T1381" s="152">
        <f t="shared" ref="T1381" si="8159">T1347/H1347-1</f>
        <v>-6.3823186615336258E-2</v>
      </c>
      <c r="U1381" s="152">
        <f t="shared" ref="U1381" si="8160">U1347/I1347-1</f>
        <v>-2.4725072212998134E-2</v>
      </c>
      <c r="V1381" s="152">
        <f t="shared" ref="V1381" si="8161">V1347/J1347-1</f>
        <v>-3.4449337521053613E-2</v>
      </c>
      <c r="W1381" s="152">
        <f t="shared" ref="W1381" si="8162">W1347/K1347-1</f>
        <v>5.0127109431025385E-2</v>
      </c>
      <c r="X1381" s="152">
        <f t="shared" ref="X1381" si="8163">X1347/L1347-1</f>
        <v>-1.8067356818517455E-2</v>
      </c>
      <c r="Y1381" s="152">
        <f t="shared" ref="Y1381" si="8164">Y1347/M1347-1</f>
        <v>-3.9451255373677441E-2</v>
      </c>
      <c r="Z1381" s="152">
        <f t="shared" ref="Z1381" si="8165">Z1347/N1347-1</f>
        <v>2.7225913295718662E-3</v>
      </c>
      <c r="AA1381" s="152">
        <f t="shared" ref="AA1381" si="8166">AA1347/O1347-1</f>
        <v>-2.9341984964599943E-2</v>
      </c>
      <c r="AB1381" s="152">
        <f t="shared" ref="AB1381" si="8167">AB1347/P1347-1</f>
        <v>-3.7634085633311942E-2</v>
      </c>
      <c r="AC1381" s="152">
        <f t="shared" ref="AC1381" si="8168">AC1347/Q1347-1</f>
        <v>6.5510388031641886E-2</v>
      </c>
      <c r="AD1381" s="153">
        <f t="shared" ref="AD1381" si="8169">AD1347/R1347-1</f>
        <v>5.4800059438737225E-2</v>
      </c>
      <c r="AF1381" s="43"/>
      <c r="AG1381" s="104">
        <f>AG1347/AF1347-1</f>
        <v>-1.1554436909016474E-2</v>
      </c>
    </row>
    <row r="1382" spans="2:34" s="24" customFormat="1" ht="6" customHeight="1" x14ac:dyDescent="0.2">
      <c r="D1382" s="9" t="s">
        <v>56</v>
      </c>
      <c r="E1382" s="49"/>
      <c r="G1382" s="28"/>
      <c r="H1382" s="30"/>
      <c r="I1382" s="30"/>
      <c r="J1382" s="30"/>
      <c r="K1382" s="30"/>
      <c r="L1382" s="30"/>
      <c r="M1382" s="30"/>
      <c r="N1382" s="30"/>
      <c r="O1382" s="30"/>
      <c r="P1382" s="30"/>
      <c r="Q1382" s="30"/>
      <c r="R1382" s="29"/>
      <c r="S1382" s="30"/>
      <c r="T1382" s="30"/>
      <c r="U1382" s="30"/>
      <c r="V1382" s="30"/>
      <c r="W1382" s="30"/>
      <c r="X1382" s="30"/>
      <c r="Y1382" s="30"/>
      <c r="Z1382" s="30"/>
      <c r="AA1382" s="30"/>
      <c r="AB1382" s="30"/>
      <c r="AC1382" s="30"/>
      <c r="AD1382" s="29"/>
      <c r="AE1382" s="25"/>
      <c r="AF1382" s="28"/>
      <c r="AG1382" s="29"/>
    </row>
    <row r="1383" spans="2:34" s="24" customFormat="1" ht="6" customHeight="1" x14ac:dyDescent="0.2">
      <c r="D1383" s="9" t="s">
        <v>56</v>
      </c>
      <c r="E1383" s="49"/>
    </row>
    <row r="1384" spans="2:34" x14ac:dyDescent="0.2">
      <c r="D1384" s="9" t="s">
        <v>56</v>
      </c>
      <c r="F1384" s="16"/>
    </row>
    <row r="1385" spans="2:34" ht="15.75" thickBot="1" x14ac:dyDescent="0.4">
      <c r="B1385" s="35" t="s">
        <v>52</v>
      </c>
      <c r="C1385" s="35"/>
      <c r="D1385" s="9" t="s">
        <v>56</v>
      </c>
      <c r="E1385" s="48" t="s">
        <v>0</v>
      </c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74">
        <f ca="1">AG$2</f>
        <v>45999</v>
      </c>
      <c r="AH1385" s="1"/>
    </row>
    <row r="1386" spans="2:34" x14ac:dyDescent="0.2">
      <c r="B1386" s="9">
        <f>G1387</f>
        <v>29</v>
      </c>
      <c r="C1386" s="9"/>
      <c r="D1386" s="9" t="s">
        <v>56</v>
      </c>
      <c r="F1386" t="s">
        <v>159</v>
      </c>
      <c r="AG1386" s="6" t="s">
        <v>16</v>
      </c>
    </row>
    <row r="1387" spans="2:34" x14ac:dyDescent="0.2">
      <c r="B1387" s="9">
        <f>G1387</f>
        <v>29</v>
      </c>
      <c r="C1387" s="9"/>
      <c r="D1387" s="9" t="s">
        <v>56</v>
      </c>
      <c r="F1387" s="40" t="s">
        <v>53</v>
      </c>
      <c r="G1387" s="42">
        <v>29</v>
      </c>
    </row>
    <row r="1388" spans="2:34" x14ac:dyDescent="0.2">
      <c r="B1388" s="9">
        <f>G1387</f>
        <v>29</v>
      </c>
      <c r="C1388" s="9"/>
      <c r="D1388" s="9" t="s">
        <v>56</v>
      </c>
      <c r="F1388" s="39" t="s">
        <v>46</v>
      </c>
      <c r="G1388" s="41"/>
      <c r="H1388" s="11"/>
    </row>
    <row r="1389" spans="2:34" x14ac:dyDescent="0.2">
      <c r="B1389" s="9">
        <f>G1387</f>
        <v>29</v>
      </c>
      <c r="C1389" s="9"/>
      <c r="D1389" s="9" t="s">
        <v>56</v>
      </c>
      <c r="G1389" s="23"/>
    </row>
    <row r="1390" spans="2:34" x14ac:dyDescent="0.2">
      <c r="B1390" s="9">
        <f>G1387</f>
        <v>29</v>
      </c>
      <c r="C1390" s="9"/>
      <c r="D1390" s="9" t="s">
        <v>56</v>
      </c>
      <c r="G1390" s="20">
        <v>2023</v>
      </c>
      <c r="H1390" s="21"/>
      <c r="I1390" s="21"/>
      <c r="J1390" s="21"/>
      <c r="K1390" s="21"/>
      <c r="L1390" s="21"/>
      <c r="M1390" s="21"/>
      <c r="N1390" s="21"/>
      <c r="O1390" s="21"/>
      <c r="P1390" s="21"/>
      <c r="Q1390" s="21"/>
      <c r="R1390" s="22"/>
      <c r="S1390" s="20">
        <v>2024</v>
      </c>
      <c r="T1390" s="21"/>
      <c r="U1390" s="21"/>
      <c r="V1390" s="21"/>
      <c r="W1390" s="21"/>
      <c r="X1390" s="21"/>
      <c r="Y1390" s="21"/>
      <c r="Z1390" s="21"/>
      <c r="AA1390" s="21"/>
      <c r="AB1390" s="21"/>
      <c r="AC1390" s="21"/>
      <c r="AD1390" s="22"/>
      <c r="AF1390" s="17" t="s">
        <v>14</v>
      </c>
      <c r="AG1390" s="18"/>
    </row>
    <row r="1391" spans="2:34" ht="15" customHeight="1" x14ac:dyDescent="0.35">
      <c r="B1391" s="9">
        <f>G1387</f>
        <v>29</v>
      </c>
      <c r="C1391" s="9"/>
      <c r="D1391" s="9" t="s">
        <v>56</v>
      </c>
      <c r="G1391" s="165">
        <v>44957</v>
      </c>
      <c r="H1391" s="166">
        <v>44985</v>
      </c>
      <c r="I1391" s="166">
        <v>45016</v>
      </c>
      <c r="J1391" s="166">
        <v>45046</v>
      </c>
      <c r="K1391" s="166">
        <v>45077</v>
      </c>
      <c r="L1391" s="166">
        <v>45107</v>
      </c>
      <c r="M1391" s="166">
        <v>45138</v>
      </c>
      <c r="N1391" s="166">
        <v>45169</v>
      </c>
      <c r="O1391" s="166">
        <v>45199</v>
      </c>
      <c r="P1391" s="166">
        <v>45230</v>
      </c>
      <c r="Q1391" s="166">
        <v>45260</v>
      </c>
      <c r="R1391" s="167">
        <v>45291</v>
      </c>
      <c r="S1391" s="165">
        <v>45322</v>
      </c>
      <c r="T1391" s="166">
        <v>45351</v>
      </c>
      <c r="U1391" s="166">
        <v>45382</v>
      </c>
      <c r="V1391" s="166">
        <v>45412</v>
      </c>
      <c r="W1391" s="166">
        <v>45443</v>
      </c>
      <c r="X1391" s="166">
        <v>45473</v>
      </c>
      <c r="Y1391" s="166">
        <v>45504</v>
      </c>
      <c r="Z1391" s="166">
        <v>45535</v>
      </c>
      <c r="AA1391" s="166">
        <v>45565</v>
      </c>
      <c r="AB1391" s="166">
        <v>45596</v>
      </c>
      <c r="AC1391" s="166">
        <v>45626</v>
      </c>
      <c r="AD1391" s="167">
        <v>45657</v>
      </c>
      <c r="AE1391" s="168"/>
      <c r="AF1391" s="13">
        <v>45291</v>
      </c>
      <c r="AG1391" s="14">
        <v>45657</v>
      </c>
    </row>
    <row r="1392" spans="2:34" ht="0.95" customHeight="1" x14ac:dyDescent="0.2">
      <c r="B1392" s="9">
        <f>G1387</f>
        <v>29</v>
      </c>
      <c r="C1392" s="9"/>
      <c r="D1392" s="9" t="s">
        <v>56</v>
      </c>
      <c r="G1392" s="11"/>
      <c r="S1392" s="11"/>
      <c r="AD1392" s="15"/>
      <c r="AE1392" s="15"/>
      <c r="AF1392" s="11"/>
      <c r="AG1392" s="15"/>
    </row>
    <row r="1393" spans="2:33" x14ac:dyDescent="0.2">
      <c r="B1393" s="9">
        <f>G1387</f>
        <v>29</v>
      </c>
      <c r="C1393" s="9" t="str">
        <f>B1393&amp;" - "&amp;F1393</f>
        <v>29 - Employed Vets</v>
      </c>
      <c r="D1393" s="9" t="s">
        <v>56</v>
      </c>
      <c r="F1393" s="7" t="s">
        <v>160</v>
      </c>
      <c r="G1393" s="121">
        <v>1</v>
      </c>
      <c r="H1393" s="122">
        <v>1</v>
      </c>
      <c r="I1393" s="122">
        <v>1</v>
      </c>
      <c r="J1393" s="122">
        <v>1</v>
      </c>
      <c r="K1393" s="122">
        <v>1</v>
      </c>
      <c r="L1393" s="122">
        <v>1</v>
      </c>
      <c r="M1393" s="122">
        <v>1</v>
      </c>
      <c r="N1393" s="122">
        <v>1</v>
      </c>
      <c r="O1393" s="122">
        <v>1</v>
      </c>
      <c r="P1393" s="122">
        <v>1</v>
      </c>
      <c r="Q1393" s="122">
        <v>1</v>
      </c>
      <c r="R1393" s="122">
        <v>1</v>
      </c>
      <c r="S1393" s="121">
        <v>1</v>
      </c>
      <c r="T1393" s="122">
        <v>1</v>
      </c>
      <c r="U1393" s="122">
        <v>1</v>
      </c>
      <c r="V1393" s="122">
        <v>1</v>
      </c>
      <c r="W1393" s="122">
        <v>1</v>
      </c>
      <c r="X1393" s="122">
        <v>1</v>
      </c>
      <c r="Y1393" s="122">
        <v>1</v>
      </c>
      <c r="Z1393" s="122">
        <v>1</v>
      </c>
      <c r="AA1393" s="122">
        <v>1</v>
      </c>
      <c r="AB1393" s="122">
        <v>1</v>
      </c>
      <c r="AC1393" s="122">
        <v>1</v>
      </c>
      <c r="AD1393" s="156">
        <f>MROUND(AVERAGE(S1393:AC1393),1)</f>
        <v>1</v>
      </c>
      <c r="AE1393" s="15"/>
      <c r="AF1393" s="90">
        <f>AVERAGE(G1393:R1393)</f>
        <v>1</v>
      </c>
      <c r="AG1393" s="91">
        <f>AVERAGE(S1393:AD1393)</f>
        <v>1</v>
      </c>
    </row>
    <row r="1394" spans="2:33" x14ac:dyDescent="0.2">
      <c r="B1394" s="9">
        <f>G1387</f>
        <v>29</v>
      </c>
      <c r="C1394" s="9" t="str">
        <f t="shared" ref="C1394:C1430" si="8170">B1394&amp;" - "&amp;F1394</f>
        <v>29 - Workdays in Month / Year</v>
      </c>
      <c r="D1394" s="9" t="s">
        <v>56</v>
      </c>
      <c r="F1394" s="7" t="s">
        <v>54</v>
      </c>
      <c r="G1394" s="121">
        <v>22</v>
      </c>
      <c r="H1394" s="124">
        <v>21</v>
      </c>
      <c r="I1394" s="124">
        <v>24</v>
      </c>
      <c r="J1394" s="122">
        <v>21</v>
      </c>
      <c r="K1394" s="122">
        <v>23</v>
      </c>
      <c r="L1394" s="122">
        <v>23</v>
      </c>
      <c r="M1394" s="122">
        <v>22</v>
      </c>
      <c r="N1394" s="122">
        <v>24</v>
      </c>
      <c r="O1394" s="122">
        <v>22</v>
      </c>
      <c r="P1394" s="122">
        <v>22</v>
      </c>
      <c r="Q1394" s="122">
        <v>23</v>
      </c>
      <c r="R1394" s="122">
        <v>22</v>
      </c>
      <c r="S1394" s="121">
        <v>23</v>
      </c>
      <c r="T1394" s="122">
        <v>22</v>
      </c>
      <c r="U1394" s="122">
        <v>22</v>
      </c>
      <c r="V1394" s="122">
        <v>22</v>
      </c>
      <c r="W1394" s="122">
        <v>24</v>
      </c>
      <c r="X1394" s="122">
        <v>21</v>
      </c>
      <c r="Y1394" s="122">
        <v>23</v>
      </c>
      <c r="Z1394" s="122">
        <v>23</v>
      </c>
      <c r="AA1394" s="122">
        <v>21</v>
      </c>
      <c r="AB1394" s="122">
        <v>24</v>
      </c>
      <c r="AC1394" s="122">
        <v>22</v>
      </c>
      <c r="AD1394" s="123">
        <v>22</v>
      </c>
      <c r="AE1394" s="15"/>
      <c r="AF1394" s="144">
        <v>269</v>
      </c>
      <c r="AG1394" s="145">
        <v>269</v>
      </c>
    </row>
    <row r="1395" spans="2:33" x14ac:dyDescent="0.2">
      <c r="B1395" s="9">
        <f>G1387</f>
        <v>29</v>
      </c>
      <c r="C1395" s="9" t="str">
        <f t="shared" si="8170"/>
        <v>29 - Total Vet Days</v>
      </c>
      <c r="D1395" s="9" t="s">
        <v>56</v>
      </c>
      <c r="F1395" s="8" t="s">
        <v>51</v>
      </c>
      <c r="G1395" s="125">
        <f>G1393*G1394</f>
        <v>22</v>
      </c>
      <c r="H1395" s="126">
        <f t="shared" ref="H1395" si="8171">H1393*H1394</f>
        <v>21</v>
      </c>
      <c r="I1395" s="126">
        <f t="shared" ref="I1395" si="8172">I1393*I1394</f>
        <v>24</v>
      </c>
      <c r="J1395" s="127">
        <f t="shared" ref="J1395" si="8173">J1393*J1394</f>
        <v>21</v>
      </c>
      <c r="K1395" s="127">
        <f t="shared" ref="K1395" si="8174">K1393*K1394</f>
        <v>23</v>
      </c>
      <c r="L1395" s="127">
        <f t="shared" ref="L1395" si="8175">L1393*L1394</f>
        <v>23</v>
      </c>
      <c r="M1395" s="127">
        <f t="shared" ref="M1395" si="8176">M1393*M1394</f>
        <v>22</v>
      </c>
      <c r="N1395" s="127">
        <f t="shared" ref="N1395" si="8177">N1393*N1394</f>
        <v>24</v>
      </c>
      <c r="O1395" s="127">
        <f t="shared" ref="O1395" si="8178">O1393*O1394</f>
        <v>22</v>
      </c>
      <c r="P1395" s="127">
        <f t="shared" ref="P1395" si="8179">P1393*P1394</f>
        <v>22</v>
      </c>
      <c r="Q1395" s="127">
        <f t="shared" ref="Q1395" si="8180">Q1393*Q1394</f>
        <v>23</v>
      </c>
      <c r="R1395" s="127">
        <f t="shared" ref="R1395" si="8181">R1393*R1394</f>
        <v>22</v>
      </c>
      <c r="S1395" s="125">
        <f t="shared" ref="S1395" si="8182">S1393*S1394</f>
        <v>23</v>
      </c>
      <c r="T1395" s="127">
        <f t="shared" ref="T1395" si="8183">T1393*T1394</f>
        <v>22</v>
      </c>
      <c r="U1395" s="127">
        <f t="shared" ref="U1395" si="8184">U1393*U1394</f>
        <v>22</v>
      </c>
      <c r="V1395" s="127">
        <f t="shared" ref="V1395" si="8185">V1393*V1394</f>
        <v>22</v>
      </c>
      <c r="W1395" s="127">
        <f t="shared" ref="W1395" si="8186">W1393*W1394</f>
        <v>24</v>
      </c>
      <c r="X1395" s="127">
        <f t="shared" ref="X1395" si="8187">X1393*X1394</f>
        <v>21</v>
      </c>
      <c r="Y1395" s="127">
        <f t="shared" ref="Y1395" si="8188">Y1393*Y1394</f>
        <v>23</v>
      </c>
      <c r="Z1395" s="127">
        <f t="shared" ref="Z1395" si="8189">Z1393*Z1394</f>
        <v>23</v>
      </c>
      <c r="AA1395" s="127">
        <f t="shared" ref="AA1395" si="8190">AA1393*AA1394</f>
        <v>21</v>
      </c>
      <c r="AB1395" s="127">
        <f t="shared" ref="AB1395" si="8191">AB1393*AB1394</f>
        <v>24</v>
      </c>
      <c r="AC1395" s="127">
        <f t="shared" ref="AC1395" si="8192">AC1393*AC1394</f>
        <v>22</v>
      </c>
      <c r="AD1395" s="128">
        <f t="shared" ref="AD1395" si="8193">AD1393*AD1394</f>
        <v>22</v>
      </c>
      <c r="AF1395" s="119">
        <f>SUM(G1395:R1395)</f>
        <v>269</v>
      </c>
      <c r="AG1395" s="120">
        <f>SUM(S1395:AD1395)</f>
        <v>269</v>
      </c>
    </row>
    <row r="1396" spans="2:33" x14ac:dyDescent="0.2">
      <c r="B1396" s="9">
        <f>G1387</f>
        <v>29</v>
      </c>
      <c r="C1396" s="9" t="str">
        <f t="shared" si="8170"/>
        <v>29 - Production per Vet Workday</v>
      </c>
      <c r="D1396" s="9" t="s">
        <v>56</v>
      </c>
      <c r="F1396" s="7" t="s">
        <v>50</v>
      </c>
      <c r="G1396" s="129">
        <v>6.612151452825171</v>
      </c>
      <c r="H1396" s="130">
        <v>6.6837580524957261</v>
      </c>
      <c r="I1396" s="130">
        <v>7.1061305377128718</v>
      </c>
      <c r="J1396" s="130">
        <v>7.7130986665361245</v>
      </c>
      <c r="K1396" s="130">
        <v>8.8788848997824434</v>
      </c>
      <c r="L1396" s="130">
        <v>8.8445146702979436</v>
      </c>
      <c r="M1396" s="130">
        <v>8.1792036192911191</v>
      </c>
      <c r="N1396" s="130">
        <v>6.9156268019303777</v>
      </c>
      <c r="O1396" s="130">
        <v>7.2656447896183822</v>
      </c>
      <c r="P1396" s="130">
        <v>7.1463214083024882</v>
      </c>
      <c r="Q1396" s="130">
        <v>5.8556793625442349</v>
      </c>
      <c r="R1396" s="130">
        <v>4.9044269714140398</v>
      </c>
      <c r="S1396" s="129">
        <v>6.8199065225039535</v>
      </c>
      <c r="T1396" s="130">
        <v>6.4447111102641559</v>
      </c>
      <c r="U1396" s="130">
        <v>6.9297140951119198</v>
      </c>
      <c r="V1396" s="130">
        <v>6.91280593924506</v>
      </c>
      <c r="W1396" s="130">
        <v>8.8653072498733874</v>
      </c>
      <c r="X1396" s="130">
        <v>8.4937247533776024</v>
      </c>
      <c r="Y1396" s="130">
        <v>7.7880195097179534</v>
      </c>
      <c r="Z1396" s="130">
        <v>6.1022766751779978</v>
      </c>
      <c r="AA1396" s="130">
        <v>6.8725947949158188</v>
      </c>
      <c r="AB1396" s="130">
        <v>5.32248433606261</v>
      </c>
      <c r="AC1396" s="130">
        <v>5.1699040106393461</v>
      </c>
      <c r="AD1396" s="131">
        <v>4.5021605602880541</v>
      </c>
      <c r="AE1396" s="15"/>
      <c r="AF1396" s="132">
        <v>7.1804663346223032</v>
      </c>
      <c r="AG1396" s="133">
        <v>6.6863898757951352</v>
      </c>
    </row>
    <row r="1397" spans="2:33" x14ac:dyDescent="0.2">
      <c r="B1397" s="9">
        <f>G1387</f>
        <v>29</v>
      </c>
      <c r="C1397" s="9" t="str">
        <f t="shared" si="8170"/>
        <v>29 - Total Production</v>
      </c>
      <c r="D1397" s="9" t="s">
        <v>56</v>
      </c>
      <c r="F1397" s="8" t="s">
        <v>1</v>
      </c>
      <c r="G1397" s="134">
        <f>G1396*G1395</f>
        <v>145.46733196215376</v>
      </c>
      <c r="H1397" s="135">
        <f t="shared" ref="H1397" si="8194">H1396*H1395</f>
        <v>140.35891910241025</v>
      </c>
      <c r="I1397" s="135">
        <f t="shared" ref="I1397" si="8195">I1396*I1395</f>
        <v>170.54713290510892</v>
      </c>
      <c r="J1397" s="135">
        <f t="shared" ref="J1397" si="8196">J1396*J1395</f>
        <v>161.97507199725862</v>
      </c>
      <c r="K1397" s="135">
        <f t="shared" ref="K1397" si="8197">K1396*K1395</f>
        <v>204.21435269499619</v>
      </c>
      <c r="L1397" s="135">
        <f t="shared" ref="L1397" si="8198">L1396*L1395</f>
        <v>203.42383741685271</v>
      </c>
      <c r="M1397" s="135">
        <f t="shared" ref="M1397" si="8199">M1396*M1395</f>
        <v>179.94247962440463</v>
      </c>
      <c r="N1397" s="135">
        <f t="shared" ref="N1397" si="8200">N1396*N1395</f>
        <v>165.97504324632905</v>
      </c>
      <c r="O1397" s="135">
        <f t="shared" ref="O1397" si="8201">O1396*O1395</f>
        <v>159.8441853716044</v>
      </c>
      <c r="P1397" s="135">
        <f t="shared" ref="P1397" si="8202">P1396*P1395</f>
        <v>157.21907098265473</v>
      </c>
      <c r="Q1397" s="135">
        <f t="shared" ref="Q1397" si="8203">Q1396*Q1395</f>
        <v>134.68062533851742</v>
      </c>
      <c r="R1397" s="135">
        <f t="shared" ref="R1397" si="8204">R1396*R1395</f>
        <v>107.89739337110888</v>
      </c>
      <c r="S1397" s="134">
        <f t="shared" ref="S1397" si="8205">S1396*S1395</f>
        <v>156.85785001759092</v>
      </c>
      <c r="T1397" s="135">
        <f t="shared" ref="T1397" si="8206">T1396*T1395</f>
        <v>141.78364442581142</v>
      </c>
      <c r="U1397" s="135">
        <f t="shared" ref="U1397" si="8207">U1396*U1395</f>
        <v>152.45371009246225</v>
      </c>
      <c r="V1397" s="135">
        <f t="shared" ref="V1397" si="8208">V1396*V1395</f>
        <v>152.08173066339131</v>
      </c>
      <c r="W1397" s="135">
        <f t="shared" ref="W1397" si="8209">W1396*W1395</f>
        <v>212.76737399696128</v>
      </c>
      <c r="X1397" s="135">
        <f t="shared" ref="X1397" si="8210">X1396*X1395</f>
        <v>178.36821982092965</v>
      </c>
      <c r="Y1397" s="135">
        <f t="shared" ref="Y1397" si="8211">Y1396*Y1395</f>
        <v>179.12444872351293</v>
      </c>
      <c r="Z1397" s="135">
        <f t="shared" ref="Z1397" si="8212">Z1396*Z1395</f>
        <v>140.35236352909394</v>
      </c>
      <c r="AA1397" s="135">
        <f t="shared" ref="AA1397" si="8213">AA1396*AA1395</f>
        <v>144.32449069323221</v>
      </c>
      <c r="AB1397" s="135">
        <f t="shared" ref="AB1397" si="8214">AB1396*AB1395</f>
        <v>127.73962406550264</v>
      </c>
      <c r="AC1397" s="135">
        <f t="shared" ref="AC1397" si="8215">AC1396*AC1395</f>
        <v>113.73788823406562</v>
      </c>
      <c r="AD1397" s="136">
        <f t="shared" ref="AD1397" si="8216">AD1396*AD1395</f>
        <v>99.047532326337191</v>
      </c>
      <c r="AE1397" s="15"/>
      <c r="AF1397" s="94">
        <f>SUM(G1397:R1397)</f>
        <v>1931.5454440133997</v>
      </c>
      <c r="AG1397" s="95">
        <f>SUM(S1397:AD1397)</f>
        <v>1798.6388765888914</v>
      </c>
    </row>
    <row r="1398" spans="2:33" x14ac:dyDescent="0.2">
      <c r="B1398" s="9">
        <f>G1387</f>
        <v>29</v>
      </c>
      <c r="C1398" s="9" t="str">
        <f t="shared" si="8170"/>
        <v>29 - Revenue as a % of Production</v>
      </c>
      <c r="D1398" s="9" t="s">
        <v>56</v>
      </c>
      <c r="F1398" s="7" t="s">
        <v>2</v>
      </c>
      <c r="G1398" s="137">
        <v>0.97548866886333252</v>
      </c>
      <c r="H1398" s="138">
        <v>0.97548866886333252</v>
      </c>
      <c r="I1398" s="138">
        <v>0.97548866886333252</v>
      </c>
      <c r="J1398" s="138">
        <v>0.97548866886333252</v>
      </c>
      <c r="K1398" s="138">
        <v>0.97548866886333252</v>
      </c>
      <c r="L1398" s="138">
        <v>0.97548866886333252</v>
      </c>
      <c r="M1398" s="138">
        <v>0.97548866886333252</v>
      </c>
      <c r="N1398" s="138">
        <v>0.97548866886333252</v>
      </c>
      <c r="O1398" s="138">
        <v>0.97548866886333252</v>
      </c>
      <c r="P1398" s="138">
        <v>0.97548866886333252</v>
      </c>
      <c r="Q1398" s="138">
        <v>0.97548866886333252</v>
      </c>
      <c r="R1398" s="138">
        <v>0.97548866886333252</v>
      </c>
      <c r="S1398" s="137">
        <v>0.97094222880116599</v>
      </c>
      <c r="T1398" s="138">
        <v>0.97094222880116599</v>
      </c>
      <c r="U1398" s="138">
        <v>0.97094222880116599</v>
      </c>
      <c r="V1398" s="138">
        <v>0.97094222880116599</v>
      </c>
      <c r="W1398" s="138">
        <v>0.97094222880116599</v>
      </c>
      <c r="X1398" s="138">
        <v>0.97094222880116599</v>
      </c>
      <c r="Y1398" s="138">
        <v>0.97094222880116599</v>
      </c>
      <c r="Z1398" s="138">
        <v>0.97094222880116599</v>
      </c>
      <c r="AA1398" s="138">
        <v>0.97094222880116599</v>
      </c>
      <c r="AB1398" s="138">
        <v>0.97094222880116599</v>
      </c>
      <c r="AC1398" s="138">
        <v>0.97094222880116599</v>
      </c>
      <c r="AD1398" s="139">
        <v>0.97094222880116599</v>
      </c>
      <c r="AE1398" s="15"/>
      <c r="AF1398" s="161">
        <v>0.97548866886333252</v>
      </c>
      <c r="AG1398" s="162">
        <v>0.97094222880116587</v>
      </c>
    </row>
    <row r="1399" spans="2:33" x14ac:dyDescent="0.2">
      <c r="B1399" s="9">
        <f>G1387</f>
        <v>29</v>
      </c>
      <c r="C1399" s="9" t="str">
        <f t="shared" si="8170"/>
        <v>29 - Total Revenue</v>
      </c>
      <c r="D1399" s="9" t="s">
        <v>56</v>
      </c>
      <c r="F1399" s="8" t="s">
        <v>3</v>
      </c>
      <c r="G1399" s="134">
        <f>G1398*G1397</f>
        <v>141.90173401886187</v>
      </c>
      <c r="H1399" s="135">
        <f t="shared" ref="H1399" si="8217">H1398*H1397</f>
        <v>136.91853515830636</v>
      </c>
      <c r="I1399" s="135">
        <f t="shared" ref="I1399" si="8218">I1398*I1397</f>
        <v>166.36679565606255</v>
      </c>
      <c r="J1399" s="135">
        <f t="shared" ref="J1399" si="8219">J1398*J1397</f>
        <v>158.00484737164825</v>
      </c>
      <c r="K1399" s="135">
        <f t="shared" ref="K1399" si="8220">K1398*K1397</f>
        <v>199.20878707322893</v>
      </c>
      <c r="L1399" s="135">
        <f t="shared" ref="L1399" si="8221">L1398*L1397</f>
        <v>198.43764837683662</v>
      </c>
      <c r="M1399" s="135">
        <f t="shared" ref="M1399" si="8222">M1398*M1397</f>
        <v>175.5318499207778</v>
      </c>
      <c r="N1399" s="135">
        <f t="shared" ref="N1399" si="8223">N1398*N1397</f>
        <v>161.90677400089558</v>
      </c>
      <c r="O1399" s="135">
        <f t="shared" ref="O1399" si="8224">O1398*O1397</f>
        <v>155.92619161369015</v>
      </c>
      <c r="P1399" s="135">
        <f t="shared" ref="P1399" si="8225">P1398*P1397</f>
        <v>153.36542227279963</v>
      </c>
      <c r="Q1399" s="135">
        <f t="shared" ref="Q1399" si="8226">Q1398*Q1397</f>
        <v>131.37942393315157</v>
      </c>
      <c r="R1399" s="135">
        <f t="shared" ref="R1399" si="8227">R1398*R1397</f>
        <v>105.25268463340636</v>
      </c>
      <c r="S1399" s="134">
        <f t="shared" ref="S1399" si="8228">S1398*S1397</f>
        <v>152.29991050103874</v>
      </c>
      <c r="T1399" s="135">
        <f t="shared" ref="T1399" si="8229">T1398*T1397</f>
        <v>137.66372772634935</v>
      </c>
      <c r="U1399" s="135">
        <f t="shared" ref="U1399" si="8230">U1398*U1397</f>
        <v>148.0237450661821</v>
      </c>
      <c r="V1399" s="135">
        <f t="shared" ref="V1399" si="8231">V1398*V1397</f>
        <v>147.66257453025179</v>
      </c>
      <c r="W1399" s="135">
        <f t="shared" ref="W1399" si="8232">W1398*W1397</f>
        <v>206.58482832478083</v>
      </c>
      <c r="X1399" s="135">
        <f t="shared" ref="X1399" si="8233">X1398*X1397</f>
        <v>173.18523690022974</v>
      </c>
      <c r="Y1399" s="135">
        <f t="shared" ref="Y1399" si="8234">Y1398*Y1397</f>
        <v>173.9194914763878</v>
      </c>
      <c r="Z1399" s="135">
        <f t="shared" ref="Z1399" si="8235">Z1398*Z1397</f>
        <v>136.27403666244996</v>
      </c>
      <c r="AA1399" s="135">
        <f t="shared" ref="AA1399" si="8236">AA1398*AA1397</f>
        <v>140.13074266428001</v>
      </c>
      <c r="AB1399" s="135">
        <f t="shared" ref="AB1399" si="8237">AB1398*AB1397</f>
        <v>124.02779529638219</v>
      </c>
      <c r="AC1399" s="135">
        <f t="shared" ref="AC1399" si="8238">AC1398*AC1397</f>
        <v>110.43291870112159</v>
      </c>
      <c r="AD1399" s="136">
        <f t="shared" ref="AD1399" si="8239">AD1398*AD1397</f>
        <v>96.169431794189364</v>
      </c>
      <c r="AE1399" s="15"/>
      <c r="AF1399" s="94">
        <f>SUM(G1399:R1399)</f>
        <v>1884.2006940296658</v>
      </c>
      <c r="AG1399" s="95">
        <f>SUM(S1399:AD1399)</f>
        <v>1746.3744396436434</v>
      </c>
    </row>
    <row r="1400" spans="2:33" x14ac:dyDescent="0.2">
      <c r="B1400" s="9">
        <f>G1387</f>
        <v>29</v>
      </c>
      <c r="C1400" s="9" t="str">
        <f t="shared" si="8170"/>
        <v>29 - % YoY Revenue Growth</v>
      </c>
      <c r="D1400" s="9" t="s">
        <v>56</v>
      </c>
      <c r="F1400" s="16" t="s">
        <v>174</v>
      </c>
      <c r="G1400" s="82"/>
      <c r="H1400" s="83"/>
      <c r="I1400" s="83"/>
      <c r="J1400" s="83"/>
      <c r="K1400" s="83"/>
      <c r="L1400" s="83"/>
      <c r="M1400" s="83"/>
      <c r="N1400" s="83"/>
      <c r="O1400" s="83"/>
      <c r="P1400" s="83"/>
      <c r="Q1400" s="83"/>
      <c r="R1400" s="83"/>
      <c r="S1400" s="148">
        <f>S1399/G1399-1</f>
        <v>7.327730386152087E-2</v>
      </c>
      <c r="T1400" s="149">
        <f t="shared" ref="T1400" si="8240">T1399/H1399-1</f>
        <v>5.4425981638015486E-3</v>
      </c>
      <c r="U1400" s="149">
        <f t="shared" ref="U1400" si="8241">U1399/I1399-1</f>
        <v>-0.11025668023204493</v>
      </c>
      <c r="V1400" s="149">
        <f t="shared" ref="V1400" si="8242">V1399/J1399-1</f>
        <v>-6.545541490300022E-2</v>
      </c>
      <c r="W1400" s="149">
        <f t="shared" ref="W1400" si="8243">W1399/K1399-1</f>
        <v>3.7026686221629745E-2</v>
      </c>
      <c r="X1400" s="149">
        <f t="shared" ref="X1400" si="8244">X1399/L1399-1</f>
        <v>-0.12725615165854065</v>
      </c>
      <c r="Y1400" s="149">
        <f t="shared" ref="Y1400" si="8245">Y1399/M1399-1</f>
        <v>-9.1855605983626187E-3</v>
      </c>
      <c r="Z1400" s="149">
        <f t="shared" ref="Z1400" si="8246">Z1399/N1399-1</f>
        <v>-0.15831788074724928</v>
      </c>
      <c r="AA1400" s="149">
        <f t="shared" ref="AA1400" si="8247">AA1399/O1399-1</f>
        <v>-0.10130080640040029</v>
      </c>
      <c r="AB1400" s="149">
        <f t="shared" ref="AB1400" si="8248">AB1399/P1399-1</f>
        <v>-0.1912923170141505</v>
      </c>
      <c r="AC1400" s="149">
        <f t="shared" ref="AC1400" si="8249">AC1399/Q1399-1</f>
        <v>-0.15943520381614684</v>
      </c>
      <c r="AD1400" s="150">
        <f t="shared" ref="AD1400" si="8250">AD1399/R1399-1</f>
        <v>-8.62994884249636E-2</v>
      </c>
      <c r="AE1400" s="15"/>
      <c r="AF1400" s="11"/>
      <c r="AG1400" s="97">
        <f>AG1399/AF1399-1</f>
        <v>-7.3148393811095946E-2</v>
      </c>
    </row>
    <row r="1401" spans="2:33" ht="6" customHeight="1" x14ac:dyDescent="0.2">
      <c r="B1401" s="9">
        <f>G1387</f>
        <v>29</v>
      </c>
      <c r="C1401" s="9" t="str">
        <f t="shared" si="8170"/>
        <v xml:space="preserve">29 - </v>
      </c>
      <c r="D1401" s="9" t="s">
        <v>56</v>
      </c>
      <c r="G1401" s="11"/>
      <c r="S1401" s="11"/>
      <c r="AD1401" s="15"/>
      <c r="AE1401" s="15"/>
      <c r="AF1401" s="11"/>
      <c r="AG1401" s="15"/>
    </row>
    <row r="1402" spans="2:33" x14ac:dyDescent="0.2">
      <c r="B1402" s="9">
        <f>G1387</f>
        <v>29</v>
      </c>
      <c r="C1402" s="9" t="str">
        <f t="shared" si="8170"/>
        <v>29 - Doctor Compensation</v>
      </c>
      <c r="D1402" s="9" t="s">
        <v>56</v>
      </c>
      <c r="F1402" t="s">
        <v>4</v>
      </c>
      <c r="G1402" s="144">
        <v>-48.853233143120846</v>
      </c>
      <c r="H1402" s="70">
        <v>-46.184760261530158</v>
      </c>
      <c r="I1402" s="70">
        <v>-57.710419853525835</v>
      </c>
      <c r="J1402" s="70">
        <v>-56.327788860069674</v>
      </c>
      <c r="K1402" s="70">
        <v>-71.067433256313379</v>
      </c>
      <c r="L1402" s="70">
        <v>-70.644515407470777</v>
      </c>
      <c r="M1402" s="70">
        <v>-60.782040841615782</v>
      </c>
      <c r="N1402" s="70">
        <v>-54.735089068568655</v>
      </c>
      <c r="O1402" s="70">
        <v>-53.491995803538266</v>
      </c>
      <c r="P1402" s="70">
        <v>-53.484395925438285</v>
      </c>
      <c r="Q1402" s="70">
        <v>-46.903093900920723</v>
      </c>
      <c r="R1402" s="70">
        <v>-37.624972008273971</v>
      </c>
      <c r="S1402" s="144">
        <v>-53.413745885304998</v>
      </c>
      <c r="T1402" s="70">
        <v>-47.960672753636501</v>
      </c>
      <c r="U1402" s="70">
        <v>-52.555041649731884</v>
      </c>
      <c r="V1402" s="70">
        <v>-52.92125209370483</v>
      </c>
      <c r="W1402" s="70">
        <v>-72.539914873792142</v>
      </c>
      <c r="X1402" s="70">
        <v>-61.239992833546516</v>
      </c>
      <c r="Y1402" s="70">
        <v>-62.968294095931704</v>
      </c>
      <c r="Z1402" s="70">
        <v>-48.426160583096866</v>
      </c>
      <c r="AA1402" s="70">
        <v>-48.785375782032467</v>
      </c>
      <c r="AB1402" s="70">
        <v>-41.948972819195866</v>
      </c>
      <c r="AC1402" s="70">
        <v>-37.645410510621574</v>
      </c>
      <c r="AD1402" s="145">
        <v>-32.049299366121801</v>
      </c>
      <c r="AE1402" s="15"/>
      <c r="AF1402" s="92">
        <f>SUM(G1402:R1402)</f>
        <v>-657.80973833038638</v>
      </c>
      <c r="AG1402" s="93">
        <f>SUM(S1402:AD1402)</f>
        <v>-612.45413324671711</v>
      </c>
    </row>
    <row r="1403" spans="2:33" x14ac:dyDescent="0.2">
      <c r="B1403" s="9">
        <f>G1387</f>
        <v>29</v>
      </c>
      <c r="C1403" s="9" t="str">
        <f t="shared" si="8170"/>
        <v>29 - % of Revenue - Doctor Compensation</v>
      </c>
      <c r="D1403" s="9" t="s">
        <v>56</v>
      </c>
      <c r="F1403" s="16" t="str">
        <f>"% of Revenue - "&amp;F1402</f>
        <v>% of Revenue - Doctor Compensation</v>
      </c>
      <c r="G1403" s="148">
        <f>G1402/G1399</f>
        <v>-0.34427509629041725</v>
      </c>
      <c r="H1403" s="149">
        <f t="shared" ref="H1403" si="8251">H1402/H1399</f>
        <v>-0.33731561770019636</v>
      </c>
      <c r="I1403" s="149">
        <f t="shared" ref="I1403" si="8252">I1402/I1399</f>
        <v>-0.34688664661687146</v>
      </c>
      <c r="J1403" s="149">
        <f t="shared" ref="J1403" si="8253">J1402/J1399</f>
        <v>-0.35649405570184362</v>
      </c>
      <c r="K1403" s="149">
        <f t="shared" ref="K1403" si="8254">K1402/K1399</f>
        <v>-0.35674848635160389</v>
      </c>
      <c r="L1403" s="149">
        <f t="shared" ref="L1403" si="8255">L1402/L1399</f>
        <v>-0.3560035909784397</v>
      </c>
      <c r="M1403" s="149">
        <f t="shared" ref="M1403" si="8256">M1402/M1399</f>
        <v>-0.34627357296723266</v>
      </c>
      <c r="N1403" s="149">
        <f t="shared" ref="N1403" si="8257">N1402/N1399</f>
        <v>-0.33806546641628404</v>
      </c>
      <c r="O1403" s="149">
        <f t="shared" ref="O1403" si="8258">O1402/O1399</f>
        <v>-0.34305972107665922</v>
      </c>
      <c r="P1403" s="149">
        <f t="shared" ref="P1403" si="8259">P1402/P1399</f>
        <v>-0.34873829532645634</v>
      </c>
      <c r="Q1403" s="149">
        <f t="shared" ref="Q1403" si="8260">Q1402/Q1399</f>
        <v>-0.35700486801331949</v>
      </c>
      <c r="R1403" s="149">
        <f t="shared" ref="R1403" si="8261">R1402/R1399</f>
        <v>-0.35747280118622365</v>
      </c>
      <c r="S1403" s="148">
        <f t="shared" ref="S1403" si="8262">S1402/S1399</f>
        <v>-0.35071423029457854</v>
      </c>
      <c r="T1403" s="149">
        <f t="shared" ref="T1403" si="8263">T1402/T1399</f>
        <v>-0.3483900483137698</v>
      </c>
      <c r="U1403" s="149">
        <f t="shared" ref="U1403" si="8264">U1402/U1399</f>
        <v>-0.35504466953078562</v>
      </c>
      <c r="V1403" s="149">
        <f t="shared" ref="V1403" si="8265">V1402/V1399</f>
        <v>-0.35839312880775215</v>
      </c>
      <c r="W1403" s="149">
        <f t="shared" ref="W1403" si="8266">W1402/W1399</f>
        <v>-0.35113863618169017</v>
      </c>
      <c r="X1403" s="149">
        <f t="shared" ref="X1403" si="8267">X1402/X1399</f>
        <v>-0.35360977603897181</v>
      </c>
      <c r="Y1403" s="149">
        <f t="shared" ref="Y1403" si="8268">Y1402/Y1399</f>
        <v>-0.36205426753148368</v>
      </c>
      <c r="Z1403" s="149">
        <f t="shared" ref="Z1403" si="8269">Z1402/Z1399</f>
        <v>-0.35535867116821529</v>
      </c>
      <c r="AA1403" s="149">
        <f t="shared" ref="AA1403" si="8270">AA1402/AA1399</f>
        <v>-0.34814184849437818</v>
      </c>
      <c r="AB1403" s="149">
        <f t="shared" ref="AB1403" si="8271">AB1402/AB1399</f>
        <v>-0.33822235345676172</v>
      </c>
      <c r="AC1403" s="149">
        <f t="shared" ref="AC1403" si="8272">AC1402/AC1399</f>
        <v>-0.34088939198017626</v>
      </c>
      <c r="AD1403" s="150">
        <f t="shared" ref="AD1403" si="8273">AD1402/AD1399</f>
        <v>-0.3332586952859406</v>
      </c>
      <c r="AE1403" s="15"/>
      <c r="AF1403" s="96">
        <f t="shared" ref="AF1403" si="8274">AF1402/AF1399</f>
        <v>-0.34911872202082389</v>
      </c>
      <c r="AG1403" s="97">
        <f t="shared" ref="AG1403" si="8275">AG1402/AG1399</f>
        <v>-0.350700353454378</v>
      </c>
    </row>
    <row r="1404" spans="2:33" ht="3" customHeight="1" x14ac:dyDescent="0.2">
      <c r="B1404" s="9">
        <f>G1387</f>
        <v>29</v>
      </c>
      <c r="C1404" s="9" t="str">
        <f t="shared" si="8170"/>
        <v xml:space="preserve">29 - </v>
      </c>
      <c r="D1404" s="9" t="s">
        <v>56</v>
      </c>
      <c r="F1404" s="16"/>
      <c r="G1404" s="36"/>
      <c r="H1404" s="37"/>
      <c r="I1404" s="37"/>
      <c r="J1404" s="37"/>
      <c r="K1404" s="37"/>
      <c r="L1404" s="37"/>
      <c r="M1404" s="37"/>
      <c r="N1404" s="37"/>
      <c r="O1404" s="37"/>
      <c r="P1404" s="37"/>
      <c r="Q1404" s="37"/>
      <c r="R1404" s="37"/>
      <c r="S1404" s="36"/>
      <c r="T1404" s="37"/>
      <c r="U1404" s="37"/>
      <c r="V1404" s="37"/>
      <c r="W1404" s="37"/>
      <c r="X1404" s="37"/>
      <c r="Y1404" s="37"/>
      <c r="Z1404" s="37"/>
      <c r="AA1404" s="37"/>
      <c r="AB1404" s="37"/>
      <c r="AC1404" s="37"/>
      <c r="AD1404" s="38"/>
      <c r="AE1404" s="15"/>
      <c r="AF1404" s="36"/>
      <c r="AG1404" s="38"/>
    </row>
    <row r="1405" spans="2:33" x14ac:dyDescent="0.2">
      <c r="B1405" s="9">
        <f>G1387</f>
        <v>29</v>
      </c>
      <c r="C1405" s="9" t="str">
        <f t="shared" si="8170"/>
        <v>29 - Administrative Staff Compensation</v>
      </c>
      <c r="D1405" s="9" t="s">
        <v>56</v>
      </c>
      <c r="F1405" t="s">
        <v>5</v>
      </c>
      <c r="G1405" s="144">
        <v>-30.132755811919754</v>
      </c>
      <c r="H1405" s="70">
        <v>-29.336204890930361</v>
      </c>
      <c r="I1405" s="70">
        <v>-36.424065768962237</v>
      </c>
      <c r="J1405" s="70">
        <v>-33.837708108680914</v>
      </c>
      <c r="K1405" s="70">
        <v>-43.341885859467808</v>
      </c>
      <c r="L1405" s="70">
        <v>-42.541700863061664</v>
      </c>
      <c r="M1405" s="70">
        <v>-37.309040220845802</v>
      </c>
      <c r="N1405" s="70">
        <v>-33.611945338899936</v>
      </c>
      <c r="O1405" s="70">
        <v>-33.245739588071906</v>
      </c>
      <c r="P1405" s="70">
        <v>-31.337193838912555</v>
      </c>
      <c r="Q1405" s="70">
        <v>-27.672690403926936</v>
      </c>
      <c r="R1405" s="70">
        <v>-21.151739073886244</v>
      </c>
      <c r="S1405" s="144">
        <v>-31.664939474152582</v>
      </c>
      <c r="T1405" s="70">
        <v>-27.852089601641588</v>
      </c>
      <c r="U1405" s="70">
        <v>-29.348562286398987</v>
      </c>
      <c r="V1405" s="70">
        <v>-28.532326574308161</v>
      </c>
      <c r="W1405" s="70">
        <v>-39.07763481426155</v>
      </c>
      <c r="X1405" s="70">
        <v>-34.444305906970953</v>
      </c>
      <c r="Y1405" s="70">
        <v>-33.110860623307325</v>
      </c>
      <c r="Z1405" s="70">
        <v>-27.136617231070488</v>
      </c>
      <c r="AA1405" s="70">
        <v>-27.755568499023653</v>
      </c>
      <c r="AB1405" s="70">
        <v>-23.873699759917884</v>
      </c>
      <c r="AC1405" s="70">
        <v>-21.067363465012207</v>
      </c>
      <c r="AD1405" s="145">
        <v>-18.41370993577813</v>
      </c>
      <c r="AE1405" s="15"/>
      <c r="AF1405" s="92">
        <f>SUM(G1405:R1405)</f>
        <v>-399.94266976756614</v>
      </c>
      <c r="AG1405" s="93">
        <f>SUM(S1405:AD1405)</f>
        <v>-342.27767817184349</v>
      </c>
    </row>
    <row r="1406" spans="2:33" x14ac:dyDescent="0.2">
      <c r="B1406" s="9">
        <f>G1387</f>
        <v>29</v>
      </c>
      <c r="C1406" s="9" t="str">
        <f t="shared" si="8170"/>
        <v>29 - % of Revenue - Administrative Staff Compensation</v>
      </c>
      <c r="D1406" s="9" t="s">
        <v>56</v>
      </c>
      <c r="F1406" s="16" t="str">
        <f>"% of Revenue - "&amp;F1405</f>
        <v>% of Revenue - Administrative Staff Compensation</v>
      </c>
      <c r="G1406" s="148">
        <f>G1405/G1399</f>
        <v>-0.21234945450289175</v>
      </c>
      <c r="H1406" s="149">
        <f t="shared" ref="H1406" si="8276">H1405/H1399</f>
        <v>-0.2142602888426435</v>
      </c>
      <c r="I1406" s="149">
        <f t="shared" ref="I1406" si="8277">I1405/I1399</f>
        <v>-0.21893831413489095</v>
      </c>
      <c r="J1406" s="149">
        <f t="shared" ref="J1406" si="8278">J1405/J1399</f>
        <v>-0.21415613933090394</v>
      </c>
      <c r="K1406" s="149">
        <f t="shared" ref="K1406" si="8279">K1405/K1399</f>
        <v>-0.21757015087660456</v>
      </c>
      <c r="L1406" s="149">
        <f t="shared" ref="L1406" si="8280">L1405/L1399</f>
        <v>-0.21438321412816896</v>
      </c>
      <c r="M1406" s="149">
        <f t="shared" ref="M1406" si="8281">M1405/M1399</f>
        <v>-0.21254855023566585</v>
      </c>
      <c r="N1406" s="149">
        <f t="shared" ref="N1406" si="8282">N1405/N1399</f>
        <v>-0.20760061181080672</v>
      </c>
      <c r="O1406" s="149">
        <f t="shared" ref="O1406" si="8283">O1405/O1399</f>
        <v>-0.21321459367415838</v>
      </c>
      <c r="P1406" s="149">
        <f t="shared" ref="P1406" si="8284">P1405/P1399</f>
        <v>-0.2043302419444413</v>
      </c>
      <c r="Q1406" s="149">
        <f t="shared" ref="Q1406" si="8285">Q1405/Q1399</f>
        <v>-0.21063184458783549</v>
      </c>
      <c r="R1406" s="149">
        <f t="shared" ref="R1406" si="8286">R1405/R1399</f>
        <v>-0.200961516065433</v>
      </c>
      <c r="S1406" s="148">
        <f t="shared" ref="S1406" si="8287">S1405/S1399</f>
        <v>-0.20791174052552458</v>
      </c>
      <c r="T1406" s="149">
        <f t="shared" ref="T1406" si="8288">T1405/T1399</f>
        <v>-0.2023197400044732</v>
      </c>
      <c r="U1406" s="149">
        <f t="shared" ref="U1406" si="8289">U1405/U1399</f>
        <v>-0.19826928627753007</v>
      </c>
      <c r="V1406" s="149">
        <f t="shared" ref="V1406" si="8290">V1405/V1399</f>
        <v>-0.19322652788003986</v>
      </c>
      <c r="W1406" s="149">
        <f t="shared" ref="W1406" si="8291">W1405/W1399</f>
        <v>-0.18916023568209922</v>
      </c>
      <c r="X1406" s="149">
        <f t="shared" ref="X1406" si="8292">X1405/X1399</f>
        <v>-0.19888707908061454</v>
      </c>
      <c r="Y1406" s="149">
        <f t="shared" ref="Y1406" si="8293">Y1405/Y1399</f>
        <v>-0.19038039004272631</v>
      </c>
      <c r="Z1406" s="149">
        <f t="shared" ref="Z1406" si="8294">Z1405/Z1399</f>
        <v>-0.19913270271935762</v>
      </c>
      <c r="AA1406" s="149">
        <f t="shared" ref="AA1406" si="8295">AA1405/AA1399</f>
        <v>-0.19806908870467779</v>
      </c>
      <c r="AB1406" s="149">
        <f t="shared" ref="AB1406" si="8296">AB1405/AB1399</f>
        <v>-0.19248668980100997</v>
      </c>
      <c r="AC1406" s="149">
        <f t="shared" ref="AC1406" si="8297">AC1405/AC1399</f>
        <v>-0.19077068425610885</v>
      </c>
      <c r="AD1406" s="150">
        <f t="shared" ref="AD1406" si="8298">AD1405/AD1399</f>
        <v>-0.19147154758265611</v>
      </c>
      <c r="AE1406" s="15"/>
      <c r="AF1406" s="96">
        <f t="shared" ref="AF1406" si="8299">AF1405/AF1399</f>
        <v>-0.21226118376605865</v>
      </c>
      <c r="AG1406" s="97">
        <f t="shared" ref="AG1406" si="8300">AG1405/AG1399</f>
        <v>-0.19599329353542702</v>
      </c>
    </row>
    <row r="1407" spans="2:33" ht="3" customHeight="1" x14ac:dyDescent="0.2">
      <c r="B1407" s="9">
        <f>G1387</f>
        <v>29</v>
      </c>
      <c r="C1407" s="9" t="str">
        <f t="shared" si="8170"/>
        <v xml:space="preserve">29 - </v>
      </c>
      <c r="D1407" s="9" t="s">
        <v>56</v>
      </c>
      <c r="F1407" s="16"/>
      <c r="G1407" s="36"/>
      <c r="H1407" s="37"/>
      <c r="I1407" s="37"/>
      <c r="J1407" s="37"/>
      <c r="K1407" s="37"/>
      <c r="L1407" s="37"/>
      <c r="M1407" s="37"/>
      <c r="N1407" s="37"/>
      <c r="O1407" s="37"/>
      <c r="P1407" s="37"/>
      <c r="Q1407" s="37"/>
      <c r="R1407" s="37"/>
      <c r="S1407" s="36"/>
      <c r="T1407" s="37"/>
      <c r="U1407" s="37"/>
      <c r="V1407" s="37"/>
      <c r="W1407" s="37"/>
      <c r="X1407" s="37"/>
      <c r="Y1407" s="37"/>
      <c r="Z1407" s="37"/>
      <c r="AA1407" s="37"/>
      <c r="AB1407" s="37"/>
      <c r="AC1407" s="37"/>
      <c r="AD1407" s="38"/>
      <c r="AE1407" s="15"/>
      <c r="AF1407" s="36"/>
      <c r="AG1407" s="38"/>
    </row>
    <row r="1408" spans="2:33" x14ac:dyDescent="0.2">
      <c r="B1408" s="9">
        <f>G1387</f>
        <v>29</v>
      </c>
      <c r="C1408" s="9" t="str">
        <f t="shared" si="8170"/>
        <v>29 - Office Supplies</v>
      </c>
      <c r="D1408" s="9" t="s">
        <v>56</v>
      </c>
      <c r="F1408" t="s">
        <v>6</v>
      </c>
      <c r="G1408" s="144">
        <v>-7.4190133587455724</v>
      </c>
      <c r="H1408" s="70">
        <v>-7.2083066962504052</v>
      </c>
      <c r="I1408" s="70">
        <v>-9.0886676752207389</v>
      </c>
      <c r="J1408" s="70">
        <v>-8.9204565752315972</v>
      </c>
      <c r="K1408" s="70">
        <v>-10.269277577692964</v>
      </c>
      <c r="L1408" s="70">
        <v>-10.478127449056281</v>
      </c>
      <c r="M1408" s="70">
        <v>-8.4559058505668983</v>
      </c>
      <c r="N1408" s="70">
        <v>-8.1372070454069139</v>
      </c>
      <c r="O1408" s="70">
        <v>-8.1465830582936327</v>
      </c>
      <c r="P1408" s="70">
        <v>-8.4920350800993276</v>
      </c>
      <c r="Q1408" s="70">
        <v>-6.9629040458989744</v>
      </c>
      <c r="R1408" s="70">
        <v>-5.7447162674699621</v>
      </c>
      <c r="S1408" s="144">
        <v>-8.2429107803224753</v>
      </c>
      <c r="T1408" s="70">
        <v>-7.2294310817986398</v>
      </c>
      <c r="U1408" s="70">
        <v>-7.5170064958646279</v>
      </c>
      <c r="V1408" s="70">
        <v>-7.8878957644633809</v>
      </c>
      <c r="W1408" s="70">
        <v>-11.732792817318936</v>
      </c>
      <c r="X1408" s="70">
        <v>-9.3655548870728573</v>
      </c>
      <c r="Y1408" s="70">
        <v>-9.0814472848471244</v>
      </c>
      <c r="Z1408" s="70">
        <v>-6.9794442253839222</v>
      </c>
      <c r="AA1408" s="70">
        <v>-7.3648618406645703</v>
      </c>
      <c r="AB1408" s="70">
        <v>-6.9579243242983937</v>
      </c>
      <c r="AC1408" s="70">
        <v>-6.7288328608389216</v>
      </c>
      <c r="AD1408" s="145">
        <v>-6.2806625373120095</v>
      </c>
      <c r="AE1408" s="15"/>
      <c r="AF1408" s="92">
        <f>SUM(G1408:R1408)</f>
        <v>-99.323200679933279</v>
      </c>
      <c r="AG1408" s="93">
        <f>SUM(S1408:AD1408)</f>
        <v>-95.368764900185852</v>
      </c>
    </row>
    <row r="1409" spans="2:33" x14ac:dyDescent="0.2">
      <c r="B1409" s="9">
        <f>G1387</f>
        <v>29</v>
      </c>
      <c r="C1409" s="9" t="str">
        <f t="shared" si="8170"/>
        <v>29 - % of Revenue - Office Supplies</v>
      </c>
      <c r="D1409" s="9" t="s">
        <v>56</v>
      </c>
      <c r="F1409" s="16" t="str">
        <f>"% of Revenue - "&amp;F1408</f>
        <v>% of Revenue - Office Supplies</v>
      </c>
      <c r="G1409" s="148">
        <f>G1408/G1399</f>
        <v>-5.2282753343658381E-2</v>
      </c>
      <c r="H1409" s="149">
        <f t="shared" ref="H1409" si="8301">H1408/H1399</f>
        <v>-5.2646682846234812E-2</v>
      </c>
      <c r="I1409" s="149">
        <f t="shared" ref="I1409" si="8302">I1408/I1399</f>
        <v>-5.4630298307903606E-2</v>
      </c>
      <c r="J1409" s="149">
        <f t="shared" ref="J1409" si="8303">J1408/J1399</f>
        <v>-5.6456853847334863E-2</v>
      </c>
      <c r="K1409" s="149">
        <f t="shared" ref="K1409" si="8304">K1408/K1399</f>
        <v>-5.1550324303304897E-2</v>
      </c>
      <c r="L1409" s="149">
        <f t="shared" ref="L1409" si="8305">L1408/L1399</f>
        <v>-5.2803122465743653E-2</v>
      </c>
      <c r="M1409" s="149">
        <f t="shared" ref="M1409" si="8306">M1408/M1399</f>
        <v>-4.817305722228344E-2</v>
      </c>
      <c r="N1409" s="149">
        <f t="shared" ref="N1409" si="8307">N1408/N1399</f>
        <v>-5.0258595389973633E-2</v>
      </c>
      <c r="O1409" s="149">
        <f t="shared" ref="O1409" si="8308">O1408/O1399</f>
        <v>-5.2246405648622096E-2</v>
      </c>
      <c r="P1409" s="149">
        <f t="shared" ref="P1409" si="8309">P1408/P1399</f>
        <v>-5.5371249622317542E-2</v>
      </c>
      <c r="Q1409" s="149">
        <f t="shared" ref="Q1409" si="8310">Q1408/Q1399</f>
        <v>-5.2998436417576594E-2</v>
      </c>
      <c r="R1409" s="149">
        <f t="shared" ref="R1409" si="8311">R1408/R1399</f>
        <v>-5.4580235055084143E-2</v>
      </c>
      <c r="S1409" s="148">
        <f t="shared" ref="S1409" si="8312">S1408/S1399</f>
        <v>-5.4122886567725563E-2</v>
      </c>
      <c r="T1409" s="149">
        <f t="shared" ref="T1409" si="8313">T1408/T1399</f>
        <v>-5.2515148334276146E-2</v>
      </c>
      <c r="U1409" s="149">
        <f t="shared" ref="U1409" si="8314">U1408/U1399</f>
        <v>-5.0782436915805231E-2</v>
      </c>
      <c r="V1409" s="149">
        <f t="shared" ref="V1409" si="8315">V1408/V1399</f>
        <v>-5.3418381668859358E-2</v>
      </c>
      <c r="W1409" s="149">
        <f t="shared" ref="W1409" si="8316">W1408/W1399</f>
        <v>-5.6794068143635947E-2</v>
      </c>
      <c r="X1409" s="149">
        <f t="shared" ref="X1409" si="8317">X1408/X1399</f>
        <v>-5.4078252019069378E-2</v>
      </c>
      <c r="Y1409" s="149">
        <f t="shared" ref="Y1409" si="8318">Y1408/Y1399</f>
        <v>-5.2216385913709203E-2</v>
      </c>
      <c r="Z1409" s="149">
        <f t="shared" ref="Z1409" si="8319">Z1408/Z1399</f>
        <v>-5.1216243360222513E-2</v>
      </c>
      <c r="AA1409" s="149">
        <f t="shared" ref="AA1409" si="8320">AA1408/AA1399</f>
        <v>-5.2557074205401386E-2</v>
      </c>
      <c r="AB1409" s="149">
        <f t="shared" ref="AB1409" si="8321">AB1408/AB1399</f>
        <v>-5.6099717871074269E-2</v>
      </c>
      <c r="AC1409" s="149">
        <f t="shared" ref="AC1409" si="8322">AC1408/AC1399</f>
        <v>-6.0931404693287179E-2</v>
      </c>
      <c r="AD1409" s="150">
        <f t="shared" ref="AD1409" si="8323">AD1408/AD1399</f>
        <v>-6.5308304521889585E-2</v>
      </c>
      <c r="AE1409" s="15"/>
      <c r="AF1409" s="96">
        <f t="shared" ref="AF1409" si="8324">AF1408/AF1399</f>
        <v>-5.271370560187761E-2</v>
      </c>
      <c r="AG1409" s="97">
        <f t="shared" ref="AG1409" si="8325">AG1408/AG1399</f>
        <v>-5.4609574404700018E-2</v>
      </c>
    </row>
    <row r="1410" spans="2:33" ht="6" customHeight="1" x14ac:dyDescent="0.2">
      <c r="B1410" s="9">
        <f>G1387</f>
        <v>29</v>
      </c>
      <c r="C1410" s="9" t="str">
        <f t="shared" si="8170"/>
        <v xml:space="preserve">29 - </v>
      </c>
      <c r="D1410" s="9" t="s">
        <v>56</v>
      </c>
      <c r="F1410" s="16"/>
      <c r="G1410" s="11"/>
      <c r="S1410" s="11"/>
      <c r="AD1410" s="15"/>
      <c r="AE1410" s="15"/>
      <c r="AF1410" s="11"/>
      <c r="AG1410" s="15"/>
    </row>
    <row r="1411" spans="2:33" x14ac:dyDescent="0.2">
      <c r="B1411" s="9">
        <f>G1387</f>
        <v>29</v>
      </c>
      <c r="C1411" s="9" t="str">
        <f t="shared" si="8170"/>
        <v>29 - Office Gross Profit</v>
      </c>
      <c r="D1411" s="9" t="s">
        <v>56</v>
      </c>
      <c r="F1411" s="8" t="s">
        <v>11</v>
      </c>
      <c r="G1411" s="134">
        <f>G1399+G1402+G1405+G1408</f>
        <v>55.496731705075703</v>
      </c>
      <c r="H1411" s="135">
        <f t="shared" ref="H1411:AD1411" si="8326">H1399+H1402+H1405+H1408</f>
        <v>54.189263309595432</v>
      </c>
      <c r="I1411" s="135">
        <f t="shared" si="8326"/>
        <v>63.143642358353738</v>
      </c>
      <c r="J1411" s="135">
        <f t="shared" si="8326"/>
        <v>58.918893827666068</v>
      </c>
      <c r="K1411" s="135">
        <f t="shared" si="8326"/>
        <v>74.530190379754799</v>
      </c>
      <c r="L1411" s="135">
        <f t="shared" si="8326"/>
        <v>74.773304657247905</v>
      </c>
      <c r="M1411" s="135">
        <f t="shared" si="8326"/>
        <v>68.984863007749325</v>
      </c>
      <c r="N1411" s="135">
        <f t="shared" si="8326"/>
        <v>65.422532548020087</v>
      </c>
      <c r="O1411" s="135">
        <f t="shared" si="8326"/>
        <v>61.041873163786363</v>
      </c>
      <c r="P1411" s="135">
        <f t="shared" si="8326"/>
        <v>60.05179742834946</v>
      </c>
      <c r="Q1411" s="135">
        <f t="shared" si="8326"/>
        <v>49.840735582404939</v>
      </c>
      <c r="R1411" s="135">
        <f t="shared" si="8326"/>
        <v>40.731257283776181</v>
      </c>
      <c r="S1411" s="134">
        <f t="shared" si="8326"/>
        <v>58.978314361258683</v>
      </c>
      <c r="T1411" s="135">
        <f t="shared" si="8326"/>
        <v>54.621534289272624</v>
      </c>
      <c r="U1411" s="135">
        <f t="shared" si="8326"/>
        <v>58.603134634186596</v>
      </c>
      <c r="V1411" s="135">
        <f t="shared" si="8326"/>
        <v>58.321100097775428</v>
      </c>
      <c r="W1411" s="135">
        <f t="shared" si="8326"/>
        <v>83.234485819408206</v>
      </c>
      <c r="X1411" s="135">
        <f t="shared" si="8326"/>
        <v>68.135383272639402</v>
      </c>
      <c r="Y1411" s="135">
        <f t="shared" si="8326"/>
        <v>68.758889472301647</v>
      </c>
      <c r="Z1411" s="135">
        <f t="shared" si="8326"/>
        <v>53.731814622898675</v>
      </c>
      <c r="AA1411" s="135">
        <f t="shared" si="8326"/>
        <v>56.224936542559306</v>
      </c>
      <c r="AB1411" s="135">
        <f t="shared" si="8326"/>
        <v>51.247198392970041</v>
      </c>
      <c r="AC1411" s="135">
        <f t="shared" si="8326"/>
        <v>44.991311864648893</v>
      </c>
      <c r="AD1411" s="136">
        <f t="shared" si="8326"/>
        <v>39.425759954977423</v>
      </c>
      <c r="AE1411" s="15"/>
      <c r="AF1411" s="98">
        <f>SUM(G1411:R1411)</f>
        <v>727.12508525177998</v>
      </c>
      <c r="AG1411" s="95">
        <f>SUM(S1411:AD1411)</f>
        <v>696.27386332489687</v>
      </c>
    </row>
    <row r="1412" spans="2:33" x14ac:dyDescent="0.2">
      <c r="B1412" s="9">
        <f>G1387</f>
        <v>29</v>
      </c>
      <c r="C1412" s="9" t="str">
        <f t="shared" si="8170"/>
        <v>29 - % of Revenue - Office Gross Profit</v>
      </c>
      <c r="D1412" s="9" t="s">
        <v>56</v>
      </c>
      <c r="F1412" s="16" t="str">
        <f>"% of Revenue - "&amp;F1411</f>
        <v>% of Revenue - Office Gross Profit</v>
      </c>
      <c r="G1412" s="148">
        <f>G1411/G1399</f>
        <v>0.39109269586303269</v>
      </c>
      <c r="H1412" s="149">
        <f t="shared" ref="H1412" si="8327">H1411/H1399</f>
        <v>0.39577741061092536</v>
      </c>
      <c r="I1412" s="149">
        <f t="shared" ref="I1412" si="8328">I1411/I1399</f>
        <v>0.37954474094033397</v>
      </c>
      <c r="J1412" s="149">
        <f t="shared" ref="J1412" si="8329">J1411/J1399</f>
        <v>0.37289295111991755</v>
      </c>
      <c r="K1412" s="149">
        <f t="shared" ref="K1412" si="8330">K1411/K1399</f>
        <v>0.37413103846848672</v>
      </c>
      <c r="L1412" s="149">
        <f t="shared" ref="L1412" si="8331">L1411/L1399</f>
        <v>0.37681007242764775</v>
      </c>
      <c r="M1412" s="149">
        <f t="shared" ref="M1412" si="8332">M1411/M1399</f>
        <v>0.39300481957481809</v>
      </c>
      <c r="N1412" s="149">
        <f t="shared" ref="N1412" si="8333">N1411/N1399</f>
        <v>0.4040753263829357</v>
      </c>
      <c r="O1412" s="149">
        <f t="shared" ref="O1412" si="8334">O1411/O1399</f>
        <v>0.39147927960056039</v>
      </c>
      <c r="P1412" s="149">
        <f t="shared" ref="P1412" si="8335">P1411/P1399</f>
        <v>0.39156021310678479</v>
      </c>
      <c r="Q1412" s="149">
        <f t="shared" ref="Q1412" si="8336">Q1411/Q1399</f>
        <v>0.37936485098126843</v>
      </c>
      <c r="R1412" s="149">
        <f t="shared" ref="R1412" si="8337">R1411/R1399</f>
        <v>0.38698544769325915</v>
      </c>
      <c r="S1412" s="148">
        <f t="shared" ref="S1412" si="8338">S1411/S1399</f>
        <v>0.38725114261217131</v>
      </c>
      <c r="T1412" s="149">
        <f t="shared" ref="T1412" si="8339">T1411/T1399</f>
        <v>0.39677506334748086</v>
      </c>
      <c r="U1412" s="149">
        <f t="shared" ref="U1412" si="8340">U1411/U1399</f>
        <v>0.39590360727587903</v>
      </c>
      <c r="V1412" s="149">
        <f t="shared" ref="V1412" si="8341">V1411/V1399</f>
        <v>0.39496196164334874</v>
      </c>
      <c r="W1412" s="149">
        <f t="shared" ref="W1412" si="8342">W1411/W1399</f>
        <v>0.40290705999257465</v>
      </c>
      <c r="X1412" s="149">
        <f t="shared" ref="X1412" si="8343">X1411/X1399</f>
        <v>0.39342489286134419</v>
      </c>
      <c r="Y1412" s="149">
        <f t="shared" ref="Y1412" si="8344">Y1411/Y1399</f>
        <v>0.3953489565120808</v>
      </c>
      <c r="Z1412" s="149">
        <f t="shared" ref="Z1412" si="8345">Z1411/Z1399</f>
        <v>0.39429238275220457</v>
      </c>
      <c r="AA1412" s="149">
        <f t="shared" ref="AA1412" si="8346">AA1411/AA1399</f>
        <v>0.40123198859554254</v>
      </c>
      <c r="AB1412" s="149">
        <f t="shared" ref="AB1412" si="8347">AB1411/AB1399</f>
        <v>0.41319123887115394</v>
      </c>
      <c r="AC1412" s="149">
        <f t="shared" ref="AC1412" si="8348">AC1411/AC1399</f>
        <v>0.40740851907042774</v>
      </c>
      <c r="AD1412" s="150">
        <f t="shared" ref="AD1412" si="8349">AD1411/AD1399</f>
        <v>0.40996145260951372</v>
      </c>
      <c r="AE1412" s="15"/>
      <c r="AF1412" s="111">
        <f t="shared" ref="AF1412" si="8350">AF1411/AF1399</f>
        <v>0.38590638861123983</v>
      </c>
      <c r="AG1412" s="97">
        <f t="shared" ref="AG1412" si="8351">AG1411/AG1399</f>
        <v>0.39869677860549485</v>
      </c>
    </row>
    <row r="1413" spans="2:33" ht="6" customHeight="1" x14ac:dyDescent="0.2">
      <c r="B1413" s="9">
        <f>G1387</f>
        <v>29</v>
      </c>
      <c r="C1413" s="9" t="str">
        <f t="shared" si="8170"/>
        <v xml:space="preserve">29 - </v>
      </c>
      <c r="D1413" s="9" t="s">
        <v>56</v>
      </c>
      <c r="F1413" s="16"/>
      <c r="G1413" s="11"/>
      <c r="S1413" s="11"/>
      <c r="AD1413" s="15"/>
      <c r="AE1413" s="15"/>
      <c r="AF1413" s="11"/>
      <c r="AG1413" s="15"/>
    </row>
    <row r="1414" spans="2:33" x14ac:dyDescent="0.2">
      <c r="B1414" s="9">
        <f>G1387</f>
        <v>29</v>
      </c>
      <c r="C1414" s="9" t="str">
        <f t="shared" si="8170"/>
        <v>29 - General and Administrative Expense</v>
      </c>
      <c r="D1414" s="9" t="s">
        <v>56</v>
      </c>
      <c r="F1414" t="s">
        <v>10</v>
      </c>
      <c r="G1414" s="144">
        <v>-7.9745764792164469</v>
      </c>
      <c r="H1414" s="70">
        <v>-7.9173630840703062</v>
      </c>
      <c r="I1414" s="70">
        <v>-10.359237878643382</v>
      </c>
      <c r="J1414" s="70">
        <v>-10.002363480033654</v>
      </c>
      <c r="K1414" s="70">
        <v>-12.774568577424946</v>
      </c>
      <c r="L1414" s="70">
        <v>-12.60603453140777</v>
      </c>
      <c r="M1414" s="70">
        <v>-11.899661452033621</v>
      </c>
      <c r="N1414" s="70">
        <v>-10.210461365698688</v>
      </c>
      <c r="O1414" s="70">
        <v>-10.1816312886967</v>
      </c>
      <c r="P1414" s="70">
        <v>-10.746883154610851</v>
      </c>
      <c r="Q1414" s="70">
        <v>-9.7753501515972019</v>
      </c>
      <c r="R1414" s="70">
        <v>-7.329564880278153</v>
      </c>
      <c r="S1414" s="144">
        <v>-10.013368564637988</v>
      </c>
      <c r="T1414" s="70">
        <v>-8.517056567327641</v>
      </c>
      <c r="U1414" s="70">
        <v>-9.4207261072673223</v>
      </c>
      <c r="V1414" s="70">
        <v>-9.8969327859452427</v>
      </c>
      <c r="W1414" s="70">
        <v>-14.874543799516191</v>
      </c>
      <c r="X1414" s="70">
        <v>-12.818481530387194</v>
      </c>
      <c r="Y1414" s="70">
        <v>-13.481321816679728</v>
      </c>
      <c r="Z1414" s="70">
        <v>-10.826334019893123</v>
      </c>
      <c r="AA1414" s="70">
        <v>-10.756441109470561</v>
      </c>
      <c r="AB1414" s="70">
        <v>-9.9667832844017692</v>
      </c>
      <c r="AC1414" s="70">
        <v>-9.3625763465057563</v>
      </c>
      <c r="AD1414" s="145">
        <v>-7.9181113164952075</v>
      </c>
      <c r="AE1414" s="15"/>
      <c r="AF1414" s="144">
        <v>-121.77769632371172</v>
      </c>
      <c r="AG1414" s="145">
        <v>-127.85267724852773</v>
      </c>
    </row>
    <row r="1415" spans="2:33" x14ac:dyDescent="0.2">
      <c r="B1415" s="9">
        <f>G1387</f>
        <v>29</v>
      </c>
      <c r="C1415" s="9" t="str">
        <f t="shared" si="8170"/>
        <v>29 - % of Revenue - General and Administrative Expense</v>
      </c>
      <c r="D1415" s="9" t="s">
        <v>56</v>
      </c>
      <c r="F1415" s="16" t="str">
        <f>"% of Revenue - "&amp;F1414</f>
        <v>% of Revenue - General and Administrative Expense</v>
      </c>
      <c r="G1415" s="148">
        <f>G1414/G1399</f>
        <v>-5.6197879006583878E-2</v>
      </c>
      <c r="H1415" s="149">
        <f t="shared" ref="H1415" si="8352">H1414/H1399</f>
        <v>-5.7825356332626442E-2</v>
      </c>
      <c r="I1415" s="149">
        <f t="shared" ref="I1415" si="8353">I1414/I1399</f>
        <v>-6.2267460509725113E-2</v>
      </c>
      <c r="J1415" s="149">
        <f t="shared" ref="J1415" si="8354">J1414/J1399</f>
        <v>-6.3304155830781417E-2</v>
      </c>
      <c r="K1415" s="149">
        <f t="shared" ref="K1415" si="8355">K1414/K1399</f>
        <v>-6.4126531590843069E-2</v>
      </c>
      <c r="L1415" s="149">
        <f t="shared" ref="L1415" si="8356">L1414/L1399</f>
        <v>-6.3526425728794605E-2</v>
      </c>
      <c r="M1415" s="149">
        <f t="shared" ref="M1415" si="8357">M1414/M1399</f>
        <v>-6.7792035789540503E-2</v>
      </c>
      <c r="N1415" s="149">
        <f t="shared" ref="N1415" si="8358">N1414/N1399</f>
        <v>-6.3063830582173228E-2</v>
      </c>
      <c r="O1415" s="149">
        <f t="shared" ref="O1415" si="8359">O1414/O1399</f>
        <v>-6.5297761609684327E-2</v>
      </c>
      <c r="P1415" s="149">
        <f t="shared" ref="P1415" si="8360">P1414/P1399</f>
        <v>-7.0073703676795995E-2</v>
      </c>
      <c r="Q1415" s="149">
        <f t="shared" ref="Q1415" si="8361">Q1414/Q1399</f>
        <v>-7.4405488005268555E-2</v>
      </c>
      <c r="R1415" s="149">
        <f t="shared" ref="R1415" si="8362">R1414/R1399</f>
        <v>-6.9637795043489159E-2</v>
      </c>
      <c r="S1415" s="148">
        <f t="shared" ref="S1415" si="8363">S1414/S1399</f>
        <v>-6.5747698286202819E-2</v>
      </c>
      <c r="T1415" s="149">
        <f t="shared" ref="T1415" si="8364">T1414/T1399</f>
        <v>-6.1868559772389808E-2</v>
      </c>
      <c r="U1415" s="149">
        <f t="shared" ref="U1415" si="8365">U1414/U1399</f>
        <v>-6.3643343863886648E-2</v>
      </c>
      <c r="V1415" s="149">
        <f t="shared" ref="V1415" si="8366">V1414/V1399</f>
        <v>-6.7023975556634002E-2</v>
      </c>
      <c r="W1415" s="149">
        <f t="shared" ref="W1415" si="8367">W1414/W1399</f>
        <v>-7.2002111288304707E-2</v>
      </c>
      <c r="X1415" s="149">
        <f t="shared" ref="X1415" si="8368">X1414/X1399</f>
        <v>-7.4016017530245906E-2</v>
      </c>
      <c r="Y1415" s="149">
        <f t="shared" ref="Y1415" si="8369">Y1414/Y1399</f>
        <v>-7.7514726510743162E-2</v>
      </c>
      <c r="Z1415" s="149">
        <f t="shared" ref="Z1415" si="8370">Z1414/Z1399</f>
        <v>-7.9445316841313604E-2</v>
      </c>
      <c r="AA1415" s="149">
        <f t="shared" ref="AA1415" si="8371">AA1414/AA1399</f>
        <v>-7.6760037840093664E-2</v>
      </c>
      <c r="AB1415" s="149">
        <f t="shared" ref="AB1415" si="8372">AB1414/AB1399</f>
        <v>-8.0359271569608343E-2</v>
      </c>
      <c r="AC1415" s="149">
        <f t="shared" ref="AC1415" si="8373">AC1414/AC1399</f>
        <v>-8.4780665553582504E-2</v>
      </c>
      <c r="AD1415" s="150">
        <f t="shared" ref="AD1415" si="8374">AD1414/AD1399</f>
        <v>-8.2335011955156689E-2</v>
      </c>
      <c r="AE1415" s="15"/>
      <c r="AF1415" s="96">
        <f t="shared" ref="AF1415" si="8375">AF1414/AF1399</f>
        <v>-6.4630958214578815E-2</v>
      </c>
      <c r="AG1415" s="97">
        <f t="shared" ref="AG1415" si="8376">AG1414/AG1399</f>
        <v>-7.3210346158419912E-2</v>
      </c>
    </row>
    <row r="1416" spans="2:33" ht="3" customHeight="1" x14ac:dyDescent="0.2">
      <c r="B1416" s="9">
        <f>G1387</f>
        <v>29</v>
      </c>
      <c r="C1416" s="9" t="str">
        <f t="shared" si="8170"/>
        <v xml:space="preserve">29 - </v>
      </c>
      <c r="D1416" s="9" t="s">
        <v>56</v>
      </c>
      <c r="F1416" s="16"/>
      <c r="G1416" s="36"/>
      <c r="H1416" s="37"/>
      <c r="I1416" s="37"/>
      <c r="J1416" s="37"/>
      <c r="K1416" s="37"/>
      <c r="L1416" s="37"/>
      <c r="M1416" s="37"/>
      <c r="N1416" s="37"/>
      <c r="O1416" s="37"/>
      <c r="P1416" s="37"/>
      <c r="Q1416" s="37"/>
      <c r="R1416" s="37"/>
      <c r="S1416" s="36"/>
      <c r="T1416" s="37"/>
      <c r="U1416" s="37"/>
      <c r="V1416" s="37"/>
      <c r="W1416" s="37"/>
      <c r="X1416" s="37"/>
      <c r="Y1416" s="37"/>
      <c r="Z1416" s="37"/>
      <c r="AA1416" s="37"/>
      <c r="AB1416" s="37"/>
      <c r="AC1416" s="37"/>
      <c r="AD1416" s="38"/>
      <c r="AE1416" s="15"/>
      <c r="AF1416" s="36"/>
      <c r="AG1416" s="38"/>
    </row>
    <row r="1417" spans="2:33" x14ac:dyDescent="0.2">
      <c r="B1417" s="9">
        <f>G1387</f>
        <v>29</v>
      </c>
      <c r="C1417" s="9" t="str">
        <f t="shared" si="8170"/>
        <v>29 - Marketing</v>
      </c>
      <c r="D1417" s="9" t="s">
        <v>56</v>
      </c>
      <c r="F1417" t="s">
        <v>7</v>
      </c>
      <c r="G1417" s="144">
        <v>-5.9174532671689652</v>
      </c>
      <c r="H1417" s="70">
        <v>-5.8019758672796753</v>
      </c>
      <c r="I1417" s="70">
        <v>-7.4078518055004032</v>
      </c>
      <c r="J1417" s="70">
        <v>-7.4250056245065297</v>
      </c>
      <c r="K1417" s="70">
        <v>-8.5000189163822313</v>
      </c>
      <c r="L1417" s="70">
        <v>-8.1612448491029603</v>
      </c>
      <c r="M1417" s="70">
        <v>-6.3731066717631109</v>
      </c>
      <c r="N1417" s="70">
        <v>-6.5274064854200704</v>
      </c>
      <c r="O1417" s="70">
        <v>-6.0132688256815925</v>
      </c>
      <c r="P1417" s="70">
        <v>-5.5620411406201331</v>
      </c>
      <c r="Q1417" s="70">
        <v>-5.3386219214333321</v>
      </c>
      <c r="R1417" s="70">
        <v>-4.5711710328399766</v>
      </c>
      <c r="S1417" s="144">
        <v>-5.9724843106490173</v>
      </c>
      <c r="T1417" s="70">
        <v>-5.7951715471055048</v>
      </c>
      <c r="U1417" s="70">
        <v>-6.4692042116524346</v>
      </c>
      <c r="V1417" s="70">
        <v>-5.8845689734150319</v>
      </c>
      <c r="W1417" s="70">
        <v>-7.5815646007148594</v>
      </c>
      <c r="X1417" s="70">
        <v>-6.397104722506203</v>
      </c>
      <c r="Y1417" s="70">
        <v>-6.3808956965178991</v>
      </c>
      <c r="Z1417" s="70">
        <v>-4.3666391806672511</v>
      </c>
      <c r="AA1417" s="70">
        <v>-4.3900380428675323</v>
      </c>
      <c r="AB1417" s="70">
        <v>-3.9386114472193201</v>
      </c>
      <c r="AC1417" s="70">
        <v>-3.9787205141394444</v>
      </c>
      <c r="AD1417" s="145">
        <v>-3.6932124950296741</v>
      </c>
      <c r="AE1417" s="15"/>
      <c r="AF1417" s="144">
        <v>-77.599166407698974</v>
      </c>
      <c r="AG1417" s="145">
        <v>-64.848215742484172</v>
      </c>
    </row>
    <row r="1418" spans="2:33" x14ac:dyDescent="0.2">
      <c r="B1418" s="9">
        <f>G1387</f>
        <v>29</v>
      </c>
      <c r="C1418" s="9" t="str">
        <f t="shared" si="8170"/>
        <v>29 - % of Revenue - Marketing</v>
      </c>
      <c r="D1418" s="9" t="s">
        <v>56</v>
      </c>
      <c r="F1418" s="16" t="str">
        <f>"% of Revenue - "&amp;F1417</f>
        <v>% of Revenue - Marketing</v>
      </c>
      <c r="G1418" s="148">
        <f>G1417/G1399</f>
        <v>-4.1701063824790226E-2</v>
      </c>
      <c r="H1418" s="149">
        <f t="shared" ref="H1418" si="8377">H1417/H1399</f>
        <v>-4.2375386652883644E-2</v>
      </c>
      <c r="I1418" s="149">
        <f t="shared" ref="I1418" si="8378">I1417/I1399</f>
        <v>-4.4527225377442407E-2</v>
      </c>
      <c r="J1418" s="149">
        <f t="shared" ref="J1418" si="8379">J1417/J1399</f>
        <v>-4.6992264781864169E-2</v>
      </c>
      <c r="K1418" s="149">
        <f t="shared" ref="K1418" si="8380">K1417/K1399</f>
        <v>-4.2668895490326104E-2</v>
      </c>
      <c r="L1418" s="149">
        <f t="shared" ref="L1418" si="8381">L1417/L1399</f>
        <v>-4.1127502345747476E-2</v>
      </c>
      <c r="M1418" s="149">
        <f t="shared" ref="M1418" si="8382">M1417/M1399</f>
        <v>-3.6307409023715431E-2</v>
      </c>
      <c r="N1418" s="149">
        <f t="shared" ref="N1418" si="8383">N1417/N1399</f>
        <v>-4.0315833143485177E-2</v>
      </c>
      <c r="O1418" s="149">
        <f t="shared" ref="O1418" si="8384">O1417/O1399</f>
        <v>-3.8564841246040114E-2</v>
      </c>
      <c r="P1418" s="149">
        <f t="shared" ref="P1418" si="8385">P1417/P1399</f>
        <v>-3.6266591635803147E-2</v>
      </c>
      <c r="Q1418" s="149">
        <f t="shared" ref="Q1418" si="8386">Q1417/Q1399</f>
        <v>-4.0635144846956614E-2</v>
      </c>
      <c r="R1418" s="149">
        <f t="shared" ref="R1418" si="8387">R1417/R1399</f>
        <v>-4.3430445966877729E-2</v>
      </c>
      <c r="S1418" s="148">
        <f t="shared" ref="S1418" si="8388">S1417/S1399</f>
        <v>-3.9215284441078399E-2</v>
      </c>
      <c r="T1418" s="149">
        <f t="shared" ref="T1418" si="8389">T1417/T1399</f>
        <v>-4.2096575785200735E-2</v>
      </c>
      <c r="U1418" s="149">
        <f t="shared" ref="U1418" si="8390">U1417/U1399</f>
        <v>-4.3703827441739319E-2</v>
      </c>
      <c r="V1418" s="149">
        <f t="shared" ref="V1418" si="8391">V1417/V1399</f>
        <v>-3.9851458584784824E-2</v>
      </c>
      <c r="W1418" s="149">
        <f t="shared" ref="W1418" si="8392">W1417/W1399</f>
        <v>-3.6699522720010966E-2</v>
      </c>
      <c r="X1418" s="149">
        <f t="shared" ref="X1418" si="8393">X1417/X1399</f>
        <v>-3.6937933261548789E-2</v>
      </c>
      <c r="Y1418" s="149">
        <f t="shared" ref="Y1418" si="8394">Y1417/Y1399</f>
        <v>-3.66887899817957E-2</v>
      </c>
      <c r="Z1418" s="149">
        <f t="shared" ref="Z1418" si="8395">Z1417/Z1399</f>
        <v>-3.204307502450663E-2</v>
      </c>
      <c r="AA1418" s="149">
        <f t="shared" ref="AA1418" si="8396">AA1417/AA1399</f>
        <v>-3.1328157971623839E-2</v>
      </c>
      <c r="AB1418" s="149">
        <f t="shared" ref="AB1418" si="8397">AB1417/AB1399</f>
        <v>-3.1755877283857571E-2</v>
      </c>
      <c r="AC1418" s="149">
        <f t="shared" ref="AC1418" si="8398">AC1417/AC1399</f>
        <v>-3.602839226687065E-2</v>
      </c>
      <c r="AD1418" s="150">
        <f t="shared" ref="AD1418" si="8399">AD1417/AD1399</f>
        <v>-3.8403185150697967E-2</v>
      </c>
      <c r="AE1418" s="15"/>
      <c r="AF1418" s="96">
        <f t="shared" ref="AF1418" si="8400">AF1417/AF1399</f>
        <v>-4.1184130041763592E-2</v>
      </c>
      <c r="AG1418" s="97">
        <f t="shared" ref="AG1418" si="8401">AG1417/AG1399</f>
        <v>-3.7133053639812078E-2</v>
      </c>
    </row>
    <row r="1419" spans="2:33" ht="3" customHeight="1" x14ac:dyDescent="0.2">
      <c r="B1419" s="9">
        <f>G1387</f>
        <v>29</v>
      </c>
      <c r="C1419" s="9" t="str">
        <f t="shared" si="8170"/>
        <v xml:space="preserve">29 - </v>
      </c>
      <c r="D1419" s="9" t="s">
        <v>56</v>
      </c>
      <c r="F1419" s="16"/>
      <c r="G1419" s="36"/>
      <c r="H1419" s="37"/>
      <c r="I1419" s="37"/>
      <c r="J1419" s="37"/>
      <c r="K1419" s="37"/>
      <c r="L1419" s="37"/>
      <c r="M1419" s="37"/>
      <c r="N1419" s="37"/>
      <c r="O1419" s="37"/>
      <c r="P1419" s="37"/>
      <c r="Q1419" s="37"/>
      <c r="R1419" s="37"/>
      <c r="S1419" s="36"/>
      <c r="T1419" s="37"/>
      <c r="U1419" s="37"/>
      <c r="V1419" s="37"/>
      <c r="W1419" s="37"/>
      <c r="X1419" s="37"/>
      <c r="Y1419" s="37"/>
      <c r="Z1419" s="37"/>
      <c r="AA1419" s="37"/>
      <c r="AB1419" s="37"/>
      <c r="AC1419" s="37"/>
      <c r="AD1419" s="38"/>
      <c r="AE1419" s="15"/>
      <c r="AF1419" s="36"/>
      <c r="AG1419" s="38"/>
    </row>
    <row r="1420" spans="2:33" x14ac:dyDescent="0.2">
      <c r="B1420" s="9">
        <f>G1387</f>
        <v>29</v>
      </c>
      <c r="C1420" s="9" t="str">
        <f t="shared" si="8170"/>
        <v>29 - Office Rent</v>
      </c>
      <c r="D1420" s="9" t="s">
        <v>56</v>
      </c>
      <c r="F1420" t="s">
        <v>162</v>
      </c>
      <c r="G1420" s="144">
        <v>-15.613294903740471</v>
      </c>
      <c r="H1420" s="70">
        <v>-15.613294903740471</v>
      </c>
      <c r="I1420" s="70">
        <v>-15.613294903740471</v>
      </c>
      <c r="J1420" s="70">
        <v>-15.613294903740471</v>
      </c>
      <c r="K1420" s="70">
        <v>-15.613294903740471</v>
      </c>
      <c r="L1420" s="70">
        <v>-16.081693750852686</v>
      </c>
      <c r="M1420" s="70">
        <v>-16.081693750852686</v>
      </c>
      <c r="N1420" s="70">
        <v>-16.081693750852686</v>
      </c>
      <c r="O1420" s="70">
        <v>-16.081693750852686</v>
      </c>
      <c r="P1420" s="70">
        <v>-16.081693750852686</v>
      </c>
      <c r="Q1420" s="70">
        <v>-16.081693750852686</v>
      </c>
      <c r="R1420" s="70">
        <v>-16.081693750852686</v>
      </c>
      <c r="S1420" s="144">
        <v>-16.081900492945213</v>
      </c>
      <c r="T1420" s="70">
        <v>-16.081900492945213</v>
      </c>
      <c r="U1420" s="70">
        <v>-16.081900492945213</v>
      </c>
      <c r="V1420" s="70">
        <v>-16.081900492945213</v>
      </c>
      <c r="W1420" s="70">
        <v>-16.081900492945213</v>
      </c>
      <c r="X1420" s="70">
        <v>-16.564357507733568</v>
      </c>
      <c r="Y1420" s="70">
        <v>-16.564357507733568</v>
      </c>
      <c r="Z1420" s="70">
        <v>-16.564357507733568</v>
      </c>
      <c r="AA1420" s="70">
        <v>-16.564357507733568</v>
      </c>
      <c r="AB1420" s="70">
        <v>-16.564357507733568</v>
      </c>
      <c r="AC1420" s="70">
        <v>-16.564357507733568</v>
      </c>
      <c r="AD1420" s="145">
        <v>-16.564357507733568</v>
      </c>
      <c r="AE1420" s="15"/>
      <c r="AF1420" s="144">
        <v>-190.63833077467112</v>
      </c>
      <c r="AG1420" s="145">
        <v>-196.36000501886107</v>
      </c>
    </row>
    <row r="1421" spans="2:33" x14ac:dyDescent="0.2">
      <c r="B1421" s="9">
        <f>G1387</f>
        <v>29</v>
      </c>
      <c r="C1421" s="9" t="str">
        <f t="shared" si="8170"/>
        <v>29 - % YoY Growth</v>
      </c>
      <c r="D1421" s="9" t="s">
        <v>56</v>
      </c>
      <c r="F1421" s="16" t="s">
        <v>8</v>
      </c>
      <c r="G1421" s="82"/>
      <c r="H1421" s="83"/>
      <c r="I1421" s="83"/>
      <c r="J1421" s="83"/>
      <c r="K1421" s="83"/>
      <c r="L1421" s="83"/>
      <c r="M1421" s="83"/>
      <c r="N1421" s="83"/>
      <c r="O1421" s="83"/>
      <c r="P1421" s="83"/>
      <c r="Q1421" s="83"/>
      <c r="R1421" s="83"/>
      <c r="S1421" s="148">
        <f>S1420/G1420-1</f>
        <v>3.0013241413410885E-2</v>
      </c>
      <c r="T1421" s="149">
        <f t="shared" ref="T1421" si="8402">T1420/H1420-1</f>
        <v>3.0013241413410885E-2</v>
      </c>
      <c r="U1421" s="149">
        <f t="shared" ref="U1421" si="8403">U1420/I1420-1</f>
        <v>3.0013241413410885E-2</v>
      </c>
      <c r="V1421" s="149">
        <f t="shared" ref="V1421" si="8404">V1420/J1420-1</f>
        <v>3.0013241413410885E-2</v>
      </c>
      <c r="W1421" s="149">
        <f t="shared" ref="W1421" si="8405">W1420/K1420-1</f>
        <v>3.0013241413410885E-2</v>
      </c>
      <c r="X1421" s="149">
        <f t="shared" ref="X1421" si="8406">X1420/L1420-1</f>
        <v>3.0013241413410885E-2</v>
      </c>
      <c r="Y1421" s="149">
        <f t="shared" ref="Y1421" si="8407">Y1420/M1420-1</f>
        <v>3.0013241413410885E-2</v>
      </c>
      <c r="Z1421" s="149">
        <f t="shared" ref="Z1421" si="8408">Z1420/N1420-1</f>
        <v>3.0013241413410885E-2</v>
      </c>
      <c r="AA1421" s="149">
        <f t="shared" ref="AA1421" si="8409">AA1420/O1420-1</f>
        <v>3.0013241413410885E-2</v>
      </c>
      <c r="AB1421" s="149">
        <f t="shared" ref="AB1421" si="8410">AB1420/P1420-1</f>
        <v>3.0013241413410885E-2</v>
      </c>
      <c r="AC1421" s="149">
        <f t="shared" ref="AC1421" si="8411">AC1420/Q1420-1</f>
        <v>3.0013241413410885E-2</v>
      </c>
      <c r="AD1421" s="150">
        <f t="shared" ref="AD1421" si="8412">AD1420/R1420-1</f>
        <v>3.0013241413410885E-2</v>
      </c>
      <c r="AE1421" s="15"/>
      <c r="AF1421" s="11"/>
      <c r="AG1421" s="97">
        <f>AG1420/AF1420-1</f>
        <v>3.0013241413411329E-2</v>
      </c>
    </row>
    <row r="1422" spans="2:33" ht="6" customHeight="1" x14ac:dyDescent="0.2">
      <c r="B1422" s="9">
        <f>G1387</f>
        <v>29</v>
      </c>
      <c r="C1422" s="9" t="str">
        <f t="shared" si="8170"/>
        <v xml:space="preserve">29 - </v>
      </c>
      <c r="D1422" s="9" t="s">
        <v>56</v>
      </c>
      <c r="F1422" s="16"/>
      <c r="G1422" s="11"/>
      <c r="S1422" s="11"/>
      <c r="AD1422" s="15"/>
      <c r="AE1422" s="15"/>
      <c r="AF1422" s="11"/>
      <c r="AG1422" s="15"/>
    </row>
    <row r="1423" spans="2:33" x14ac:dyDescent="0.2">
      <c r="B1423" s="9">
        <f>G1387</f>
        <v>29</v>
      </c>
      <c r="C1423" s="9" t="str">
        <f t="shared" si="8170"/>
        <v>29 - Office EBITDA</v>
      </c>
      <c r="D1423" s="9" t="s">
        <v>56</v>
      </c>
      <c r="F1423" s="8" t="s">
        <v>12</v>
      </c>
      <c r="G1423" s="134">
        <f>G1411+G1414+G1417+G1420</f>
        <v>25.991407054949821</v>
      </c>
      <c r="H1423" s="135">
        <f t="shared" ref="H1423:AD1423" si="8413">H1411+H1414+H1417+H1420</f>
        <v>24.856629454504986</v>
      </c>
      <c r="I1423" s="135">
        <f t="shared" si="8413"/>
        <v>29.763257770469476</v>
      </c>
      <c r="J1423" s="135">
        <f t="shared" si="8413"/>
        <v>25.878229819385414</v>
      </c>
      <c r="K1423" s="135">
        <f t="shared" si="8413"/>
        <v>37.642307982207157</v>
      </c>
      <c r="L1423" s="135">
        <f t="shared" si="8413"/>
        <v>37.92433152588449</v>
      </c>
      <c r="M1423" s="135">
        <f t="shared" si="8413"/>
        <v>34.630401133099909</v>
      </c>
      <c r="N1423" s="135">
        <f t="shared" si="8413"/>
        <v>32.602970946048636</v>
      </c>
      <c r="O1423" s="135">
        <f t="shared" si="8413"/>
        <v>28.765279298555384</v>
      </c>
      <c r="P1423" s="135">
        <f t="shared" si="8413"/>
        <v>27.661179382265793</v>
      </c>
      <c r="Q1423" s="135">
        <f t="shared" si="8413"/>
        <v>18.645069758521721</v>
      </c>
      <c r="R1423" s="135">
        <f t="shared" si="8413"/>
        <v>12.748827619805361</v>
      </c>
      <c r="S1423" s="134">
        <f t="shared" si="8413"/>
        <v>26.910560993026468</v>
      </c>
      <c r="T1423" s="135">
        <f t="shared" si="8413"/>
        <v>24.227405681894265</v>
      </c>
      <c r="U1423" s="135">
        <f t="shared" si="8413"/>
        <v>26.63130382232163</v>
      </c>
      <c r="V1423" s="135">
        <f t="shared" si="8413"/>
        <v>26.457697845469948</v>
      </c>
      <c r="W1423" s="135">
        <f t="shared" si="8413"/>
        <v>44.696476926231952</v>
      </c>
      <c r="X1423" s="135">
        <f t="shared" si="8413"/>
        <v>32.355439512012431</v>
      </c>
      <c r="Y1423" s="135">
        <f t="shared" si="8413"/>
        <v>32.332314451370458</v>
      </c>
      <c r="Z1423" s="135">
        <f t="shared" si="8413"/>
        <v>21.974483914604733</v>
      </c>
      <c r="AA1423" s="135">
        <f t="shared" si="8413"/>
        <v>24.514099882487649</v>
      </c>
      <c r="AB1423" s="135">
        <f t="shared" si="8413"/>
        <v>20.777446153615379</v>
      </c>
      <c r="AC1423" s="135">
        <f t="shared" si="8413"/>
        <v>15.085657496270127</v>
      </c>
      <c r="AD1423" s="136">
        <f t="shared" si="8413"/>
        <v>11.250078635718975</v>
      </c>
      <c r="AE1423" s="15"/>
      <c r="AF1423" s="94">
        <f>SUM(G1423:R1423)</f>
        <v>337.10989174569818</v>
      </c>
      <c r="AG1423" s="95">
        <f>SUM(S1423:AD1423)</f>
        <v>307.21296531502395</v>
      </c>
    </row>
    <row r="1424" spans="2:33" x14ac:dyDescent="0.2">
      <c r="B1424" s="9">
        <f>G1387</f>
        <v>29</v>
      </c>
      <c r="C1424" s="9" t="str">
        <f t="shared" si="8170"/>
        <v>29 - % of Revenue - Office EBITDA</v>
      </c>
      <c r="D1424" s="9" t="s">
        <v>56</v>
      </c>
      <c r="F1424" s="16" t="str">
        <f>"% of Revenue - "&amp;F1423</f>
        <v>% of Revenue - Office EBITDA</v>
      </c>
      <c r="G1424" s="148">
        <f>G1423/G1399</f>
        <v>0.18316483046990101</v>
      </c>
      <c r="H1424" s="149">
        <f t="shared" ref="H1424" si="8414">H1423/H1399</f>
        <v>0.18154320323223985</v>
      </c>
      <c r="I1424" s="149">
        <f t="shared" ref="I1424" si="8415">I1423/I1399</f>
        <v>0.1789014307398237</v>
      </c>
      <c r="J1424" s="149">
        <f t="shared" ref="J1424" si="8416">J1423/J1399</f>
        <v>0.16378123994206584</v>
      </c>
      <c r="K1424" s="149">
        <f t="shared" ref="K1424" si="8417">K1423/K1399</f>
        <v>0.18895907422181074</v>
      </c>
      <c r="L1424" s="149">
        <f t="shared" ref="L1424" si="8418">L1423/L1399</f>
        <v>0.19111459864644995</v>
      </c>
      <c r="M1424" s="149">
        <f t="shared" ref="M1424" si="8419">M1423/M1399</f>
        <v>0.19728841887514734</v>
      </c>
      <c r="N1424" s="149">
        <f t="shared" ref="N1424" si="8420">N1423/N1399</f>
        <v>0.20136878859601201</v>
      </c>
      <c r="O1424" s="149">
        <f t="shared" ref="O1424" si="8421">O1423/O1399</f>
        <v>0.18448009921143885</v>
      </c>
      <c r="P1424" s="149">
        <f t="shared" ref="P1424" si="8422">P1423/P1399</f>
        <v>0.18036125074570791</v>
      </c>
      <c r="Q1424" s="149">
        <f t="shared" ref="Q1424" si="8423">Q1423/Q1399</f>
        <v>0.1419177311053571</v>
      </c>
      <c r="R1424" s="149">
        <f t="shared" ref="R1424" si="8424">R1423/R1399</f>
        <v>0.12112591392998051</v>
      </c>
      <c r="S1424" s="148">
        <f t="shared" ref="S1424" si="8425">S1423/S1399</f>
        <v>0.17669452926463097</v>
      </c>
      <c r="T1424" s="149">
        <f t="shared" ref="T1424" si="8426">T1423/T1399</f>
        <v>0.17598975475990289</v>
      </c>
      <c r="U1424" s="149">
        <f t="shared" ref="U1424" si="8427">U1423/U1399</f>
        <v>0.17991237696637558</v>
      </c>
      <c r="V1424" s="149">
        <f t="shared" ref="V1424" si="8428">V1423/V1399</f>
        <v>0.17917673404813575</v>
      </c>
      <c r="W1424" s="149">
        <f t="shared" ref="W1424" si="8429">W1423/W1399</f>
        <v>0.21635895185856879</v>
      </c>
      <c r="X1424" s="149">
        <f t="shared" ref="X1424" si="8430">X1423/X1399</f>
        <v>0.18682562146248108</v>
      </c>
      <c r="Y1424" s="149">
        <f t="shared" ref="Y1424" si="8431">Y1423/Y1399</f>
        <v>0.18590391552381039</v>
      </c>
      <c r="Z1424" s="149">
        <f t="shared" ref="Z1424" si="8432">Z1423/Z1399</f>
        <v>0.1612521684452293</v>
      </c>
      <c r="AA1424" s="149">
        <f t="shared" ref="AA1424" si="8433">AA1423/AA1399</f>
        <v>0.17493734362928207</v>
      </c>
      <c r="AB1424" s="149">
        <f t="shared" ref="AB1424" si="8434">AB1423/AB1399</f>
        <v>0.16752249851708395</v>
      </c>
      <c r="AC1424" s="149">
        <f t="shared" ref="AC1424" si="8435">AC1423/AC1399</f>
        <v>0.1366047160004738</v>
      </c>
      <c r="AD1424" s="150">
        <f t="shared" ref="AD1424" si="8436">AD1423/AD1399</f>
        <v>0.11698185614525709</v>
      </c>
      <c r="AE1424" s="15"/>
      <c r="AF1424" s="96">
        <f t="shared" ref="AF1424" si="8437">AF1423/AF1399</f>
        <v>0.17891400465665605</v>
      </c>
      <c r="AG1424" s="97">
        <f t="shared" ref="AG1424" si="8438">AG1423/AG1399</f>
        <v>0.17591471699374639</v>
      </c>
    </row>
    <row r="1425" spans="2:34" ht="6" customHeight="1" x14ac:dyDescent="0.2">
      <c r="B1425" s="9">
        <f>G1387</f>
        <v>29</v>
      </c>
      <c r="C1425" s="9" t="str">
        <f t="shared" si="8170"/>
        <v xml:space="preserve">29 - </v>
      </c>
      <c r="D1425" s="9" t="s">
        <v>56</v>
      </c>
      <c r="G1425" s="11"/>
      <c r="S1425" s="11"/>
      <c r="AD1425" s="15"/>
      <c r="AE1425" s="15"/>
      <c r="AF1425" s="11"/>
      <c r="AG1425" s="15"/>
    </row>
    <row r="1426" spans="2:34" x14ac:dyDescent="0.2">
      <c r="B1426" s="9">
        <f>G1387</f>
        <v>29</v>
      </c>
      <c r="C1426" s="9" t="str">
        <f t="shared" si="8170"/>
        <v>29 - Memo:</v>
      </c>
      <c r="D1426" s="9" t="s">
        <v>56</v>
      </c>
      <c r="F1426" s="6" t="s">
        <v>13</v>
      </c>
      <c r="G1426" s="11"/>
      <c r="S1426" s="11"/>
      <c r="AD1426" s="15"/>
      <c r="AE1426" s="15"/>
      <c r="AF1426" s="11"/>
      <c r="AG1426" s="15"/>
    </row>
    <row r="1427" spans="2:34" s="24" customFormat="1" x14ac:dyDescent="0.2">
      <c r="B1427" s="9">
        <f>G1387</f>
        <v>29</v>
      </c>
      <c r="C1427" s="9" t="str">
        <f t="shared" si="8170"/>
        <v>29 - Collections</v>
      </c>
      <c r="D1427" s="9" t="s">
        <v>56</v>
      </c>
      <c r="E1427" s="49"/>
      <c r="F1427" s="24" t="s">
        <v>15</v>
      </c>
      <c r="G1427" s="169">
        <f>G1428*G1397</f>
        <v>142.14979990896254</v>
      </c>
      <c r="H1427" s="170">
        <f t="shared" ref="H1427" si="8439">H1428*H1397</f>
        <v>135.46851032555145</v>
      </c>
      <c r="I1427" s="170">
        <f t="shared" ref="I1427" si="8440">I1428*I1397</f>
        <v>166.45089540595652</v>
      </c>
      <c r="J1427" s="170">
        <f t="shared" ref="J1427" si="8441">J1428*J1397</f>
        <v>160.61429712106937</v>
      </c>
      <c r="K1427" s="170">
        <f t="shared" ref="K1427" si="8442">K1428*K1397</f>
        <v>199.06825883651283</v>
      </c>
      <c r="L1427" s="170">
        <f t="shared" ref="L1427" si="8443">L1428*L1397</f>
        <v>200.63569454361371</v>
      </c>
      <c r="M1427" s="170">
        <f t="shared" ref="M1427" si="8444">M1428*M1397</f>
        <v>175.06547058836753</v>
      </c>
      <c r="N1427" s="170">
        <f t="shared" ref="N1427" si="8445">N1428*N1397</f>
        <v>159.7528560846346</v>
      </c>
      <c r="O1427" s="170">
        <f t="shared" ref="O1427" si="8446">O1428*O1397</f>
        <v>153.49192523087254</v>
      </c>
      <c r="P1427" s="170">
        <f t="shared" ref="P1427" si="8447">P1428*P1397</f>
        <v>156.45119894118901</v>
      </c>
      <c r="Q1427" s="170">
        <f t="shared" ref="Q1427" si="8448">Q1428*Q1397</f>
        <v>133.70357480664003</v>
      </c>
      <c r="R1427" s="170">
        <f t="shared" ref="R1427" si="8449">R1428*R1397</f>
        <v>107.14350951889413</v>
      </c>
      <c r="S1427" s="169">
        <f t="shared" ref="S1427" si="8450">S1428*S1397</f>
        <v>156.2265742826626</v>
      </c>
      <c r="T1427" s="170">
        <f t="shared" ref="T1427" si="8451">T1428*T1397</f>
        <v>141.10693655568363</v>
      </c>
      <c r="U1427" s="170">
        <f t="shared" ref="U1427" si="8452">U1428*U1397</f>
        <v>151.81216235661012</v>
      </c>
      <c r="V1427" s="170">
        <f t="shared" ref="V1427" si="8453">V1428*V1397</f>
        <v>147.66116281937195</v>
      </c>
      <c r="W1427" s="170">
        <f t="shared" ref="W1427" si="8454">W1428*W1397</f>
        <v>207.37800115831001</v>
      </c>
      <c r="X1427" s="170">
        <f t="shared" ref="X1427" si="8455">X1428*X1397</f>
        <v>175.34932263926197</v>
      </c>
      <c r="Y1427" s="170">
        <f t="shared" ref="Y1427" si="8456">Y1428*Y1397</f>
        <v>179.00043333971604</v>
      </c>
      <c r="Z1427" s="170">
        <f t="shared" ref="Z1427" si="8457">Z1428*Z1397</f>
        <v>134.8919947463454</v>
      </c>
      <c r="AA1427" s="170">
        <f t="shared" ref="AA1427" si="8458">AA1428*AA1397</f>
        <v>140.92474822552774</v>
      </c>
      <c r="AB1427" s="170">
        <f t="shared" ref="AB1427" si="8459">AB1428*AB1397</f>
        <v>123.21607470899227</v>
      </c>
      <c r="AC1427" s="170">
        <f t="shared" ref="AC1427" si="8460">AC1428*AC1397</f>
        <v>109.39792872238533</v>
      </c>
      <c r="AD1427" s="171">
        <f t="shared" ref="AD1427" si="8461">AD1428*AD1397</f>
        <v>96.221930580628182</v>
      </c>
      <c r="AE1427" s="26"/>
      <c r="AF1427" s="68">
        <f>SUM(G1427:R1427)</f>
        <v>1889.9959913122646</v>
      </c>
      <c r="AG1427" s="99">
        <f>SUM(S1427:AD1427)</f>
        <v>1763.1872701354953</v>
      </c>
    </row>
    <row r="1428" spans="2:34" x14ac:dyDescent="0.2">
      <c r="B1428" s="9">
        <f>G1387</f>
        <v>29</v>
      </c>
      <c r="C1428" s="9" t="str">
        <f t="shared" si="8170"/>
        <v>29 - Collections as a % of Production</v>
      </c>
      <c r="D1428" s="9" t="s">
        <v>56</v>
      </c>
      <c r="F1428" s="16" t="s">
        <v>17</v>
      </c>
      <c r="G1428" s="140">
        <v>0.97719397194928714</v>
      </c>
      <c r="H1428" s="141">
        <v>0.96515783387238396</v>
      </c>
      <c r="I1428" s="141">
        <v>0.97598178621137222</v>
      </c>
      <c r="J1428" s="141">
        <v>0.99159886234708827</v>
      </c>
      <c r="K1428" s="141">
        <v>0.97480052802082284</v>
      </c>
      <c r="L1428" s="141">
        <v>0.98629392253806725</v>
      </c>
      <c r="M1428" s="141">
        <v>0.97289684433482904</v>
      </c>
      <c r="N1428" s="141">
        <v>0.96251130868837975</v>
      </c>
      <c r="O1428" s="141">
        <v>0.96025967334398699</v>
      </c>
      <c r="P1428" s="141">
        <v>0.99511591032394253</v>
      </c>
      <c r="Q1428" s="141">
        <v>0.99274542623022732</v>
      </c>
      <c r="R1428" s="141">
        <v>0.99301295584016769</v>
      </c>
      <c r="S1428" s="140">
        <v>0.99597549160046805</v>
      </c>
      <c r="T1428" s="141">
        <v>0.9952271796026384</v>
      </c>
      <c r="U1428" s="141">
        <v>0.99579185225821631</v>
      </c>
      <c r="V1428" s="141">
        <v>0.97093294622084758</v>
      </c>
      <c r="W1428" s="141">
        <v>0.97467011629927702</v>
      </c>
      <c r="X1428" s="141">
        <v>0.98307491556119997</v>
      </c>
      <c r="Y1428" s="141">
        <v>0.9993076579736565</v>
      </c>
      <c r="Z1428" s="141">
        <v>0.96109528442948777</v>
      </c>
      <c r="AA1428" s="141">
        <v>0.97644375911964398</v>
      </c>
      <c r="AB1428" s="141">
        <v>0.96458773548456056</v>
      </c>
      <c r="AC1428" s="141">
        <v>0.96184244688323284</v>
      </c>
      <c r="AD1428" s="142">
        <v>0.97147226508986262</v>
      </c>
      <c r="AE1428" s="15"/>
      <c r="AF1428" s="96">
        <f t="shared" ref="AF1428" si="8462">AF1427/AF1397</f>
        <v>0.97848901105075581</v>
      </c>
      <c r="AG1428" s="97">
        <f t="shared" ref="AG1428" si="8463">AG1427/AG1397</f>
        <v>0.9802897585975513</v>
      </c>
    </row>
    <row r="1429" spans="2:34" ht="6" customHeight="1" x14ac:dyDescent="0.2">
      <c r="B1429" s="9">
        <f>G1387</f>
        <v>29</v>
      </c>
      <c r="C1429" s="9" t="str">
        <f t="shared" si="8170"/>
        <v xml:space="preserve">29 - </v>
      </c>
      <c r="D1429" s="9" t="s">
        <v>56</v>
      </c>
      <c r="F1429" s="27"/>
      <c r="R1429" s="15"/>
      <c r="AD1429" s="15"/>
      <c r="AE1429" s="15"/>
      <c r="AF1429" s="11"/>
      <c r="AG1429" s="15"/>
    </row>
    <row r="1430" spans="2:34" s="24" customFormat="1" x14ac:dyDescent="0.2">
      <c r="B1430" s="9">
        <f>G1387</f>
        <v>29</v>
      </c>
      <c r="C1430" s="9" t="str">
        <f t="shared" si="8170"/>
        <v>29 - Production per Vet Workday - YoY Change</v>
      </c>
      <c r="D1430" s="9" t="s">
        <v>56</v>
      </c>
      <c r="E1430" s="49"/>
      <c r="F1430" s="24" t="s">
        <v>55</v>
      </c>
      <c r="G1430" s="88"/>
      <c r="H1430" s="89"/>
      <c r="I1430" s="89"/>
      <c r="J1430" s="89"/>
      <c r="K1430" s="89"/>
      <c r="L1430" s="89"/>
      <c r="M1430" s="89"/>
      <c r="N1430" s="89"/>
      <c r="O1430" s="89"/>
      <c r="P1430" s="89"/>
      <c r="Q1430" s="89"/>
      <c r="R1430" s="89"/>
      <c r="S1430" s="151">
        <f>S1396/G1396-1</f>
        <v>3.1420192226542909E-2</v>
      </c>
      <c r="T1430" s="152">
        <f t="shared" ref="T1430" si="8464">T1396/H1396-1</f>
        <v>-3.576534942678089E-2</v>
      </c>
      <c r="U1430" s="152">
        <f t="shared" ref="U1430" si="8465">U1396/I1396-1</f>
        <v>-2.4825950165803246E-2</v>
      </c>
      <c r="V1430" s="152">
        <f t="shared" ref="V1430" si="8466">V1396/J1396-1</f>
        <v>-0.10375761569901809</v>
      </c>
      <c r="W1430" s="152">
        <f t="shared" ref="W1430" si="8467">W1396/K1396-1</f>
        <v>-1.5292066585285147E-3</v>
      </c>
      <c r="X1430" s="152">
        <f t="shared" ref="X1430" si="8468">X1396/L1396-1</f>
        <v>-3.966186161671259E-2</v>
      </c>
      <c r="Y1430" s="152">
        <f t="shared" ref="Y1430" si="8469">Y1396/M1396-1</f>
        <v>-4.78266745494067E-2</v>
      </c>
      <c r="Z1430" s="152">
        <f t="shared" ref="Z1430" si="8470">Z1396/N1396-1</f>
        <v>-0.11761047119045631</v>
      </c>
      <c r="AA1430" s="152">
        <f t="shared" ref="AA1430" si="8471">AA1396/O1396-1</f>
        <v>-5.4097056226059759E-2</v>
      </c>
      <c r="AB1430" s="152">
        <f t="shared" ref="AB1430" si="8472">AB1396/P1396-1</f>
        <v>-0.25521341233280825</v>
      </c>
      <c r="AC1430" s="152">
        <f t="shared" ref="AC1430" si="8473">AC1396/Q1396-1</f>
        <v>-0.11711285906319269</v>
      </c>
      <c r="AD1430" s="153">
        <f t="shared" ref="AD1430" si="8474">AD1396/R1396-1</f>
        <v>-8.2021082885041841E-2</v>
      </c>
      <c r="AF1430" s="43"/>
      <c r="AG1430" s="104">
        <f>AG1396/AF1396-1</f>
        <v>-6.8808408228984042E-2</v>
      </c>
    </row>
    <row r="1431" spans="2:34" s="24" customFormat="1" ht="6" customHeight="1" x14ac:dyDescent="0.2">
      <c r="D1431" s="9" t="s">
        <v>56</v>
      </c>
      <c r="E1431" s="49"/>
      <c r="G1431" s="28"/>
      <c r="H1431" s="30"/>
      <c r="I1431" s="30"/>
      <c r="J1431" s="30"/>
      <c r="K1431" s="30"/>
      <c r="L1431" s="30"/>
      <c r="M1431" s="30"/>
      <c r="N1431" s="30"/>
      <c r="O1431" s="30"/>
      <c r="P1431" s="30"/>
      <c r="Q1431" s="30"/>
      <c r="R1431" s="29"/>
      <c r="S1431" s="30"/>
      <c r="T1431" s="30"/>
      <c r="U1431" s="30"/>
      <c r="V1431" s="30"/>
      <c r="W1431" s="30"/>
      <c r="X1431" s="30"/>
      <c r="Y1431" s="30"/>
      <c r="Z1431" s="30"/>
      <c r="AA1431" s="30"/>
      <c r="AB1431" s="30"/>
      <c r="AC1431" s="30"/>
      <c r="AD1431" s="29"/>
      <c r="AE1431" s="25"/>
      <c r="AF1431" s="28"/>
      <c r="AG1431" s="29"/>
    </row>
    <row r="1432" spans="2:34" s="24" customFormat="1" ht="6" customHeight="1" x14ac:dyDescent="0.2">
      <c r="D1432" s="9" t="s">
        <v>56</v>
      </c>
      <c r="E1432" s="49"/>
    </row>
    <row r="1433" spans="2:34" x14ac:dyDescent="0.2">
      <c r="D1433" s="9" t="s">
        <v>56</v>
      </c>
      <c r="F1433" s="16"/>
    </row>
    <row r="1434" spans="2:34" ht="15.75" thickBot="1" x14ac:dyDescent="0.4">
      <c r="B1434" s="35" t="s">
        <v>52</v>
      </c>
      <c r="C1434" s="35"/>
      <c r="D1434" s="9" t="s">
        <v>56</v>
      </c>
      <c r="E1434" s="48" t="s">
        <v>0</v>
      </c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74">
        <f ca="1">AG$2</f>
        <v>45999</v>
      </c>
      <c r="AH1434" s="1"/>
    </row>
    <row r="1435" spans="2:34" x14ac:dyDescent="0.2">
      <c r="B1435" s="9">
        <f>G1436</f>
        <v>30</v>
      </c>
      <c r="C1435" s="9"/>
      <c r="D1435" s="9" t="s">
        <v>56</v>
      </c>
      <c r="F1435" t="s">
        <v>159</v>
      </c>
      <c r="AG1435" s="6" t="s">
        <v>16</v>
      </c>
    </row>
    <row r="1436" spans="2:34" x14ac:dyDescent="0.2">
      <c r="B1436" s="9">
        <f>G1436</f>
        <v>30</v>
      </c>
      <c r="C1436" s="9"/>
      <c r="D1436" s="9" t="s">
        <v>56</v>
      </c>
      <c r="F1436" s="40" t="s">
        <v>53</v>
      </c>
      <c r="G1436" s="42">
        <v>30</v>
      </c>
    </row>
    <row r="1437" spans="2:34" x14ac:dyDescent="0.2">
      <c r="B1437" s="9">
        <f>G1436</f>
        <v>30</v>
      </c>
      <c r="C1437" s="9"/>
      <c r="D1437" s="9" t="s">
        <v>56</v>
      </c>
      <c r="F1437" s="39" t="s">
        <v>47</v>
      </c>
      <c r="G1437" s="41"/>
      <c r="H1437" s="11"/>
    </row>
    <row r="1438" spans="2:34" x14ac:dyDescent="0.2">
      <c r="B1438" s="9">
        <f>G1436</f>
        <v>30</v>
      </c>
      <c r="C1438" s="9"/>
      <c r="D1438" s="9" t="s">
        <v>56</v>
      </c>
      <c r="G1438" s="23"/>
    </row>
    <row r="1439" spans="2:34" x14ac:dyDescent="0.2">
      <c r="B1439" s="9">
        <f>G1436</f>
        <v>30</v>
      </c>
      <c r="C1439" s="9"/>
      <c r="D1439" s="9" t="s">
        <v>56</v>
      </c>
      <c r="G1439" s="20">
        <v>2023</v>
      </c>
      <c r="H1439" s="21"/>
      <c r="I1439" s="21"/>
      <c r="J1439" s="21"/>
      <c r="K1439" s="21"/>
      <c r="L1439" s="21"/>
      <c r="M1439" s="21"/>
      <c r="N1439" s="21"/>
      <c r="O1439" s="21"/>
      <c r="P1439" s="21"/>
      <c r="Q1439" s="21"/>
      <c r="R1439" s="22"/>
      <c r="S1439" s="20">
        <v>2024</v>
      </c>
      <c r="T1439" s="21"/>
      <c r="U1439" s="21"/>
      <c r="V1439" s="21"/>
      <c r="W1439" s="21"/>
      <c r="X1439" s="21"/>
      <c r="Y1439" s="21"/>
      <c r="Z1439" s="21"/>
      <c r="AA1439" s="21"/>
      <c r="AB1439" s="21"/>
      <c r="AC1439" s="21"/>
      <c r="AD1439" s="22"/>
      <c r="AF1439" s="17" t="s">
        <v>14</v>
      </c>
      <c r="AG1439" s="18"/>
    </row>
    <row r="1440" spans="2:34" ht="15" customHeight="1" x14ac:dyDescent="0.35">
      <c r="B1440" s="9">
        <f>G1436</f>
        <v>30</v>
      </c>
      <c r="C1440" s="9"/>
      <c r="D1440" s="9" t="s">
        <v>56</v>
      </c>
      <c r="G1440" s="165">
        <v>44957</v>
      </c>
      <c r="H1440" s="166">
        <v>44985</v>
      </c>
      <c r="I1440" s="166">
        <v>45016</v>
      </c>
      <c r="J1440" s="166">
        <v>45046</v>
      </c>
      <c r="K1440" s="166">
        <v>45077</v>
      </c>
      <c r="L1440" s="166">
        <v>45107</v>
      </c>
      <c r="M1440" s="166">
        <v>45138</v>
      </c>
      <c r="N1440" s="166">
        <v>45169</v>
      </c>
      <c r="O1440" s="166">
        <v>45199</v>
      </c>
      <c r="P1440" s="166">
        <v>45230</v>
      </c>
      <c r="Q1440" s="166">
        <v>45260</v>
      </c>
      <c r="R1440" s="167">
        <v>45291</v>
      </c>
      <c r="S1440" s="165">
        <v>45322</v>
      </c>
      <c r="T1440" s="166">
        <v>45351</v>
      </c>
      <c r="U1440" s="166">
        <v>45382</v>
      </c>
      <c r="V1440" s="166">
        <v>45412</v>
      </c>
      <c r="W1440" s="166">
        <v>45443</v>
      </c>
      <c r="X1440" s="166">
        <v>45473</v>
      </c>
      <c r="Y1440" s="166">
        <v>45504</v>
      </c>
      <c r="Z1440" s="166">
        <v>45535</v>
      </c>
      <c r="AA1440" s="166">
        <v>45565</v>
      </c>
      <c r="AB1440" s="166">
        <v>45596</v>
      </c>
      <c r="AC1440" s="166">
        <v>45626</v>
      </c>
      <c r="AD1440" s="167">
        <v>45657</v>
      </c>
      <c r="AE1440" s="168"/>
      <c r="AF1440" s="13">
        <v>45291</v>
      </c>
      <c r="AG1440" s="14">
        <v>45657</v>
      </c>
    </row>
    <row r="1441" spans="2:33" ht="0.95" customHeight="1" x14ac:dyDescent="0.2">
      <c r="B1441" s="9">
        <f>G1436</f>
        <v>30</v>
      </c>
      <c r="C1441" s="9"/>
      <c r="D1441" s="9" t="s">
        <v>56</v>
      </c>
      <c r="G1441" s="11"/>
      <c r="S1441" s="11"/>
      <c r="AD1441" s="15"/>
      <c r="AE1441" s="15"/>
      <c r="AF1441" s="11"/>
      <c r="AG1441" s="15"/>
    </row>
    <row r="1442" spans="2:33" x14ac:dyDescent="0.2">
      <c r="B1442" s="9">
        <f>G1436</f>
        <v>30</v>
      </c>
      <c r="C1442" s="9" t="str">
        <f>B1442&amp;" - "&amp;F1442</f>
        <v>30 - Employed Vets</v>
      </c>
      <c r="D1442" s="9" t="s">
        <v>56</v>
      </c>
      <c r="F1442" s="7" t="s">
        <v>160</v>
      </c>
      <c r="G1442" s="121">
        <v>2</v>
      </c>
      <c r="H1442" s="154">
        <f>MAX(MIN(IF(H1445/G1445&gt;1.1,G1442-1,IF(H1445/G1445&lt;0.9,G1442+1,G1442)),5),1)</f>
        <v>2</v>
      </c>
      <c r="I1442" s="154">
        <f t="shared" ref="I1442:AC1442" si="8475">MAX(MIN(IF(I1445/H1445&gt;1.1,H1442-1,IF(I1445/H1445&lt;0.9,H1442+1,H1442)),5),1)</f>
        <v>2</v>
      </c>
      <c r="J1442" s="154">
        <f t="shared" si="8475"/>
        <v>2</v>
      </c>
      <c r="K1442" s="154">
        <f t="shared" si="8475"/>
        <v>2</v>
      </c>
      <c r="L1442" s="154">
        <f t="shared" si="8475"/>
        <v>2</v>
      </c>
      <c r="M1442" s="154">
        <f t="shared" si="8475"/>
        <v>2</v>
      </c>
      <c r="N1442" s="154">
        <f t="shared" si="8475"/>
        <v>3</v>
      </c>
      <c r="O1442" s="154">
        <f t="shared" si="8475"/>
        <v>3</v>
      </c>
      <c r="P1442" s="154">
        <f t="shared" si="8475"/>
        <v>3</v>
      </c>
      <c r="Q1442" s="154">
        <f t="shared" si="8475"/>
        <v>4</v>
      </c>
      <c r="R1442" s="154">
        <f t="shared" si="8475"/>
        <v>5</v>
      </c>
      <c r="S1442" s="155">
        <f t="shared" si="8475"/>
        <v>4</v>
      </c>
      <c r="T1442" s="154">
        <f t="shared" si="8475"/>
        <v>4</v>
      </c>
      <c r="U1442" s="154">
        <f t="shared" si="8475"/>
        <v>5</v>
      </c>
      <c r="V1442" s="154">
        <f t="shared" si="8475"/>
        <v>4</v>
      </c>
      <c r="W1442" s="154">
        <f t="shared" si="8475"/>
        <v>3</v>
      </c>
      <c r="X1442" s="154">
        <f t="shared" si="8475"/>
        <v>4</v>
      </c>
      <c r="Y1442" s="154">
        <f t="shared" si="8475"/>
        <v>4</v>
      </c>
      <c r="Z1442" s="154">
        <f t="shared" si="8475"/>
        <v>5</v>
      </c>
      <c r="AA1442" s="154">
        <f t="shared" si="8475"/>
        <v>5</v>
      </c>
      <c r="AB1442" s="154">
        <f t="shared" si="8475"/>
        <v>4</v>
      </c>
      <c r="AC1442" s="154">
        <f t="shared" si="8475"/>
        <v>5</v>
      </c>
      <c r="AD1442" s="156">
        <f>MROUND(AVERAGE(S1442:AC1442),1)</f>
        <v>4</v>
      </c>
      <c r="AE1442" s="15"/>
      <c r="AF1442" s="90">
        <f>AVERAGE(G1442:R1442)</f>
        <v>2.6666666666666665</v>
      </c>
      <c r="AG1442" s="91">
        <f>AVERAGE(S1442:AD1442)</f>
        <v>4.25</v>
      </c>
    </row>
    <row r="1443" spans="2:33" x14ac:dyDescent="0.2">
      <c r="B1443" s="9">
        <f>G1436</f>
        <v>30</v>
      </c>
      <c r="C1443" s="9" t="str">
        <f t="shared" ref="C1443:C1479" si="8476">B1443&amp;" - "&amp;F1443</f>
        <v>30 - Workdays in Month / Year</v>
      </c>
      <c r="D1443" s="9" t="s">
        <v>56</v>
      </c>
      <c r="F1443" s="7" t="s">
        <v>54</v>
      </c>
      <c r="G1443" s="121">
        <v>22</v>
      </c>
      <c r="H1443" s="124">
        <v>21</v>
      </c>
      <c r="I1443" s="124">
        <v>24</v>
      </c>
      <c r="J1443" s="122">
        <v>21</v>
      </c>
      <c r="K1443" s="122">
        <v>23</v>
      </c>
      <c r="L1443" s="122">
        <v>23</v>
      </c>
      <c r="M1443" s="122">
        <v>22</v>
      </c>
      <c r="N1443" s="122">
        <v>24</v>
      </c>
      <c r="O1443" s="122">
        <v>22</v>
      </c>
      <c r="P1443" s="122">
        <v>22</v>
      </c>
      <c r="Q1443" s="122">
        <v>23</v>
      </c>
      <c r="R1443" s="122">
        <v>22</v>
      </c>
      <c r="S1443" s="121">
        <v>23</v>
      </c>
      <c r="T1443" s="122">
        <v>22</v>
      </c>
      <c r="U1443" s="122">
        <v>22</v>
      </c>
      <c r="V1443" s="122">
        <v>22</v>
      </c>
      <c r="W1443" s="122">
        <v>24</v>
      </c>
      <c r="X1443" s="122">
        <v>21</v>
      </c>
      <c r="Y1443" s="122">
        <v>23</v>
      </c>
      <c r="Z1443" s="122">
        <v>23</v>
      </c>
      <c r="AA1443" s="122">
        <v>21</v>
      </c>
      <c r="AB1443" s="122">
        <v>24</v>
      </c>
      <c r="AC1443" s="122">
        <v>22</v>
      </c>
      <c r="AD1443" s="123">
        <v>22</v>
      </c>
      <c r="AE1443" s="15"/>
      <c r="AF1443" s="144">
        <v>269</v>
      </c>
      <c r="AG1443" s="145">
        <v>269</v>
      </c>
    </row>
    <row r="1444" spans="2:33" x14ac:dyDescent="0.2">
      <c r="B1444" s="9">
        <f>G1436</f>
        <v>30</v>
      </c>
      <c r="C1444" s="9" t="str">
        <f t="shared" si="8476"/>
        <v>30 - Total Vet Days</v>
      </c>
      <c r="D1444" s="9" t="s">
        <v>56</v>
      </c>
      <c r="F1444" s="8" t="s">
        <v>51</v>
      </c>
      <c r="G1444" s="125">
        <f>G1442*G1443</f>
        <v>44</v>
      </c>
      <c r="H1444" s="126">
        <f t="shared" ref="H1444" si="8477">H1442*H1443</f>
        <v>42</v>
      </c>
      <c r="I1444" s="126">
        <f t="shared" ref="I1444" si="8478">I1442*I1443</f>
        <v>48</v>
      </c>
      <c r="J1444" s="127">
        <f t="shared" ref="J1444" si="8479">J1442*J1443</f>
        <v>42</v>
      </c>
      <c r="K1444" s="127">
        <f t="shared" ref="K1444" si="8480">K1442*K1443</f>
        <v>46</v>
      </c>
      <c r="L1444" s="127">
        <f t="shared" ref="L1444" si="8481">L1442*L1443</f>
        <v>46</v>
      </c>
      <c r="M1444" s="127">
        <f t="shared" ref="M1444" si="8482">M1442*M1443</f>
        <v>44</v>
      </c>
      <c r="N1444" s="127">
        <f t="shared" ref="N1444" si="8483">N1442*N1443</f>
        <v>72</v>
      </c>
      <c r="O1444" s="127">
        <f t="shared" ref="O1444" si="8484">O1442*O1443</f>
        <v>66</v>
      </c>
      <c r="P1444" s="127">
        <f t="shared" ref="P1444" si="8485">P1442*P1443</f>
        <v>66</v>
      </c>
      <c r="Q1444" s="127">
        <f t="shared" ref="Q1444" si="8486">Q1442*Q1443</f>
        <v>92</v>
      </c>
      <c r="R1444" s="127">
        <f t="shared" ref="R1444" si="8487">R1442*R1443</f>
        <v>110</v>
      </c>
      <c r="S1444" s="125">
        <f t="shared" ref="S1444" si="8488">S1442*S1443</f>
        <v>92</v>
      </c>
      <c r="T1444" s="127">
        <f t="shared" ref="T1444" si="8489">T1442*T1443</f>
        <v>88</v>
      </c>
      <c r="U1444" s="127">
        <f t="shared" ref="U1444" si="8490">U1442*U1443</f>
        <v>110</v>
      </c>
      <c r="V1444" s="127">
        <f t="shared" ref="V1444" si="8491">V1442*V1443</f>
        <v>88</v>
      </c>
      <c r="W1444" s="127">
        <f t="shared" ref="W1444" si="8492">W1442*W1443</f>
        <v>72</v>
      </c>
      <c r="X1444" s="127">
        <f t="shared" ref="X1444" si="8493">X1442*X1443</f>
        <v>84</v>
      </c>
      <c r="Y1444" s="127">
        <f t="shared" ref="Y1444" si="8494">Y1442*Y1443</f>
        <v>92</v>
      </c>
      <c r="Z1444" s="127">
        <f t="shared" ref="Z1444" si="8495">Z1442*Z1443</f>
        <v>115</v>
      </c>
      <c r="AA1444" s="127">
        <f t="shared" ref="AA1444" si="8496">AA1442*AA1443</f>
        <v>105</v>
      </c>
      <c r="AB1444" s="127">
        <f t="shared" ref="AB1444" si="8497">AB1442*AB1443</f>
        <v>96</v>
      </c>
      <c r="AC1444" s="127">
        <f t="shared" ref="AC1444" si="8498">AC1442*AC1443</f>
        <v>110</v>
      </c>
      <c r="AD1444" s="128">
        <f t="shared" ref="AD1444" si="8499">AD1442*AD1443</f>
        <v>88</v>
      </c>
      <c r="AF1444" s="119">
        <f>SUM(G1444:R1444)</f>
        <v>718</v>
      </c>
      <c r="AG1444" s="120">
        <f>SUM(S1444:AD1444)</f>
        <v>1140</v>
      </c>
    </row>
    <row r="1445" spans="2:33" x14ac:dyDescent="0.2">
      <c r="B1445" s="9">
        <f>G1436</f>
        <v>30</v>
      </c>
      <c r="C1445" s="9" t="str">
        <f t="shared" si="8476"/>
        <v>30 - Production per Vet Workday</v>
      </c>
      <c r="D1445" s="9" t="s">
        <v>56</v>
      </c>
      <c r="F1445" s="7" t="s">
        <v>50</v>
      </c>
      <c r="G1445" s="129">
        <v>5.6664987421351913</v>
      </c>
      <c r="H1445" s="130">
        <v>6.1173276098049687</v>
      </c>
      <c r="I1445" s="130">
        <v>6.6360989013904712</v>
      </c>
      <c r="J1445" s="130">
        <v>6.9565422381075397</v>
      </c>
      <c r="K1445" s="130">
        <v>7.5471466433821037</v>
      </c>
      <c r="L1445" s="130">
        <v>7.3232983093902035</v>
      </c>
      <c r="M1445" s="130">
        <v>6.8206078412948798</v>
      </c>
      <c r="N1445" s="130">
        <v>5.5738064522336437</v>
      </c>
      <c r="O1445" s="130">
        <v>5.5913679620358394</v>
      </c>
      <c r="P1445" s="130">
        <v>5.8281427380109516</v>
      </c>
      <c r="Q1445" s="130">
        <v>4.7480768915848728</v>
      </c>
      <c r="R1445" s="130">
        <v>3.7816606475279171</v>
      </c>
      <c r="S1445" s="129">
        <v>5.8774317376252423</v>
      </c>
      <c r="T1445" s="130">
        <v>6.3653388117829692</v>
      </c>
      <c r="U1445" s="130">
        <v>5.725229365303206</v>
      </c>
      <c r="V1445" s="130">
        <v>6.3707638044111565</v>
      </c>
      <c r="W1445" s="130">
        <v>7.34872243507328</v>
      </c>
      <c r="X1445" s="130">
        <v>6.5711819715435835</v>
      </c>
      <c r="Y1445" s="130">
        <v>6.932476524603346</v>
      </c>
      <c r="Z1445" s="130">
        <v>5.2872198639158965</v>
      </c>
      <c r="AA1445" s="130">
        <v>5.0050725133340084</v>
      </c>
      <c r="AB1445" s="130">
        <v>5.5901982882384811</v>
      </c>
      <c r="AC1445" s="130">
        <v>4.5705294729113435</v>
      </c>
      <c r="AD1445" s="131">
        <v>3.427125524536232</v>
      </c>
      <c r="AE1445" s="15"/>
      <c r="AF1445" s="132">
        <v>6.0518851754478131</v>
      </c>
      <c r="AG1445" s="133">
        <v>5.7693944311525005</v>
      </c>
    </row>
    <row r="1446" spans="2:33" x14ac:dyDescent="0.2">
      <c r="B1446" s="9">
        <f>G1436</f>
        <v>30</v>
      </c>
      <c r="C1446" s="9" t="str">
        <f t="shared" si="8476"/>
        <v>30 - Total Production</v>
      </c>
      <c r="D1446" s="9" t="s">
        <v>56</v>
      </c>
      <c r="F1446" s="8" t="s">
        <v>1</v>
      </c>
      <c r="G1446" s="134">
        <f>G1445*G1444</f>
        <v>249.32594465394843</v>
      </c>
      <c r="H1446" s="135">
        <f t="shared" ref="H1446" si="8500">H1445*H1444</f>
        <v>256.92775961180871</v>
      </c>
      <c r="I1446" s="135">
        <f t="shared" ref="I1446" si="8501">I1445*I1444</f>
        <v>318.5327472667426</v>
      </c>
      <c r="J1446" s="135">
        <f t="shared" ref="J1446" si="8502">J1445*J1444</f>
        <v>292.17477400051666</v>
      </c>
      <c r="K1446" s="135">
        <f t="shared" ref="K1446" si="8503">K1445*K1444</f>
        <v>347.16874559557675</v>
      </c>
      <c r="L1446" s="135">
        <f t="shared" ref="L1446" si="8504">L1445*L1444</f>
        <v>336.87172223194938</v>
      </c>
      <c r="M1446" s="135">
        <f t="shared" ref="M1446" si="8505">M1445*M1444</f>
        <v>300.10674501697474</v>
      </c>
      <c r="N1446" s="135">
        <f t="shared" ref="N1446" si="8506">N1445*N1444</f>
        <v>401.31406456082232</v>
      </c>
      <c r="O1446" s="135">
        <f t="shared" ref="O1446" si="8507">O1445*O1444</f>
        <v>369.03028549436539</v>
      </c>
      <c r="P1446" s="135">
        <f t="shared" ref="P1446" si="8508">P1445*P1444</f>
        <v>384.65742070872278</v>
      </c>
      <c r="Q1446" s="135">
        <f t="shared" ref="Q1446" si="8509">Q1445*Q1444</f>
        <v>436.8230740258083</v>
      </c>
      <c r="R1446" s="135">
        <f t="shared" ref="R1446" si="8510">R1445*R1444</f>
        <v>415.9826712280709</v>
      </c>
      <c r="S1446" s="134">
        <f t="shared" ref="S1446" si="8511">S1445*S1444</f>
        <v>540.72371986152234</v>
      </c>
      <c r="T1446" s="135">
        <f t="shared" ref="T1446" si="8512">T1445*T1444</f>
        <v>560.14981543690124</v>
      </c>
      <c r="U1446" s="135">
        <f t="shared" ref="U1446" si="8513">U1445*U1444</f>
        <v>629.77523018335262</v>
      </c>
      <c r="V1446" s="135">
        <f t="shared" ref="V1446" si="8514">V1445*V1444</f>
        <v>560.62721478818173</v>
      </c>
      <c r="W1446" s="135">
        <f t="shared" ref="W1446" si="8515">W1445*W1444</f>
        <v>529.10801532527614</v>
      </c>
      <c r="X1446" s="135">
        <f t="shared" ref="X1446" si="8516">X1445*X1444</f>
        <v>551.97928560966102</v>
      </c>
      <c r="Y1446" s="135">
        <f t="shared" ref="Y1446" si="8517">Y1445*Y1444</f>
        <v>637.78784026350786</v>
      </c>
      <c r="Z1446" s="135">
        <f t="shared" ref="Z1446" si="8518">Z1445*Z1444</f>
        <v>608.03028435032809</v>
      </c>
      <c r="AA1446" s="135">
        <f t="shared" ref="AA1446" si="8519">AA1445*AA1444</f>
        <v>525.53261390007083</v>
      </c>
      <c r="AB1446" s="135">
        <f t="shared" ref="AB1446" si="8520">AB1445*AB1444</f>
        <v>536.65903567089413</v>
      </c>
      <c r="AC1446" s="135">
        <f t="shared" ref="AC1446" si="8521">AC1445*AC1444</f>
        <v>502.75824202024779</v>
      </c>
      <c r="AD1446" s="136">
        <f t="shared" ref="AD1446" si="8522">AD1445*AD1444</f>
        <v>301.58704615918839</v>
      </c>
      <c r="AE1446" s="15"/>
      <c r="AF1446" s="94">
        <f>SUM(G1446:R1446)</f>
        <v>4108.9159543953065</v>
      </c>
      <c r="AG1446" s="95">
        <f>SUM(S1446:AD1446)</f>
        <v>6484.7183435691322</v>
      </c>
    </row>
    <row r="1447" spans="2:33" x14ac:dyDescent="0.2">
      <c r="B1447" s="9">
        <f>G1436</f>
        <v>30</v>
      </c>
      <c r="C1447" s="9" t="str">
        <f t="shared" si="8476"/>
        <v>30 - Revenue as a % of Production</v>
      </c>
      <c r="D1447" s="9" t="s">
        <v>56</v>
      </c>
      <c r="F1447" s="7" t="s">
        <v>2</v>
      </c>
      <c r="G1447" s="137">
        <v>0.97670932757459128</v>
      </c>
      <c r="H1447" s="138">
        <v>0.97670932757459128</v>
      </c>
      <c r="I1447" s="138">
        <v>0.97670932757459128</v>
      </c>
      <c r="J1447" s="138">
        <v>0.97670932757459128</v>
      </c>
      <c r="K1447" s="138">
        <v>0.97670932757459128</v>
      </c>
      <c r="L1447" s="138">
        <v>0.97670932757459128</v>
      </c>
      <c r="M1447" s="138">
        <v>0.97670932757459128</v>
      </c>
      <c r="N1447" s="138">
        <v>0.97670932757459128</v>
      </c>
      <c r="O1447" s="138">
        <v>0.97670932757459128</v>
      </c>
      <c r="P1447" s="138">
        <v>0.97670932757459128</v>
      </c>
      <c r="Q1447" s="138">
        <v>0.97670932757459128</v>
      </c>
      <c r="R1447" s="138">
        <v>0.97670932757459128</v>
      </c>
      <c r="S1447" s="137">
        <v>0.97026176111122286</v>
      </c>
      <c r="T1447" s="138">
        <v>0.97026176111122286</v>
      </c>
      <c r="U1447" s="138">
        <v>0.97026176111122286</v>
      </c>
      <c r="V1447" s="138">
        <v>0.97026176111122286</v>
      </c>
      <c r="W1447" s="138">
        <v>0.97026176111122286</v>
      </c>
      <c r="X1447" s="138">
        <v>0.97026176111122286</v>
      </c>
      <c r="Y1447" s="138">
        <v>0.97026176111122286</v>
      </c>
      <c r="Z1447" s="138">
        <v>0.97026176111122286</v>
      </c>
      <c r="AA1447" s="138">
        <v>0.97026176111122286</v>
      </c>
      <c r="AB1447" s="138">
        <v>0.97026176111122286</v>
      </c>
      <c r="AC1447" s="138">
        <v>0.97026176111122286</v>
      </c>
      <c r="AD1447" s="139">
        <v>0.97026176111122286</v>
      </c>
      <c r="AE1447" s="15"/>
      <c r="AF1447" s="161">
        <v>0.97670932757459128</v>
      </c>
      <c r="AG1447" s="162">
        <v>0.97026176111122298</v>
      </c>
    </row>
    <row r="1448" spans="2:33" x14ac:dyDescent="0.2">
      <c r="B1448" s="9">
        <f>G1436</f>
        <v>30</v>
      </c>
      <c r="C1448" s="9" t="str">
        <f t="shared" si="8476"/>
        <v>30 - Total Revenue</v>
      </c>
      <c r="D1448" s="9" t="s">
        <v>56</v>
      </c>
      <c r="F1448" s="8" t="s">
        <v>3</v>
      </c>
      <c r="G1448" s="134">
        <f>G1447*G1446</f>
        <v>243.51897574985773</v>
      </c>
      <c r="H1448" s="135">
        <f t="shared" ref="H1448" si="8523">H1447*H1446</f>
        <v>250.94373932569593</v>
      </c>
      <c r="I1448" s="135">
        <f t="shared" ref="I1448" si="8524">I1447*I1446</f>
        <v>311.11390539338737</v>
      </c>
      <c r="J1448" s="135">
        <f t="shared" ref="J1448" si="8525">J1447*J1446</f>
        <v>285.3698270483028</v>
      </c>
      <c r="K1448" s="135">
        <f t="shared" ref="K1448" si="8526">K1447*K1446</f>
        <v>339.08295206557011</v>
      </c>
      <c r="L1448" s="135">
        <f t="shared" ref="L1448" si="8527">L1447*L1446</f>
        <v>329.02575330006175</v>
      </c>
      <c r="M1448" s="135">
        <f t="shared" ref="M1448" si="8528">M1447*M1446</f>
        <v>293.11705712612871</v>
      </c>
      <c r="N1448" s="135">
        <f t="shared" ref="N1448" si="8529">N1447*N1446</f>
        <v>391.96719014342688</v>
      </c>
      <c r="O1448" s="135">
        <f t="shared" ref="O1448" si="8530">O1447*O1446</f>
        <v>360.43532199986106</v>
      </c>
      <c r="P1448" s="135">
        <f t="shared" ref="P1448" si="8531">P1447*P1446</f>
        <v>375.69849072699327</v>
      </c>
      <c r="Q1448" s="135">
        <f t="shared" ref="Q1448" si="8532">Q1447*Q1446</f>
        <v>426.64917090081315</v>
      </c>
      <c r="R1448" s="135">
        <f t="shared" ref="R1448" si="8533">R1447*R1446</f>
        <v>406.29415509785139</v>
      </c>
      <c r="S1448" s="134">
        <f t="shared" ref="S1448" si="8534">S1447*S1446</f>
        <v>524.64354870745217</v>
      </c>
      <c r="T1448" s="135">
        <f t="shared" ref="T1448" si="8535">T1447*T1446</f>
        <v>543.49194641193424</v>
      </c>
      <c r="U1448" s="135">
        <f t="shared" ref="U1448" si="8536">U1447*U1446</f>
        <v>611.04682394192548</v>
      </c>
      <c r="V1448" s="135">
        <f t="shared" ref="V1448" si="8537">V1447*V1446</f>
        <v>543.95514874726098</v>
      </c>
      <c r="W1448" s="135">
        <f t="shared" ref="W1448" si="8538">W1447*W1446</f>
        <v>513.37327476756627</v>
      </c>
      <c r="X1448" s="135">
        <f t="shared" ref="X1448" si="8539">X1447*X1446</f>
        <v>535.56439375254433</v>
      </c>
      <c r="Y1448" s="135">
        <f t="shared" ref="Y1448" si="8540">Y1447*Y1446</f>
        <v>618.82115310939446</v>
      </c>
      <c r="Z1448" s="135">
        <f t="shared" ref="Z1448" si="8541">Z1447*Z1446</f>
        <v>589.94853450270693</v>
      </c>
      <c r="AA1448" s="135">
        <f t="shared" ref="AA1448" si="8542">AA1447*AA1446</f>
        <v>509.90419948406702</v>
      </c>
      <c r="AB1448" s="135">
        <f t="shared" ref="AB1448" si="8543">AB1447*AB1446</f>
        <v>520.69974106629229</v>
      </c>
      <c r="AC1448" s="135">
        <f t="shared" ref="AC1448" si="8544">AC1447*AC1446</f>
        <v>487.80709731574802</v>
      </c>
      <c r="AD1448" s="136">
        <f t="shared" ref="AD1448" si="8545">AD1447*AD1446</f>
        <v>292.61837853474577</v>
      </c>
      <c r="AE1448" s="15"/>
      <c r="AF1448" s="94">
        <f>SUM(G1448:R1448)</f>
        <v>4013.2165388779499</v>
      </c>
      <c r="AG1448" s="95">
        <f>SUM(S1448:AD1448)</f>
        <v>6291.8742403416381</v>
      </c>
    </row>
    <row r="1449" spans="2:33" x14ac:dyDescent="0.2">
      <c r="B1449" s="9">
        <f>G1436</f>
        <v>30</v>
      </c>
      <c r="C1449" s="9" t="str">
        <f t="shared" si="8476"/>
        <v>30 - % YoY Revenue Growth</v>
      </c>
      <c r="D1449" s="9" t="s">
        <v>56</v>
      </c>
      <c r="F1449" s="16" t="s">
        <v>174</v>
      </c>
      <c r="G1449" s="82"/>
      <c r="H1449" s="83"/>
      <c r="I1449" s="83"/>
      <c r="J1449" s="83"/>
      <c r="K1449" s="83"/>
      <c r="L1449" s="83"/>
      <c r="M1449" s="83"/>
      <c r="N1449" s="83"/>
      <c r="O1449" s="83"/>
      <c r="P1449" s="83"/>
      <c r="Q1449" s="83"/>
      <c r="R1449" s="83"/>
      <c r="S1449" s="148">
        <f>S1448/G1448-1</f>
        <v>1.1544257366061079</v>
      </c>
      <c r="T1449" s="149">
        <f t="shared" ref="T1449" si="8546">T1448/H1448-1</f>
        <v>1.1657920132709294</v>
      </c>
      <c r="U1449" s="149">
        <f t="shared" ref="U1449" si="8547">U1448/I1448-1</f>
        <v>0.96406143649956277</v>
      </c>
      <c r="V1449" s="149">
        <f t="shared" ref="V1449" si="8548">V1448/J1448-1</f>
        <v>0.9061410744563021</v>
      </c>
      <c r="W1449" s="149">
        <f t="shared" ref="W1449" si="8549">W1448/K1448-1</f>
        <v>0.51400497028907788</v>
      </c>
      <c r="X1449" s="149">
        <f t="shared" ref="X1449" si="8550">X1448/L1448-1</f>
        <v>0.62772788567746374</v>
      </c>
      <c r="Y1449" s="149">
        <f t="shared" ref="Y1449" si="8551">Y1448/M1448-1</f>
        <v>1.1111741472046601</v>
      </c>
      <c r="Z1449" s="149">
        <f t="shared" ref="Z1449" si="8552">Z1448/N1448-1</f>
        <v>0.50509672579185927</v>
      </c>
      <c r="AA1449" s="149">
        <f t="shared" ref="AA1449" si="8553">AA1448/O1448-1</f>
        <v>0.414689871832993</v>
      </c>
      <c r="AB1449" s="149">
        <f t="shared" ref="AB1449" si="8554">AB1448/P1448-1</f>
        <v>0.38595111217698852</v>
      </c>
      <c r="AC1449" s="149">
        <f t="shared" ref="AC1449" si="8555">AC1448/Q1448-1</f>
        <v>0.1433447679877311</v>
      </c>
      <c r="AD1449" s="150">
        <f t="shared" ref="AD1449" si="8556">AD1448/R1448-1</f>
        <v>-0.27978688626649839</v>
      </c>
      <c r="AE1449" s="15"/>
      <c r="AF1449" s="11"/>
      <c r="AG1449" s="97">
        <f>AG1448/AF1448-1</f>
        <v>0.5677883760791973</v>
      </c>
    </row>
    <row r="1450" spans="2:33" ht="6" customHeight="1" x14ac:dyDescent="0.2">
      <c r="B1450" s="9">
        <f>G1436</f>
        <v>30</v>
      </c>
      <c r="C1450" s="9" t="str">
        <f t="shared" si="8476"/>
        <v xml:space="preserve">30 - </v>
      </c>
      <c r="D1450" s="9" t="s">
        <v>56</v>
      </c>
      <c r="G1450" s="11"/>
      <c r="S1450" s="11"/>
      <c r="AD1450" s="15"/>
      <c r="AE1450" s="15"/>
      <c r="AF1450" s="11"/>
      <c r="AG1450" s="15"/>
    </row>
    <row r="1451" spans="2:33" x14ac:dyDescent="0.2">
      <c r="B1451" s="9">
        <f>G1436</f>
        <v>30</v>
      </c>
      <c r="C1451" s="9" t="str">
        <f t="shared" si="8476"/>
        <v>30 - Doctor Compensation</v>
      </c>
      <c r="D1451" s="9" t="s">
        <v>56</v>
      </c>
      <c r="F1451" t="s">
        <v>4</v>
      </c>
      <c r="G1451" s="144">
        <v>-91.735511898107035</v>
      </c>
      <c r="H1451" s="70">
        <v>-94.51604704452312</v>
      </c>
      <c r="I1451" s="70">
        <v>-116.68859906346684</v>
      </c>
      <c r="J1451" s="70">
        <v>-109.3569761515281</v>
      </c>
      <c r="K1451" s="70">
        <v>-130.64611076750171</v>
      </c>
      <c r="L1451" s="70">
        <v>-126.53410015077166</v>
      </c>
      <c r="M1451" s="70">
        <v>-110.74659354636883</v>
      </c>
      <c r="N1451" s="70">
        <v>-98.623815120732019</v>
      </c>
      <c r="O1451" s="70">
        <v>-90.128094554749353</v>
      </c>
      <c r="P1451" s="70">
        <v>-91.95688655314818</v>
      </c>
      <c r="Q1451" s="70">
        <v>-76.572066903216111</v>
      </c>
      <c r="R1451" s="70">
        <v>-59.651935422808663</v>
      </c>
      <c r="S1451" s="144">
        <v>-171.26110515421362</v>
      </c>
      <c r="T1451" s="70">
        <v>-174.49405531685267</v>
      </c>
      <c r="U1451" s="70">
        <v>-159.58710045283573</v>
      </c>
      <c r="V1451" s="70">
        <v>-175.69582650936121</v>
      </c>
      <c r="W1451" s="70">
        <v>-226.41104946402342</v>
      </c>
      <c r="X1451" s="70">
        <v>-180.07681463556031</v>
      </c>
      <c r="Y1451" s="70">
        <v>-202.93516740057979</v>
      </c>
      <c r="Z1451" s="70">
        <v>-158.07067113753885</v>
      </c>
      <c r="AA1451" s="70">
        <v>-137.58787675721996</v>
      </c>
      <c r="AB1451" s="70">
        <v>-173.59604786284626</v>
      </c>
      <c r="AC1451" s="70">
        <v>-129.66340933802027</v>
      </c>
      <c r="AD1451" s="145">
        <v>-98.482533641838799</v>
      </c>
      <c r="AE1451" s="15"/>
      <c r="AF1451" s="92">
        <f>SUM(G1451:R1451)</f>
        <v>-1197.1567371769218</v>
      </c>
      <c r="AG1451" s="93">
        <f>SUM(S1451:AD1451)</f>
        <v>-1987.8616576708907</v>
      </c>
    </row>
    <row r="1452" spans="2:33" x14ac:dyDescent="0.2">
      <c r="B1452" s="9">
        <f>G1436</f>
        <v>30</v>
      </c>
      <c r="C1452" s="9" t="str">
        <f t="shared" si="8476"/>
        <v>30 - % of Revenue - Doctor Compensation</v>
      </c>
      <c r="D1452" s="9" t="s">
        <v>56</v>
      </c>
      <c r="F1452" s="16" t="str">
        <f>"% of Revenue - "&amp;F1451</f>
        <v>% of Revenue - Doctor Compensation</v>
      </c>
      <c r="G1452" s="148">
        <f>G1451/G1448</f>
        <v>-0.37670785866123874</v>
      </c>
      <c r="H1452" s="149">
        <f t="shared" ref="H1452" si="8557">H1451/H1448</f>
        <v>-0.37664237927789956</v>
      </c>
      <c r="I1452" s="149">
        <f t="shared" ref="I1452" si="8558">I1451/I1448</f>
        <v>-0.37506712827869321</v>
      </c>
      <c r="J1452" s="149">
        <f t="shared" ref="J1452" si="8559">J1451/J1448</f>
        <v>-0.38321141825907867</v>
      </c>
      <c r="K1452" s="149">
        <f t="shared" ref="K1452" si="8560">K1451/K1448</f>
        <v>-0.38529247775994957</v>
      </c>
      <c r="L1452" s="149">
        <f t="shared" ref="L1452" si="8561">L1451/L1448</f>
        <v>-0.38457202477818297</v>
      </c>
      <c r="M1452" s="149">
        <f t="shared" ref="M1452" si="8562">M1451/M1448</f>
        <v>-0.37782377672656015</v>
      </c>
      <c r="N1452" s="149">
        <f t="shared" ref="N1452" si="8563">N1451/N1448</f>
        <v>-0.2516124247150483</v>
      </c>
      <c r="O1452" s="149">
        <f t="shared" ref="O1452" si="8564">O1451/O1448</f>
        <v>-0.25005344663413454</v>
      </c>
      <c r="P1452" s="149">
        <f t="shared" ref="P1452" si="8565">P1451/P1448</f>
        <v>-0.24476245931999227</v>
      </c>
      <c r="Q1452" s="149">
        <f t="shared" ref="Q1452" si="8566">Q1451/Q1448</f>
        <v>-0.17947314122641875</v>
      </c>
      <c r="R1452" s="149">
        <f t="shared" ref="R1452" si="8567">R1451/R1448</f>
        <v>-0.14681957560635389</v>
      </c>
      <c r="S1452" s="148">
        <f t="shared" ref="S1452" si="8568">S1451/S1448</f>
        <v>-0.32643326230951325</v>
      </c>
      <c r="T1452" s="149">
        <f t="shared" ref="T1452" si="8569">T1451/T1448</f>
        <v>-0.3210609770187775</v>
      </c>
      <c r="U1452" s="149">
        <f t="shared" ref="U1452" si="8570">U1451/U1448</f>
        <v>-0.26117000236303178</v>
      </c>
      <c r="V1452" s="149">
        <f t="shared" ref="V1452" si="8571">V1451/V1448</f>
        <v>-0.32299689949436461</v>
      </c>
      <c r="W1452" s="149">
        <f t="shared" ref="W1452" si="8572">W1451/W1448</f>
        <v>-0.44102617060954874</v>
      </c>
      <c r="X1452" s="149">
        <f t="shared" ref="X1452" si="8573">X1451/X1448</f>
        <v>-0.33623746600070686</v>
      </c>
      <c r="Y1452" s="149">
        <f t="shared" ref="Y1452" si="8574">Y1451/Y1448</f>
        <v>-0.32793831688023301</v>
      </c>
      <c r="Z1452" s="149">
        <f t="shared" ref="Z1452" si="8575">Z1451/Z1448</f>
        <v>-0.26793976405210235</v>
      </c>
      <c r="AA1452" s="149">
        <f t="shared" ref="AA1452" si="8576">AA1451/AA1448</f>
        <v>-0.26983083664820684</v>
      </c>
      <c r="AB1452" s="149">
        <f t="shared" ref="AB1452" si="8577">AB1451/AB1448</f>
        <v>-0.33338992546329127</v>
      </c>
      <c r="AC1452" s="149">
        <f t="shared" ref="AC1452" si="8578">AC1451/AC1448</f>
        <v>-0.26580877984661971</v>
      </c>
      <c r="AD1452" s="150">
        <f t="shared" ref="AD1452" si="8579">AD1451/AD1448</f>
        <v>-0.33655621405251174</v>
      </c>
      <c r="AE1452" s="15"/>
      <c r="AF1452" s="96">
        <f t="shared" ref="AF1452" si="8580">AF1451/AF1448</f>
        <v>-0.298303549180437</v>
      </c>
      <c r="AG1452" s="97">
        <f t="shared" ref="AG1452" si="8581">AG1451/AG1448</f>
        <v>-0.31594109827010036</v>
      </c>
    </row>
    <row r="1453" spans="2:33" ht="3" customHeight="1" x14ac:dyDescent="0.2">
      <c r="B1453" s="9">
        <f>G1436</f>
        <v>30</v>
      </c>
      <c r="C1453" s="9" t="str">
        <f t="shared" si="8476"/>
        <v xml:space="preserve">30 - </v>
      </c>
      <c r="D1453" s="9" t="s">
        <v>56</v>
      </c>
      <c r="F1453" s="16"/>
      <c r="G1453" s="36"/>
      <c r="H1453" s="37"/>
      <c r="I1453" s="37"/>
      <c r="J1453" s="37"/>
      <c r="K1453" s="37"/>
      <c r="L1453" s="37"/>
      <c r="M1453" s="37"/>
      <c r="N1453" s="37"/>
      <c r="O1453" s="37"/>
      <c r="P1453" s="37"/>
      <c r="Q1453" s="37"/>
      <c r="R1453" s="37"/>
      <c r="S1453" s="36"/>
      <c r="T1453" s="37"/>
      <c r="U1453" s="37"/>
      <c r="V1453" s="37"/>
      <c r="W1453" s="37"/>
      <c r="X1453" s="37"/>
      <c r="Y1453" s="37"/>
      <c r="Z1453" s="37"/>
      <c r="AA1453" s="37"/>
      <c r="AB1453" s="37"/>
      <c r="AC1453" s="37"/>
      <c r="AD1453" s="38"/>
      <c r="AE1453" s="15"/>
      <c r="AF1453" s="36"/>
      <c r="AG1453" s="38"/>
    </row>
    <row r="1454" spans="2:33" x14ac:dyDescent="0.2">
      <c r="B1454" s="9">
        <f>G1436</f>
        <v>30</v>
      </c>
      <c r="C1454" s="9" t="str">
        <f t="shared" si="8476"/>
        <v>30 - Administrative Staff Compensation</v>
      </c>
      <c r="D1454" s="9" t="s">
        <v>56</v>
      </c>
      <c r="F1454" t="s">
        <v>5</v>
      </c>
      <c r="G1454" s="144">
        <v>-50.173429279558192</v>
      </c>
      <c r="H1454" s="70">
        <v>-53.328110713251178</v>
      </c>
      <c r="I1454" s="70">
        <v>-65.36782735981707</v>
      </c>
      <c r="J1454" s="70">
        <v>-60.528559503059199</v>
      </c>
      <c r="K1454" s="70">
        <v>-71.452771663430184</v>
      </c>
      <c r="L1454" s="70">
        <v>-68.750914417481596</v>
      </c>
      <c r="M1454" s="70">
        <v>-59.293854564273502</v>
      </c>
      <c r="N1454" s="70">
        <v>-50.314234180916607</v>
      </c>
      <c r="O1454" s="70">
        <v>-47.6842241951612</v>
      </c>
      <c r="P1454" s="70">
        <v>-50.853718919630218</v>
      </c>
      <c r="Q1454" s="70">
        <v>-42.57774300773977</v>
      </c>
      <c r="R1454" s="70">
        <v>-31.783575145345861</v>
      </c>
      <c r="S1454" s="144">
        <v>-84.636569352430428</v>
      </c>
      <c r="T1454" s="70">
        <v>-88.802146771550554</v>
      </c>
      <c r="U1454" s="70">
        <v>-81.719517855089009</v>
      </c>
      <c r="V1454" s="70">
        <v>-88.402228875527825</v>
      </c>
      <c r="W1454" s="70">
        <v>-111.61056059332934</v>
      </c>
      <c r="X1454" s="70">
        <v>-87.801331529444539</v>
      </c>
      <c r="Y1454" s="70">
        <v>-106.57163754829371</v>
      </c>
      <c r="Z1454" s="70">
        <v>-85.10161104602868</v>
      </c>
      <c r="AA1454" s="70">
        <v>-72.355864525440481</v>
      </c>
      <c r="AB1454" s="70">
        <v>-87.92022449528487</v>
      </c>
      <c r="AC1454" s="70">
        <v>-65.015545842509951</v>
      </c>
      <c r="AD1454" s="145">
        <v>-46.454570336771106</v>
      </c>
      <c r="AE1454" s="15"/>
      <c r="AF1454" s="92">
        <f>SUM(G1454:R1454)</f>
        <v>-652.10896294966449</v>
      </c>
      <c r="AG1454" s="93">
        <f>SUM(S1454:AD1454)</f>
        <v>-1006.3918087717003</v>
      </c>
    </row>
    <row r="1455" spans="2:33" x14ac:dyDescent="0.2">
      <c r="B1455" s="9">
        <f>G1436</f>
        <v>30</v>
      </c>
      <c r="C1455" s="9" t="str">
        <f t="shared" si="8476"/>
        <v>30 - % of Revenue - Administrative Staff Compensation</v>
      </c>
      <c r="D1455" s="9" t="s">
        <v>56</v>
      </c>
      <c r="F1455" s="16" t="str">
        <f>"% of Revenue - "&amp;F1454</f>
        <v>% of Revenue - Administrative Staff Compensation</v>
      </c>
      <c r="G1455" s="148">
        <f>G1454/G1448</f>
        <v>-0.20603498813618637</v>
      </c>
      <c r="H1455" s="149">
        <f t="shared" ref="H1455" si="8582">H1454/H1448</f>
        <v>-0.21251022582411375</v>
      </c>
      <c r="I1455" s="149">
        <f t="shared" ref="I1455" si="8583">I1454/I1448</f>
        <v>-0.21010898653714255</v>
      </c>
      <c r="J1455" s="149">
        <f t="shared" ref="J1455" si="8584">J1454/J1448</f>
        <v>-0.21210567399199462</v>
      </c>
      <c r="K1455" s="149">
        <f t="shared" ref="K1455" si="8585">K1454/K1448</f>
        <v>-0.21072357435891681</v>
      </c>
      <c r="L1455" s="149">
        <f t="shared" ref="L1455" si="8586">L1454/L1448</f>
        <v>-0.20895298841480897</v>
      </c>
      <c r="M1455" s="149">
        <f t="shared" ref="M1455" si="8587">M1454/M1448</f>
        <v>-0.20228728803987434</v>
      </c>
      <c r="N1455" s="149">
        <f t="shared" ref="N1455" si="8588">N1454/N1448</f>
        <v>-0.12836338205375264</v>
      </c>
      <c r="O1455" s="149">
        <f t="shared" ref="O1455" si="8589">O1454/O1448</f>
        <v>-0.13229620207749668</v>
      </c>
      <c r="P1455" s="149">
        <f t="shared" ref="P1455" si="8590">P1454/P1448</f>
        <v>-0.13535779401515829</v>
      </c>
      <c r="Q1455" s="149">
        <f t="shared" ref="Q1455" si="8591">Q1454/Q1448</f>
        <v>-9.979567736611912E-2</v>
      </c>
      <c r="R1455" s="149">
        <f t="shared" ref="R1455" si="8592">R1454/R1448</f>
        <v>-7.8227990106555054E-2</v>
      </c>
      <c r="S1455" s="148">
        <f t="shared" ref="S1455" si="8593">S1454/S1448</f>
        <v>-0.16132204343491288</v>
      </c>
      <c r="T1455" s="149">
        <f t="shared" ref="T1455" si="8594">T1454/T1448</f>
        <v>-0.16339183562481691</v>
      </c>
      <c r="U1455" s="149">
        <f t="shared" ref="U1455" si="8595">U1454/U1448</f>
        <v>-0.13373691614647149</v>
      </c>
      <c r="V1455" s="149">
        <f t="shared" ref="V1455" si="8596">V1454/V1448</f>
        <v>-0.16251749630299453</v>
      </c>
      <c r="W1455" s="149">
        <f t="shared" ref="W1455" si="8597">W1454/W1448</f>
        <v>-0.21740625404363303</v>
      </c>
      <c r="X1455" s="149">
        <f t="shared" ref="X1455" si="8598">X1454/X1448</f>
        <v>-0.16394168946566084</v>
      </c>
      <c r="Y1455" s="149">
        <f t="shared" ref="Y1455" si="8599">Y1454/Y1448</f>
        <v>-0.17221718587479201</v>
      </c>
      <c r="Z1455" s="149">
        <f t="shared" ref="Z1455" si="8600">Z1454/Z1448</f>
        <v>-0.14425260182697885</v>
      </c>
      <c r="AA1455" s="149">
        <f t="shared" ref="AA1455" si="8601">AA1454/AA1448</f>
        <v>-0.14190089942120859</v>
      </c>
      <c r="AB1455" s="149">
        <f t="shared" ref="AB1455" si="8602">AB1454/AB1448</f>
        <v>-0.16885014061124989</v>
      </c>
      <c r="AC1455" s="149">
        <f t="shared" ref="AC1455" si="8603">AC1454/AC1448</f>
        <v>-0.13328126261440321</v>
      </c>
      <c r="AD1455" s="150">
        <f t="shared" ref="AD1455" si="8604">AD1454/AD1448</f>
        <v>-0.15875479376718318</v>
      </c>
      <c r="AE1455" s="15"/>
      <c r="AF1455" s="96">
        <f t="shared" ref="AF1455" si="8605">AF1454/AF1448</f>
        <v>-0.16249035072799406</v>
      </c>
      <c r="AG1455" s="97">
        <f t="shared" ref="AG1455" si="8606">AG1454/AG1448</f>
        <v>-0.15995103689756121</v>
      </c>
    </row>
    <row r="1456" spans="2:33" ht="3" customHeight="1" x14ac:dyDescent="0.2">
      <c r="B1456" s="9">
        <f>G1436</f>
        <v>30</v>
      </c>
      <c r="C1456" s="9" t="str">
        <f t="shared" si="8476"/>
        <v xml:space="preserve">30 - </v>
      </c>
      <c r="D1456" s="9" t="s">
        <v>56</v>
      </c>
      <c r="F1456" s="16"/>
      <c r="G1456" s="36"/>
      <c r="H1456" s="37"/>
      <c r="I1456" s="37"/>
      <c r="J1456" s="37"/>
      <c r="K1456" s="37"/>
      <c r="L1456" s="37"/>
      <c r="M1456" s="37"/>
      <c r="N1456" s="37"/>
      <c r="O1456" s="37"/>
      <c r="P1456" s="37"/>
      <c r="Q1456" s="37"/>
      <c r="R1456" s="37"/>
      <c r="S1456" s="36"/>
      <c r="T1456" s="37"/>
      <c r="U1456" s="37"/>
      <c r="V1456" s="37"/>
      <c r="W1456" s="37"/>
      <c r="X1456" s="37"/>
      <c r="Y1456" s="37"/>
      <c r="Z1456" s="37"/>
      <c r="AA1456" s="37"/>
      <c r="AB1456" s="37"/>
      <c r="AC1456" s="37"/>
      <c r="AD1456" s="38"/>
      <c r="AE1456" s="15"/>
      <c r="AF1456" s="36"/>
      <c r="AG1456" s="38"/>
    </row>
    <row r="1457" spans="2:33" x14ac:dyDescent="0.2">
      <c r="B1457" s="9">
        <f>G1436</f>
        <v>30</v>
      </c>
      <c r="C1457" s="9" t="str">
        <f t="shared" si="8476"/>
        <v>30 - Office Supplies</v>
      </c>
      <c r="D1457" s="9" t="s">
        <v>56</v>
      </c>
      <c r="F1457" t="s">
        <v>6</v>
      </c>
      <c r="G1457" s="144">
        <v>-25.116812548913163</v>
      </c>
      <c r="H1457" s="70">
        <v>-26.146455788947712</v>
      </c>
      <c r="I1457" s="70">
        <v>-33.334025191557494</v>
      </c>
      <c r="J1457" s="70">
        <v>-29.269785374069365</v>
      </c>
      <c r="K1457" s="70">
        <v>-33.387829256509171</v>
      </c>
      <c r="L1457" s="70">
        <v>-30.896859371566659</v>
      </c>
      <c r="M1457" s="70">
        <v>-28.837657639180389</v>
      </c>
      <c r="N1457" s="70">
        <v>-25.288862483463117</v>
      </c>
      <c r="O1457" s="70">
        <v>-24.231780951051348</v>
      </c>
      <c r="P1457" s="70">
        <v>-25.421359910807617</v>
      </c>
      <c r="Q1457" s="70">
        <v>-22.180804990275323</v>
      </c>
      <c r="R1457" s="70">
        <v>-17.66135614248234</v>
      </c>
      <c r="S1457" s="144">
        <v>-47.079132153659195</v>
      </c>
      <c r="T1457" s="70">
        <v>-48.507324458582197</v>
      </c>
      <c r="U1457" s="70">
        <v>-41.84697940398663</v>
      </c>
      <c r="V1457" s="70">
        <v>-48.066220326733934</v>
      </c>
      <c r="W1457" s="70">
        <v>-60.51228449367575</v>
      </c>
      <c r="X1457" s="70">
        <v>-46.934214371646696</v>
      </c>
      <c r="Y1457" s="70">
        <v>-55.311910188327452</v>
      </c>
      <c r="Z1457" s="70">
        <v>-42.155037475932296</v>
      </c>
      <c r="AA1457" s="70">
        <v>-35.8432654032326</v>
      </c>
      <c r="AB1457" s="70">
        <v>-46.118669514597748</v>
      </c>
      <c r="AC1457" s="70">
        <v>-34.40100123529286</v>
      </c>
      <c r="AD1457" s="145">
        <v>-24.594085321385272</v>
      </c>
      <c r="AE1457" s="15"/>
      <c r="AF1457" s="92">
        <f>SUM(G1457:R1457)</f>
        <v>-321.7735896488237</v>
      </c>
      <c r="AG1457" s="93">
        <f>SUM(S1457:AD1457)</f>
        <v>-531.37012434705264</v>
      </c>
    </row>
    <row r="1458" spans="2:33" x14ac:dyDescent="0.2">
      <c r="B1458" s="9">
        <f>G1436</f>
        <v>30</v>
      </c>
      <c r="C1458" s="9" t="str">
        <f t="shared" si="8476"/>
        <v>30 - % of Revenue - Office Supplies</v>
      </c>
      <c r="D1458" s="9" t="s">
        <v>56</v>
      </c>
      <c r="F1458" s="16" t="str">
        <f>"% of Revenue - "&amp;F1457</f>
        <v>% of Revenue - Office Supplies</v>
      </c>
      <c r="G1458" s="148">
        <f>G1457/G1448</f>
        <v>-0.10314108981270154</v>
      </c>
      <c r="H1458" s="149">
        <f t="shared" ref="H1458" si="8607">H1457/H1448</f>
        <v>-0.10419250091357186</v>
      </c>
      <c r="I1458" s="149">
        <f t="shared" ref="I1458" si="8608">I1457/I1448</f>
        <v>-0.1071441186449328</v>
      </c>
      <c r="J1458" s="149">
        <f t="shared" ref="J1458" si="8609">J1457/J1448</f>
        <v>-0.10256790522256247</v>
      </c>
      <c r="K1458" s="149">
        <f t="shared" ref="K1458" si="8610">K1457/K1448</f>
        <v>-9.846507780212084E-2</v>
      </c>
      <c r="L1458" s="149">
        <f t="shared" ref="L1458" si="8611">L1457/L1448</f>
        <v>-9.3904076084249971E-2</v>
      </c>
      <c r="M1458" s="149">
        <f t="shared" ref="M1458" si="8612">M1457/M1448</f>
        <v>-9.8382734604119268E-2</v>
      </c>
      <c r="N1458" s="149">
        <f t="shared" ref="N1458" si="8613">N1457/N1448</f>
        <v>-6.4517804345331886E-2</v>
      </c>
      <c r="O1458" s="149">
        <f t="shared" ref="O1458" si="8614">O1457/O1448</f>
        <v>-6.722920721699048E-2</v>
      </c>
      <c r="P1458" s="149">
        <f t="shared" ref="P1458" si="8615">P1457/P1448</f>
        <v>-6.766425880928123E-2</v>
      </c>
      <c r="Q1458" s="149">
        <f t="shared" ref="Q1458" si="8616">Q1457/Q1448</f>
        <v>-5.1988393516489192E-2</v>
      </c>
      <c r="R1458" s="149">
        <f t="shared" ref="R1458" si="8617">R1457/R1448</f>
        <v>-4.3469382763404021E-2</v>
      </c>
      <c r="S1458" s="148">
        <f t="shared" ref="S1458" si="8618">S1457/S1448</f>
        <v>-8.9735463763247592E-2</v>
      </c>
      <c r="T1458" s="149">
        <f t="shared" ref="T1458" si="8619">T1457/T1448</f>
        <v>-8.925122953306204E-2</v>
      </c>
      <c r="U1458" s="149">
        <f t="shared" ref="U1458" si="8620">U1457/U1448</f>
        <v>-6.8484079720810082E-2</v>
      </c>
      <c r="V1458" s="149">
        <f t="shared" ref="V1458" si="8621">V1457/V1448</f>
        <v>-8.8364308045307316E-2</v>
      </c>
      <c r="W1458" s="149">
        <f t="shared" ref="W1458" si="8622">W1457/W1448</f>
        <v>-0.11787190231332778</v>
      </c>
      <c r="X1458" s="149">
        <f t="shared" ref="X1458" si="8623">X1457/X1448</f>
        <v>-8.7635053635273005E-2</v>
      </c>
      <c r="Y1458" s="149">
        <f t="shared" ref="Y1458" si="8624">Y1457/Y1448</f>
        <v>-8.9382707605261E-2</v>
      </c>
      <c r="Z1458" s="149">
        <f t="shared" ref="Z1458" si="8625">Z1457/Z1448</f>
        <v>-7.1455449095176746E-2</v>
      </c>
      <c r="AA1458" s="149">
        <f t="shared" ref="AA1458" si="8626">AA1457/AA1448</f>
        <v>-7.0294116893917818E-2</v>
      </c>
      <c r="AB1458" s="149">
        <f t="shared" ref="AB1458" si="8627">AB1457/AB1448</f>
        <v>-8.8570563565396901E-2</v>
      </c>
      <c r="AC1458" s="149">
        <f t="shared" ref="AC1458" si="8628">AC1457/AC1448</f>
        <v>-7.0521731693923603E-2</v>
      </c>
      <c r="AD1458" s="150">
        <f t="shared" ref="AD1458" si="8629">AD1457/AD1448</f>
        <v>-8.4048327533415498E-2</v>
      </c>
      <c r="AE1458" s="15"/>
      <c r="AF1458" s="96">
        <f t="shared" ref="AF1458" si="8630">AF1457/AF1448</f>
        <v>-8.0178476922849518E-2</v>
      </c>
      <c r="AG1458" s="97">
        <f t="shared" ref="AG1458" si="8631">AG1457/AG1448</f>
        <v>-8.4453392431155794E-2</v>
      </c>
    </row>
    <row r="1459" spans="2:33" ht="6" customHeight="1" x14ac:dyDescent="0.2">
      <c r="B1459" s="9">
        <f>G1436</f>
        <v>30</v>
      </c>
      <c r="C1459" s="9" t="str">
        <f t="shared" si="8476"/>
        <v xml:space="preserve">30 - </v>
      </c>
      <c r="D1459" s="9" t="s">
        <v>56</v>
      </c>
      <c r="F1459" s="16"/>
      <c r="G1459" s="11"/>
      <c r="S1459" s="11"/>
      <c r="AD1459" s="15"/>
      <c r="AE1459" s="15"/>
      <c r="AF1459" s="11"/>
      <c r="AG1459" s="15"/>
    </row>
    <row r="1460" spans="2:33" x14ac:dyDescent="0.2">
      <c r="B1460" s="9">
        <f>G1436</f>
        <v>30</v>
      </c>
      <c r="C1460" s="9" t="str">
        <f t="shared" si="8476"/>
        <v>30 - Office Gross Profit</v>
      </c>
      <c r="D1460" s="9" t="s">
        <v>56</v>
      </c>
      <c r="F1460" s="8" t="s">
        <v>11</v>
      </c>
      <c r="G1460" s="134">
        <f>G1448+G1451+G1454+G1457</f>
        <v>76.493222023279344</v>
      </c>
      <c r="H1460" s="135">
        <f t="shared" ref="H1460:AD1460" si="8632">H1448+H1451+H1454+H1457</f>
        <v>76.953125778973941</v>
      </c>
      <c r="I1460" s="135">
        <f t="shared" si="8632"/>
        <v>95.723453778546002</v>
      </c>
      <c r="J1460" s="135">
        <f t="shared" si="8632"/>
        <v>86.214506019646137</v>
      </c>
      <c r="K1460" s="135">
        <f t="shared" si="8632"/>
        <v>103.59624037812904</v>
      </c>
      <c r="L1460" s="135">
        <f t="shared" si="8632"/>
        <v>102.84387936024181</v>
      </c>
      <c r="M1460" s="135">
        <f t="shared" si="8632"/>
        <v>94.238951376305977</v>
      </c>
      <c r="N1460" s="135">
        <f t="shared" si="8632"/>
        <v>217.74027835831518</v>
      </c>
      <c r="O1460" s="135">
        <f t="shared" si="8632"/>
        <v>198.39122229889918</v>
      </c>
      <c r="P1460" s="135">
        <f t="shared" si="8632"/>
        <v>207.46652534340726</v>
      </c>
      <c r="Q1460" s="135">
        <f t="shared" si="8632"/>
        <v>285.31855599958192</v>
      </c>
      <c r="R1460" s="135">
        <f t="shared" si="8632"/>
        <v>297.19728838721448</v>
      </c>
      <c r="S1460" s="134">
        <f t="shared" si="8632"/>
        <v>221.66674204714889</v>
      </c>
      <c r="T1460" s="135">
        <f t="shared" si="8632"/>
        <v>231.68841986494883</v>
      </c>
      <c r="U1460" s="135">
        <f t="shared" si="8632"/>
        <v>327.89322623001414</v>
      </c>
      <c r="V1460" s="135">
        <f t="shared" si="8632"/>
        <v>231.79087303563799</v>
      </c>
      <c r="W1460" s="135">
        <f t="shared" si="8632"/>
        <v>114.83938021653772</v>
      </c>
      <c r="X1460" s="135">
        <f t="shared" si="8632"/>
        <v>220.75203321589277</v>
      </c>
      <c r="Y1460" s="135">
        <f t="shared" si="8632"/>
        <v>254.00243797219352</v>
      </c>
      <c r="Z1460" s="135">
        <f t="shared" si="8632"/>
        <v>304.6212148432071</v>
      </c>
      <c r="AA1460" s="135">
        <f t="shared" si="8632"/>
        <v>264.11719279817396</v>
      </c>
      <c r="AB1460" s="135">
        <f t="shared" si="8632"/>
        <v>213.06479919356343</v>
      </c>
      <c r="AC1460" s="135">
        <f t="shared" si="8632"/>
        <v>258.7271408999249</v>
      </c>
      <c r="AD1460" s="136">
        <f t="shared" si="8632"/>
        <v>123.08718923475058</v>
      </c>
      <c r="AE1460" s="15"/>
      <c r="AF1460" s="98">
        <f>SUM(G1460:R1460)</f>
        <v>1842.1772491025404</v>
      </c>
      <c r="AG1460" s="95">
        <f>SUM(S1460:AD1460)</f>
        <v>2766.2506495519938</v>
      </c>
    </row>
    <row r="1461" spans="2:33" x14ac:dyDescent="0.2">
      <c r="B1461" s="9">
        <f>G1436</f>
        <v>30</v>
      </c>
      <c r="C1461" s="9" t="str">
        <f t="shared" si="8476"/>
        <v>30 - % of Revenue - Office Gross Profit</v>
      </c>
      <c r="D1461" s="9" t="s">
        <v>56</v>
      </c>
      <c r="F1461" s="16" t="str">
        <f>"% of Revenue - "&amp;F1460</f>
        <v>% of Revenue - Office Gross Profit</v>
      </c>
      <c r="G1461" s="148">
        <f>G1460/G1448</f>
        <v>0.31411606338987336</v>
      </c>
      <c r="H1461" s="149">
        <f t="shared" ref="H1461" si="8633">H1460/H1448</f>
        <v>0.30665489398441492</v>
      </c>
      <c r="I1461" s="149">
        <f t="shared" ref="I1461" si="8634">I1460/I1448</f>
        <v>0.30767976653923157</v>
      </c>
      <c r="J1461" s="149">
        <f t="shared" ref="J1461" si="8635">J1460/J1448</f>
        <v>0.30211500252636431</v>
      </c>
      <c r="K1461" s="149">
        <f t="shared" ref="K1461" si="8636">K1460/K1448</f>
        <v>0.30551887007901279</v>
      </c>
      <c r="L1461" s="149">
        <f t="shared" ref="L1461" si="8637">L1460/L1448</f>
        <v>0.31257091072275806</v>
      </c>
      <c r="M1461" s="149">
        <f t="shared" ref="M1461" si="8638">M1460/M1448</f>
        <v>0.32150620062944618</v>
      </c>
      <c r="N1461" s="149">
        <f t="shared" ref="N1461" si="8639">N1460/N1448</f>
        <v>0.55550638888586734</v>
      </c>
      <c r="O1461" s="149">
        <f t="shared" ref="O1461" si="8640">O1460/O1448</f>
        <v>0.55042114407137832</v>
      </c>
      <c r="P1461" s="149">
        <f t="shared" ref="P1461" si="8641">P1460/P1448</f>
        <v>0.55221548785556818</v>
      </c>
      <c r="Q1461" s="149">
        <f t="shared" ref="Q1461" si="8642">Q1460/Q1448</f>
        <v>0.66874278789097286</v>
      </c>
      <c r="R1461" s="149">
        <f t="shared" ref="R1461" si="8643">R1460/R1448</f>
        <v>0.73148305152368698</v>
      </c>
      <c r="S1461" s="148">
        <f t="shared" ref="S1461" si="8644">S1460/S1448</f>
        <v>0.42250923049232619</v>
      </c>
      <c r="T1461" s="149">
        <f t="shared" ref="T1461" si="8645">T1460/T1448</f>
        <v>0.42629595782334356</v>
      </c>
      <c r="U1461" s="149">
        <f t="shared" ref="U1461" si="8646">U1460/U1448</f>
        <v>0.53660900176968673</v>
      </c>
      <c r="V1461" s="149">
        <f t="shared" ref="V1461" si="8647">V1460/V1448</f>
        <v>0.42612129615733346</v>
      </c>
      <c r="W1461" s="149">
        <f t="shared" ref="W1461" si="8648">W1460/W1448</f>
        <v>0.22369567303349039</v>
      </c>
      <c r="X1461" s="149">
        <f t="shared" ref="X1461" si="8649">X1460/X1448</f>
        <v>0.41218579089835922</v>
      </c>
      <c r="Y1461" s="149">
        <f t="shared" ref="Y1461" si="8650">Y1460/Y1448</f>
        <v>0.41046178963971403</v>
      </c>
      <c r="Z1461" s="149">
        <f t="shared" ref="Z1461" si="8651">Z1460/Z1448</f>
        <v>0.51635218502574209</v>
      </c>
      <c r="AA1461" s="149">
        <f t="shared" ref="AA1461" si="8652">AA1460/AA1448</f>
        <v>0.51797414703666667</v>
      </c>
      <c r="AB1461" s="149">
        <f t="shared" ref="AB1461" si="8653">AB1460/AB1448</f>
        <v>0.40918937036006192</v>
      </c>
      <c r="AC1461" s="149">
        <f t="shared" ref="AC1461" si="8654">AC1460/AC1448</f>
        <v>0.53038822584505341</v>
      </c>
      <c r="AD1461" s="150">
        <f t="shared" ref="AD1461" si="8655">AD1460/AD1448</f>
        <v>0.42064066464688954</v>
      </c>
      <c r="AE1461" s="15"/>
      <c r="AF1461" s="111">
        <f t="shared" ref="AF1461" si="8656">AF1460/AF1448</f>
        <v>0.45902762316871953</v>
      </c>
      <c r="AG1461" s="97">
        <f t="shared" ref="AG1461" si="8657">AG1460/AG1448</f>
        <v>0.43965447240118249</v>
      </c>
    </row>
    <row r="1462" spans="2:33" ht="6" customHeight="1" x14ac:dyDescent="0.2">
      <c r="B1462" s="9">
        <f>G1436</f>
        <v>30</v>
      </c>
      <c r="C1462" s="9" t="str">
        <f t="shared" si="8476"/>
        <v xml:space="preserve">30 - </v>
      </c>
      <c r="D1462" s="9" t="s">
        <v>56</v>
      </c>
      <c r="F1462" s="16"/>
      <c r="G1462" s="11"/>
      <c r="S1462" s="11"/>
      <c r="AD1462" s="15"/>
      <c r="AE1462" s="15"/>
      <c r="AF1462" s="11"/>
      <c r="AG1462" s="15"/>
    </row>
    <row r="1463" spans="2:33" x14ac:dyDescent="0.2">
      <c r="B1463" s="9">
        <f>G1436</f>
        <v>30</v>
      </c>
      <c r="C1463" s="9" t="str">
        <f t="shared" si="8476"/>
        <v>30 - General and Administrative Expense</v>
      </c>
      <c r="D1463" s="9" t="s">
        <v>56</v>
      </c>
      <c r="F1463" t="s">
        <v>10</v>
      </c>
      <c r="G1463" s="144">
        <v>-11.402787287992219</v>
      </c>
      <c r="H1463" s="70">
        <v>-11.771438743467378</v>
      </c>
      <c r="I1463" s="70">
        <v>-14.97696717644792</v>
      </c>
      <c r="J1463" s="70">
        <v>-13.05729575227349</v>
      </c>
      <c r="K1463" s="70">
        <v>-13.844324752423372</v>
      </c>
      <c r="L1463" s="70">
        <v>-12.119295997015094</v>
      </c>
      <c r="M1463" s="70">
        <v>-12.102128823949487</v>
      </c>
      <c r="N1463" s="70">
        <v>-10.776670326608773</v>
      </c>
      <c r="O1463" s="70">
        <v>-9.761319758965401</v>
      </c>
      <c r="P1463" s="70">
        <v>-10.974441972007657</v>
      </c>
      <c r="Q1463" s="70">
        <v>-9.4464616875703662</v>
      </c>
      <c r="R1463" s="70">
        <v>-7.4320263537405742</v>
      </c>
      <c r="S1463" s="144">
        <v>-11.424285649727134</v>
      </c>
      <c r="T1463" s="70">
        <v>-10.964601625642354</v>
      </c>
      <c r="U1463" s="70">
        <v>-9.884787961800134</v>
      </c>
      <c r="V1463" s="70">
        <v>-10.934033128360785</v>
      </c>
      <c r="W1463" s="70">
        <v>-15.163764515963432</v>
      </c>
      <c r="X1463" s="70">
        <v>-11.820261069879459</v>
      </c>
      <c r="Y1463" s="70">
        <v>-12.198723516539845</v>
      </c>
      <c r="Z1463" s="70">
        <v>-9.3413604649650761</v>
      </c>
      <c r="AA1463" s="70">
        <v>-7.3790080161378135</v>
      </c>
      <c r="AB1463" s="70">
        <v>-9.7170426657516007</v>
      </c>
      <c r="AC1463" s="70">
        <v>-7.4410828119855159</v>
      </c>
      <c r="AD1463" s="145">
        <v>-5.4681356077611634</v>
      </c>
      <c r="AE1463" s="15"/>
      <c r="AF1463" s="144">
        <v>-137.66515863246173</v>
      </c>
      <c r="AG1463" s="145">
        <v>-121.73708703451433</v>
      </c>
    </row>
    <row r="1464" spans="2:33" x14ac:dyDescent="0.2">
      <c r="B1464" s="9">
        <f>G1436</f>
        <v>30</v>
      </c>
      <c r="C1464" s="9" t="str">
        <f t="shared" si="8476"/>
        <v>30 - % of Revenue - General and Administrative Expense</v>
      </c>
      <c r="D1464" s="9" t="s">
        <v>56</v>
      </c>
      <c r="F1464" s="16" t="str">
        <f>"% of Revenue - "&amp;F1463</f>
        <v>% of Revenue - General and Administrative Expense</v>
      </c>
      <c r="G1464" s="148">
        <f>G1463/G1448</f>
        <v>-4.6825046191493275E-2</v>
      </c>
      <c r="H1464" s="149">
        <f t="shared" ref="H1464" si="8658">H1463/H1448</f>
        <v>-4.6908676722113449E-2</v>
      </c>
      <c r="I1464" s="149">
        <f t="shared" ref="I1464" si="8659">I1463/I1448</f>
        <v>-4.8139819264941958E-2</v>
      </c>
      <c r="J1464" s="149">
        <f t="shared" ref="J1464" si="8660">J1463/J1448</f>
        <v>-4.5755698446925723E-2</v>
      </c>
      <c r="K1464" s="149">
        <f t="shared" ref="K1464" si="8661">K1463/K1448</f>
        <v>-4.0828725443401909E-2</v>
      </c>
      <c r="L1464" s="149">
        <f t="shared" ref="L1464" si="8662">L1463/L1448</f>
        <v>-3.6833882683835556E-2</v>
      </c>
      <c r="M1464" s="149">
        <f t="shared" ref="M1464" si="8663">M1463/M1448</f>
        <v>-4.1287698991675954E-2</v>
      </c>
      <c r="N1464" s="149">
        <f t="shared" ref="N1464" si="8664">N1463/N1448</f>
        <v>-2.7493807128768664E-2</v>
      </c>
      <c r="O1464" s="149">
        <f t="shared" ref="O1464" si="8665">O1463/O1448</f>
        <v>-2.7082028766784304E-2</v>
      </c>
      <c r="P1464" s="149">
        <f t="shared" ref="P1464" si="8666">P1463/P1448</f>
        <v>-2.9210769387898322E-2</v>
      </c>
      <c r="Q1464" s="149">
        <f t="shared" ref="Q1464" si="8667">Q1463/Q1448</f>
        <v>-2.2141052489626115E-2</v>
      </c>
      <c r="R1464" s="149">
        <f t="shared" ref="R1464" si="8668">R1463/R1448</f>
        <v>-1.8292230544027035E-2</v>
      </c>
      <c r="S1464" s="148">
        <f t="shared" ref="S1464" si="8669">S1463/S1448</f>
        <v>-2.1775328559500613E-2</v>
      </c>
      <c r="T1464" s="149">
        <f t="shared" ref="T1464" si="8670">T1463/T1448</f>
        <v>-2.0174358972620075E-2</v>
      </c>
      <c r="U1464" s="149">
        <f t="shared" ref="U1464" si="8671">U1463/U1448</f>
        <v>-1.617680932867363E-2</v>
      </c>
      <c r="V1464" s="149">
        <f t="shared" ref="V1464" si="8672">V1463/V1448</f>
        <v>-2.0100982872470405E-2</v>
      </c>
      <c r="W1464" s="149">
        <f t="shared" ref="W1464" si="8673">W1463/W1448</f>
        <v>-2.9537502751441326E-2</v>
      </c>
      <c r="X1464" s="149">
        <f t="shared" ref="X1464" si="8674">X1463/X1448</f>
        <v>-2.2070662664966052E-2</v>
      </c>
      <c r="Y1464" s="149">
        <f t="shared" ref="Y1464" si="8675">Y1463/Y1448</f>
        <v>-1.9712841836845497E-2</v>
      </c>
      <c r="Z1464" s="149">
        <f t="shared" ref="Z1464" si="8676">Z1463/Z1448</f>
        <v>-1.5834195558836861E-2</v>
      </c>
      <c r="AA1464" s="149">
        <f t="shared" ref="AA1464" si="8677">AA1463/AA1448</f>
        <v>-1.4471361529487433E-2</v>
      </c>
      <c r="AB1464" s="149">
        <f t="shared" ref="AB1464" si="8678">AB1463/AB1448</f>
        <v>-1.8661508542049548E-2</v>
      </c>
      <c r="AC1464" s="149">
        <f t="shared" ref="AC1464" si="8679">AC1463/AC1448</f>
        <v>-1.5254150365854657E-2</v>
      </c>
      <c r="AD1464" s="150">
        <f t="shared" ref="AD1464" si="8680">AD1463/AD1448</f>
        <v>-1.868691787283577E-2</v>
      </c>
      <c r="AE1464" s="15"/>
      <c r="AF1464" s="96">
        <f t="shared" ref="AF1464" si="8681">AF1463/AF1448</f>
        <v>-3.4302948096329569E-2</v>
      </c>
      <c r="AG1464" s="97">
        <f t="shared" ref="AG1464" si="8682">AG1463/AG1448</f>
        <v>-1.934830264946685E-2</v>
      </c>
    </row>
    <row r="1465" spans="2:33" ht="3" customHeight="1" x14ac:dyDescent="0.2">
      <c r="B1465" s="9">
        <f>G1436</f>
        <v>30</v>
      </c>
      <c r="C1465" s="9" t="str">
        <f t="shared" si="8476"/>
        <v xml:space="preserve">30 - </v>
      </c>
      <c r="D1465" s="9" t="s">
        <v>56</v>
      </c>
      <c r="F1465" s="16"/>
      <c r="G1465" s="36"/>
      <c r="H1465" s="37"/>
      <c r="I1465" s="37"/>
      <c r="J1465" s="37"/>
      <c r="K1465" s="37"/>
      <c r="L1465" s="37"/>
      <c r="M1465" s="37"/>
      <c r="N1465" s="37"/>
      <c r="O1465" s="37"/>
      <c r="P1465" s="37"/>
      <c r="Q1465" s="37"/>
      <c r="R1465" s="37"/>
      <c r="S1465" s="36"/>
      <c r="T1465" s="37"/>
      <c r="U1465" s="37"/>
      <c r="V1465" s="37"/>
      <c r="W1465" s="37"/>
      <c r="X1465" s="37"/>
      <c r="Y1465" s="37"/>
      <c r="Z1465" s="37"/>
      <c r="AA1465" s="37"/>
      <c r="AB1465" s="37"/>
      <c r="AC1465" s="37"/>
      <c r="AD1465" s="38"/>
      <c r="AE1465" s="15"/>
      <c r="AF1465" s="36"/>
      <c r="AG1465" s="38"/>
    </row>
    <row r="1466" spans="2:33" x14ac:dyDescent="0.2">
      <c r="B1466" s="9">
        <f>G1436</f>
        <v>30</v>
      </c>
      <c r="C1466" s="9" t="str">
        <f t="shared" si="8476"/>
        <v>30 - Marketing</v>
      </c>
      <c r="D1466" s="9" t="s">
        <v>56</v>
      </c>
      <c r="F1466" t="s">
        <v>7</v>
      </c>
      <c r="G1466" s="144">
        <v>-2.266385837897932</v>
      </c>
      <c r="H1466" s="70">
        <v>-3.5419832705080561</v>
      </c>
      <c r="I1466" s="70">
        <v>-5.2893896144211014</v>
      </c>
      <c r="J1466" s="70">
        <v>-4.9078100852895519</v>
      </c>
      <c r="K1466" s="70">
        <v>-6.5254367593775946</v>
      </c>
      <c r="L1466" s="70">
        <v>-5.6418273507447125</v>
      </c>
      <c r="M1466" s="70">
        <v>-3.9709077862598408</v>
      </c>
      <c r="N1466" s="70">
        <v>-3.7121945698299084</v>
      </c>
      <c r="O1466" s="70">
        <v>-4.1676726986660757</v>
      </c>
      <c r="P1466" s="70">
        <v>-3.3300965334063464</v>
      </c>
      <c r="Q1466" s="70">
        <v>-2.4304863246345669</v>
      </c>
      <c r="R1466" s="70">
        <v>-2.5898030740463418</v>
      </c>
      <c r="S1466" s="144">
        <v>-4.7504115060073433</v>
      </c>
      <c r="T1466" s="70">
        <v>-3.957913463105605</v>
      </c>
      <c r="U1466" s="70">
        <v>-2.4441872957677022</v>
      </c>
      <c r="V1466" s="70">
        <v>-3.8643083849360922</v>
      </c>
      <c r="W1466" s="70">
        <v>-6.181862382529606</v>
      </c>
      <c r="X1466" s="70">
        <v>-4.2939919946034726</v>
      </c>
      <c r="Y1466" s="70">
        <v>-6.3109873113011528</v>
      </c>
      <c r="Z1466" s="70">
        <v>-4.173252270287386</v>
      </c>
      <c r="AA1466" s="70">
        <v>-2.981605631726636</v>
      </c>
      <c r="AB1466" s="70">
        <v>-3.9833267196057767</v>
      </c>
      <c r="AC1466" s="70">
        <v>-3.475027787177253</v>
      </c>
      <c r="AD1466" s="145">
        <v>-2.6918917489362739</v>
      </c>
      <c r="AE1466" s="15"/>
      <c r="AF1466" s="144">
        <v>-48.373993905082031</v>
      </c>
      <c r="AG1466" s="145">
        <v>-49.108766495984298</v>
      </c>
    </row>
    <row r="1467" spans="2:33" x14ac:dyDescent="0.2">
      <c r="B1467" s="9">
        <f>G1436</f>
        <v>30</v>
      </c>
      <c r="C1467" s="9" t="str">
        <f t="shared" si="8476"/>
        <v>30 - % of Revenue - Marketing</v>
      </c>
      <c r="D1467" s="9" t="s">
        <v>56</v>
      </c>
      <c r="F1467" s="16" t="str">
        <f>"% of Revenue - "&amp;F1466</f>
        <v>% of Revenue - Marketing</v>
      </c>
      <c r="G1467" s="148">
        <f>G1466/G1448</f>
        <v>-9.3068141031685328E-3</v>
      </c>
      <c r="H1467" s="149">
        <f t="shared" ref="H1467" si="8683">H1466/H1448</f>
        <v>-1.4114650877625489E-2</v>
      </c>
      <c r="I1467" s="149">
        <f t="shared" ref="I1467" si="8684">I1466/I1448</f>
        <v>-1.7001456774273536E-2</v>
      </c>
      <c r="J1467" s="149">
        <f t="shared" ref="J1467" si="8685">J1466/J1448</f>
        <v>-1.7198069382643025E-2</v>
      </c>
      <c r="K1467" s="149">
        <f t="shared" ref="K1467" si="8686">K1466/K1448</f>
        <v>-1.9244366959845681E-2</v>
      </c>
      <c r="L1467" s="149">
        <f t="shared" ref="L1467" si="8687">L1466/L1448</f>
        <v>-1.7147069170599338E-2</v>
      </c>
      <c r="M1467" s="149">
        <f t="shared" ref="M1467" si="8688">M1466/M1448</f>
        <v>-1.3547174037542117E-2</v>
      </c>
      <c r="N1467" s="149">
        <f t="shared" ref="N1467" si="8689">N1466/N1448</f>
        <v>-9.4706767892270751E-3</v>
      </c>
      <c r="O1467" s="149">
        <f t="shared" ref="O1467" si="8690">O1466/O1448</f>
        <v>-1.1562886443930937E-2</v>
      </c>
      <c r="P1467" s="149">
        <f t="shared" ref="P1467" si="8691">P1466/P1448</f>
        <v>-8.8637474347114404E-3</v>
      </c>
      <c r="Q1467" s="149">
        <f t="shared" ref="Q1467" si="8692">Q1466/Q1448</f>
        <v>-5.6966859199630397E-3</v>
      </c>
      <c r="R1467" s="149">
        <f t="shared" ref="R1467" si="8693">R1466/R1448</f>
        <v>-6.3742070653775877E-3</v>
      </c>
      <c r="S1467" s="148">
        <f t="shared" ref="S1467" si="8694">S1466/S1448</f>
        <v>-9.0545504994977693E-3</v>
      </c>
      <c r="T1467" s="149">
        <f t="shared" ref="T1467" si="8695">T1466/T1448</f>
        <v>-7.2823773916711257E-3</v>
      </c>
      <c r="U1467" s="149">
        <f t="shared" ref="U1467" si="8696">U1466/U1448</f>
        <v>-4.0000000000000001E-3</v>
      </c>
      <c r="V1467" s="149">
        <f t="shared" ref="V1467" si="8697">V1466/V1448</f>
        <v>-7.1040937728701851E-3</v>
      </c>
      <c r="W1467" s="149">
        <f t="shared" ref="W1467" si="8698">W1466/W1448</f>
        <v>-1.2041652120142974E-2</v>
      </c>
      <c r="X1467" s="149">
        <f t="shared" ref="X1467" si="8699">X1466/X1448</f>
        <v>-8.0176950609369604E-3</v>
      </c>
      <c r="Y1467" s="149">
        <f t="shared" ref="Y1467" si="8700">Y1466/Y1448</f>
        <v>-1.0198402688063095E-2</v>
      </c>
      <c r="Z1467" s="149">
        <f t="shared" ref="Z1467" si="8701">Z1466/Z1448</f>
        <v>-7.0739259888240938E-3</v>
      </c>
      <c r="AA1467" s="149">
        <f t="shared" ref="AA1467" si="8702">AA1466/AA1448</f>
        <v>-5.8473839492663411E-3</v>
      </c>
      <c r="AB1467" s="149">
        <f t="shared" ref="AB1467" si="8703">AB1466/AB1448</f>
        <v>-7.6499494919062081E-3</v>
      </c>
      <c r="AC1467" s="149">
        <f t="shared" ref="AC1467" si="8704">AC1466/AC1448</f>
        <v>-7.123774554120387E-3</v>
      </c>
      <c r="AD1467" s="150">
        <f t="shared" ref="AD1467" si="8705">AD1466/AD1448</f>
        <v>-9.1993256281974658E-3</v>
      </c>
      <c r="AE1467" s="15"/>
      <c r="AF1467" s="96">
        <f t="shared" ref="AF1467" si="8706">AF1466/AF1448</f>
        <v>-1.2053671521698367E-2</v>
      </c>
      <c r="AG1467" s="97">
        <f t="shared" ref="AG1467" si="8707">AG1466/AG1448</f>
        <v>-7.8051093553512876E-3</v>
      </c>
    </row>
    <row r="1468" spans="2:33" ht="3" customHeight="1" x14ac:dyDescent="0.2">
      <c r="B1468" s="9">
        <f>G1436</f>
        <v>30</v>
      </c>
      <c r="C1468" s="9" t="str">
        <f t="shared" si="8476"/>
        <v xml:space="preserve">30 - </v>
      </c>
      <c r="D1468" s="9" t="s">
        <v>56</v>
      </c>
      <c r="F1468" s="16"/>
      <c r="G1468" s="36"/>
      <c r="H1468" s="37"/>
      <c r="I1468" s="37"/>
      <c r="J1468" s="37"/>
      <c r="K1468" s="37"/>
      <c r="L1468" s="37"/>
      <c r="M1468" s="37"/>
      <c r="N1468" s="37"/>
      <c r="O1468" s="37"/>
      <c r="P1468" s="37"/>
      <c r="Q1468" s="37"/>
      <c r="R1468" s="37"/>
      <c r="S1468" s="36"/>
      <c r="T1468" s="37"/>
      <c r="U1468" s="37"/>
      <c r="V1468" s="37"/>
      <c r="W1468" s="37"/>
      <c r="X1468" s="37"/>
      <c r="Y1468" s="37"/>
      <c r="Z1468" s="37"/>
      <c r="AA1468" s="37"/>
      <c r="AB1468" s="37"/>
      <c r="AC1468" s="37"/>
      <c r="AD1468" s="38"/>
      <c r="AE1468" s="15"/>
      <c r="AF1468" s="36"/>
      <c r="AG1468" s="38"/>
    </row>
    <row r="1469" spans="2:33" x14ac:dyDescent="0.2">
      <c r="B1469" s="9">
        <f>G1436</f>
        <v>30</v>
      </c>
      <c r="C1469" s="9" t="str">
        <f t="shared" si="8476"/>
        <v>30 - Office Rent</v>
      </c>
      <c r="D1469" s="9" t="s">
        <v>56</v>
      </c>
      <c r="F1469" t="s">
        <v>162</v>
      </c>
      <c r="G1469" s="144">
        <v>-20.591026090407997</v>
      </c>
      <c r="H1469" s="70">
        <v>-20.591026090407997</v>
      </c>
      <c r="I1469" s="70">
        <v>-20.591026090407997</v>
      </c>
      <c r="J1469" s="70">
        <v>-20.591026090407997</v>
      </c>
      <c r="K1469" s="70">
        <v>-20.591026090407997</v>
      </c>
      <c r="L1469" s="70">
        <v>-21.208756873120237</v>
      </c>
      <c r="M1469" s="70">
        <v>-21.208756873120237</v>
      </c>
      <c r="N1469" s="70">
        <v>-21.208756873120237</v>
      </c>
      <c r="O1469" s="70">
        <v>-21.208756873120237</v>
      </c>
      <c r="P1469" s="70">
        <v>-21.208756873120237</v>
      </c>
      <c r="Q1469" s="70">
        <v>-21.208756873120237</v>
      </c>
      <c r="R1469" s="70">
        <v>-21.208756873120237</v>
      </c>
      <c r="S1469" s="144">
        <v>-21.209173466040049</v>
      </c>
      <c r="T1469" s="70">
        <v>-21.209173466040049</v>
      </c>
      <c r="U1469" s="70">
        <v>-21.209173466040049</v>
      </c>
      <c r="V1469" s="70">
        <v>-21.209173466040049</v>
      </c>
      <c r="W1469" s="70">
        <v>-21.209173466040049</v>
      </c>
      <c r="X1469" s="70">
        <v>-21.845448670021248</v>
      </c>
      <c r="Y1469" s="70">
        <v>-21.845448670021248</v>
      </c>
      <c r="Z1469" s="70">
        <v>-21.845448670021248</v>
      </c>
      <c r="AA1469" s="70">
        <v>-21.845448670021248</v>
      </c>
      <c r="AB1469" s="70">
        <v>-21.845448670021248</v>
      </c>
      <c r="AC1469" s="70">
        <v>-21.845448670021248</v>
      </c>
      <c r="AD1469" s="145">
        <v>-21.845448670021248</v>
      </c>
      <c r="AE1469" s="15"/>
      <c r="AF1469" s="144">
        <v>-251.41642856388171</v>
      </c>
      <c r="AG1469" s="145">
        <v>-258.96400802034901</v>
      </c>
    </row>
    <row r="1470" spans="2:33" x14ac:dyDescent="0.2">
      <c r="B1470" s="9">
        <f>G1436</f>
        <v>30</v>
      </c>
      <c r="C1470" s="9" t="str">
        <f t="shared" si="8476"/>
        <v>30 - % YoY Growth</v>
      </c>
      <c r="D1470" s="9" t="s">
        <v>56</v>
      </c>
      <c r="F1470" s="16" t="s">
        <v>8</v>
      </c>
      <c r="G1470" s="82"/>
      <c r="H1470" s="83"/>
      <c r="I1470" s="83"/>
      <c r="J1470" s="83"/>
      <c r="K1470" s="83"/>
      <c r="L1470" s="83"/>
      <c r="M1470" s="83"/>
      <c r="N1470" s="83"/>
      <c r="O1470" s="83"/>
      <c r="P1470" s="83"/>
      <c r="Q1470" s="83"/>
      <c r="R1470" s="83"/>
      <c r="S1470" s="148">
        <f>S1469/G1469-1</f>
        <v>3.0020231770771622E-2</v>
      </c>
      <c r="T1470" s="149">
        <f t="shared" ref="T1470" si="8708">T1469/H1469-1</f>
        <v>3.0020231770771622E-2</v>
      </c>
      <c r="U1470" s="149">
        <f t="shared" ref="U1470" si="8709">U1469/I1469-1</f>
        <v>3.0020231770771622E-2</v>
      </c>
      <c r="V1470" s="149">
        <f t="shared" ref="V1470" si="8710">V1469/J1469-1</f>
        <v>3.0020231770771622E-2</v>
      </c>
      <c r="W1470" s="149">
        <f t="shared" ref="W1470" si="8711">W1469/K1469-1</f>
        <v>3.0020231770771622E-2</v>
      </c>
      <c r="X1470" s="149">
        <f t="shared" ref="X1470" si="8712">X1469/L1469-1</f>
        <v>3.0020231770771399E-2</v>
      </c>
      <c r="Y1470" s="149">
        <f t="shared" ref="Y1470" si="8713">Y1469/M1469-1</f>
        <v>3.0020231770771399E-2</v>
      </c>
      <c r="Z1470" s="149">
        <f t="shared" ref="Z1470" si="8714">Z1469/N1469-1</f>
        <v>3.0020231770771399E-2</v>
      </c>
      <c r="AA1470" s="149">
        <f t="shared" ref="AA1470" si="8715">AA1469/O1469-1</f>
        <v>3.0020231770771399E-2</v>
      </c>
      <c r="AB1470" s="149">
        <f t="shared" ref="AB1470" si="8716">AB1469/P1469-1</f>
        <v>3.0020231770771399E-2</v>
      </c>
      <c r="AC1470" s="149">
        <f t="shared" ref="AC1470" si="8717">AC1469/Q1469-1</f>
        <v>3.0020231770771399E-2</v>
      </c>
      <c r="AD1470" s="150">
        <f t="shared" ref="AD1470" si="8718">AD1469/R1469-1</f>
        <v>3.0020231770771399E-2</v>
      </c>
      <c r="AE1470" s="15"/>
      <c r="AF1470" s="11"/>
      <c r="AG1470" s="97">
        <f>AG1469/AF1469-1</f>
        <v>3.0020231770771399E-2</v>
      </c>
    </row>
    <row r="1471" spans="2:33" ht="6" customHeight="1" x14ac:dyDescent="0.2">
      <c r="B1471" s="9">
        <f>G1436</f>
        <v>30</v>
      </c>
      <c r="C1471" s="9" t="str">
        <f t="shared" si="8476"/>
        <v xml:space="preserve">30 - </v>
      </c>
      <c r="D1471" s="9" t="s">
        <v>56</v>
      </c>
      <c r="F1471" s="16"/>
      <c r="G1471" s="11"/>
      <c r="S1471" s="11"/>
      <c r="AD1471" s="15"/>
      <c r="AE1471" s="15"/>
      <c r="AF1471" s="11"/>
      <c r="AG1471" s="15"/>
    </row>
    <row r="1472" spans="2:33" x14ac:dyDescent="0.2">
      <c r="B1472" s="9">
        <f>G1436</f>
        <v>30</v>
      </c>
      <c r="C1472" s="9" t="str">
        <f t="shared" si="8476"/>
        <v>30 - Office EBITDA</v>
      </c>
      <c r="D1472" s="9" t="s">
        <v>56</v>
      </c>
      <c r="F1472" s="8" t="s">
        <v>12</v>
      </c>
      <c r="G1472" s="134">
        <f>G1460+G1463+G1466+G1469</f>
        <v>42.233022806981197</v>
      </c>
      <c r="H1472" s="135">
        <f t="shared" ref="H1472:AD1472" si="8719">H1460+H1463+H1466+H1469</f>
        <v>41.048677674590522</v>
      </c>
      <c r="I1472" s="135">
        <f t="shared" si="8719"/>
        <v>54.866070897268997</v>
      </c>
      <c r="J1472" s="135">
        <f t="shared" si="8719"/>
        <v>47.6583740916751</v>
      </c>
      <c r="K1472" s="135">
        <f t="shared" si="8719"/>
        <v>62.635452775920072</v>
      </c>
      <c r="L1472" s="135">
        <f t="shared" si="8719"/>
        <v>63.873999139361771</v>
      </c>
      <c r="M1472" s="135">
        <f t="shared" si="8719"/>
        <v>56.957157892976412</v>
      </c>
      <c r="N1472" s="135">
        <f t="shared" si="8719"/>
        <v>182.04265658875624</v>
      </c>
      <c r="O1472" s="135">
        <f t="shared" si="8719"/>
        <v>163.25347296814743</v>
      </c>
      <c r="P1472" s="135">
        <f t="shared" si="8719"/>
        <v>171.953229964873</v>
      </c>
      <c r="Q1472" s="135">
        <f t="shared" si="8719"/>
        <v>252.23285111425673</v>
      </c>
      <c r="R1472" s="135">
        <f t="shared" si="8719"/>
        <v>265.96670208630729</v>
      </c>
      <c r="S1472" s="134">
        <f t="shared" si="8719"/>
        <v>184.28287142537437</v>
      </c>
      <c r="T1472" s="135">
        <f t="shared" si="8719"/>
        <v>195.55673131016081</v>
      </c>
      <c r="U1472" s="135">
        <f t="shared" si="8719"/>
        <v>294.35507750640625</v>
      </c>
      <c r="V1472" s="135">
        <f t="shared" si="8719"/>
        <v>195.78335805630104</v>
      </c>
      <c r="W1472" s="135">
        <f t="shared" si="8719"/>
        <v>72.28457985200464</v>
      </c>
      <c r="X1472" s="135">
        <f t="shared" si="8719"/>
        <v>182.7923314813886</v>
      </c>
      <c r="Y1472" s="135">
        <f t="shared" si="8719"/>
        <v>213.64727847433127</v>
      </c>
      <c r="Z1472" s="135">
        <f t="shared" si="8719"/>
        <v>269.26115343793339</v>
      </c>
      <c r="AA1472" s="135">
        <f t="shared" si="8719"/>
        <v>231.91113048028828</v>
      </c>
      <c r="AB1472" s="135">
        <f t="shared" si="8719"/>
        <v>177.51898113818481</v>
      </c>
      <c r="AC1472" s="135">
        <f t="shared" si="8719"/>
        <v>225.96558163074087</v>
      </c>
      <c r="AD1472" s="136">
        <f t="shared" si="8719"/>
        <v>93.081713208031886</v>
      </c>
      <c r="AE1472" s="15"/>
      <c r="AF1472" s="94">
        <f>SUM(G1472:R1472)</f>
        <v>1404.7216680011149</v>
      </c>
      <c r="AG1472" s="95">
        <f>SUM(S1472:AD1472)</f>
        <v>2336.4407880011463</v>
      </c>
    </row>
    <row r="1473" spans="2:34" x14ac:dyDescent="0.2">
      <c r="B1473" s="9">
        <f>G1436</f>
        <v>30</v>
      </c>
      <c r="C1473" s="9" t="str">
        <f t="shared" si="8476"/>
        <v>30 - % of Revenue - Office EBITDA</v>
      </c>
      <c r="D1473" s="9" t="s">
        <v>56</v>
      </c>
      <c r="F1473" s="16" t="str">
        <f>"% of Revenue - "&amp;F1472</f>
        <v>% of Revenue - Office EBITDA</v>
      </c>
      <c r="G1473" s="148">
        <f>G1472/G1448</f>
        <v>0.17342805700021868</v>
      </c>
      <c r="H1473" s="149">
        <f t="shared" ref="H1473" si="8720">H1472/H1448</f>
        <v>0.16357721370093273</v>
      </c>
      <c r="I1473" s="149">
        <f t="shared" ref="I1473" si="8721">I1472/I1448</f>
        <v>0.17635364394238084</v>
      </c>
      <c r="J1473" s="149">
        <f t="shared" ref="J1473" si="8722">J1472/J1448</f>
        <v>0.16700565222548303</v>
      </c>
      <c r="K1473" s="149">
        <f t="shared" ref="K1473" si="8723">K1472/K1448</f>
        <v>0.18472014707424145</v>
      </c>
      <c r="L1473" s="149">
        <f t="shared" ref="L1473" si="8724">L1472/L1448</f>
        <v>0.19413069797339108</v>
      </c>
      <c r="M1473" s="149">
        <f t="shared" ref="M1473" si="8725">M1472/M1448</f>
        <v>0.19431539894475558</v>
      </c>
      <c r="N1473" s="149">
        <f t="shared" ref="N1473" si="8726">N1472/N1448</f>
        <v>0.46443340454629384</v>
      </c>
      <c r="O1473" s="149">
        <f t="shared" ref="O1473" si="8727">O1472/O1448</f>
        <v>0.45293416877774917</v>
      </c>
      <c r="P1473" s="149">
        <f t="shared" ref="P1473" si="8728">P1472/P1448</f>
        <v>0.4576894350364194</v>
      </c>
      <c r="Q1473" s="149">
        <f t="shared" ref="Q1473" si="8729">Q1472/Q1448</f>
        <v>0.59119498716404517</v>
      </c>
      <c r="R1473" s="149">
        <f t="shared" ref="R1473" si="8730">R1472/R1448</f>
        <v>0.65461611679412957</v>
      </c>
      <c r="S1473" s="148">
        <f t="shared" ref="S1473" si="8731">S1472/S1448</f>
        <v>0.35125347844147953</v>
      </c>
      <c r="T1473" s="149">
        <f t="shared" ref="T1473" si="8732">T1472/T1448</f>
        <v>0.35981532495780638</v>
      </c>
      <c r="U1473" s="149">
        <f t="shared" ref="U1473" si="8733">U1472/U1448</f>
        <v>0.48172262087460266</v>
      </c>
      <c r="V1473" s="149">
        <f t="shared" ref="V1473" si="8734">V1472/V1448</f>
        <v>0.35992555361814998</v>
      </c>
      <c r="W1473" s="149">
        <f t="shared" ref="W1473" si="8735">W1472/W1448</f>
        <v>0.14080316098404624</v>
      </c>
      <c r="X1473" s="149">
        <f t="shared" ref="X1473" si="8736">X1472/X1448</f>
        <v>0.34130784946440479</v>
      </c>
      <c r="Y1473" s="149">
        <f t="shared" ref="Y1473" si="8737">Y1472/Y1448</f>
        <v>0.34524882900465909</v>
      </c>
      <c r="Z1473" s="149">
        <f t="shared" ref="Z1473" si="8738">Z1472/Z1448</f>
        <v>0.45641464922852165</v>
      </c>
      <c r="AA1473" s="149">
        <f t="shared" ref="AA1473" si="8739">AA1472/AA1448</f>
        <v>0.45481314081143354</v>
      </c>
      <c r="AB1473" s="149">
        <f t="shared" ref="AB1473" si="8740">AB1472/AB1448</f>
        <v>0.3409238897923404</v>
      </c>
      <c r="AC1473" s="149">
        <f t="shared" ref="AC1473" si="8741">AC1472/AC1448</f>
        <v>0.46322733489151707</v>
      </c>
      <c r="AD1473" s="150">
        <f t="shared" ref="AD1473" si="8742">AD1472/AD1448</f>
        <v>0.31809934042464555</v>
      </c>
      <c r="AE1473" s="15"/>
      <c r="AF1473" s="96">
        <f t="shared" ref="AF1473" si="8743">AF1472/AF1448</f>
        <v>0.35002389090967401</v>
      </c>
      <c r="AG1473" s="97">
        <f t="shared" ref="AG1473" si="8744">AG1472/AG1448</f>
        <v>0.37134257595623549</v>
      </c>
    </row>
    <row r="1474" spans="2:34" ht="6" customHeight="1" x14ac:dyDescent="0.2">
      <c r="B1474" s="9">
        <f>G1436</f>
        <v>30</v>
      </c>
      <c r="C1474" s="9" t="str">
        <f t="shared" si="8476"/>
        <v xml:space="preserve">30 - </v>
      </c>
      <c r="D1474" s="9" t="s">
        <v>56</v>
      </c>
      <c r="G1474" s="11"/>
      <c r="S1474" s="11"/>
      <c r="AD1474" s="15"/>
      <c r="AE1474" s="15"/>
      <c r="AF1474" s="11"/>
      <c r="AG1474" s="15"/>
    </row>
    <row r="1475" spans="2:34" x14ac:dyDescent="0.2">
      <c r="B1475" s="9">
        <f>G1436</f>
        <v>30</v>
      </c>
      <c r="C1475" s="9" t="str">
        <f t="shared" si="8476"/>
        <v>30 - Memo:</v>
      </c>
      <c r="D1475" s="9" t="s">
        <v>56</v>
      </c>
      <c r="F1475" s="6" t="s">
        <v>13</v>
      </c>
      <c r="G1475" s="11"/>
      <c r="S1475" s="11"/>
      <c r="AD1475" s="15"/>
      <c r="AE1475" s="15"/>
      <c r="AF1475" s="11"/>
      <c r="AG1475" s="15"/>
    </row>
    <row r="1476" spans="2:34" s="24" customFormat="1" x14ac:dyDescent="0.2">
      <c r="B1476" s="9">
        <f>G1436</f>
        <v>30</v>
      </c>
      <c r="C1476" s="9" t="str">
        <f t="shared" si="8476"/>
        <v>30 - Collections</v>
      </c>
      <c r="D1476" s="9" t="s">
        <v>56</v>
      </c>
      <c r="E1476" s="49"/>
      <c r="F1476" s="24" t="s">
        <v>15</v>
      </c>
      <c r="G1476" s="169">
        <f>G1477*G1446</f>
        <v>241.19849995351956</v>
      </c>
      <c r="H1476" s="170">
        <f t="shared" ref="H1476" si="8745">H1477*H1446</f>
        <v>247.86325654613583</v>
      </c>
      <c r="I1476" s="170">
        <f t="shared" ref="I1476" si="8746">I1477*I1446</f>
        <v>311.93686082159252</v>
      </c>
      <c r="J1476" s="170">
        <f t="shared" ref="J1476" si="8747">J1477*J1446</f>
        <v>283.33660455021391</v>
      </c>
      <c r="K1476" s="170">
        <f t="shared" ref="K1476" si="8748">K1477*K1446</f>
        <v>345.73772322558682</v>
      </c>
      <c r="L1476" s="170">
        <f t="shared" ref="L1476" si="8749">L1477*L1446</f>
        <v>332.64459671454136</v>
      </c>
      <c r="M1476" s="170">
        <f t="shared" ref="M1476" si="8750">M1477*M1446</f>
        <v>290.3605925268231</v>
      </c>
      <c r="N1476" s="170">
        <f t="shared" ref="N1476" si="8751">N1477*N1446</f>
        <v>385.84067187761809</v>
      </c>
      <c r="O1476" s="170">
        <f t="shared" ref="O1476" si="8752">O1477*O1446</f>
        <v>364.64320372587201</v>
      </c>
      <c r="P1476" s="170">
        <f t="shared" ref="P1476" si="8753">P1477*P1446</f>
        <v>381.18579136908227</v>
      </c>
      <c r="Q1476" s="170">
        <f t="shared" ref="Q1476" si="8754">Q1477*Q1446</f>
        <v>420.88741916085803</v>
      </c>
      <c r="R1476" s="170">
        <f t="shared" ref="R1476" si="8755">R1477*R1446</f>
        <v>399.9911864094525</v>
      </c>
      <c r="S1476" s="169">
        <f t="shared" ref="S1476" si="8756">S1477*S1446</f>
        <v>531.07146151815039</v>
      </c>
      <c r="T1476" s="170">
        <f t="shared" ref="T1476" si="8757">T1477*T1446</f>
        <v>547.94253853159285</v>
      </c>
      <c r="U1476" s="170">
        <f t="shared" ref="U1476" si="8758">U1477*U1446</f>
        <v>609.81987925404178</v>
      </c>
      <c r="V1476" s="170">
        <f t="shared" ref="V1476" si="8759">V1477*V1446</f>
        <v>538.9904826402252</v>
      </c>
      <c r="W1476" s="170">
        <f t="shared" ref="W1476" si="8760">W1477*W1446</f>
        <v>525.86695808440652</v>
      </c>
      <c r="X1476" s="170">
        <f t="shared" ref="X1476" si="8761">X1477*X1446</f>
        <v>536.93818961062175</v>
      </c>
      <c r="Y1476" s="170">
        <f t="shared" ref="Y1476" si="8762">Y1477*Y1446</f>
        <v>621.9880449184617</v>
      </c>
      <c r="Z1476" s="170">
        <f t="shared" ref="Z1476" si="8763">Z1477*Z1446</f>
        <v>602.29228947749004</v>
      </c>
      <c r="AA1476" s="170">
        <f t="shared" ref="AA1476" si="8764">AA1477*AA1446</f>
        <v>511.36804996181888</v>
      </c>
      <c r="AB1476" s="170">
        <f t="shared" ref="AB1476" si="8765">AB1477*AB1446</f>
        <v>531.5237108578699</v>
      </c>
      <c r="AC1476" s="170">
        <f t="shared" ref="AC1476" si="8766">AC1477*AC1446</f>
        <v>484.42017131188601</v>
      </c>
      <c r="AD1476" s="171">
        <f t="shared" ref="AD1476" si="8767">AD1477*AD1446</f>
        <v>289.6375121495081</v>
      </c>
      <c r="AE1476" s="26"/>
      <c r="AF1476" s="68">
        <f>SUM(G1476:R1476)</f>
        <v>4005.6264068812957</v>
      </c>
      <c r="AG1476" s="99">
        <f>SUM(S1476:AD1476)</f>
        <v>6331.8592883160727</v>
      </c>
    </row>
    <row r="1477" spans="2:34" x14ac:dyDescent="0.2">
      <c r="B1477" s="9">
        <f>G1436</f>
        <v>30</v>
      </c>
      <c r="C1477" s="9" t="str">
        <f t="shared" si="8476"/>
        <v>30 - Collections as a % of Production</v>
      </c>
      <c r="D1477" s="9" t="s">
        <v>56</v>
      </c>
      <c r="F1477" s="16" t="s">
        <v>17</v>
      </c>
      <c r="G1477" s="140">
        <v>0.96740233066514858</v>
      </c>
      <c r="H1477" s="141">
        <v>0.96471964306477276</v>
      </c>
      <c r="I1477" s="141">
        <v>0.97929290943632041</v>
      </c>
      <c r="J1477" s="141">
        <v>0.96975040203064511</v>
      </c>
      <c r="K1477" s="141">
        <v>0.99587802073733633</v>
      </c>
      <c r="L1477" s="141">
        <v>0.98745182442325186</v>
      </c>
      <c r="M1477" s="141">
        <v>0.967524380401379</v>
      </c>
      <c r="N1477" s="141">
        <v>0.96144318365682613</v>
      </c>
      <c r="O1477" s="141">
        <v>0.98811186522911987</v>
      </c>
      <c r="P1477" s="141">
        <v>0.99097475012117509</v>
      </c>
      <c r="Q1477" s="141">
        <v>0.963519200764544</v>
      </c>
      <c r="R1477" s="141">
        <v>0.9615573293680526</v>
      </c>
      <c r="S1477" s="140">
        <v>0.98214937131693814</v>
      </c>
      <c r="T1477" s="141">
        <v>0.97820712143627664</v>
      </c>
      <c r="U1477" s="141">
        <v>0.96831353477731885</v>
      </c>
      <c r="V1477" s="141">
        <v>0.96140620437748214</v>
      </c>
      <c r="W1477" s="141">
        <v>0.99387448848440307</v>
      </c>
      <c r="X1477" s="141">
        <v>0.97275061512059036</v>
      </c>
      <c r="Y1477" s="141">
        <v>0.97522719257469948</v>
      </c>
      <c r="Z1477" s="141">
        <v>0.99056297848886099</v>
      </c>
      <c r="AA1477" s="141">
        <v>0.97304722187813575</v>
      </c>
      <c r="AB1477" s="141">
        <v>0.99043093571208696</v>
      </c>
      <c r="AC1477" s="141">
        <v>0.96352507194178783</v>
      </c>
      <c r="AD1477" s="142">
        <v>0.96037782735743593</v>
      </c>
      <c r="AE1477" s="15"/>
      <c r="AF1477" s="96">
        <f t="shared" ref="AF1477" si="8768">AF1476/AF1446</f>
        <v>0.97486209290712744</v>
      </c>
      <c r="AG1477" s="97">
        <f t="shared" ref="AG1477" si="8769">AG1476/AG1446</f>
        <v>0.97642780346741676</v>
      </c>
    </row>
    <row r="1478" spans="2:34" ht="6" customHeight="1" x14ac:dyDescent="0.2">
      <c r="B1478" s="9">
        <f>G1436</f>
        <v>30</v>
      </c>
      <c r="C1478" s="9" t="str">
        <f t="shared" si="8476"/>
        <v xml:space="preserve">30 - </v>
      </c>
      <c r="D1478" s="9" t="s">
        <v>56</v>
      </c>
      <c r="F1478" s="27"/>
      <c r="R1478" s="15"/>
      <c r="AD1478" s="15"/>
      <c r="AE1478" s="15"/>
      <c r="AF1478" s="11"/>
      <c r="AG1478" s="15"/>
    </row>
    <row r="1479" spans="2:34" s="24" customFormat="1" x14ac:dyDescent="0.2">
      <c r="B1479" s="9">
        <f>G1436</f>
        <v>30</v>
      </c>
      <c r="C1479" s="9" t="str">
        <f t="shared" si="8476"/>
        <v>30 - Production per Vet Workday - YoY Change</v>
      </c>
      <c r="D1479" s="9" t="s">
        <v>56</v>
      </c>
      <c r="E1479" s="49"/>
      <c r="F1479" s="24" t="s">
        <v>55</v>
      </c>
      <c r="G1479" s="88"/>
      <c r="H1479" s="89"/>
      <c r="I1479" s="89"/>
      <c r="J1479" s="89"/>
      <c r="K1479" s="89"/>
      <c r="L1479" s="89"/>
      <c r="M1479" s="89"/>
      <c r="N1479" s="89"/>
      <c r="O1479" s="89"/>
      <c r="P1479" s="89"/>
      <c r="Q1479" s="89"/>
      <c r="R1479" s="89"/>
      <c r="S1479" s="151">
        <f>S1445/G1445-1</f>
        <v>3.7224572895708352E-2</v>
      </c>
      <c r="T1479" s="152">
        <f t="shared" ref="T1479" si="8770">T1445/H1445-1</f>
        <v>4.0542409659486411E-2</v>
      </c>
      <c r="U1479" s="152">
        <f t="shared" ref="U1479" si="8771">U1445/I1445-1</f>
        <v>-0.13725978916565118</v>
      </c>
      <c r="V1479" s="152">
        <f t="shared" ref="V1479" si="8772">V1445/J1445-1</f>
        <v>-8.4205401713443595E-2</v>
      </c>
      <c r="W1479" s="152">
        <f t="shared" ref="W1479" si="8773">W1445/K1445-1</f>
        <v>-2.6291288308650573E-2</v>
      </c>
      <c r="X1479" s="152">
        <f t="shared" ref="X1479" si="8774">X1445/L1445-1</f>
        <v>-0.10270185728775094</v>
      </c>
      <c r="Y1479" s="152">
        <f t="shared" ref="Y1479" si="8775">Y1445/M1445-1</f>
        <v>1.640157093201644E-2</v>
      </c>
      <c r="Z1479" s="152">
        <f t="shared" ref="Z1479" si="8776">Z1445/N1445-1</f>
        <v>-5.1416673824922765E-2</v>
      </c>
      <c r="AA1479" s="152">
        <f t="shared" ref="AA1479" si="8777">AA1445/O1445-1</f>
        <v>-0.1048572465061588</v>
      </c>
      <c r="AB1479" s="152">
        <f t="shared" ref="AB1479" si="8778">AB1445/P1445-1</f>
        <v>-4.0826805462502613E-2</v>
      </c>
      <c r="AC1479" s="152">
        <f t="shared" ref="AC1479" si="8779">AC1445/Q1445-1</f>
        <v>-3.7393543265527351E-2</v>
      </c>
      <c r="AD1479" s="153">
        <f t="shared" ref="AD1479" si="8780">AD1445/R1445-1</f>
        <v>-9.3751173369679752E-2</v>
      </c>
      <c r="AF1479" s="43"/>
      <c r="AG1479" s="104">
        <f>AG1445/AF1445-1</f>
        <v>-4.667814013414584E-2</v>
      </c>
    </row>
    <row r="1480" spans="2:34" s="24" customFormat="1" ht="6" customHeight="1" x14ac:dyDescent="0.2">
      <c r="D1480" s="9" t="s">
        <v>56</v>
      </c>
      <c r="E1480" s="49"/>
      <c r="G1480" s="28"/>
      <c r="H1480" s="30"/>
      <c r="I1480" s="30"/>
      <c r="J1480" s="30"/>
      <c r="K1480" s="30"/>
      <c r="L1480" s="30"/>
      <c r="M1480" s="30"/>
      <c r="N1480" s="30"/>
      <c r="O1480" s="30"/>
      <c r="P1480" s="30"/>
      <c r="Q1480" s="30"/>
      <c r="R1480" s="29"/>
      <c r="S1480" s="30"/>
      <c r="T1480" s="30"/>
      <c r="U1480" s="30"/>
      <c r="V1480" s="30"/>
      <c r="W1480" s="30"/>
      <c r="X1480" s="30"/>
      <c r="Y1480" s="30"/>
      <c r="Z1480" s="30"/>
      <c r="AA1480" s="30"/>
      <c r="AB1480" s="30"/>
      <c r="AC1480" s="30"/>
      <c r="AD1480" s="29"/>
      <c r="AE1480" s="25"/>
      <c r="AF1480" s="28"/>
      <c r="AG1480" s="29"/>
    </row>
    <row r="1481" spans="2:34" s="24" customFormat="1" ht="6" customHeight="1" x14ac:dyDescent="0.2">
      <c r="D1481" s="9" t="s">
        <v>56</v>
      </c>
      <c r="E1481" s="49"/>
    </row>
    <row r="1482" spans="2:34" x14ac:dyDescent="0.2">
      <c r="D1482" s="9" t="s">
        <v>56</v>
      </c>
      <c r="F1482" s="16"/>
    </row>
    <row r="1483" spans="2:34" ht="15.75" thickBot="1" x14ac:dyDescent="0.4">
      <c r="B1483" s="35" t="s">
        <v>52</v>
      </c>
      <c r="C1483" s="35"/>
      <c r="D1483" s="9" t="s">
        <v>56</v>
      </c>
      <c r="E1483" s="48" t="s">
        <v>0</v>
      </c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74">
        <f ca="1">AG$2</f>
        <v>45999</v>
      </c>
      <c r="AH1483" s="1"/>
    </row>
    <row r="1484" spans="2:34" x14ac:dyDescent="0.2">
      <c r="B1484" s="9">
        <f>G1485</f>
        <v>31</v>
      </c>
      <c r="C1484" s="9"/>
      <c r="D1484" s="9" t="s">
        <v>56</v>
      </c>
      <c r="F1484" t="s">
        <v>159</v>
      </c>
      <c r="AG1484" s="6" t="s">
        <v>16</v>
      </c>
    </row>
    <row r="1485" spans="2:34" x14ac:dyDescent="0.2">
      <c r="B1485" s="9">
        <f>G1485</f>
        <v>31</v>
      </c>
      <c r="C1485" s="9"/>
      <c r="D1485" s="9" t="s">
        <v>56</v>
      </c>
      <c r="F1485" s="40" t="s">
        <v>53</v>
      </c>
      <c r="G1485" s="42">
        <v>31</v>
      </c>
    </row>
    <row r="1486" spans="2:34" x14ac:dyDescent="0.2">
      <c r="B1486" s="9">
        <f>G1485</f>
        <v>31</v>
      </c>
      <c r="C1486" s="9"/>
      <c r="D1486" s="9" t="s">
        <v>56</v>
      </c>
      <c r="F1486" s="39" t="s">
        <v>48</v>
      </c>
      <c r="G1486" s="41"/>
      <c r="H1486" s="11"/>
    </row>
    <row r="1487" spans="2:34" x14ac:dyDescent="0.2">
      <c r="B1487" s="9">
        <f>G1485</f>
        <v>31</v>
      </c>
      <c r="C1487" s="9"/>
      <c r="D1487" s="9" t="s">
        <v>56</v>
      </c>
      <c r="G1487" s="23"/>
    </row>
    <row r="1488" spans="2:34" x14ac:dyDescent="0.2">
      <c r="B1488" s="9">
        <f>G1485</f>
        <v>31</v>
      </c>
      <c r="C1488" s="9"/>
      <c r="D1488" s="9" t="s">
        <v>56</v>
      </c>
      <c r="G1488" s="20">
        <v>2023</v>
      </c>
      <c r="H1488" s="21"/>
      <c r="I1488" s="21"/>
      <c r="J1488" s="21"/>
      <c r="K1488" s="21"/>
      <c r="L1488" s="21"/>
      <c r="M1488" s="21"/>
      <c r="N1488" s="21"/>
      <c r="O1488" s="21"/>
      <c r="P1488" s="21"/>
      <c r="Q1488" s="21"/>
      <c r="R1488" s="22"/>
      <c r="S1488" s="20">
        <v>2024</v>
      </c>
      <c r="T1488" s="21"/>
      <c r="U1488" s="21"/>
      <c r="V1488" s="21"/>
      <c r="W1488" s="21"/>
      <c r="X1488" s="21"/>
      <c r="Y1488" s="21"/>
      <c r="Z1488" s="21"/>
      <c r="AA1488" s="21"/>
      <c r="AB1488" s="21"/>
      <c r="AC1488" s="21"/>
      <c r="AD1488" s="22"/>
      <c r="AF1488" s="17" t="s">
        <v>14</v>
      </c>
      <c r="AG1488" s="18"/>
    </row>
    <row r="1489" spans="2:33" ht="15" customHeight="1" x14ac:dyDescent="0.35">
      <c r="B1489" s="9">
        <f>G1485</f>
        <v>31</v>
      </c>
      <c r="C1489" s="9"/>
      <c r="D1489" s="9" t="s">
        <v>56</v>
      </c>
      <c r="G1489" s="165">
        <v>44957</v>
      </c>
      <c r="H1489" s="166">
        <v>44985</v>
      </c>
      <c r="I1489" s="166">
        <v>45016</v>
      </c>
      <c r="J1489" s="166">
        <v>45046</v>
      </c>
      <c r="K1489" s="166">
        <v>45077</v>
      </c>
      <c r="L1489" s="166">
        <v>45107</v>
      </c>
      <c r="M1489" s="166">
        <v>45138</v>
      </c>
      <c r="N1489" s="166">
        <v>45169</v>
      </c>
      <c r="O1489" s="166">
        <v>45199</v>
      </c>
      <c r="P1489" s="166">
        <v>45230</v>
      </c>
      <c r="Q1489" s="166">
        <v>45260</v>
      </c>
      <c r="R1489" s="167">
        <v>45291</v>
      </c>
      <c r="S1489" s="165">
        <v>45322</v>
      </c>
      <c r="T1489" s="166">
        <v>45351</v>
      </c>
      <c r="U1489" s="166">
        <v>45382</v>
      </c>
      <c r="V1489" s="166">
        <v>45412</v>
      </c>
      <c r="W1489" s="166">
        <v>45443</v>
      </c>
      <c r="X1489" s="166">
        <v>45473</v>
      </c>
      <c r="Y1489" s="166">
        <v>45504</v>
      </c>
      <c r="Z1489" s="166">
        <v>45535</v>
      </c>
      <c r="AA1489" s="166">
        <v>45565</v>
      </c>
      <c r="AB1489" s="166">
        <v>45596</v>
      </c>
      <c r="AC1489" s="166">
        <v>45626</v>
      </c>
      <c r="AD1489" s="167">
        <v>45657</v>
      </c>
      <c r="AE1489" s="168"/>
      <c r="AF1489" s="13">
        <v>45291</v>
      </c>
      <c r="AG1489" s="14">
        <v>45657</v>
      </c>
    </row>
    <row r="1490" spans="2:33" ht="0.95" customHeight="1" x14ac:dyDescent="0.2">
      <c r="B1490" s="9">
        <f>G1485</f>
        <v>31</v>
      </c>
      <c r="C1490" s="9"/>
      <c r="D1490" s="9" t="s">
        <v>56</v>
      </c>
      <c r="G1490" s="11"/>
      <c r="S1490" s="11"/>
      <c r="AD1490" s="15"/>
      <c r="AE1490" s="15"/>
      <c r="AF1490" s="11"/>
      <c r="AG1490" s="15"/>
    </row>
    <row r="1491" spans="2:33" x14ac:dyDescent="0.2">
      <c r="B1491" s="9">
        <f>G1485</f>
        <v>31</v>
      </c>
      <c r="C1491" s="9" t="str">
        <f>B1491&amp;" - "&amp;F1491</f>
        <v>31 - Employed Vets</v>
      </c>
      <c r="D1491" s="9" t="s">
        <v>56</v>
      </c>
      <c r="F1491" s="7" t="s">
        <v>160</v>
      </c>
      <c r="G1491" s="121">
        <v>3</v>
      </c>
      <c r="H1491" s="154">
        <f>MAX(MIN(IF(H1494/G1494&gt;1.1,G1491-1,IF(H1494/G1494&lt;0.9,G1491+1,G1491)),5),1)</f>
        <v>3</v>
      </c>
      <c r="I1491" s="154">
        <f t="shared" ref="I1491:AC1491" si="8781">MAX(MIN(IF(I1494/H1494&gt;1.1,H1491-1,IF(I1494/H1494&lt;0.9,H1491+1,H1491)),5),1)</f>
        <v>2</v>
      </c>
      <c r="J1491" s="154">
        <f t="shared" si="8781"/>
        <v>2</v>
      </c>
      <c r="K1491" s="154">
        <f t="shared" si="8781"/>
        <v>2</v>
      </c>
      <c r="L1491" s="154">
        <f t="shared" si="8781"/>
        <v>2</v>
      </c>
      <c r="M1491" s="154">
        <f t="shared" si="8781"/>
        <v>3</v>
      </c>
      <c r="N1491" s="154">
        <f t="shared" si="8781"/>
        <v>4</v>
      </c>
      <c r="O1491" s="154">
        <f t="shared" si="8781"/>
        <v>4</v>
      </c>
      <c r="P1491" s="154">
        <f t="shared" si="8781"/>
        <v>4</v>
      </c>
      <c r="Q1491" s="154">
        <f t="shared" si="8781"/>
        <v>5</v>
      </c>
      <c r="R1491" s="154">
        <f t="shared" si="8781"/>
        <v>5</v>
      </c>
      <c r="S1491" s="155">
        <f t="shared" si="8781"/>
        <v>4</v>
      </c>
      <c r="T1491" s="154">
        <f t="shared" si="8781"/>
        <v>3</v>
      </c>
      <c r="U1491" s="154">
        <f t="shared" si="8781"/>
        <v>3</v>
      </c>
      <c r="V1491" s="154">
        <f t="shared" si="8781"/>
        <v>3</v>
      </c>
      <c r="W1491" s="154">
        <f t="shared" si="8781"/>
        <v>2</v>
      </c>
      <c r="X1491" s="154">
        <f t="shared" si="8781"/>
        <v>2</v>
      </c>
      <c r="Y1491" s="154">
        <f t="shared" si="8781"/>
        <v>2</v>
      </c>
      <c r="Z1491" s="154">
        <f t="shared" si="8781"/>
        <v>3</v>
      </c>
      <c r="AA1491" s="154">
        <f t="shared" si="8781"/>
        <v>3</v>
      </c>
      <c r="AB1491" s="154">
        <f t="shared" si="8781"/>
        <v>3</v>
      </c>
      <c r="AC1491" s="154">
        <f t="shared" si="8781"/>
        <v>4</v>
      </c>
      <c r="AD1491" s="156">
        <f>MROUND(AVERAGE(S1491:AC1491),1)</f>
        <v>3</v>
      </c>
      <c r="AE1491" s="15"/>
      <c r="AF1491" s="90">
        <f>AVERAGE(G1491:R1491)</f>
        <v>3.25</v>
      </c>
      <c r="AG1491" s="91">
        <f>AVERAGE(S1491:AD1491)</f>
        <v>2.9166666666666665</v>
      </c>
    </row>
    <row r="1492" spans="2:33" x14ac:dyDescent="0.2">
      <c r="B1492" s="9">
        <f>G1485</f>
        <v>31</v>
      </c>
      <c r="C1492" s="9" t="str">
        <f t="shared" ref="C1492:C1528" si="8782">B1492&amp;" - "&amp;F1492</f>
        <v>31 - Workdays in Month / Year</v>
      </c>
      <c r="D1492" s="9" t="s">
        <v>56</v>
      </c>
      <c r="F1492" s="7" t="s">
        <v>54</v>
      </c>
      <c r="G1492" s="121">
        <v>22</v>
      </c>
      <c r="H1492" s="124">
        <v>21</v>
      </c>
      <c r="I1492" s="124">
        <v>24</v>
      </c>
      <c r="J1492" s="122">
        <v>21</v>
      </c>
      <c r="K1492" s="122">
        <v>23</v>
      </c>
      <c r="L1492" s="122">
        <v>23</v>
      </c>
      <c r="M1492" s="122">
        <v>22</v>
      </c>
      <c r="N1492" s="122">
        <v>24</v>
      </c>
      <c r="O1492" s="122">
        <v>22</v>
      </c>
      <c r="P1492" s="122">
        <v>22</v>
      </c>
      <c r="Q1492" s="122">
        <v>23</v>
      </c>
      <c r="R1492" s="122">
        <v>22</v>
      </c>
      <c r="S1492" s="121">
        <v>23</v>
      </c>
      <c r="T1492" s="122">
        <v>22</v>
      </c>
      <c r="U1492" s="122">
        <v>22</v>
      </c>
      <c r="V1492" s="122">
        <v>22</v>
      </c>
      <c r="W1492" s="122">
        <v>24</v>
      </c>
      <c r="X1492" s="122">
        <v>21</v>
      </c>
      <c r="Y1492" s="122">
        <v>23</v>
      </c>
      <c r="Z1492" s="122">
        <v>23</v>
      </c>
      <c r="AA1492" s="122">
        <v>21</v>
      </c>
      <c r="AB1492" s="122">
        <v>24</v>
      </c>
      <c r="AC1492" s="122">
        <v>22</v>
      </c>
      <c r="AD1492" s="123">
        <v>22</v>
      </c>
      <c r="AE1492" s="15"/>
      <c r="AF1492" s="144">
        <v>269</v>
      </c>
      <c r="AG1492" s="145">
        <v>269</v>
      </c>
    </row>
    <row r="1493" spans="2:33" x14ac:dyDescent="0.2">
      <c r="B1493" s="9">
        <f>G1485</f>
        <v>31</v>
      </c>
      <c r="C1493" s="9" t="str">
        <f t="shared" si="8782"/>
        <v>31 - Total Vet Days</v>
      </c>
      <c r="D1493" s="9" t="s">
        <v>56</v>
      </c>
      <c r="F1493" s="8" t="s">
        <v>51</v>
      </c>
      <c r="G1493" s="125">
        <f>G1491*G1492</f>
        <v>66</v>
      </c>
      <c r="H1493" s="126">
        <f t="shared" ref="H1493" si="8783">H1491*H1492</f>
        <v>63</v>
      </c>
      <c r="I1493" s="126">
        <f t="shared" ref="I1493" si="8784">I1491*I1492</f>
        <v>48</v>
      </c>
      <c r="J1493" s="127">
        <f t="shared" ref="J1493" si="8785">J1491*J1492</f>
        <v>42</v>
      </c>
      <c r="K1493" s="127">
        <f t="shared" ref="K1493" si="8786">K1491*K1492</f>
        <v>46</v>
      </c>
      <c r="L1493" s="127">
        <f t="shared" ref="L1493" si="8787">L1491*L1492</f>
        <v>46</v>
      </c>
      <c r="M1493" s="127">
        <f t="shared" ref="M1493" si="8788">M1491*M1492</f>
        <v>66</v>
      </c>
      <c r="N1493" s="127">
        <f t="shared" ref="N1493" si="8789">N1491*N1492</f>
        <v>96</v>
      </c>
      <c r="O1493" s="127">
        <f t="shared" ref="O1493" si="8790">O1491*O1492</f>
        <v>88</v>
      </c>
      <c r="P1493" s="127">
        <f t="shared" ref="P1493" si="8791">P1491*P1492</f>
        <v>88</v>
      </c>
      <c r="Q1493" s="127">
        <f t="shared" ref="Q1493" si="8792">Q1491*Q1492</f>
        <v>115</v>
      </c>
      <c r="R1493" s="127">
        <f t="shared" ref="R1493" si="8793">R1491*R1492</f>
        <v>110</v>
      </c>
      <c r="S1493" s="125">
        <f t="shared" ref="S1493" si="8794">S1491*S1492</f>
        <v>92</v>
      </c>
      <c r="T1493" s="127">
        <f t="shared" ref="T1493" si="8795">T1491*T1492</f>
        <v>66</v>
      </c>
      <c r="U1493" s="127">
        <f t="shared" ref="U1493" si="8796">U1491*U1492</f>
        <v>66</v>
      </c>
      <c r="V1493" s="127">
        <f t="shared" ref="V1493" si="8797">V1491*V1492</f>
        <v>66</v>
      </c>
      <c r="W1493" s="127">
        <f t="shared" ref="W1493" si="8798">W1491*W1492</f>
        <v>48</v>
      </c>
      <c r="X1493" s="127">
        <f t="shared" ref="X1493" si="8799">X1491*X1492</f>
        <v>42</v>
      </c>
      <c r="Y1493" s="127">
        <f t="shared" ref="Y1493" si="8800">Y1491*Y1492</f>
        <v>46</v>
      </c>
      <c r="Z1493" s="127">
        <f t="shared" ref="Z1493" si="8801">Z1491*Z1492</f>
        <v>69</v>
      </c>
      <c r="AA1493" s="127">
        <f t="shared" ref="AA1493" si="8802">AA1491*AA1492</f>
        <v>63</v>
      </c>
      <c r="AB1493" s="127">
        <f t="shared" ref="AB1493" si="8803">AB1491*AB1492</f>
        <v>72</v>
      </c>
      <c r="AC1493" s="127">
        <f t="shared" ref="AC1493" si="8804">AC1491*AC1492</f>
        <v>88</v>
      </c>
      <c r="AD1493" s="128">
        <f t="shared" ref="AD1493" si="8805">AD1491*AD1492</f>
        <v>66</v>
      </c>
      <c r="AF1493" s="119">
        <f>SUM(G1493:R1493)</f>
        <v>874</v>
      </c>
      <c r="AG1493" s="120">
        <f>SUM(S1493:AD1493)</f>
        <v>784</v>
      </c>
    </row>
    <row r="1494" spans="2:33" x14ac:dyDescent="0.2">
      <c r="B1494" s="9">
        <f>G1485</f>
        <v>31</v>
      </c>
      <c r="C1494" s="9" t="str">
        <f t="shared" si="8782"/>
        <v>31 - Production per Vet Workday</v>
      </c>
      <c r="D1494" s="9" t="s">
        <v>56</v>
      </c>
      <c r="F1494" s="7" t="s">
        <v>50</v>
      </c>
      <c r="G1494" s="129">
        <v>4.6116957276324566</v>
      </c>
      <c r="H1494" s="130">
        <v>4.8749644002928303</v>
      </c>
      <c r="I1494" s="130">
        <v>5.5542972631788921</v>
      </c>
      <c r="J1494" s="130">
        <v>5.5818979920790133</v>
      </c>
      <c r="K1494" s="130">
        <v>6.1142055311106498</v>
      </c>
      <c r="L1494" s="130">
        <v>6.0551281139472861</v>
      </c>
      <c r="M1494" s="130">
        <v>5.3051891415298487</v>
      </c>
      <c r="N1494" s="130">
        <v>4.3388182107053144</v>
      </c>
      <c r="O1494" s="130">
        <v>4.428992102901864</v>
      </c>
      <c r="P1494" s="130">
        <v>4.3806412781338917</v>
      </c>
      <c r="Q1494" s="130">
        <v>3.5408425743635625</v>
      </c>
      <c r="R1494" s="130">
        <v>2.9208891521301523</v>
      </c>
      <c r="S1494" s="129">
        <v>3.9797274655041983</v>
      </c>
      <c r="T1494" s="130">
        <v>4.8044523827786492</v>
      </c>
      <c r="U1494" s="130">
        <v>5.0645282038061561</v>
      </c>
      <c r="V1494" s="130">
        <v>4.9166425408583496</v>
      </c>
      <c r="W1494" s="130">
        <v>5.929230607243543</v>
      </c>
      <c r="X1494" s="130">
        <v>5.3456693637487671</v>
      </c>
      <c r="Y1494" s="130">
        <v>4.9270836861854939</v>
      </c>
      <c r="Z1494" s="130">
        <v>4.1709254040458434</v>
      </c>
      <c r="AA1494" s="130">
        <v>4.4213537122552884</v>
      </c>
      <c r="AB1494" s="130">
        <v>4.3811919551677656</v>
      </c>
      <c r="AC1494" s="130">
        <v>3.5720942855849671</v>
      </c>
      <c r="AD1494" s="131">
        <v>2.9796449910065554</v>
      </c>
      <c r="AE1494" s="15"/>
      <c r="AF1494" s="132">
        <v>4.8126613290369695</v>
      </c>
      <c r="AG1494" s="133">
        <v>4.5456042370432588</v>
      </c>
    </row>
    <row r="1495" spans="2:33" x14ac:dyDescent="0.2">
      <c r="B1495" s="9">
        <f>G1485</f>
        <v>31</v>
      </c>
      <c r="C1495" s="9" t="str">
        <f t="shared" si="8782"/>
        <v>31 - Total Production</v>
      </c>
      <c r="D1495" s="9" t="s">
        <v>56</v>
      </c>
      <c r="F1495" s="8" t="s">
        <v>1</v>
      </c>
      <c r="G1495" s="134">
        <f>G1494*G1493</f>
        <v>304.37191802374213</v>
      </c>
      <c r="H1495" s="135">
        <f t="shared" ref="H1495" si="8806">H1494*H1493</f>
        <v>307.12275721844833</v>
      </c>
      <c r="I1495" s="135">
        <f t="shared" ref="I1495" si="8807">I1494*I1493</f>
        <v>266.60626863258682</v>
      </c>
      <c r="J1495" s="135">
        <f t="shared" ref="J1495" si="8808">J1494*J1493</f>
        <v>234.43971566731855</v>
      </c>
      <c r="K1495" s="135">
        <f t="shared" ref="K1495" si="8809">K1494*K1493</f>
        <v>281.25345443108989</v>
      </c>
      <c r="L1495" s="135">
        <f t="shared" ref="L1495" si="8810">L1494*L1493</f>
        <v>278.53589324157514</v>
      </c>
      <c r="M1495" s="135">
        <f t="shared" ref="M1495" si="8811">M1494*M1493</f>
        <v>350.14248334096999</v>
      </c>
      <c r="N1495" s="135">
        <f t="shared" ref="N1495" si="8812">N1494*N1493</f>
        <v>416.52654822771018</v>
      </c>
      <c r="O1495" s="135">
        <f t="shared" ref="O1495" si="8813">O1494*O1493</f>
        <v>389.75130505536401</v>
      </c>
      <c r="P1495" s="135">
        <f t="shared" ref="P1495" si="8814">P1494*P1493</f>
        <v>385.49643247578246</v>
      </c>
      <c r="Q1495" s="135">
        <f t="shared" ref="Q1495" si="8815">Q1494*Q1493</f>
        <v>407.19689605180969</v>
      </c>
      <c r="R1495" s="135">
        <f t="shared" ref="R1495" si="8816">R1494*R1493</f>
        <v>321.29780673431674</v>
      </c>
      <c r="S1495" s="134">
        <f t="shared" ref="S1495" si="8817">S1494*S1493</f>
        <v>366.13492682638622</v>
      </c>
      <c r="T1495" s="135">
        <f t="shared" ref="T1495" si="8818">T1494*T1493</f>
        <v>317.09385726339087</v>
      </c>
      <c r="U1495" s="135">
        <f t="shared" ref="U1495" si="8819">U1494*U1493</f>
        <v>334.25886145120631</v>
      </c>
      <c r="V1495" s="135">
        <f t="shared" ref="V1495" si="8820">V1494*V1493</f>
        <v>324.4984076966511</v>
      </c>
      <c r="W1495" s="135">
        <f t="shared" ref="W1495" si="8821">W1494*W1493</f>
        <v>284.60306914769006</v>
      </c>
      <c r="X1495" s="135">
        <f t="shared" ref="X1495" si="8822">X1494*X1493</f>
        <v>224.51811327744821</v>
      </c>
      <c r="Y1495" s="135">
        <f t="shared" ref="Y1495" si="8823">Y1494*Y1493</f>
        <v>226.64584956453271</v>
      </c>
      <c r="Z1495" s="135">
        <f t="shared" ref="Z1495" si="8824">Z1494*Z1493</f>
        <v>287.79385287916318</v>
      </c>
      <c r="AA1495" s="135">
        <f t="shared" ref="AA1495" si="8825">AA1494*AA1493</f>
        <v>278.54528387208319</v>
      </c>
      <c r="AB1495" s="135">
        <f t="shared" ref="AB1495" si="8826">AB1494*AB1493</f>
        <v>315.44582077207912</v>
      </c>
      <c r="AC1495" s="135">
        <f t="shared" ref="AC1495" si="8827">AC1494*AC1493</f>
        <v>314.34429713147711</v>
      </c>
      <c r="AD1495" s="136">
        <f t="shared" ref="AD1495" si="8828">AD1494*AD1493</f>
        <v>196.65656940643265</v>
      </c>
      <c r="AE1495" s="15"/>
      <c r="AF1495" s="94">
        <f>SUM(G1495:R1495)</f>
        <v>3942.7414791007141</v>
      </c>
      <c r="AG1495" s="95">
        <f>SUM(S1495:AD1495)</f>
        <v>3470.5389092885407</v>
      </c>
    </row>
    <row r="1496" spans="2:33" x14ac:dyDescent="0.2">
      <c r="B1496" s="9">
        <f>G1485</f>
        <v>31</v>
      </c>
      <c r="C1496" s="9" t="str">
        <f t="shared" si="8782"/>
        <v>31 - Revenue as a % of Production</v>
      </c>
      <c r="D1496" s="9" t="s">
        <v>56</v>
      </c>
      <c r="F1496" s="7" t="s">
        <v>2</v>
      </c>
      <c r="G1496" s="137">
        <v>0.98456030502779313</v>
      </c>
      <c r="H1496" s="138">
        <v>0.98456030502779313</v>
      </c>
      <c r="I1496" s="138">
        <v>0.98456030502779313</v>
      </c>
      <c r="J1496" s="138">
        <v>0.98456030502779313</v>
      </c>
      <c r="K1496" s="138">
        <v>0.98456030502779313</v>
      </c>
      <c r="L1496" s="138">
        <v>0.98456030502779313</v>
      </c>
      <c r="M1496" s="138">
        <v>0.98456030502779313</v>
      </c>
      <c r="N1496" s="138">
        <v>0.98456030502779313</v>
      </c>
      <c r="O1496" s="138">
        <v>0.98456030502779313</v>
      </c>
      <c r="P1496" s="138">
        <v>0.98456030502779313</v>
      </c>
      <c r="Q1496" s="138">
        <v>0.98456030502779313</v>
      </c>
      <c r="R1496" s="138">
        <v>0.98456030502779313</v>
      </c>
      <c r="S1496" s="137">
        <v>0.98039042337076621</v>
      </c>
      <c r="T1496" s="138">
        <v>0.98039042337076621</v>
      </c>
      <c r="U1496" s="138">
        <v>0.98039042337076621</v>
      </c>
      <c r="V1496" s="138">
        <v>0.98039042337076621</v>
      </c>
      <c r="W1496" s="138">
        <v>0.98039042337076621</v>
      </c>
      <c r="X1496" s="138">
        <v>0.98039042337076621</v>
      </c>
      <c r="Y1496" s="138">
        <v>0.98039042337076621</v>
      </c>
      <c r="Z1496" s="138">
        <v>0.98039042337076621</v>
      </c>
      <c r="AA1496" s="138">
        <v>0.98039042337076621</v>
      </c>
      <c r="AB1496" s="138">
        <v>0.98039042337076621</v>
      </c>
      <c r="AC1496" s="138">
        <v>0.98039042337076621</v>
      </c>
      <c r="AD1496" s="139">
        <v>0.98039042337076621</v>
      </c>
      <c r="AE1496" s="15"/>
      <c r="AF1496" s="161">
        <v>0.98456030502779324</v>
      </c>
      <c r="AG1496" s="162">
        <v>0.98039042337076632</v>
      </c>
    </row>
    <row r="1497" spans="2:33" x14ac:dyDescent="0.2">
      <c r="B1497" s="9">
        <f>G1485</f>
        <v>31</v>
      </c>
      <c r="C1497" s="9" t="str">
        <f t="shared" si="8782"/>
        <v>31 - Total Revenue</v>
      </c>
      <c r="D1497" s="9" t="s">
        <v>56</v>
      </c>
      <c r="F1497" s="8" t="s">
        <v>3</v>
      </c>
      <c r="G1497" s="134">
        <f>G1496*G1495</f>
        <v>299.67250845134998</v>
      </c>
      <c r="H1497" s="135">
        <f t="shared" ref="H1497" si="8829">H1496*H1495</f>
        <v>302.38087552797236</v>
      </c>
      <c r="I1497" s="135">
        <f t="shared" ref="I1497" si="8830">I1496*I1495</f>
        <v>262.48994916722143</v>
      </c>
      <c r="J1497" s="135">
        <f t="shared" ref="J1497" si="8831">J1496*J1495</f>
        <v>230.82003796804423</v>
      </c>
      <c r="K1497" s="135">
        <f t="shared" ref="K1497" si="8832">K1496*K1495</f>
        <v>276.9109868847944</v>
      </c>
      <c r="L1497" s="135">
        <f t="shared" ref="L1497" si="8833">L1496*L1495</f>
        <v>274.23538401111404</v>
      </c>
      <c r="M1497" s="135">
        <f t="shared" ref="M1497" si="8834">M1496*M1495</f>
        <v>344.73639020137438</v>
      </c>
      <c r="N1497" s="135">
        <f t="shared" ref="N1497" si="8835">N1496*N1495</f>
        <v>410.09550537524814</v>
      </c>
      <c r="O1497" s="135">
        <f t="shared" ref="O1497" si="8836">O1496*O1495</f>
        <v>383.73366379028965</v>
      </c>
      <c r="P1497" s="135">
        <f t="shared" ref="P1497" si="8837">P1496*P1495</f>
        <v>379.54448514548244</v>
      </c>
      <c r="Q1497" s="135">
        <f t="shared" ref="Q1497" si="8838">Q1496*Q1495</f>
        <v>400.90990018314034</v>
      </c>
      <c r="R1497" s="135">
        <f t="shared" ref="R1497" si="8839">R1496*R1495</f>
        <v>316.3370666030998</v>
      </c>
      <c r="S1497" s="134">
        <f t="shared" ref="S1497" si="8840">S1496*S1495</f>
        <v>358.95517592214532</v>
      </c>
      <c r="T1497" s="135">
        <f t="shared" ref="T1497" si="8841">T1496*T1495</f>
        <v>310.87578097072509</v>
      </c>
      <c r="U1497" s="135">
        <f t="shared" ref="U1497" si="8842">U1496*U1495</f>
        <v>327.70418669357844</v>
      </c>
      <c r="V1497" s="135">
        <f t="shared" ref="V1497" si="8843">V1496*V1495</f>
        <v>318.13513130485927</v>
      </c>
      <c r="W1497" s="135">
        <f t="shared" ref="W1497" si="8844">W1496*W1495</f>
        <v>279.02212345432332</v>
      </c>
      <c r="X1497" s="135">
        <f t="shared" ref="X1497" si="8845">X1496*X1495</f>
        <v>220.1154081304831</v>
      </c>
      <c r="Y1497" s="135">
        <f t="shared" ref="Y1497" si="8846">Y1496*Y1495</f>
        <v>222.2014204097992</v>
      </c>
      <c r="Z1497" s="135">
        <f t="shared" ref="Z1497" si="8847">Z1496*Z1495</f>
        <v>282.15033726770679</v>
      </c>
      <c r="AA1497" s="135">
        <f t="shared" ref="AA1497" si="8848">AA1496*AA1495</f>
        <v>273.08312878328189</v>
      </c>
      <c r="AB1497" s="135">
        <f t="shared" ref="AB1497" si="8849">AB1496*AB1495</f>
        <v>309.26006177727749</v>
      </c>
      <c r="AC1497" s="135">
        <f t="shared" ref="AC1497" si="8850">AC1496*AC1495</f>
        <v>308.18013854891478</v>
      </c>
      <c r="AD1497" s="136">
        <f t="shared" ref="AD1497" si="8851">AD1496*AD1495</f>
        <v>192.80021733901498</v>
      </c>
      <c r="AE1497" s="15"/>
      <c r="AF1497" s="94">
        <f>SUM(G1497:R1497)</f>
        <v>3881.8667533091316</v>
      </c>
      <c r="AG1497" s="95">
        <f>SUM(S1497:AD1497)</f>
        <v>3402.4831106021093</v>
      </c>
    </row>
    <row r="1498" spans="2:33" x14ac:dyDescent="0.2">
      <c r="B1498" s="9">
        <f>G1485</f>
        <v>31</v>
      </c>
      <c r="C1498" s="9" t="str">
        <f t="shared" si="8782"/>
        <v>31 - % YoY Revenue Growth</v>
      </c>
      <c r="D1498" s="9" t="s">
        <v>56</v>
      </c>
      <c r="F1498" s="16" t="s">
        <v>174</v>
      </c>
      <c r="G1498" s="82"/>
      <c r="H1498" s="83"/>
      <c r="I1498" s="83"/>
      <c r="J1498" s="83"/>
      <c r="K1498" s="83"/>
      <c r="L1498" s="83"/>
      <c r="M1498" s="83"/>
      <c r="N1498" s="83"/>
      <c r="O1498" s="83"/>
      <c r="P1498" s="83"/>
      <c r="Q1498" s="83"/>
      <c r="R1498" s="83"/>
      <c r="S1498" s="148">
        <f>S1497/G1497-1</f>
        <v>0.19782484478525175</v>
      </c>
      <c r="T1498" s="149">
        <f t="shared" ref="T1498" si="8852">T1497/H1497-1</f>
        <v>2.8093395218597106E-2</v>
      </c>
      <c r="U1498" s="149">
        <f t="shared" ref="U1498" si="8853">U1497/I1497-1</f>
        <v>0.24844470324771084</v>
      </c>
      <c r="V1498" s="149">
        <f t="shared" ref="V1498" si="8854">V1497/J1497-1</f>
        <v>0.3782821201550246</v>
      </c>
      <c r="W1498" s="149">
        <f t="shared" ref="W1498" si="8855">W1497/K1497-1</f>
        <v>7.6238815703157936E-3</v>
      </c>
      <c r="X1498" s="149">
        <f t="shared" ref="X1498" si="8856">X1497/L1497-1</f>
        <v>-0.19734862470715153</v>
      </c>
      <c r="Y1498" s="149">
        <f t="shared" ref="Y1498" si="8857">Y1497/M1497-1</f>
        <v>-0.35544541648184447</v>
      </c>
      <c r="Z1498" s="149">
        <f t="shared" ref="Z1498" si="8858">Z1497/N1497-1</f>
        <v>-0.31198871099664494</v>
      </c>
      <c r="AA1498" s="149">
        <f t="shared" ref="AA1498" si="8859">AA1497/O1497-1</f>
        <v>-0.28835243151218093</v>
      </c>
      <c r="AB1498" s="149">
        <f t="shared" ref="AB1498" si="8860">AB1497/P1497-1</f>
        <v>-0.1851809896309371</v>
      </c>
      <c r="AC1498" s="149">
        <f t="shared" ref="AC1498" si="8861">AC1497/Q1497-1</f>
        <v>-0.23129825826667172</v>
      </c>
      <c r="AD1498" s="150">
        <f t="shared" ref="AD1498" si="8862">AD1497/R1497-1</f>
        <v>-0.39052283878918126</v>
      </c>
      <c r="AE1498" s="15"/>
      <c r="AF1498" s="11"/>
      <c r="AG1498" s="97">
        <f>AG1497/AF1497-1</f>
        <v>-0.12349307000256193</v>
      </c>
    </row>
    <row r="1499" spans="2:33" ht="6" customHeight="1" x14ac:dyDescent="0.2">
      <c r="B1499" s="9">
        <f>G1485</f>
        <v>31</v>
      </c>
      <c r="C1499" s="9" t="str">
        <f t="shared" si="8782"/>
        <v xml:space="preserve">31 - </v>
      </c>
      <c r="D1499" s="9" t="s">
        <v>56</v>
      </c>
      <c r="G1499" s="11"/>
      <c r="S1499" s="11"/>
      <c r="AD1499" s="15"/>
      <c r="AE1499" s="15"/>
      <c r="AF1499" s="11"/>
      <c r="AG1499" s="15"/>
    </row>
    <row r="1500" spans="2:33" x14ac:dyDescent="0.2">
      <c r="B1500" s="9">
        <f>G1485</f>
        <v>31</v>
      </c>
      <c r="C1500" s="9" t="str">
        <f t="shared" si="8782"/>
        <v>31 - Doctor Compensation</v>
      </c>
      <c r="D1500" s="9" t="s">
        <v>56</v>
      </c>
      <c r="F1500" t="s">
        <v>4</v>
      </c>
      <c r="G1500" s="144">
        <v>-111.70853460820445</v>
      </c>
      <c r="H1500" s="70">
        <v>-115.14756350318957</v>
      </c>
      <c r="I1500" s="70">
        <v>-102.20284678026491</v>
      </c>
      <c r="J1500" s="70">
        <v>-88.154451078013395</v>
      </c>
      <c r="K1500" s="70">
        <v>-101.0337112859536</v>
      </c>
      <c r="L1500" s="70">
        <v>-99.081072576143697</v>
      </c>
      <c r="M1500" s="70">
        <v>-123.04834246881913</v>
      </c>
      <c r="N1500" s="70">
        <v>-111.59129139345147</v>
      </c>
      <c r="O1500" s="70">
        <v>-102.84808916478757</v>
      </c>
      <c r="P1500" s="70">
        <v>-102.89561764735096</v>
      </c>
      <c r="Q1500" s="70">
        <v>-86.968943867091227</v>
      </c>
      <c r="R1500" s="70">
        <v>-66.728096055324301</v>
      </c>
      <c r="S1500" s="144">
        <v>-95.525799356204757</v>
      </c>
      <c r="T1500" s="70">
        <v>-108.85820573897419</v>
      </c>
      <c r="U1500" s="70">
        <v>-115.729451025675</v>
      </c>
      <c r="V1500" s="70">
        <v>-110.72987464355988</v>
      </c>
      <c r="W1500" s="70">
        <v>-96.517669760900716</v>
      </c>
      <c r="X1500" s="70">
        <v>-76.527402817987891</v>
      </c>
      <c r="Y1500" s="70">
        <v>-77.470581138578567</v>
      </c>
      <c r="Z1500" s="70">
        <v>-99.612693544560713</v>
      </c>
      <c r="AA1500" s="70">
        <v>-95.108297475828039</v>
      </c>
      <c r="AB1500" s="70">
        <v>-108.87050886260202</v>
      </c>
      <c r="AC1500" s="70">
        <v>-79.707037807537205</v>
      </c>
      <c r="AD1500" s="145">
        <v>-66.463619173616735</v>
      </c>
      <c r="AE1500" s="15"/>
      <c r="AF1500" s="92">
        <f>SUM(G1500:R1500)</f>
        <v>-1211.4085604285942</v>
      </c>
      <c r="AG1500" s="93">
        <f>SUM(S1500:AD1500)</f>
        <v>-1131.1211413460258</v>
      </c>
    </row>
    <row r="1501" spans="2:33" x14ac:dyDescent="0.2">
      <c r="B1501" s="9">
        <f>G1485</f>
        <v>31</v>
      </c>
      <c r="C1501" s="9" t="str">
        <f t="shared" si="8782"/>
        <v>31 - % of Revenue - Doctor Compensation</v>
      </c>
      <c r="D1501" s="9" t="s">
        <v>56</v>
      </c>
      <c r="F1501" s="16" t="str">
        <f>"% of Revenue - "&amp;F1500</f>
        <v>% of Revenue - Doctor Compensation</v>
      </c>
      <c r="G1501" s="148">
        <f>G1500/G1497</f>
        <v>-0.37276871070186823</v>
      </c>
      <c r="H1501" s="149">
        <f t="shared" ref="H1501" si="8863">H1500/H1497</f>
        <v>-0.38080306270076136</v>
      </c>
      <c r="I1501" s="149">
        <f t="shared" ref="I1501" si="8864">I1500/I1497</f>
        <v>-0.38935908633650473</v>
      </c>
      <c r="J1501" s="149">
        <f t="shared" ref="J1501" si="8865">J1500/J1497</f>
        <v>-0.38191853642367868</v>
      </c>
      <c r="K1501" s="149">
        <f t="shared" ref="K1501" si="8866">K1500/K1497</f>
        <v>-0.36485988664648944</v>
      </c>
      <c r="L1501" s="149">
        <f t="shared" ref="L1501" si="8867">L1500/L1497</f>
        <v>-0.36129937401560186</v>
      </c>
      <c r="M1501" s="149">
        <f t="shared" ref="M1501" si="8868">M1500/M1497</f>
        <v>-0.35693459108550057</v>
      </c>
      <c r="N1501" s="149">
        <f t="shared" ref="N1501" si="8869">N1500/N1497</f>
        <v>-0.27211049604492132</v>
      </c>
      <c r="O1501" s="149">
        <f t="shared" ref="O1501" si="8870">O1500/O1497</f>
        <v>-0.26801945950979694</v>
      </c>
      <c r="P1501" s="149">
        <f t="shared" ref="P1501" si="8871">P1500/P1497</f>
        <v>-0.27110291856278784</v>
      </c>
      <c r="Q1501" s="149">
        <f t="shared" ref="Q1501" si="8872">Q1500/Q1497</f>
        <v>-0.21692890055187661</v>
      </c>
      <c r="R1501" s="149">
        <f t="shared" ref="R1501" si="8873">R1500/R1497</f>
        <v>-0.21093985846131139</v>
      </c>
      <c r="S1501" s="148">
        <f t="shared" ref="S1501" si="8874">S1500/S1497</f>
        <v>-0.26612180507162708</v>
      </c>
      <c r="T1501" s="149">
        <f t="shared" ref="T1501" si="8875">T1500/T1497</f>
        <v>-0.35016624775033628</v>
      </c>
      <c r="U1501" s="149">
        <f t="shared" ref="U1501" si="8876">U1500/U1497</f>
        <v>-0.35315218945886845</v>
      </c>
      <c r="V1501" s="149">
        <f t="shared" ref="V1501" si="8877">V1500/V1497</f>
        <v>-0.34805924824898005</v>
      </c>
      <c r="W1501" s="149">
        <f t="shared" ref="W1501" si="8878">W1500/W1497</f>
        <v>-0.34591403923818581</v>
      </c>
      <c r="X1501" s="149">
        <f t="shared" ref="X1501" si="8879">X1500/X1497</f>
        <v>-0.34766944971259306</v>
      </c>
      <c r="Y1501" s="149">
        <f t="shared" ref="Y1501" si="8880">Y1500/Y1497</f>
        <v>-0.348650251630714</v>
      </c>
      <c r="Z1501" s="149">
        <f t="shared" ref="Z1501" si="8881">Z1500/Z1497</f>
        <v>-0.35304828804810995</v>
      </c>
      <c r="AA1501" s="149">
        <f t="shared" ref="AA1501" si="8882">AA1500/AA1497</f>
        <v>-0.34827599163515427</v>
      </c>
      <c r="AB1501" s="149">
        <f t="shared" ref="AB1501" si="8883">AB1500/AB1497</f>
        <v>-0.35203546244198919</v>
      </c>
      <c r="AC1501" s="149">
        <f t="shared" ref="AC1501" si="8884">AC1500/AC1497</f>
        <v>-0.25863781547650255</v>
      </c>
      <c r="AD1501" s="150">
        <f t="shared" ref="AD1501" si="8885">AD1500/AD1497</f>
        <v>-0.34472792661197471</v>
      </c>
      <c r="AE1501" s="15"/>
      <c r="AF1501" s="96">
        <f t="shared" ref="AF1501" si="8886">AF1500/AF1497</f>
        <v>-0.312068558096673</v>
      </c>
      <c r="AG1501" s="97">
        <f t="shared" ref="AG1501" si="8887">AG1500/AG1497</f>
        <v>-0.33243989891425518</v>
      </c>
    </row>
    <row r="1502" spans="2:33" ht="3" customHeight="1" x14ac:dyDescent="0.2">
      <c r="B1502" s="9">
        <f>G1485</f>
        <v>31</v>
      </c>
      <c r="C1502" s="9" t="str">
        <f t="shared" si="8782"/>
        <v xml:space="preserve">31 - </v>
      </c>
      <c r="D1502" s="9" t="s">
        <v>56</v>
      </c>
      <c r="F1502" s="16"/>
      <c r="G1502" s="36"/>
      <c r="H1502" s="37"/>
      <c r="I1502" s="37"/>
      <c r="J1502" s="37"/>
      <c r="K1502" s="37"/>
      <c r="L1502" s="37"/>
      <c r="M1502" s="37"/>
      <c r="N1502" s="37"/>
      <c r="O1502" s="37"/>
      <c r="P1502" s="37"/>
      <c r="Q1502" s="37"/>
      <c r="R1502" s="37"/>
      <c r="S1502" s="36"/>
      <c r="T1502" s="37"/>
      <c r="U1502" s="37"/>
      <c r="V1502" s="37"/>
      <c r="W1502" s="37"/>
      <c r="X1502" s="37"/>
      <c r="Y1502" s="37"/>
      <c r="Z1502" s="37"/>
      <c r="AA1502" s="37"/>
      <c r="AB1502" s="37"/>
      <c r="AC1502" s="37"/>
      <c r="AD1502" s="38"/>
      <c r="AE1502" s="15"/>
      <c r="AF1502" s="36"/>
      <c r="AG1502" s="38"/>
    </row>
    <row r="1503" spans="2:33" x14ac:dyDescent="0.2">
      <c r="B1503" s="9">
        <f>G1485</f>
        <v>31</v>
      </c>
      <c r="C1503" s="9" t="str">
        <f t="shared" si="8782"/>
        <v>31 - Administrative Staff Compensation</v>
      </c>
      <c r="D1503" s="9" t="s">
        <v>56</v>
      </c>
      <c r="F1503" t="s">
        <v>5</v>
      </c>
      <c r="G1503" s="144">
        <v>-51.90263738084964</v>
      </c>
      <c r="H1503" s="70">
        <v>-52.569593054973566</v>
      </c>
      <c r="I1503" s="70">
        <v>-68.92002844459752</v>
      </c>
      <c r="J1503" s="70">
        <v>-60.070968641220176</v>
      </c>
      <c r="K1503" s="70">
        <v>-73.590004890136001</v>
      </c>
      <c r="L1503" s="70">
        <v>-73.363767115226523</v>
      </c>
      <c r="M1503" s="70">
        <v>-62.647476828690209</v>
      </c>
      <c r="N1503" s="70">
        <v>-54.150207535808811</v>
      </c>
      <c r="O1503" s="70">
        <v>-51.537705177700843</v>
      </c>
      <c r="P1503" s="70">
        <v>-48.172309069201198</v>
      </c>
      <c r="Q1503" s="70">
        <v>-41.821167407383193</v>
      </c>
      <c r="R1503" s="70">
        <v>-33.045151445688397</v>
      </c>
      <c r="S1503" s="144">
        <v>-49.314524736629131</v>
      </c>
      <c r="T1503" s="70">
        <v>-54.945823946754565</v>
      </c>
      <c r="U1503" s="70">
        <v>-59.602809867218951</v>
      </c>
      <c r="V1503" s="70">
        <v>-57.002326983922607</v>
      </c>
      <c r="W1503" s="70">
        <v>-72.106139888972322</v>
      </c>
      <c r="X1503" s="70">
        <v>-59.583803756593909</v>
      </c>
      <c r="Y1503" s="70">
        <v>-60.311971482602736</v>
      </c>
      <c r="Z1503" s="70">
        <v>-50.267973443988026</v>
      </c>
      <c r="AA1503" s="70">
        <v>-49.534200333089331</v>
      </c>
      <c r="AB1503" s="70">
        <v>-56.582226933570411</v>
      </c>
      <c r="AC1503" s="70">
        <v>-44.144322758067894</v>
      </c>
      <c r="AD1503" s="145">
        <v>-37.656370353679797</v>
      </c>
      <c r="AE1503" s="15"/>
      <c r="AF1503" s="92">
        <f>SUM(G1503:R1503)</f>
        <v>-671.79101699147611</v>
      </c>
      <c r="AG1503" s="93">
        <f>SUM(S1503:AD1503)</f>
        <v>-651.05249448508971</v>
      </c>
    </row>
    <row r="1504" spans="2:33" x14ac:dyDescent="0.2">
      <c r="B1504" s="9">
        <f>G1485</f>
        <v>31</v>
      </c>
      <c r="C1504" s="9" t="str">
        <f t="shared" si="8782"/>
        <v>31 - % of Revenue - Administrative Staff Compensation</v>
      </c>
      <c r="D1504" s="9" t="s">
        <v>56</v>
      </c>
      <c r="F1504" s="16" t="str">
        <f>"% of Revenue - "&amp;F1503</f>
        <v>% of Revenue - Administrative Staff Compensation</v>
      </c>
      <c r="G1504" s="148">
        <f>G1503/G1497</f>
        <v>-0.17319786072160076</v>
      </c>
      <c r="H1504" s="149">
        <f t="shared" ref="H1504" si="8888">H1503/H1497</f>
        <v>-0.17385224169082911</v>
      </c>
      <c r="I1504" s="149">
        <f t="shared" ref="I1504" si="8889">I1503/I1497</f>
        <v>-0.26256254254021527</v>
      </c>
      <c r="J1504" s="149">
        <f t="shared" ref="J1504" si="8890">J1503/J1497</f>
        <v>-0.26025023290888061</v>
      </c>
      <c r="K1504" s="149">
        <f t="shared" ref="K1504" si="8891">K1503/K1497</f>
        <v>-0.26575328670780501</v>
      </c>
      <c r="L1504" s="149">
        <f t="shared" ref="L1504" si="8892">L1503/L1497</f>
        <v>-0.26752115661432402</v>
      </c>
      <c r="M1504" s="149">
        <f t="shared" ref="M1504" si="8893">M1503/M1497</f>
        <v>-0.1817257435227401</v>
      </c>
      <c r="N1504" s="149">
        <f t="shared" ref="N1504" si="8894">N1503/N1497</f>
        <v>-0.1320429188470621</v>
      </c>
      <c r="O1504" s="149">
        <f t="shared" ref="O1504" si="8895">O1503/O1497</f>
        <v>-0.13430592632567726</v>
      </c>
      <c r="P1504" s="149">
        <f t="shared" ref="P1504" si="8896">P1503/P1497</f>
        <v>-0.12692137800589137</v>
      </c>
      <c r="Q1504" s="149">
        <f t="shared" ref="Q1504" si="8897">Q1503/Q1497</f>
        <v>-0.10431562649931767</v>
      </c>
      <c r="R1504" s="149">
        <f t="shared" ref="R1504" si="8898">R1503/R1497</f>
        <v>-0.1044618381289769</v>
      </c>
      <c r="S1504" s="148">
        <f t="shared" ref="S1504" si="8899">S1503/S1497</f>
        <v>-0.13738351762150125</v>
      </c>
      <c r="T1504" s="149">
        <f t="shared" ref="T1504" si="8900">T1503/T1497</f>
        <v>-0.17674527033010901</v>
      </c>
      <c r="U1504" s="149">
        <f t="shared" ref="U1504" si="8901">U1503/U1497</f>
        <v>-0.18187991575143006</v>
      </c>
      <c r="V1504" s="149">
        <f t="shared" ref="V1504" si="8902">V1503/V1497</f>
        <v>-0.17917646111613811</v>
      </c>
      <c r="W1504" s="149">
        <f t="shared" ref="W1504" si="8903">W1503/W1497</f>
        <v>-0.25842445393322472</v>
      </c>
      <c r="X1504" s="149">
        <f t="shared" ref="X1504" si="8904">X1503/X1497</f>
        <v>-0.2706934705873611</v>
      </c>
      <c r="Y1504" s="149">
        <f t="shared" ref="Y1504" si="8905">Y1503/Y1497</f>
        <v>-0.27142927966604008</v>
      </c>
      <c r="Z1504" s="149">
        <f t="shared" ref="Z1504" si="8906">Z1503/Z1497</f>
        <v>-0.17816024581354059</v>
      </c>
      <c r="AA1504" s="149">
        <f t="shared" ref="AA1504" si="8907">AA1503/AA1497</f>
        <v>-0.18138872420932145</v>
      </c>
      <c r="AB1504" s="149">
        <f t="shared" ref="AB1504" si="8908">AB1503/AB1497</f>
        <v>-0.18296001950073892</v>
      </c>
      <c r="AC1504" s="149">
        <f t="shared" ref="AC1504" si="8909">AC1503/AC1497</f>
        <v>-0.14324194597979015</v>
      </c>
      <c r="AD1504" s="150">
        <f t="shared" ref="AD1504" si="8910">AD1503/AD1497</f>
        <v>-0.19531290406932372</v>
      </c>
      <c r="AE1504" s="15"/>
      <c r="AF1504" s="96">
        <f t="shared" ref="AF1504" si="8911">AF1503/AF1497</f>
        <v>-0.17305875231776102</v>
      </c>
      <c r="AG1504" s="97">
        <f t="shared" ref="AG1504" si="8912">AG1503/AG1497</f>
        <v>-0.19134628250068766</v>
      </c>
    </row>
    <row r="1505" spans="2:33" ht="3" customHeight="1" x14ac:dyDescent="0.2">
      <c r="B1505" s="9">
        <f>G1485</f>
        <v>31</v>
      </c>
      <c r="C1505" s="9" t="str">
        <f t="shared" si="8782"/>
        <v xml:space="preserve">31 - </v>
      </c>
      <c r="D1505" s="9" t="s">
        <v>56</v>
      </c>
      <c r="F1505" s="16"/>
      <c r="G1505" s="36"/>
      <c r="H1505" s="37"/>
      <c r="I1505" s="37"/>
      <c r="J1505" s="37"/>
      <c r="K1505" s="37"/>
      <c r="L1505" s="37"/>
      <c r="M1505" s="37"/>
      <c r="N1505" s="37"/>
      <c r="O1505" s="37"/>
      <c r="P1505" s="37"/>
      <c r="Q1505" s="37"/>
      <c r="R1505" s="37"/>
      <c r="S1505" s="36"/>
      <c r="T1505" s="37"/>
      <c r="U1505" s="37"/>
      <c r="V1505" s="37"/>
      <c r="W1505" s="37"/>
      <c r="X1505" s="37"/>
      <c r="Y1505" s="37"/>
      <c r="Z1505" s="37"/>
      <c r="AA1505" s="37"/>
      <c r="AB1505" s="37"/>
      <c r="AC1505" s="37"/>
      <c r="AD1505" s="38"/>
      <c r="AE1505" s="15"/>
      <c r="AF1505" s="36"/>
      <c r="AG1505" s="38"/>
    </row>
    <row r="1506" spans="2:33" x14ac:dyDescent="0.2">
      <c r="B1506" s="9">
        <f>G1485</f>
        <v>31</v>
      </c>
      <c r="C1506" s="9" t="str">
        <f t="shared" si="8782"/>
        <v>31 - Office Supplies</v>
      </c>
      <c r="D1506" s="9" t="s">
        <v>56</v>
      </c>
      <c r="F1506" t="s">
        <v>6</v>
      </c>
      <c r="G1506" s="144">
        <v>-26.455925223424604</v>
      </c>
      <c r="H1506" s="70">
        <v>-25.4495501281706</v>
      </c>
      <c r="I1506" s="70">
        <v>-31.193786795184309</v>
      </c>
      <c r="J1506" s="70">
        <v>-26.459780001613424</v>
      </c>
      <c r="K1506" s="70">
        <v>-33.256881186872185</v>
      </c>
      <c r="L1506" s="70">
        <v>-33.678176416360444</v>
      </c>
      <c r="M1506" s="70">
        <v>-29.12828021991627</v>
      </c>
      <c r="N1506" s="70">
        <v>-26.102434533629744</v>
      </c>
      <c r="O1506" s="70">
        <v>-25.046838300296685</v>
      </c>
      <c r="P1506" s="70">
        <v>-23.619834385858521</v>
      </c>
      <c r="Q1506" s="70">
        <v>-19.059917570222488</v>
      </c>
      <c r="R1506" s="70">
        <v>-15.109889370498275</v>
      </c>
      <c r="S1506" s="144">
        <v>-20.392390453960555</v>
      </c>
      <c r="T1506" s="70">
        <v>-22.419072462878269</v>
      </c>
      <c r="U1506" s="70">
        <v>-22.582506660348848</v>
      </c>
      <c r="V1506" s="70">
        <v>-22.636343546380864</v>
      </c>
      <c r="W1506" s="70">
        <v>-28.06060478163786</v>
      </c>
      <c r="X1506" s="70">
        <v>-22.504675133309554</v>
      </c>
      <c r="Y1506" s="70">
        <v>-21.09191381526383</v>
      </c>
      <c r="Z1506" s="70">
        <v>-18.583885355748262</v>
      </c>
      <c r="AA1506" s="70">
        <v>-17.427516772726701</v>
      </c>
      <c r="AB1506" s="70">
        <v>-18.853645647969408</v>
      </c>
      <c r="AC1506" s="70">
        <v>-12.942022311393902</v>
      </c>
      <c r="AD1506" s="145">
        <v>-9.9091935054713129</v>
      </c>
      <c r="AE1506" s="15"/>
      <c r="AF1506" s="92">
        <f>SUM(G1506:R1506)</f>
        <v>-314.56129413204752</v>
      </c>
      <c r="AG1506" s="93">
        <f>SUM(S1506:AD1506)</f>
        <v>-237.40377044708939</v>
      </c>
    </row>
    <row r="1507" spans="2:33" x14ac:dyDescent="0.2">
      <c r="B1507" s="9">
        <f>G1485</f>
        <v>31</v>
      </c>
      <c r="C1507" s="9" t="str">
        <f t="shared" si="8782"/>
        <v>31 - % of Revenue - Office Supplies</v>
      </c>
      <c r="D1507" s="9" t="s">
        <v>56</v>
      </c>
      <c r="F1507" s="16" t="str">
        <f>"% of Revenue - "&amp;F1506</f>
        <v>% of Revenue - Office Supplies</v>
      </c>
      <c r="G1507" s="148">
        <f>G1506/G1497</f>
        <v>-8.8282790303801137E-2</v>
      </c>
      <c r="H1507" s="149">
        <f t="shared" ref="H1507" si="8913">H1506/H1497</f>
        <v>-8.4163887956652E-2</v>
      </c>
      <c r="I1507" s="149">
        <f t="shared" ref="I1507" si="8914">I1506/I1497</f>
        <v>-0.11883802368109739</v>
      </c>
      <c r="J1507" s="149">
        <f t="shared" ref="J1507" si="8915">J1506/J1497</f>
        <v>-0.1146338083753224</v>
      </c>
      <c r="K1507" s="149">
        <f t="shared" ref="K1507" si="8916">K1506/K1497</f>
        <v>-0.12009953653701839</v>
      </c>
      <c r="L1507" s="149">
        <f t="shared" ref="L1507" si="8917">L1506/L1497</f>
        <v>-0.12280755285392185</v>
      </c>
      <c r="M1507" s="149">
        <f t="shared" ref="M1507" si="8918">M1506/M1497</f>
        <v>-8.4494358726971849E-2</v>
      </c>
      <c r="N1507" s="149">
        <f t="shared" ref="N1507" si="8919">N1506/N1497</f>
        <v>-6.3649647927122077E-2</v>
      </c>
      <c r="O1507" s="149">
        <f t="shared" ref="O1507" si="8920">O1506/O1497</f>
        <v>-6.5271412606595747E-2</v>
      </c>
      <c r="P1507" s="149">
        <f t="shared" ref="P1507" si="8921">P1506/P1497</f>
        <v>-6.223205792808411E-2</v>
      </c>
      <c r="Q1507" s="149">
        <f t="shared" ref="Q1507" si="8922">Q1506/Q1497</f>
        <v>-4.7541648538775655E-2</v>
      </c>
      <c r="R1507" s="149">
        <f t="shared" ref="R1507" si="8923">R1506/R1497</f>
        <v>-4.7765156112597691E-2</v>
      </c>
      <c r="S1507" s="148">
        <f t="shared" ref="S1507" si="8924">S1506/S1497</f>
        <v>-5.6810409270664788E-2</v>
      </c>
      <c r="T1507" s="149">
        <f t="shared" ref="T1507" si="8925">T1506/T1497</f>
        <v>-7.2115854097329804E-2</v>
      </c>
      <c r="U1507" s="149">
        <f t="shared" ref="U1507" si="8926">U1506/U1497</f>
        <v>-6.8911254653773291E-2</v>
      </c>
      <c r="V1507" s="149">
        <f t="shared" ref="V1507" si="8927">V1506/V1497</f>
        <v>-7.1153234330128545E-2</v>
      </c>
      <c r="W1507" s="149">
        <f t="shared" ref="W1507" si="8928">W1506/W1497</f>
        <v>-0.1005676698114279</v>
      </c>
      <c r="X1507" s="149">
        <f t="shared" ref="X1507" si="8929">X1506/X1497</f>
        <v>-0.10224034439228769</v>
      </c>
      <c r="Y1507" s="149">
        <f t="shared" ref="Y1507" si="8930">Y1506/Y1497</f>
        <v>-9.4922497688649632E-2</v>
      </c>
      <c r="Z1507" s="149">
        <f t="shared" ref="Z1507" si="8931">Z1506/Z1497</f>
        <v>-6.5865189231071888E-2</v>
      </c>
      <c r="AA1507" s="149">
        <f t="shared" ref="AA1507" si="8932">AA1506/AA1497</f>
        <v>-6.3817625242448189E-2</v>
      </c>
      <c r="AB1507" s="149">
        <f t="shared" ref="AB1507" si="8933">AB1506/AB1497</f>
        <v>-6.0963725932213657E-2</v>
      </c>
      <c r="AC1507" s="149">
        <f t="shared" ref="AC1507" si="8934">AC1506/AC1497</f>
        <v>-4.1994991540766427E-2</v>
      </c>
      <c r="AD1507" s="150">
        <f t="shared" ref="AD1507" si="8935">AD1506/AD1497</f>
        <v>-5.1396173937123944E-2</v>
      </c>
      <c r="AE1507" s="15"/>
      <c r="AF1507" s="96">
        <f t="shared" ref="AF1507" si="8936">AF1506/AF1497</f>
        <v>-8.1033511483591489E-2</v>
      </c>
      <c r="AG1507" s="97">
        <f t="shared" ref="AG1507" si="8937">AG1506/AG1497</f>
        <v>-6.9773680788404568E-2</v>
      </c>
    </row>
    <row r="1508" spans="2:33" ht="6" customHeight="1" x14ac:dyDescent="0.2">
      <c r="B1508" s="9">
        <f>G1485</f>
        <v>31</v>
      </c>
      <c r="C1508" s="9" t="str">
        <f t="shared" si="8782"/>
        <v xml:space="preserve">31 - </v>
      </c>
      <c r="D1508" s="9" t="s">
        <v>56</v>
      </c>
      <c r="F1508" s="16"/>
      <c r="G1508" s="11"/>
      <c r="S1508" s="11"/>
      <c r="AD1508" s="15"/>
      <c r="AE1508" s="15"/>
      <c r="AF1508" s="11"/>
      <c r="AG1508" s="15"/>
    </row>
    <row r="1509" spans="2:33" x14ac:dyDescent="0.2">
      <c r="B1509" s="9">
        <f>G1485</f>
        <v>31</v>
      </c>
      <c r="C1509" s="9" t="str">
        <f t="shared" si="8782"/>
        <v>31 - Office Gross Profit</v>
      </c>
      <c r="D1509" s="9" t="s">
        <v>56</v>
      </c>
      <c r="F1509" s="8" t="s">
        <v>11</v>
      </c>
      <c r="G1509" s="134">
        <f>G1497+G1500+G1503+G1506</f>
        <v>109.60541123887131</v>
      </c>
      <c r="H1509" s="135">
        <f t="shared" ref="H1509:AD1509" si="8938">H1497+H1500+H1503+H1506</f>
        <v>109.21416884163862</v>
      </c>
      <c r="I1509" s="135">
        <f t="shared" si="8938"/>
        <v>60.17328714717469</v>
      </c>
      <c r="J1509" s="135">
        <f t="shared" si="8938"/>
        <v>56.134838247197251</v>
      </c>
      <c r="K1509" s="135">
        <f t="shared" si="8938"/>
        <v>69.030389521832632</v>
      </c>
      <c r="L1509" s="135">
        <f t="shared" si="8938"/>
        <v>68.112367903383372</v>
      </c>
      <c r="M1509" s="135">
        <f t="shared" si="8938"/>
        <v>129.91229068394878</v>
      </c>
      <c r="N1509" s="135">
        <f t="shared" si="8938"/>
        <v>218.25157191235812</v>
      </c>
      <c r="O1509" s="135">
        <f t="shared" si="8938"/>
        <v>204.30103114750457</v>
      </c>
      <c r="P1509" s="135">
        <f t="shared" si="8938"/>
        <v>204.85672404307178</v>
      </c>
      <c r="Q1509" s="135">
        <f t="shared" si="8938"/>
        <v>253.0598713384434</v>
      </c>
      <c r="R1509" s="135">
        <f t="shared" si="8938"/>
        <v>201.45392973158883</v>
      </c>
      <c r="S1509" s="134">
        <f t="shared" si="8938"/>
        <v>193.72246137535089</v>
      </c>
      <c r="T1509" s="135">
        <f t="shared" si="8938"/>
        <v>124.65267882211808</v>
      </c>
      <c r="U1509" s="135">
        <f t="shared" si="8938"/>
        <v>129.78941914033561</v>
      </c>
      <c r="V1509" s="135">
        <f t="shared" si="8938"/>
        <v>127.76658613099593</v>
      </c>
      <c r="W1509" s="135">
        <f t="shared" si="8938"/>
        <v>82.337709022812405</v>
      </c>
      <c r="X1509" s="135">
        <f t="shared" si="8938"/>
        <v>61.499526422591764</v>
      </c>
      <c r="Y1509" s="135">
        <f t="shared" si="8938"/>
        <v>63.326953973354087</v>
      </c>
      <c r="Z1509" s="135">
        <f t="shared" si="8938"/>
        <v>113.68578492340978</v>
      </c>
      <c r="AA1509" s="135">
        <f t="shared" si="8938"/>
        <v>111.01311420163782</v>
      </c>
      <c r="AB1509" s="135">
        <f t="shared" si="8938"/>
        <v>124.95368033313562</v>
      </c>
      <c r="AC1509" s="135">
        <f t="shared" si="8938"/>
        <v>171.38675567191578</v>
      </c>
      <c r="AD1509" s="136">
        <f t="shared" si="8938"/>
        <v>78.771034306247145</v>
      </c>
      <c r="AE1509" s="15"/>
      <c r="AF1509" s="98">
        <f>SUM(G1509:R1509)</f>
        <v>1684.1058817570135</v>
      </c>
      <c r="AG1509" s="95">
        <f>SUM(S1509:AD1509)</f>
        <v>1382.905704323905</v>
      </c>
    </row>
    <row r="1510" spans="2:33" x14ac:dyDescent="0.2">
      <c r="B1510" s="9">
        <f>G1485</f>
        <v>31</v>
      </c>
      <c r="C1510" s="9" t="str">
        <f t="shared" si="8782"/>
        <v>31 - % of Revenue - Office Gross Profit</v>
      </c>
      <c r="D1510" s="9" t="s">
        <v>56</v>
      </c>
      <c r="F1510" s="16" t="str">
        <f>"% of Revenue - "&amp;F1509</f>
        <v>% of Revenue - Office Gross Profit</v>
      </c>
      <c r="G1510" s="148">
        <f>G1509/G1497</f>
        <v>0.36575063827272991</v>
      </c>
      <c r="H1510" s="149">
        <f t="shared" ref="H1510" si="8939">H1509/H1497</f>
        <v>0.36118080765175753</v>
      </c>
      <c r="I1510" s="149">
        <f t="shared" ref="I1510" si="8940">I1509/I1497</f>
        <v>0.22924034744218261</v>
      </c>
      <c r="J1510" s="149">
        <f t="shared" ref="J1510" si="8941">J1509/J1497</f>
        <v>0.24319742229211838</v>
      </c>
      <c r="K1510" s="149">
        <f t="shared" ref="K1510" si="8942">K1509/K1497</f>
        <v>0.24928729010868725</v>
      </c>
      <c r="L1510" s="149">
        <f t="shared" ref="L1510" si="8943">L1509/L1497</f>
        <v>0.24837191651615226</v>
      </c>
      <c r="M1510" s="149">
        <f t="shared" ref="M1510" si="8944">M1509/M1497</f>
        <v>0.37684530666478755</v>
      </c>
      <c r="N1510" s="149">
        <f t="shared" ref="N1510" si="8945">N1509/N1497</f>
        <v>0.53219693718089445</v>
      </c>
      <c r="O1510" s="149">
        <f t="shared" ref="O1510" si="8946">O1509/O1497</f>
        <v>0.53240320155793008</v>
      </c>
      <c r="P1510" s="149">
        <f t="shared" ref="P1510" si="8947">P1509/P1497</f>
        <v>0.53974364550323672</v>
      </c>
      <c r="Q1510" s="149">
        <f t="shared" ref="Q1510" si="8948">Q1509/Q1497</f>
        <v>0.63121382441003004</v>
      </c>
      <c r="R1510" s="149">
        <f t="shared" ref="R1510" si="8949">R1509/R1497</f>
        <v>0.63683314729711404</v>
      </c>
      <c r="S1510" s="148">
        <f t="shared" ref="S1510" si="8950">S1509/S1497</f>
        <v>0.53968426803620695</v>
      </c>
      <c r="T1510" s="149">
        <f t="shared" ref="T1510" si="8951">T1509/T1497</f>
        <v>0.40097262782222498</v>
      </c>
      <c r="U1510" s="149">
        <f t="shared" ref="U1510" si="8952">U1509/U1497</f>
        <v>0.39605664013592817</v>
      </c>
      <c r="V1510" s="149">
        <f t="shared" ref="V1510" si="8953">V1509/V1497</f>
        <v>0.40161105630475336</v>
      </c>
      <c r="W1510" s="149">
        <f t="shared" ref="W1510" si="8954">W1509/W1497</f>
        <v>0.29509383701716152</v>
      </c>
      <c r="X1510" s="149">
        <f t="shared" ref="X1510" si="8955">X1509/X1497</f>
        <v>0.27939673530775821</v>
      </c>
      <c r="Y1510" s="149">
        <f t="shared" ref="Y1510" si="8956">Y1509/Y1497</f>
        <v>0.28499797101459634</v>
      </c>
      <c r="Z1510" s="149">
        <f t="shared" ref="Z1510" si="8957">Z1509/Z1497</f>
        <v>0.40292627690727756</v>
      </c>
      <c r="AA1510" s="149">
        <f t="shared" ref="AA1510" si="8958">AA1509/AA1497</f>
        <v>0.40651765891307606</v>
      </c>
      <c r="AB1510" s="149">
        <f t="shared" ref="AB1510" si="8959">AB1509/AB1497</f>
        <v>0.40404079212505817</v>
      </c>
      <c r="AC1510" s="149">
        <f t="shared" ref="AC1510" si="8960">AC1509/AC1497</f>
        <v>0.55612524700294086</v>
      </c>
      <c r="AD1510" s="150">
        <f t="shared" ref="AD1510" si="8961">AD1509/AD1497</f>
        <v>0.40856299538157764</v>
      </c>
      <c r="AE1510" s="15"/>
      <c r="AF1510" s="111">
        <f t="shared" ref="AF1510" si="8962">AF1509/AF1497</f>
        <v>0.43383917810197442</v>
      </c>
      <c r="AG1510" s="97">
        <f t="shared" ref="AG1510" si="8963">AG1509/AG1497</f>
        <v>0.40644013779665272</v>
      </c>
    </row>
    <row r="1511" spans="2:33" ht="6" customHeight="1" x14ac:dyDescent="0.2">
      <c r="B1511" s="9">
        <f>G1485</f>
        <v>31</v>
      </c>
      <c r="C1511" s="9" t="str">
        <f t="shared" si="8782"/>
        <v xml:space="preserve">31 - </v>
      </c>
      <c r="D1511" s="9" t="s">
        <v>56</v>
      </c>
      <c r="F1511" s="16"/>
      <c r="G1511" s="11"/>
      <c r="S1511" s="11"/>
      <c r="AD1511" s="15"/>
      <c r="AE1511" s="15"/>
      <c r="AF1511" s="11"/>
      <c r="AG1511" s="15"/>
    </row>
    <row r="1512" spans="2:33" x14ac:dyDescent="0.2">
      <c r="B1512" s="9">
        <f>G1485</f>
        <v>31</v>
      </c>
      <c r="C1512" s="9" t="str">
        <f t="shared" si="8782"/>
        <v>31 - General and Administrative Expense</v>
      </c>
      <c r="D1512" s="9" t="s">
        <v>56</v>
      </c>
      <c r="F1512" t="s">
        <v>10</v>
      </c>
      <c r="G1512" s="144">
        <v>-14.738749465065839</v>
      </c>
      <c r="H1512" s="70">
        <v>-15.849706032491849</v>
      </c>
      <c r="I1512" s="70">
        <v>-19.356605194373696</v>
      </c>
      <c r="J1512" s="70">
        <v>-17.260656816891753</v>
      </c>
      <c r="K1512" s="70">
        <v>-20.283701280834418</v>
      </c>
      <c r="L1512" s="70">
        <v>-19.143186922814071</v>
      </c>
      <c r="M1512" s="70">
        <v>-16.100868846841678</v>
      </c>
      <c r="N1512" s="70">
        <v>-14.007369372747451</v>
      </c>
      <c r="O1512" s="70">
        <v>-13.870890471992146</v>
      </c>
      <c r="P1512" s="70">
        <v>-12.733735025438513</v>
      </c>
      <c r="Q1512" s="70">
        <v>-9.9280480499654136</v>
      </c>
      <c r="R1512" s="70">
        <v>-7.622107389830024</v>
      </c>
      <c r="S1512" s="144">
        <v>-11.303268873647886</v>
      </c>
      <c r="T1512" s="70">
        <v>-14.348675420935416</v>
      </c>
      <c r="U1512" s="70">
        <v>-16.38316132788411</v>
      </c>
      <c r="V1512" s="70">
        <v>-17.137860688047152</v>
      </c>
      <c r="W1512" s="70">
        <v>-22.335234598860406</v>
      </c>
      <c r="X1512" s="70">
        <v>-16.412887949797465</v>
      </c>
      <c r="Y1512" s="70">
        <v>-15.314923048916476</v>
      </c>
      <c r="Z1512" s="70">
        <v>-12.836674913196338</v>
      </c>
      <c r="AA1512" s="70">
        <v>-13.332102298194137</v>
      </c>
      <c r="AB1512" s="70">
        <v>-16.084747441162918</v>
      </c>
      <c r="AC1512" s="70">
        <v>-11.877093336893791</v>
      </c>
      <c r="AD1512" s="145">
        <v>-9.6943398380334251</v>
      </c>
      <c r="AE1512" s="15"/>
      <c r="AF1512" s="144">
        <v>-180.89562486928685</v>
      </c>
      <c r="AG1512" s="145">
        <v>-177.0609697355695</v>
      </c>
    </row>
    <row r="1513" spans="2:33" x14ac:dyDescent="0.2">
      <c r="B1513" s="9">
        <f>G1485</f>
        <v>31</v>
      </c>
      <c r="C1513" s="9" t="str">
        <f t="shared" si="8782"/>
        <v>31 - % of Revenue - General and Administrative Expense</v>
      </c>
      <c r="D1513" s="9" t="s">
        <v>56</v>
      </c>
      <c r="F1513" s="16" t="str">
        <f>"% of Revenue - "&amp;F1512</f>
        <v>% of Revenue - General and Administrative Expense</v>
      </c>
      <c r="G1513" s="148">
        <f>G1512/G1497</f>
        <v>-4.918285478115049E-2</v>
      </c>
      <c r="H1513" s="149">
        <f t="shared" ref="H1513" si="8964">H1512/H1497</f>
        <v>-5.2416363980749302E-2</v>
      </c>
      <c r="I1513" s="149">
        <f t="shared" ref="I1513" si="8965">I1512/I1497</f>
        <v>-7.3742271869017009E-2</v>
      </c>
      <c r="J1513" s="149">
        <f t="shared" ref="J1513" si="8966">J1512/J1497</f>
        <v>-7.4779715699039073E-2</v>
      </c>
      <c r="K1513" s="149">
        <f t="shared" ref="K1513" si="8967">K1512/K1497</f>
        <v>-7.3249897048228055E-2</v>
      </c>
      <c r="L1513" s="149">
        <f t="shared" ref="L1513" si="8968">L1512/L1497</f>
        <v>-6.9805678037660704E-2</v>
      </c>
      <c r="M1513" s="149">
        <f t="shared" ref="M1513" si="8969">M1512/M1497</f>
        <v>-4.6704871619258161E-2</v>
      </c>
      <c r="N1513" s="149">
        <f t="shared" ref="N1513" si="8970">N1512/N1497</f>
        <v>-3.4156359163045061E-2</v>
      </c>
      <c r="O1513" s="149">
        <f t="shared" ref="O1513" si="8971">O1512/O1497</f>
        <v>-3.614718170666565E-2</v>
      </c>
      <c r="P1513" s="149">
        <f t="shared" ref="P1513" si="8972">P1512/P1497</f>
        <v>-3.3550046236497336E-2</v>
      </c>
      <c r="Q1513" s="149">
        <f t="shared" ref="Q1513" si="8973">Q1512/Q1497</f>
        <v>-2.4763788685263608E-2</v>
      </c>
      <c r="R1513" s="149">
        <f t="shared" ref="R1513" si="8974">R1512/R1497</f>
        <v>-2.4094891792725927E-2</v>
      </c>
      <c r="S1513" s="148">
        <f t="shared" ref="S1513" si="8975">S1512/S1497</f>
        <v>-3.1489360320853768E-2</v>
      </c>
      <c r="T1513" s="149">
        <f t="shared" ref="T1513" si="8976">T1512/T1497</f>
        <v>-4.6155655407220733E-2</v>
      </c>
      <c r="U1513" s="149">
        <f t="shared" ref="U1513" si="8977">U1512/U1497</f>
        <v>-4.9993750440555935E-2</v>
      </c>
      <c r="V1513" s="149">
        <f t="shared" ref="V1513" si="8978">V1512/V1497</f>
        <v>-5.38697521954105E-2</v>
      </c>
      <c r="W1513" s="149">
        <f t="shared" ref="W1513" si="8979">W1512/W1497</f>
        <v>-8.004825682762301E-2</v>
      </c>
      <c r="X1513" s="149">
        <f t="shared" ref="X1513" si="8980">X1512/X1497</f>
        <v>-7.4564920689550285E-2</v>
      </c>
      <c r="Y1513" s="149">
        <f t="shared" ref="Y1513" si="8981">Y1512/Y1497</f>
        <v>-6.8923605531736196E-2</v>
      </c>
      <c r="Z1513" s="149">
        <f t="shared" ref="Z1513" si="8982">Z1512/Z1497</f>
        <v>-4.5495869462728253E-2</v>
      </c>
      <c r="AA1513" s="149">
        <f t="shared" ref="AA1513" si="8983">AA1512/AA1497</f>
        <v>-4.8820673608051639E-2</v>
      </c>
      <c r="AB1513" s="149">
        <f t="shared" ref="AB1513" si="8984">AB1512/AB1497</f>
        <v>-5.2010425622778314E-2</v>
      </c>
      <c r="AC1513" s="149">
        <f t="shared" ref="AC1513" si="8985">AC1512/AC1497</f>
        <v>-3.8539450961433852E-2</v>
      </c>
      <c r="AD1513" s="150">
        <f t="shared" ref="AD1513" si="8986">AD1512/AD1497</f>
        <v>-5.0281788951446797E-2</v>
      </c>
      <c r="AE1513" s="15"/>
      <c r="AF1513" s="96">
        <f t="shared" ref="AF1513" si="8987">AF1512/AF1497</f>
        <v>-4.6600163366009605E-2</v>
      </c>
      <c r="AG1513" s="97">
        <f t="shared" ref="AG1513" si="8988">AG1512/AG1497</f>
        <v>-5.2038750518363777E-2</v>
      </c>
    </row>
    <row r="1514" spans="2:33" ht="3" customHeight="1" x14ac:dyDescent="0.2">
      <c r="B1514" s="9">
        <f>G1485</f>
        <v>31</v>
      </c>
      <c r="C1514" s="9" t="str">
        <f t="shared" si="8782"/>
        <v xml:space="preserve">31 - </v>
      </c>
      <c r="D1514" s="9" t="s">
        <v>56</v>
      </c>
      <c r="F1514" s="16"/>
      <c r="G1514" s="36"/>
      <c r="H1514" s="37"/>
      <c r="I1514" s="37"/>
      <c r="J1514" s="37"/>
      <c r="K1514" s="37"/>
      <c r="L1514" s="37"/>
      <c r="M1514" s="37"/>
      <c r="N1514" s="37"/>
      <c r="O1514" s="37"/>
      <c r="P1514" s="37"/>
      <c r="Q1514" s="37"/>
      <c r="R1514" s="37"/>
      <c r="S1514" s="36"/>
      <c r="T1514" s="37"/>
      <c r="U1514" s="37"/>
      <c r="V1514" s="37"/>
      <c r="W1514" s="37"/>
      <c r="X1514" s="37"/>
      <c r="Y1514" s="37"/>
      <c r="Z1514" s="37"/>
      <c r="AA1514" s="37"/>
      <c r="AB1514" s="37"/>
      <c r="AC1514" s="37"/>
      <c r="AD1514" s="38"/>
      <c r="AE1514" s="15"/>
      <c r="AF1514" s="36"/>
      <c r="AG1514" s="38"/>
    </row>
    <row r="1515" spans="2:33" x14ac:dyDescent="0.2">
      <c r="B1515" s="9">
        <f>G1485</f>
        <v>31</v>
      </c>
      <c r="C1515" s="9" t="str">
        <f t="shared" si="8782"/>
        <v>31 - Marketing</v>
      </c>
      <c r="D1515" s="9" t="s">
        <v>56</v>
      </c>
      <c r="F1515" t="s">
        <v>7</v>
      </c>
      <c r="G1515" s="144">
        <v>-12.482801866155423</v>
      </c>
      <c r="H1515" s="70">
        <v>-13.426411452918401</v>
      </c>
      <c r="I1515" s="70">
        <v>-19.4262797436791</v>
      </c>
      <c r="J1515" s="70">
        <v>-15.441073788601571</v>
      </c>
      <c r="K1515" s="70">
        <v>-19.101663539459103</v>
      </c>
      <c r="L1515" s="70">
        <v>-19.185490959081402</v>
      </c>
      <c r="M1515" s="70">
        <v>-15.636588296082532</v>
      </c>
      <c r="N1515" s="70">
        <v>-12.442070258689213</v>
      </c>
      <c r="O1515" s="70">
        <v>-11.470172393119894</v>
      </c>
      <c r="P1515" s="70">
        <v>-12.025158838221905</v>
      </c>
      <c r="Q1515" s="70">
        <v>-10.291732559632614</v>
      </c>
      <c r="R1515" s="70">
        <v>-8.2672825878124367</v>
      </c>
      <c r="S1515" s="144">
        <v>-12.053048106124217</v>
      </c>
      <c r="T1515" s="70">
        <v>-15.293674842326508</v>
      </c>
      <c r="U1515" s="70">
        <v>-16.025023018315245</v>
      </c>
      <c r="V1515" s="70">
        <v>-17.124398136216577</v>
      </c>
      <c r="W1515" s="70">
        <v>-22.889367094275855</v>
      </c>
      <c r="X1515" s="70">
        <v>-19.508999485364608</v>
      </c>
      <c r="Y1515" s="70">
        <v>-18.280047339852203</v>
      </c>
      <c r="Z1515" s="70">
        <v>-16.848236856030287</v>
      </c>
      <c r="AA1515" s="70">
        <v>-17.588472161596194</v>
      </c>
      <c r="AB1515" s="70">
        <v>-20.146076172664596</v>
      </c>
      <c r="AC1515" s="70">
        <v>-14.114651113244868</v>
      </c>
      <c r="AD1515" s="145">
        <v>-11.954387336785366</v>
      </c>
      <c r="AE1515" s="15"/>
      <c r="AF1515" s="144">
        <v>-169.19672628345359</v>
      </c>
      <c r="AG1515" s="145">
        <v>-201.82638166279656</v>
      </c>
    </row>
    <row r="1516" spans="2:33" x14ac:dyDescent="0.2">
      <c r="B1516" s="9">
        <f>G1485</f>
        <v>31</v>
      </c>
      <c r="C1516" s="9" t="str">
        <f t="shared" si="8782"/>
        <v>31 - % of Revenue - Marketing</v>
      </c>
      <c r="D1516" s="9" t="s">
        <v>56</v>
      </c>
      <c r="F1516" s="16" t="str">
        <f>"% of Revenue - "&amp;F1515</f>
        <v>% of Revenue - Marketing</v>
      </c>
      <c r="G1516" s="148">
        <f>G1515/G1497</f>
        <v>-4.1654811549661823E-2</v>
      </c>
      <c r="H1516" s="149">
        <f t="shared" ref="H1516" si="8989">H1515/H1497</f>
        <v>-4.440231687759752E-2</v>
      </c>
      <c r="I1516" s="149">
        <f t="shared" ref="I1516" si="8990">I1515/I1497</f>
        <v>-7.4007708886801707E-2</v>
      </c>
      <c r="J1516" s="149">
        <f t="shared" ref="J1516" si="8991">J1515/J1497</f>
        <v>-6.6896591494102875E-2</v>
      </c>
      <c r="K1516" s="149">
        <f t="shared" ref="K1516" si="8992">K1515/K1497</f>
        <v>-6.8981241063599E-2</v>
      </c>
      <c r="L1516" s="149">
        <f t="shared" ref="L1516" si="8993">L1515/L1497</f>
        <v>-6.9959939809604826E-2</v>
      </c>
      <c r="M1516" s="149">
        <f t="shared" ref="M1516" si="8994">M1515/M1497</f>
        <v>-4.535810184398744E-2</v>
      </c>
      <c r="N1516" s="149">
        <f t="shared" ref="N1516" si="8995">N1515/N1497</f>
        <v>-3.0339445557454704E-2</v>
      </c>
      <c r="O1516" s="149">
        <f t="shared" ref="O1516" si="8996">O1515/O1497</f>
        <v>-2.9890972503752864E-2</v>
      </c>
      <c r="P1516" s="149">
        <f t="shared" ref="P1516" si="8997">P1515/P1497</f>
        <v>-3.1683134148590163E-2</v>
      </c>
      <c r="Q1516" s="149">
        <f t="shared" ref="Q1516" si="8998">Q1515/Q1497</f>
        <v>-2.5670936424695995E-2</v>
      </c>
      <c r="R1516" s="149">
        <f t="shared" ref="R1516" si="8999">R1515/R1497</f>
        <v>-2.613440997158006E-2</v>
      </c>
      <c r="S1516" s="148">
        <f t="shared" ref="S1516" si="9000">S1515/S1497</f>
        <v>-3.3578142661295496E-2</v>
      </c>
      <c r="T1516" s="149">
        <f t="shared" ref="T1516" si="9001">T1515/T1497</f>
        <v>-4.9195452905888157E-2</v>
      </c>
      <c r="U1516" s="149">
        <f t="shared" ref="U1516" si="9002">U1515/U1497</f>
        <v>-4.8900879723271673E-2</v>
      </c>
      <c r="V1516" s="149">
        <f t="shared" ref="V1516" si="9003">V1515/V1497</f>
        <v>-5.3827435109034795E-2</v>
      </c>
      <c r="W1516" s="149">
        <f t="shared" ref="W1516" si="9004">W1515/W1497</f>
        <v>-8.2034237324636036E-2</v>
      </c>
      <c r="X1516" s="149">
        <f t="shared" ref="X1516" si="9005">X1515/X1497</f>
        <v>-8.8630776241705844E-2</v>
      </c>
      <c r="Y1516" s="149">
        <f t="shared" ref="Y1516" si="9006">Y1515/Y1497</f>
        <v>-8.226791397705234E-2</v>
      </c>
      <c r="Z1516" s="149">
        <f t="shared" ref="Z1516" si="9007">Z1515/Z1497</f>
        <v>-5.9713686750069439E-2</v>
      </c>
      <c r="AA1516" s="149">
        <f t="shared" ref="AA1516" si="9008">AA1515/AA1497</f>
        <v>-6.4407025948330782E-2</v>
      </c>
      <c r="AB1516" s="149">
        <f t="shared" ref="AB1516" si="9009">AB1515/AB1497</f>
        <v>-6.5142831754244984E-2</v>
      </c>
      <c r="AC1516" s="149">
        <f t="shared" ref="AC1516" si="9010">AC1515/AC1497</f>
        <v>-4.5800002491090355E-2</v>
      </c>
      <c r="AD1516" s="150">
        <f t="shared" ref="AD1516" si="9011">AD1515/AD1497</f>
        <v>-6.2004013801317856E-2</v>
      </c>
      <c r="AE1516" s="15"/>
      <c r="AF1516" s="96">
        <f t="shared" ref="AF1516" si="9012">AF1515/AF1497</f>
        <v>-4.3586433289916598E-2</v>
      </c>
      <c r="AG1516" s="97">
        <f t="shared" ref="AG1516" si="9013">AG1515/AG1497</f>
        <v>-5.931737942619237E-2</v>
      </c>
    </row>
    <row r="1517" spans="2:33" ht="3" customHeight="1" x14ac:dyDescent="0.2">
      <c r="B1517" s="9">
        <f>G1485</f>
        <v>31</v>
      </c>
      <c r="C1517" s="9" t="str">
        <f t="shared" si="8782"/>
        <v xml:space="preserve">31 - </v>
      </c>
      <c r="D1517" s="9" t="s">
        <v>56</v>
      </c>
      <c r="F1517" s="16"/>
      <c r="G1517" s="36"/>
      <c r="H1517" s="37"/>
      <c r="I1517" s="37"/>
      <c r="J1517" s="37"/>
      <c r="K1517" s="37"/>
      <c r="L1517" s="37"/>
      <c r="M1517" s="37"/>
      <c r="N1517" s="37"/>
      <c r="O1517" s="37"/>
      <c r="P1517" s="37"/>
      <c r="Q1517" s="37"/>
      <c r="R1517" s="37"/>
      <c r="S1517" s="36"/>
      <c r="T1517" s="37"/>
      <c r="U1517" s="37"/>
      <c r="V1517" s="37"/>
      <c r="W1517" s="37"/>
      <c r="X1517" s="37"/>
      <c r="Y1517" s="37"/>
      <c r="Z1517" s="37"/>
      <c r="AA1517" s="37"/>
      <c r="AB1517" s="37"/>
      <c r="AC1517" s="37"/>
      <c r="AD1517" s="38"/>
      <c r="AE1517" s="15"/>
      <c r="AF1517" s="36"/>
      <c r="AG1517" s="38"/>
    </row>
    <row r="1518" spans="2:33" x14ac:dyDescent="0.2">
      <c r="B1518" s="9">
        <f>G1485</f>
        <v>31</v>
      </c>
      <c r="C1518" s="9" t="str">
        <f t="shared" si="8782"/>
        <v>31 - Office Rent</v>
      </c>
      <c r="D1518" s="9" t="s">
        <v>56</v>
      </c>
      <c r="F1518" t="s">
        <v>162</v>
      </c>
      <c r="G1518" s="144">
        <v>-25.639900746506687</v>
      </c>
      <c r="H1518" s="70">
        <v>-25.639900746506687</v>
      </c>
      <c r="I1518" s="70">
        <v>-25.639900746506687</v>
      </c>
      <c r="J1518" s="70">
        <v>-25.639900746506687</v>
      </c>
      <c r="K1518" s="70">
        <v>-25.639900746506687</v>
      </c>
      <c r="L1518" s="70">
        <v>-25.639900746506687</v>
      </c>
      <c r="M1518" s="70">
        <v>-25.639900746506687</v>
      </c>
      <c r="N1518" s="70">
        <v>-26.409097768901887</v>
      </c>
      <c r="O1518" s="70">
        <v>-26.409097768901887</v>
      </c>
      <c r="P1518" s="70">
        <v>-26.409097768901887</v>
      </c>
      <c r="Q1518" s="70">
        <v>-26.409097768901887</v>
      </c>
      <c r="R1518" s="70">
        <v>-26.409097768901887</v>
      </c>
      <c r="S1518" s="144">
        <v>-26.408737678654937</v>
      </c>
      <c r="T1518" s="70">
        <v>-26.408737678654937</v>
      </c>
      <c r="U1518" s="70">
        <v>-26.408737678654937</v>
      </c>
      <c r="V1518" s="70">
        <v>-26.408737678654937</v>
      </c>
      <c r="W1518" s="70">
        <v>-26.408737678654937</v>
      </c>
      <c r="X1518" s="70">
        <v>-26.408737678654937</v>
      </c>
      <c r="Y1518" s="70">
        <v>-26.408737678654937</v>
      </c>
      <c r="Z1518" s="70">
        <v>-27.200999809014586</v>
      </c>
      <c r="AA1518" s="70">
        <v>-27.200999809014586</v>
      </c>
      <c r="AB1518" s="70">
        <v>-27.200999809014586</v>
      </c>
      <c r="AC1518" s="70">
        <v>-27.200999809014586</v>
      </c>
      <c r="AD1518" s="145">
        <v>-27.200999809014586</v>
      </c>
      <c r="AE1518" s="15"/>
      <c r="AF1518" s="144">
        <v>-311.52479407005626</v>
      </c>
      <c r="AG1518" s="145">
        <v>-320.86616279565754</v>
      </c>
    </row>
    <row r="1519" spans="2:33" x14ac:dyDescent="0.2">
      <c r="B1519" s="9">
        <f>G1485</f>
        <v>31</v>
      </c>
      <c r="C1519" s="9" t="str">
        <f t="shared" si="8782"/>
        <v>31 - % YoY Growth</v>
      </c>
      <c r="D1519" s="9" t="s">
        <v>56</v>
      </c>
      <c r="F1519" s="16" t="s">
        <v>8</v>
      </c>
      <c r="G1519" s="82"/>
      <c r="H1519" s="83"/>
      <c r="I1519" s="83"/>
      <c r="J1519" s="83"/>
      <c r="K1519" s="83"/>
      <c r="L1519" s="83"/>
      <c r="M1519" s="83"/>
      <c r="N1519" s="83"/>
      <c r="O1519" s="83"/>
      <c r="P1519" s="83"/>
      <c r="Q1519" s="83"/>
      <c r="R1519" s="83"/>
      <c r="S1519" s="148">
        <f>S1518/G1518-1</f>
        <v>2.9985955864240355E-2</v>
      </c>
      <c r="T1519" s="149">
        <f t="shared" ref="T1519" si="9014">T1518/H1518-1</f>
        <v>2.9985955864240355E-2</v>
      </c>
      <c r="U1519" s="149">
        <f t="shared" ref="U1519" si="9015">U1518/I1518-1</f>
        <v>2.9985955864240355E-2</v>
      </c>
      <c r="V1519" s="149">
        <f t="shared" ref="V1519" si="9016">V1518/J1518-1</f>
        <v>2.9985955864240355E-2</v>
      </c>
      <c r="W1519" s="149">
        <f t="shared" ref="W1519" si="9017">W1518/K1518-1</f>
        <v>2.9985955864240355E-2</v>
      </c>
      <c r="X1519" s="149">
        <f t="shared" ref="X1519" si="9018">X1518/L1518-1</f>
        <v>2.9985955864240355E-2</v>
      </c>
      <c r="Y1519" s="149">
        <f t="shared" ref="Y1519" si="9019">Y1518/M1518-1</f>
        <v>2.9985955864240355E-2</v>
      </c>
      <c r="Z1519" s="149">
        <f t="shared" ref="Z1519" si="9020">Z1518/N1518-1</f>
        <v>2.9985955864240355E-2</v>
      </c>
      <c r="AA1519" s="149">
        <f t="shared" ref="AA1519" si="9021">AA1518/O1518-1</f>
        <v>2.9985955864240355E-2</v>
      </c>
      <c r="AB1519" s="149">
        <f t="shared" ref="AB1519" si="9022">AB1518/P1518-1</f>
        <v>2.9985955864240355E-2</v>
      </c>
      <c r="AC1519" s="149">
        <f t="shared" ref="AC1519" si="9023">AC1518/Q1518-1</f>
        <v>2.9985955864240355E-2</v>
      </c>
      <c r="AD1519" s="150">
        <f t="shared" ref="AD1519" si="9024">AD1518/R1518-1</f>
        <v>2.9985955864240355E-2</v>
      </c>
      <c r="AE1519" s="15"/>
      <c r="AF1519" s="11"/>
      <c r="AG1519" s="97">
        <f>AG1518/AF1518-1</f>
        <v>2.9985955864240355E-2</v>
      </c>
    </row>
    <row r="1520" spans="2:33" ht="6" customHeight="1" x14ac:dyDescent="0.2">
      <c r="B1520" s="9">
        <f>G1485</f>
        <v>31</v>
      </c>
      <c r="C1520" s="9" t="str">
        <f t="shared" si="8782"/>
        <v xml:space="preserve">31 - </v>
      </c>
      <c r="D1520" s="9" t="s">
        <v>56</v>
      </c>
      <c r="F1520" s="16"/>
      <c r="G1520" s="11"/>
      <c r="S1520" s="11"/>
      <c r="AD1520" s="15"/>
      <c r="AE1520" s="15"/>
      <c r="AF1520" s="11"/>
      <c r="AG1520" s="15"/>
    </row>
    <row r="1521" spans="2:34" x14ac:dyDescent="0.2">
      <c r="B1521" s="9">
        <f>G1485</f>
        <v>31</v>
      </c>
      <c r="C1521" s="9" t="str">
        <f t="shared" si="8782"/>
        <v>31 - Office EBITDA</v>
      </c>
      <c r="D1521" s="9" t="s">
        <v>56</v>
      </c>
      <c r="F1521" s="8" t="s">
        <v>12</v>
      </c>
      <c r="G1521" s="134">
        <f>G1509+G1512+G1515+G1518</f>
        <v>56.743959161143366</v>
      </c>
      <c r="H1521" s="135">
        <f t="shared" ref="H1521:AD1521" si="9025">H1509+H1512+H1515+H1518</f>
        <v>54.298150609721688</v>
      </c>
      <c r="I1521" s="135">
        <f t="shared" si="9025"/>
        <v>-4.2494985373847953</v>
      </c>
      <c r="J1521" s="135">
        <f t="shared" si="9025"/>
        <v>-2.2067931048027596</v>
      </c>
      <c r="K1521" s="135">
        <f t="shared" si="9025"/>
        <v>4.0051239550324205</v>
      </c>
      <c r="L1521" s="135">
        <f t="shared" si="9025"/>
        <v>4.1437892749812164</v>
      </c>
      <c r="M1521" s="135">
        <f t="shared" si="9025"/>
        <v>72.534932794517886</v>
      </c>
      <c r="N1521" s="135">
        <f t="shared" si="9025"/>
        <v>165.39303451201957</v>
      </c>
      <c r="O1521" s="135">
        <f t="shared" si="9025"/>
        <v>152.55087051349065</v>
      </c>
      <c r="P1521" s="135">
        <f t="shared" si="9025"/>
        <v>153.68873241050949</v>
      </c>
      <c r="Q1521" s="135">
        <f t="shared" si="9025"/>
        <v>206.4309929599435</v>
      </c>
      <c r="R1521" s="135">
        <f t="shared" si="9025"/>
        <v>159.15544198504446</v>
      </c>
      <c r="S1521" s="134">
        <f t="shared" si="9025"/>
        <v>143.95740671692386</v>
      </c>
      <c r="T1521" s="135">
        <f t="shared" si="9025"/>
        <v>68.601590880201201</v>
      </c>
      <c r="U1521" s="135">
        <f t="shared" si="9025"/>
        <v>70.972497115481303</v>
      </c>
      <c r="V1521" s="135">
        <f t="shared" si="9025"/>
        <v>67.095589628077249</v>
      </c>
      <c r="W1521" s="135">
        <f t="shared" si="9025"/>
        <v>10.704369651021203</v>
      </c>
      <c r="X1521" s="135">
        <f t="shared" si="9025"/>
        <v>-0.83109869122524671</v>
      </c>
      <c r="Y1521" s="135">
        <f t="shared" si="9025"/>
        <v>3.3232459059304702</v>
      </c>
      <c r="Z1521" s="135">
        <f t="shared" si="9025"/>
        <v>56.799873345168578</v>
      </c>
      <c r="AA1521" s="135">
        <f t="shared" si="9025"/>
        <v>52.891539932832885</v>
      </c>
      <c r="AB1521" s="135">
        <f t="shared" si="9025"/>
        <v>61.521856910293522</v>
      </c>
      <c r="AC1521" s="135">
        <f t="shared" si="9025"/>
        <v>118.19401141276255</v>
      </c>
      <c r="AD1521" s="136">
        <f t="shared" si="9025"/>
        <v>29.921307322413764</v>
      </c>
      <c r="AE1521" s="15"/>
      <c r="AF1521" s="94">
        <f>SUM(G1521:R1521)</f>
        <v>1022.4887365342167</v>
      </c>
      <c r="AG1521" s="95">
        <f>SUM(S1521:AD1521)</f>
        <v>683.15219012988132</v>
      </c>
    </row>
    <row r="1522" spans="2:34" x14ac:dyDescent="0.2">
      <c r="B1522" s="9">
        <f>G1485</f>
        <v>31</v>
      </c>
      <c r="C1522" s="9" t="str">
        <f t="shared" si="8782"/>
        <v>31 - % of Revenue - Office EBITDA</v>
      </c>
      <c r="D1522" s="9" t="s">
        <v>56</v>
      </c>
      <c r="F1522" s="16" t="str">
        <f>"% of Revenue - "&amp;F1521</f>
        <v>% of Revenue - Office EBITDA</v>
      </c>
      <c r="G1522" s="148">
        <f>G1521/G1497</f>
        <v>0.18935323581861166</v>
      </c>
      <c r="H1522" s="149">
        <f t="shared" ref="H1522" si="9026">H1521/H1497</f>
        <v>0.17956873269486492</v>
      </c>
      <c r="I1522" s="149">
        <f t="shared" ref="I1522" si="9027">I1521/I1497</f>
        <v>-1.6189185722603104E-2</v>
      </c>
      <c r="J1522" s="149">
        <f t="shared" ref="J1522" si="9028">J1521/J1497</f>
        <v>-9.560665201468678E-3</v>
      </c>
      <c r="K1522" s="149">
        <f t="shared" ref="K1522" si="9029">K1521/K1497</f>
        <v>1.4463579073150701E-2</v>
      </c>
      <c r="L1522" s="149">
        <f t="shared" ref="L1522" si="9030">L1521/L1497</f>
        <v>1.5110337748440514E-2</v>
      </c>
      <c r="M1522" s="149">
        <f t="shared" ref="M1522" si="9031">M1521/M1497</f>
        <v>0.21040695109717694</v>
      </c>
      <c r="N1522" s="149">
        <f t="shared" ref="N1522" si="9032">N1521/N1497</f>
        <v>0.40330369961182727</v>
      </c>
      <c r="O1522" s="149">
        <f t="shared" ref="O1522" si="9033">O1521/O1497</f>
        <v>0.39754362180968222</v>
      </c>
      <c r="P1522" s="149">
        <f t="shared" ref="P1522" si="9034">P1521/P1497</f>
        <v>0.40492943100358675</v>
      </c>
      <c r="Q1522" s="149">
        <f t="shared" ref="Q1522" si="9035">Q1521/Q1497</f>
        <v>0.51490619928727976</v>
      </c>
      <c r="R1522" s="149">
        <f t="shared" ref="R1522" si="9036">R1521/R1497</f>
        <v>0.50311980095817477</v>
      </c>
      <c r="S1522" s="148">
        <f t="shared" ref="S1522" si="9037">S1521/S1497</f>
        <v>0.40104563570396079</v>
      </c>
      <c r="T1522" s="149">
        <f t="shared" ref="T1522" si="9038">T1521/T1497</f>
        <v>0.22067203391010171</v>
      </c>
      <c r="U1522" s="149">
        <f t="shared" ref="U1522" si="9039">U1521/U1497</f>
        <v>0.21657488673418909</v>
      </c>
      <c r="V1522" s="149">
        <f t="shared" ref="V1522" si="9040">V1521/V1497</f>
        <v>0.21090279892345989</v>
      </c>
      <c r="W1522" s="149">
        <f t="shared" ref="W1522" si="9041">W1521/W1497</f>
        <v>3.8363874227964355E-2</v>
      </c>
      <c r="X1522" s="149">
        <f t="shared" ref="X1522" si="9042">X1521/X1497</f>
        <v>-3.7757406366235678E-3</v>
      </c>
      <c r="Y1522" s="149">
        <f t="shared" ref="Y1522" si="9043">Y1521/Y1497</f>
        <v>1.4956006580882834E-2</v>
      </c>
      <c r="Z1522" s="149">
        <f t="shared" ref="Z1522" si="9044">Z1521/Z1497</f>
        <v>0.2013106696777624</v>
      </c>
      <c r="AA1522" s="149">
        <f t="shared" ref="AA1522" si="9045">AA1521/AA1497</f>
        <v>0.19368292786335944</v>
      </c>
      <c r="AB1522" s="149">
        <f t="shared" ref="AB1522" si="9046">AB1521/AB1497</f>
        <v>0.19893243426498522</v>
      </c>
      <c r="AC1522" s="149">
        <f t="shared" ref="AC1522" si="9047">AC1521/AC1497</f>
        <v>0.38352248126464722</v>
      </c>
      <c r="AD1522" s="150">
        <f t="shared" ref="AD1522" si="9048">AD1521/AD1497</f>
        <v>0.15519332776373845</v>
      </c>
      <c r="AE1522" s="15"/>
      <c r="AF1522" s="96">
        <f t="shared" ref="AF1522" si="9049">AF1521/AF1497</f>
        <v>0.26340129672472329</v>
      </c>
      <c r="AG1522" s="97">
        <f t="shared" ref="AG1522" si="9050">AG1521/AG1497</f>
        <v>0.20078047940963609</v>
      </c>
    </row>
    <row r="1523" spans="2:34" ht="6" customHeight="1" x14ac:dyDescent="0.2">
      <c r="B1523" s="9">
        <f>G1485</f>
        <v>31</v>
      </c>
      <c r="C1523" s="9" t="str">
        <f t="shared" si="8782"/>
        <v xml:space="preserve">31 - </v>
      </c>
      <c r="D1523" s="9" t="s">
        <v>56</v>
      </c>
      <c r="G1523" s="11"/>
      <c r="S1523" s="11"/>
      <c r="AD1523" s="15"/>
      <c r="AE1523" s="15"/>
      <c r="AF1523" s="11"/>
      <c r="AG1523" s="15"/>
    </row>
    <row r="1524" spans="2:34" x14ac:dyDescent="0.2">
      <c r="B1524" s="9">
        <f>G1485</f>
        <v>31</v>
      </c>
      <c r="C1524" s="9" t="str">
        <f t="shared" si="8782"/>
        <v>31 - Memo:</v>
      </c>
      <c r="D1524" s="9" t="s">
        <v>56</v>
      </c>
      <c r="F1524" s="6" t="s">
        <v>13</v>
      </c>
      <c r="G1524" s="11"/>
      <c r="S1524" s="11"/>
      <c r="AD1524" s="15"/>
      <c r="AE1524" s="15"/>
      <c r="AF1524" s="11"/>
      <c r="AG1524" s="15"/>
    </row>
    <row r="1525" spans="2:34" s="24" customFormat="1" x14ac:dyDescent="0.2">
      <c r="B1525" s="9">
        <f>G1485</f>
        <v>31</v>
      </c>
      <c r="C1525" s="9" t="str">
        <f t="shared" si="8782"/>
        <v>31 - Collections</v>
      </c>
      <c r="D1525" s="9" t="s">
        <v>56</v>
      </c>
      <c r="E1525" s="49"/>
      <c r="F1525" s="24" t="s">
        <v>15</v>
      </c>
      <c r="G1525" s="169">
        <f>G1526*G1495</f>
        <v>295.59960679870602</v>
      </c>
      <c r="H1525" s="170">
        <f t="shared" ref="H1525" si="9051">H1526*H1495</f>
        <v>304.53609996875178</v>
      </c>
      <c r="I1525" s="170">
        <f t="shared" ref="I1525" si="9052">I1526*I1495</f>
        <v>262.05495974469346</v>
      </c>
      <c r="J1525" s="170">
        <f t="shared" ref="J1525" si="9053">J1526*J1495</f>
        <v>232.82898652232998</v>
      </c>
      <c r="K1525" s="170">
        <f t="shared" ref="K1525" si="9054">K1526*K1495</f>
        <v>281.00597535946235</v>
      </c>
      <c r="L1525" s="170">
        <f t="shared" ref="L1525" si="9055">L1526*L1495</f>
        <v>278.46032828599391</v>
      </c>
      <c r="M1525" s="170">
        <f t="shared" ref="M1525" si="9056">M1526*M1495</f>
        <v>340.05940098887498</v>
      </c>
      <c r="N1525" s="170">
        <f t="shared" ref="N1525" si="9057">N1526*N1495</f>
        <v>406.85712931573192</v>
      </c>
      <c r="O1525" s="170">
        <f t="shared" ref="O1525" si="9058">O1526*O1495</f>
        <v>376.16853859418143</v>
      </c>
      <c r="P1525" s="170">
        <f t="shared" ref="P1525" si="9059">P1526*P1495</f>
        <v>379.39130711815142</v>
      </c>
      <c r="Q1525" s="170">
        <f t="shared" ref="Q1525" si="9060">Q1526*Q1495</f>
        <v>402.0463554851118</v>
      </c>
      <c r="R1525" s="170">
        <f t="shared" ref="R1525" si="9061">R1526*R1495</f>
        <v>309.94226516280048</v>
      </c>
      <c r="S1525" s="169">
        <f t="shared" ref="S1525" si="9062">S1526*S1495</f>
        <v>354.51705403875604</v>
      </c>
      <c r="T1525" s="170">
        <f t="shared" ref="T1525" si="9063">T1526*T1495</f>
        <v>316.26069143501371</v>
      </c>
      <c r="U1525" s="170">
        <f t="shared" ref="U1525" si="9064">U1526*U1495</f>
        <v>326.39619574282648</v>
      </c>
      <c r="V1525" s="170">
        <f t="shared" ref="V1525" si="9065">V1526*V1495</f>
        <v>312.20054678965209</v>
      </c>
      <c r="W1525" s="170">
        <f t="shared" ref="W1525" si="9066">W1526*W1495</f>
        <v>274.28214352726854</v>
      </c>
      <c r="X1525" s="170">
        <f t="shared" ref="X1525" si="9067">X1526*X1495</f>
        <v>218.11999511120226</v>
      </c>
      <c r="Y1525" s="170">
        <f t="shared" ref="Y1525" si="9068">Y1526*Y1495</f>
        <v>224.86904058034327</v>
      </c>
      <c r="Z1525" s="170">
        <f t="shared" ref="Z1525" si="9069">Z1526*Z1495</f>
        <v>279.66662907329373</v>
      </c>
      <c r="AA1525" s="170">
        <f t="shared" ref="AA1525" si="9070">AA1526*AA1495</f>
        <v>273.27473963265686</v>
      </c>
      <c r="AB1525" s="170">
        <f t="shared" ref="AB1525" si="9071">AB1526*AB1495</f>
        <v>309.84209842294234</v>
      </c>
      <c r="AC1525" s="170">
        <f t="shared" ref="AC1525" si="9072">AC1526*AC1495</f>
        <v>312.17111157340435</v>
      </c>
      <c r="AD1525" s="171">
        <f t="shared" ref="AD1525" si="9073">AD1526*AD1495</f>
        <v>192.9967033059317</v>
      </c>
      <c r="AE1525" s="26"/>
      <c r="AF1525" s="68">
        <f>SUM(G1525:R1525)</f>
        <v>3868.9509533447895</v>
      </c>
      <c r="AG1525" s="99">
        <f>SUM(S1525:AD1525)</f>
        <v>3394.5969492332911</v>
      </c>
    </row>
    <row r="1526" spans="2:34" x14ac:dyDescent="0.2">
      <c r="B1526" s="9">
        <f>G1485</f>
        <v>31</v>
      </c>
      <c r="C1526" s="9" t="str">
        <f t="shared" si="8782"/>
        <v>31 - Collections as a % of Production</v>
      </c>
      <c r="D1526" s="9" t="s">
        <v>56</v>
      </c>
      <c r="F1526" s="16" t="s">
        <v>17</v>
      </c>
      <c r="G1526" s="140">
        <v>0.97117897313919788</v>
      </c>
      <c r="H1526" s="141">
        <v>0.99157777406948477</v>
      </c>
      <c r="I1526" s="141">
        <v>0.98292872515249985</v>
      </c>
      <c r="J1526" s="141">
        <v>0.99312945274479747</v>
      </c>
      <c r="K1526" s="141">
        <v>0.99912008521947537</v>
      </c>
      <c r="L1526" s="141">
        <v>0.99972870657816559</v>
      </c>
      <c r="M1526" s="141">
        <v>0.97120291643594692</v>
      </c>
      <c r="N1526" s="141">
        <v>0.97678558797003234</v>
      </c>
      <c r="O1526" s="141">
        <v>0.96515017067292908</v>
      </c>
      <c r="P1526" s="141">
        <v>0.98416295238214802</v>
      </c>
      <c r="Q1526" s="141">
        <v>0.98735122832065358</v>
      </c>
      <c r="R1526" s="141">
        <v>0.96465727019137038</v>
      </c>
      <c r="S1526" s="140">
        <v>0.96826887593507527</v>
      </c>
      <c r="T1526" s="141">
        <v>0.99737249458072885</v>
      </c>
      <c r="U1526" s="141">
        <v>0.97647731559234197</v>
      </c>
      <c r="V1526" s="141">
        <v>0.96210193758948936</v>
      </c>
      <c r="W1526" s="141">
        <v>0.96373571918486356</v>
      </c>
      <c r="X1526" s="141">
        <v>0.97150288645825433</v>
      </c>
      <c r="Y1526" s="141">
        <v>0.99216041684591483</v>
      </c>
      <c r="Z1526" s="141">
        <v>0.97176025921136733</v>
      </c>
      <c r="AA1526" s="141">
        <v>0.9810783217502016</v>
      </c>
      <c r="AB1526" s="141">
        <v>0.98223554734242091</v>
      </c>
      <c r="AC1526" s="141">
        <v>0.99308660733500176</v>
      </c>
      <c r="AD1526" s="142">
        <v>0.98138955585593968</v>
      </c>
      <c r="AE1526" s="15"/>
      <c r="AF1526" s="96">
        <f t="shared" ref="AF1526" si="9074">AF1525/AF1495</f>
        <v>0.9812844625631516</v>
      </c>
      <c r="AG1526" s="97">
        <f t="shared" ref="AG1526" si="9075">AG1525/AG1495</f>
        <v>0.97811810729106108</v>
      </c>
    </row>
    <row r="1527" spans="2:34" ht="6" customHeight="1" x14ac:dyDescent="0.2">
      <c r="B1527" s="9">
        <f>G1485</f>
        <v>31</v>
      </c>
      <c r="C1527" s="9" t="str">
        <f t="shared" si="8782"/>
        <v xml:space="preserve">31 - </v>
      </c>
      <c r="D1527" s="9" t="s">
        <v>56</v>
      </c>
      <c r="F1527" s="27"/>
      <c r="R1527" s="15"/>
      <c r="AD1527" s="15"/>
      <c r="AE1527" s="15"/>
      <c r="AF1527" s="11"/>
      <c r="AG1527" s="15"/>
    </row>
    <row r="1528" spans="2:34" s="24" customFormat="1" x14ac:dyDescent="0.2">
      <c r="B1528" s="9">
        <f>G1485</f>
        <v>31</v>
      </c>
      <c r="C1528" s="9" t="str">
        <f t="shared" si="8782"/>
        <v>31 - Production per Vet Workday - YoY Change</v>
      </c>
      <c r="D1528" s="9" t="s">
        <v>56</v>
      </c>
      <c r="E1528" s="49"/>
      <c r="F1528" s="24" t="s">
        <v>55</v>
      </c>
      <c r="G1528" s="88"/>
      <c r="H1528" s="89"/>
      <c r="I1528" s="89"/>
      <c r="J1528" s="89"/>
      <c r="K1528" s="89"/>
      <c r="L1528" s="89"/>
      <c r="M1528" s="89"/>
      <c r="N1528" s="89"/>
      <c r="O1528" s="89"/>
      <c r="P1528" s="89"/>
      <c r="Q1528" s="89"/>
      <c r="R1528" s="89"/>
      <c r="S1528" s="151">
        <f>S1494/G1494-1</f>
        <v>-0.13703598403980066</v>
      </c>
      <c r="T1528" s="152">
        <f t="shared" ref="T1528" si="9076">T1494/H1494-1</f>
        <v>-1.446410921686847E-2</v>
      </c>
      <c r="U1528" s="152">
        <f t="shared" ref="U1528" si="9077">U1494/I1494-1</f>
        <v>-8.8178402445177384E-2</v>
      </c>
      <c r="V1528" s="152">
        <f t="shared" ref="V1528" si="9078">V1494/J1494-1</f>
        <v>-0.11918086861578159</v>
      </c>
      <c r="W1528" s="152">
        <f t="shared" ref="W1528" si="9079">W1494/K1494-1</f>
        <v>-3.0253304853084639E-2</v>
      </c>
      <c r="X1528" s="152">
        <f t="shared" ref="X1528" si="9080">X1494/L1494-1</f>
        <v>-0.11716659612277447</v>
      </c>
      <c r="Y1528" s="152">
        <f t="shared" ref="Y1528" si="9081">Y1494/M1494-1</f>
        <v>-7.127087183084313E-2</v>
      </c>
      <c r="Z1528" s="152">
        <f t="shared" ref="Z1528" si="9082">Z1494/N1494-1</f>
        <v>-3.8695515346834131E-2</v>
      </c>
      <c r="AA1528" s="152">
        <f t="shared" ref="AA1528" si="9083">AA1494/O1494-1</f>
        <v>-1.7246340632602886E-3</v>
      </c>
      <c r="AB1528" s="152">
        <f t="shared" ref="AB1528" si="9084">AB1494/P1494-1</f>
        <v>1.2570694537861193E-4</v>
      </c>
      <c r="AC1528" s="152">
        <f t="shared" ref="AC1528" si="9085">AC1494/Q1494-1</f>
        <v>8.8260662723820271E-3</v>
      </c>
      <c r="AD1528" s="153">
        <f t="shared" ref="AD1528" si="9086">AD1494/R1494-1</f>
        <v>2.0115737303332271E-2</v>
      </c>
      <c r="AF1528" s="43"/>
      <c r="AG1528" s="104">
        <f>AG1494/AF1494-1</f>
        <v>-5.5490522547770871E-2</v>
      </c>
    </row>
    <row r="1529" spans="2:34" s="24" customFormat="1" ht="6" customHeight="1" x14ac:dyDescent="0.2">
      <c r="D1529" s="9" t="s">
        <v>56</v>
      </c>
      <c r="E1529" s="49"/>
      <c r="G1529" s="28"/>
      <c r="H1529" s="30"/>
      <c r="I1529" s="30"/>
      <c r="J1529" s="30"/>
      <c r="K1529" s="30"/>
      <c r="L1529" s="30"/>
      <c r="M1529" s="30"/>
      <c r="N1529" s="30"/>
      <c r="O1529" s="30"/>
      <c r="P1529" s="30"/>
      <c r="Q1529" s="30"/>
      <c r="R1529" s="29"/>
      <c r="S1529" s="30"/>
      <c r="T1529" s="30"/>
      <c r="U1529" s="30"/>
      <c r="V1529" s="30"/>
      <c r="W1529" s="30"/>
      <c r="X1529" s="30"/>
      <c r="Y1529" s="30"/>
      <c r="Z1529" s="30"/>
      <c r="AA1529" s="30"/>
      <c r="AB1529" s="30"/>
      <c r="AC1529" s="30"/>
      <c r="AD1529" s="29"/>
      <c r="AE1529" s="25"/>
      <c r="AF1529" s="28"/>
      <c r="AG1529" s="29"/>
    </row>
    <row r="1530" spans="2:34" s="24" customFormat="1" ht="6" customHeight="1" x14ac:dyDescent="0.2">
      <c r="D1530" s="9" t="s">
        <v>56</v>
      </c>
      <c r="E1530" s="49"/>
    </row>
    <row r="1531" spans="2:34" x14ac:dyDescent="0.2">
      <c r="D1531" s="9" t="s">
        <v>56</v>
      </c>
      <c r="F1531" s="16"/>
    </row>
    <row r="1532" spans="2:34" ht="15.75" thickBot="1" x14ac:dyDescent="0.4">
      <c r="B1532" s="35" t="s">
        <v>52</v>
      </c>
      <c r="C1532" s="35"/>
      <c r="D1532" s="9" t="s">
        <v>56</v>
      </c>
      <c r="E1532" s="48" t="s">
        <v>0</v>
      </c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74">
        <f ca="1">AG$2</f>
        <v>45999</v>
      </c>
      <c r="AH1532" s="1"/>
    </row>
    <row r="1533" spans="2:34" x14ac:dyDescent="0.2">
      <c r="B1533" s="9">
        <f>G1534</f>
        <v>32</v>
      </c>
      <c r="C1533" s="9"/>
      <c r="D1533" s="9" t="s">
        <v>56</v>
      </c>
      <c r="F1533" t="s">
        <v>159</v>
      </c>
      <c r="AG1533" s="6" t="s">
        <v>16</v>
      </c>
    </row>
    <row r="1534" spans="2:34" x14ac:dyDescent="0.2">
      <c r="B1534" s="9">
        <f>G1534</f>
        <v>32</v>
      </c>
      <c r="C1534" s="9"/>
      <c r="D1534" s="9" t="s">
        <v>56</v>
      </c>
      <c r="F1534" s="40" t="s">
        <v>53</v>
      </c>
      <c r="G1534" s="42">
        <v>32</v>
      </c>
    </row>
    <row r="1535" spans="2:34" x14ac:dyDescent="0.2">
      <c r="B1535" s="9">
        <f>G1534</f>
        <v>32</v>
      </c>
      <c r="C1535" s="9"/>
      <c r="D1535" s="9" t="s">
        <v>56</v>
      </c>
      <c r="F1535" s="39" t="s">
        <v>49</v>
      </c>
      <c r="G1535" s="41"/>
      <c r="H1535" s="11"/>
    </row>
    <row r="1536" spans="2:34" x14ac:dyDescent="0.2">
      <c r="B1536" s="9">
        <f>G1534</f>
        <v>32</v>
      </c>
      <c r="C1536" s="9"/>
      <c r="D1536" s="9" t="s">
        <v>56</v>
      </c>
      <c r="G1536" s="23"/>
    </row>
    <row r="1537" spans="2:33" x14ac:dyDescent="0.2">
      <c r="B1537" s="9">
        <f>G1534</f>
        <v>32</v>
      </c>
      <c r="C1537" s="9"/>
      <c r="D1537" s="9" t="s">
        <v>56</v>
      </c>
      <c r="G1537" s="20">
        <v>2023</v>
      </c>
      <c r="H1537" s="21"/>
      <c r="I1537" s="21"/>
      <c r="J1537" s="21"/>
      <c r="K1537" s="21"/>
      <c r="L1537" s="21"/>
      <c r="M1537" s="21"/>
      <c r="N1537" s="21"/>
      <c r="O1537" s="21"/>
      <c r="P1537" s="21"/>
      <c r="Q1537" s="21"/>
      <c r="R1537" s="22"/>
      <c r="S1537" s="20">
        <v>2024</v>
      </c>
      <c r="T1537" s="21"/>
      <c r="U1537" s="21"/>
      <c r="V1537" s="21"/>
      <c r="W1537" s="21"/>
      <c r="X1537" s="21"/>
      <c r="Y1537" s="21"/>
      <c r="Z1537" s="21"/>
      <c r="AA1537" s="21"/>
      <c r="AB1537" s="21"/>
      <c r="AC1537" s="21"/>
      <c r="AD1537" s="22"/>
      <c r="AF1537" s="17" t="s">
        <v>14</v>
      </c>
      <c r="AG1537" s="18"/>
    </row>
    <row r="1538" spans="2:33" ht="15" customHeight="1" x14ac:dyDescent="0.35">
      <c r="B1538" s="9">
        <f>G1534</f>
        <v>32</v>
      </c>
      <c r="C1538" s="9"/>
      <c r="D1538" s="9" t="s">
        <v>56</v>
      </c>
      <c r="G1538" s="165">
        <v>44957</v>
      </c>
      <c r="H1538" s="166">
        <v>44985</v>
      </c>
      <c r="I1538" s="166">
        <v>45016</v>
      </c>
      <c r="J1538" s="166">
        <v>45046</v>
      </c>
      <c r="K1538" s="166">
        <v>45077</v>
      </c>
      <c r="L1538" s="166">
        <v>45107</v>
      </c>
      <c r="M1538" s="166">
        <v>45138</v>
      </c>
      <c r="N1538" s="166">
        <v>45169</v>
      </c>
      <c r="O1538" s="166">
        <v>45199</v>
      </c>
      <c r="P1538" s="166">
        <v>45230</v>
      </c>
      <c r="Q1538" s="166">
        <v>45260</v>
      </c>
      <c r="R1538" s="167">
        <v>45291</v>
      </c>
      <c r="S1538" s="165">
        <v>45322</v>
      </c>
      <c r="T1538" s="166">
        <v>45351</v>
      </c>
      <c r="U1538" s="166">
        <v>45382</v>
      </c>
      <c r="V1538" s="166">
        <v>45412</v>
      </c>
      <c r="W1538" s="166">
        <v>45443</v>
      </c>
      <c r="X1538" s="166">
        <v>45473</v>
      </c>
      <c r="Y1538" s="166">
        <v>45504</v>
      </c>
      <c r="Z1538" s="166">
        <v>45535</v>
      </c>
      <c r="AA1538" s="166">
        <v>45565</v>
      </c>
      <c r="AB1538" s="166">
        <v>45596</v>
      </c>
      <c r="AC1538" s="166">
        <v>45626</v>
      </c>
      <c r="AD1538" s="167">
        <v>45657</v>
      </c>
      <c r="AE1538" s="168"/>
      <c r="AF1538" s="13">
        <v>45291</v>
      </c>
      <c r="AG1538" s="14">
        <v>45657</v>
      </c>
    </row>
    <row r="1539" spans="2:33" ht="0.95" customHeight="1" x14ac:dyDescent="0.2">
      <c r="B1539" s="9">
        <f>G1534</f>
        <v>32</v>
      </c>
      <c r="C1539" s="9"/>
      <c r="D1539" s="9" t="s">
        <v>56</v>
      </c>
      <c r="G1539" s="11"/>
      <c r="S1539" s="11"/>
      <c r="AD1539" s="15"/>
      <c r="AE1539" s="15"/>
      <c r="AF1539" s="11"/>
      <c r="AG1539" s="15"/>
    </row>
    <row r="1540" spans="2:33" x14ac:dyDescent="0.2">
      <c r="B1540" s="9">
        <f>G1534</f>
        <v>32</v>
      </c>
      <c r="C1540" s="9" t="str">
        <f>B1540&amp;" - "&amp;F1540</f>
        <v>32 - Employed Vets</v>
      </c>
      <c r="D1540" s="9" t="s">
        <v>56</v>
      </c>
      <c r="F1540" s="7" t="s">
        <v>160</v>
      </c>
      <c r="G1540" s="121">
        <v>3</v>
      </c>
      <c r="H1540" s="154">
        <f>MAX(MIN(IF(H1543/G1543&gt;1.1,G1540-1,IF(H1543/G1543&lt;0.9,G1540+1,G1540)),5),1)</f>
        <v>3</v>
      </c>
      <c r="I1540" s="154">
        <f t="shared" ref="I1540:AC1540" si="9087">MAX(MIN(IF(I1543/H1543&gt;1.1,H1540-1,IF(I1543/H1543&lt;0.9,H1540+1,H1540)),5),1)</f>
        <v>3</v>
      </c>
      <c r="J1540" s="154">
        <f t="shared" si="9087"/>
        <v>3</v>
      </c>
      <c r="K1540" s="154">
        <f t="shared" si="9087"/>
        <v>2</v>
      </c>
      <c r="L1540" s="154">
        <f t="shared" si="9087"/>
        <v>2</v>
      </c>
      <c r="M1540" s="154">
        <f t="shared" si="9087"/>
        <v>2</v>
      </c>
      <c r="N1540" s="154">
        <f t="shared" si="9087"/>
        <v>3</v>
      </c>
      <c r="O1540" s="154">
        <f t="shared" si="9087"/>
        <v>3</v>
      </c>
      <c r="P1540" s="154">
        <f t="shared" si="9087"/>
        <v>3</v>
      </c>
      <c r="Q1540" s="154">
        <f t="shared" si="9087"/>
        <v>4</v>
      </c>
      <c r="R1540" s="154">
        <f t="shared" si="9087"/>
        <v>5</v>
      </c>
      <c r="S1540" s="155">
        <f t="shared" si="9087"/>
        <v>4</v>
      </c>
      <c r="T1540" s="154">
        <f t="shared" si="9087"/>
        <v>4</v>
      </c>
      <c r="U1540" s="154">
        <f t="shared" si="9087"/>
        <v>3</v>
      </c>
      <c r="V1540" s="154">
        <f t="shared" si="9087"/>
        <v>3</v>
      </c>
      <c r="W1540" s="154">
        <f t="shared" si="9087"/>
        <v>2</v>
      </c>
      <c r="X1540" s="154">
        <f t="shared" si="9087"/>
        <v>3</v>
      </c>
      <c r="Y1540" s="154">
        <f t="shared" si="9087"/>
        <v>3</v>
      </c>
      <c r="Z1540" s="154">
        <f t="shared" si="9087"/>
        <v>4</v>
      </c>
      <c r="AA1540" s="154">
        <f t="shared" si="9087"/>
        <v>4</v>
      </c>
      <c r="AB1540" s="154">
        <f t="shared" si="9087"/>
        <v>4</v>
      </c>
      <c r="AC1540" s="154">
        <f t="shared" si="9087"/>
        <v>5</v>
      </c>
      <c r="AD1540" s="156">
        <f>MROUND(AVERAGE(S1540:AC1540),1)</f>
        <v>4</v>
      </c>
      <c r="AE1540" s="15"/>
      <c r="AF1540" s="90">
        <f>AVERAGE(G1540:R1540)</f>
        <v>3</v>
      </c>
      <c r="AG1540" s="91">
        <f>AVERAGE(S1540:AD1540)</f>
        <v>3.5833333333333335</v>
      </c>
    </row>
    <row r="1541" spans="2:33" x14ac:dyDescent="0.2">
      <c r="B1541" s="9">
        <f>G1534</f>
        <v>32</v>
      </c>
      <c r="C1541" s="9" t="str">
        <f t="shared" ref="C1541:C1577" si="9088">B1541&amp;" - "&amp;F1541</f>
        <v>32 - Workdays in Month / Year</v>
      </c>
      <c r="D1541" s="9" t="s">
        <v>56</v>
      </c>
      <c r="F1541" s="7" t="s">
        <v>54</v>
      </c>
      <c r="G1541" s="121">
        <v>22</v>
      </c>
      <c r="H1541" s="124">
        <v>21</v>
      </c>
      <c r="I1541" s="124">
        <v>24</v>
      </c>
      <c r="J1541" s="122">
        <v>21</v>
      </c>
      <c r="K1541" s="122">
        <v>23</v>
      </c>
      <c r="L1541" s="122">
        <v>23</v>
      </c>
      <c r="M1541" s="122">
        <v>22</v>
      </c>
      <c r="N1541" s="122">
        <v>24</v>
      </c>
      <c r="O1541" s="122">
        <v>22</v>
      </c>
      <c r="P1541" s="122">
        <v>22</v>
      </c>
      <c r="Q1541" s="122">
        <v>23</v>
      </c>
      <c r="R1541" s="122">
        <v>22</v>
      </c>
      <c r="S1541" s="121">
        <v>23</v>
      </c>
      <c r="T1541" s="122">
        <v>22</v>
      </c>
      <c r="U1541" s="122">
        <v>22</v>
      </c>
      <c r="V1541" s="122">
        <v>22</v>
      </c>
      <c r="W1541" s="122">
        <v>24</v>
      </c>
      <c r="X1541" s="122">
        <v>21</v>
      </c>
      <c r="Y1541" s="122">
        <v>23</v>
      </c>
      <c r="Z1541" s="122">
        <v>23</v>
      </c>
      <c r="AA1541" s="122">
        <v>21</v>
      </c>
      <c r="AB1541" s="122">
        <v>24</v>
      </c>
      <c r="AC1541" s="122">
        <v>22</v>
      </c>
      <c r="AD1541" s="123">
        <v>22</v>
      </c>
      <c r="AE1541" s="15"/>
      <c r="AF1541" s="144">
        <v>269</v>
      </c>
      <c r="AG1541" s="145">
        <v>269</v>
      </c>
    </row>
    <row r="1542" spans="2:33" x14ac:dyDescent="0.2">
      <c r="B1542" s="9">
        <f>G1534</f>
        <v>32</v>
      </c>
      <c r="C1542" s="9" t="str">
        <f t="shared" si="9088"/>
        <v>32 - Total Vet Days</v>
      </c>
      <c r="D1542" s="9" t="s">
        <v>56</v>
      </c>
      <c r="F1542" s="8" t="s">
        <v>51</v>
      </c>
      <c r="G1542" s="125">
        <f>G1540*G1541</f>
        <v>66</v>
      </c>
      <c r="H1542" s="126">
        <f t="shared" ref="H1542" si="9089">H1540*H1541</f>
        <v>63</v>
      </c>
      <c r="I1542" s="126">
        <f t="shared" ref="I1542" si="9090">I1540*I1541</f>
        <v>72</v>
      </c>
      <c r="J1542" s="127">
        <f t="shared" ref="J1542" si="9091">J1540*J1541</f>
        <v>63</v>
      </c>
      <c r="K1542" s="127">
        <f t="shared" ref="K1542" si="9092">K1540*K1541</f>
        <v>46</v>
      </c>
      <c r="L1542" s="127">
        <f t="shared" ref="L1542" si="9093">L1540*L1541</f>
        <v>46</v>
      </c>
      <c r="M1542" s="127">
        <f t="shared" ref="M1542" si="9094">M1540*M1541</f>
        <v>44</v>
      </c>
      <c r="N1542" s="127">
        <f t="shared" ref="N1542" si="9095">N1540*N1541</f>
        <v>72</v>
      </c>
      <c r="O1542" s="127">
        <f t="shared" ref="O1542" si="9096">O1540*O1541</f>
        <v>66</v>
      </c>
      <c r="P1542" s="127">
        <f t="shared" ref="P1542" si="9097">P1540*P1541</f>
        <v>66</v>
      </c>
      <c r="Q1542" s="127">
        <f t="shared" ref="Q1542" si="9098">Q1540*Q1541</f>
        <v>92</v>
      </c>
      <c r="R1542" s="127">
        <f t="shared" ref="R1542" si="9099">R1540*R1541</f>
        <v>110</v>
      </c>
      <c r="S1542" s="125">
        <f t="shared" ref="S1542" si="9100">S1540*S1541</f>
        <v>92</v>
      </c>
      <c r="T1542" s="127">
        <f t="shared" ref="T1542" si="9101">T1540*T1541</f>
        <v>88</v>
      </c>
      <c r="U1542" s="127">
        <f t="shared" ref="U1542" si="9102">U1540*U1541</f>
        <v>66</v>
      </c>
      <c r="V1542" s="127">
        <f t="shared" ref="V1542" si="9103">V1540*V1541</f>
        <v>66</v>
      </c>
      <c r="W1542" s="127">
        <f t="shared" ref="W1542" si="9104">W1540*W1541</f>
        <v>48</v>
      </c>
      <c r="X1542" s="127">
        <f t="shared" ref="X1542" si="9105">X1540*X1541</f>
        <v>63</v>
      </c>
      <c r="Y1542" s="127">
        <f t="shared" ref="Y1542" si="9106">Y1540*Y1541</f>
        <v>69</v>
      </c>
      <c r="Z1542" s="127">
        <f t="shared" ref="Z1542" si="9107">Z1540*Z1541</f>
        <v>92</v>
      </c>
      <c r="AA1542" s="127">
        <f t="shared" ref="AA1542" si="9108">AA1540*AA1541</f>
        <v>84</v>
      </c>
      <c r="AB1542" s="127">
        <f t="shared" ref="AB1542" si="9109">AB1540*AB1541</f>
        <v>96</v>
      </c>
      <c r="AC1542" s="127">
        <f t="shared" ref="AC1542" si="9110">AC1540*AC1541</f>
        <v>110</v>
      </c>
      <c r="AD1542" s="128">
        <f t="shared" ref="AD1542" si="9111">AD1540*AD1541</f>
        <v>88</v>
      </c>
      <c r="AF1542" s="119">
        <f>SUM(G1542:R1542)</f>
        <v>806</v>
      </c>
      <c r="AG1542" s="120">
        <f>SUM(S1542:AD1542)</f>
        <v>962</v>
      </c>
    </row>
    <row r="1543" spans="2:33" x14ac:dyDescent="0.2">
      <c r="B1543" s="9">
        <f>G1534</f>
        <v>32</v>
      </c>
      <c r="C1543" s="9" t="str">
        <f t="shared" si="9088"/>
        <v>32 - Production per Vet Workday</v>
      </c>
      <c r="D1543" s="9" t="s">
        <v>56</v>
      </c>
      <c r="F1543" s="7" t="s">
        <v>50</v>
      </c>
      <c r="G1543" s="129">
        <v>4.7575066065673681</v>
      </c>
      <c r="H1543" s="130">
        <v>4.9786252304665339</v>
      </c>
      <c r="I1543" s="130">
        <v>5.1320398736984476</v>
      </c>
      <c r="J1543" s="130">
        <v>5.2443035384881158</v>
      </c>
      <c r="K1543" s="130">
        <v>5.8335022268289132</v>
      </c>
      <c r="L1543" s="130">
        <v>5.4051663011694675</v>
      </c>
      <c r="M1543" s="130">
        <v>4.967644034840343</v>
      </c>
      <c r="N1543" s="130">
        <v>4.3477054622541571</v>
      </c>
      <c r="O1543" s="130">
        <v>4.4954443308676764</v>
      </c>
      <c r="P1543" s="130">
        <v>4.4582456627689053</v>
      </c>
      <c r="Q1543" s="130">
        <v>3.6879467535705786</v>
      </c>
      <c r="R1543" s="130">
        <v>3.0447714596035076</v>
      </c>
      <c r="S1543" s="129">
        <v>4.6605104286212464</v>
      </c>
      <c r="T1543" s="130">
        <v>4.5890754015405397</v>
      </c>
      <c r="U1543" s="130">
        <v>5.293039605009799</v>
      </c>
      <c r="V1543" s="130">
        <v>5.4972937238721222</v>
      </c>
      <c r="W1543" s="130">
        <v>6.2108026130923655</v>
      </c>
      <c r="X1543" s="130">
        <v>5.2896713486420133</v>
      </c>
      <c r="Y1543" s="130">
        <v>5.0208424822154001</v>
      </c>
      <c r="Z1543" s="130">
        <v>4.3597621766932102</v>
      </c>
      <c r="AA1543" s="130">
        <v>4.7577434019005613</v>
      </c>
      <c r="AB1543" s="130">
        <v>4.74058925862089</v>
      </c>
      <c r="AC1543" s="130">
        <v>3.8544402856372906</v>
      </c>
      <c r="AD1543" s="131">
        <v>3.5423316457400933</v>
      </c>
      <c r="AE1543" s="15"/>
      <c r="AF1543" s="132">
        <v>4.6967546831570557</v>
      </c>
      <c r="AG1543" s="133">
        <v>4.8247239265996109</v>
      </c>
    </row>
    <row r="1544" spans="2:33" x14ac:dyDescent="0.2">
      <c r="B1544" s="9">
        <f>G1534</f>
        <v>32</v>
      </c>
      <c r="C1544" s="9" t="str">
        <f t="shared" si="9088"/>
        <v>32 - Total Production</v>
      </c>
      <c r="D1544" s="9" t="s">
        <v>56</v>
      </c>
      <c r="F1544" s="8" t="s">
        <v>1</v>
      </c>
      <c r="G1544" s="134">
        <f>G1543*G1542</f>
        <v>313.99543603344631</v>
      </c>
      <c r="H1544" s="135">
        <f t="shared" ref="H1544" si="9112">H1543*H1542</f>
        <v>313.65338951939162</v>
      </c>
      <c r="I1544" s="135">
        <f t="shared" ref="I1544" si="9113">I1543*I1542</f>
        <v>369.50687090628821</v>
      </c>
      <c r="J1544" s="135">
        <f t="shared" ref="J1544" si="9114">J1543*J1542</f>
        <v>330.3911229247513</v>
      </c>
      <c r="K1544" s="135">
        <f t="shared" ref="K1544" si="9115">K1543*K1542</f>
        <v>268.34110243412999</v>
      </c>
      <c r="L1544" s="135">
        <f t="shared" ref="L1544" si="9116">L1543*L1542</f>
        <v>248.63764985379549</v>
      </c>
      <c r="M1544" s="135">
        <f t="shared" ref="M1544" si="9117">M1543*M1542</f>
        <v>218.57633753297509</v>
      </c>
      <c r="N1544" s="135">
        <f t="shared" ref="N1544" si="9118">N1543*N1542</f>
        <v>313.03479328229929</v>
      </c>
      <c r="O1544" s="135">
        <f t="shared" ref="O1544" si="9119">O1543*O1542</f>
        <v>296.69932583726666</v>
      </c>
      <c r="P1544" s="135">
        <f t="shared" ref="P1544" si="9120">P1543*P1542</f>
        <v>294.24421374274777</v>
      </c>
      <c r="Q1544" s="135">
        <f t="shared" ref="Q1544" si="9121">Q1543*Q1542</f>
        <v>339.29110132849326</v>
      </c>
      <c r="R1544" s="135">
        <f t="shared" ref="R1544" si="9122">R1543*R1542</f>
        <v>334.92486055638585</v>
      </c>
      <c r="S1544" s="134">
        <f t="shared" ref="S1544" si="9123">S1543*S1542</f>
        <v>428.76695943315468</v>
      </c>
      <c r="T1544" s="135">
        <f t="shared" ref="T1544" si="9124">T1543*T1542</f>
        <v>403.83863533556752</v>
      </c>
      <c r="U1544" s="135">
        <f t="shared" ref="U1544" si="9125">U1543*U1542</f>
        <v>349.34061393064673</v>
      </c>
      <c r="V1544" s="135">
        <f t="shared" ref="V1544" si="9126">V1543*V1542</f>
        <v>362.82138577556009</v>
      </c>
      <c r="W1544" s="135">
        <f t="shared" ref="W1544" si="9127">W1543*W1542</f>
        <v>298.11852542843354</v>
      </c>
      <c r="X1544" s="135">
        <f t="shared" ref="X1544" si="9128">X1543*X1542</f>
        <v>333.24929496444685</v>
      </c>
      <c r="Y1544" s="135">
        <f t="shared" ref="Y1544" si="9129">Y1543*Y1542</f>
        <v>346.43813127286262</v>
      </c>
      <c r="Z1544" s="135">
        <f t="shared" ref="Z1544" si="9130">Z1543*Z1542</f>
        <v>401.09812025577531</v>
      </c>
      <c r="AA1544" s="135">
        <f t="shared" ref="AA1544" si="9131">AA1543*AA1542</f>
        <v>399.65044575964714</v>
      </c>
      <c r="AB1544" s="135">
        <f t="shared" ref="AB1544" si="9132">AB1543*AB1542</f>
        <v>455.09656882760544</v>
      </c>
      <c r="AC1544" s="135">
        <f t="shared" ref="AC1544" si="9133">AC1543*AC1542</f>
        <v>423.98843142010196</v>
      </c>
      <c r="AD1544" s="136">
        <f t="shared" ref="AD1544" si="9134">AD1543*AD1542</f>
        <v>311.72518482512822</v>
      </c>
      <c r="AE1544" s="15"/>
      <c r="AF1544" s="94">
        <f>SUM(G1544:R1544)</f>
        <v>3641.2962039519707</v>
      </c>
      <c r="AG1544" s="95">
        <f>SUM(S1544:AD1544)</f>
        <v>4514.1322972289299</v>
      </c>
    </row>
    <row r="1545" spans="2:33" x14ac:dyDescent="0.2">
      <c r="B1545" s="9">
        <f>G1534</f>
        <v>32</v>
      </c>
      <c r="C1545" s="9" t="str">
        <f t="shared" si="9088"/>
        <v>32 - Revenue as a % of Production</v>
      </c>
      <c r="D1545" s="9" t="s">
        <v>56</v>
      </c>
      <c r="F1545" s="7" t="s">
        <v>2</v>
      </c>
      <c r="G1545" s="137">
        <v>0.97798833195064916</v>
      </c>
      <c r="H1545" s="138">
        <v>0.97798833195064916</v>
      </c>
      <c r="I1545" s="138">
        <v>0.97798833195064916</v>
      </c>
      <c r="J1545" s="138">
        <v>0.97798833195064916</v>
      </c>
      <c r="K1545" s="138">
        <v>0.97798833195064916</v>
      </c>
      <c r="L1545" s="138">
        <v>0.97798833195064916</v>
      </c>
      <c r="M1545" s="138">
        <v>0.97798833195064916</v>
      </c>
      <c r="N1545" s="138">
        <v>0.97798833195064916</v>
      </c>
      <c r="O1545" s="138">
        <v>0.97798833195064916</v>
      </c>
      <c r="P1545" s="138">
        <v>0.97798833195064916</v>
      </c>
      <c r="Q1545" s="138">
        <v>0.97798833195064916</v>
      </c>
      <c r="R1545" s="138">
        <v>0.97798833195064916</v>
      </c>
      <c r="S1545" s="137">
        <v>0.97683839420120411</v>
      </c>
      <c r="T1545" s="138">
        <v>0.97683839420120411</v>
      </c>
      <c r="U1545" s="138">
        <v>0.97683839420120411</v>
      </c>
      <c r="V1545" s="138">
        <v>0.97683839420120411</v>
      </c>
      <c r="W1545" s="138">
        <v>0.97683839420120411</v>
      </c>
      <c r="X1545" s="138">
        <v>0.97683839420120411</v>
      </c>
      <c r="Y1545" s="138">
        <v>0.97683839420120411</v>
      </c>
      <c r="Z1545" s="138">
        <v>0.97683839420120411</v>
      </c>
      <c r="AA1545" s="138">
        <v>0.97683839420120411</v>
      </c>
      <c r="AB1545" s="138">
        <v>0.97683839420120411</v>
      </c>
      <c r="AC1545" s="138">
        <v>0.97683839420120411</v>
      </c>
      <c r="AD1545" s="139">
        <v>0.97683839420120411</v>
      </c>
      <c r="AE1545" s="15"/>
      <c r="AF1545" s="161">
        <v>0.97798833195064916</v>
      </c>
      <c r="AG1545" s="162">
        <v>0.97683839420120422</v>
      </c>
    </row>
    <row r="1546" spans="2:33" x14ac:dyDescent="0.2">
      <c r="B1546" s="9">
        <f>G1534</f>
        <v>32</v>
      </c>
      <c r="C1546" s="9" t="str">
        <f t="shared" si="9088"/>
        <v>32 - Total Revenue</v>
      </c>
      <c r="D1546" s="9" t="s">
        <v>56</v>
      </c>
      <c r="F1546" s="8" t="s">
        <v>3</v>
      </c>
      <c r="G1546" s="134">
        <f>G1545*G1544</f>
        <v>307.08387272646689</v>
      </c>
      <c r="H1546" s="135">
        <f t="shared" ref="H1546" si="9135">H1545*H1544</f>
        <v>306.74935522673701</v>
      </c>
      <c r="I1546" s="135">
        <f t="shared" ref="I1546" si="9136">I1545*I1544</f>
        <v>361.37340832194468</v>
      </c>
      <c r="J1546" s="135">
        <f t="shared" ref="J1546" si="9137">J1545*J1544</f>
        <v>323.11866320047943</v>
      </c>
      <c r="K1546" s="135">
        <f t="shared" ref="K1546" si="9138">K1545*K1544</f>
        <v>262.43446716335308</v>
      </c>
      <c r="L1546" s="135">
        <f t="shared" ref="L1546" si="9139">L1545*L1544</f>
        <v>243.16472044064301</v>
      </c>
      <c r="M1546" s="135">
        <f t="shared" ref="M1546" si="9140">M1545*M1544</f>
        <v>213.76510774775639</v>
      </c>
      <c r="N1546" s="135">
        <f t="shared" ref="N1546" si="9141">N1545*N1544</f>
        <v>306.14437532467218</v>
      </c>
      <c r="O1546" s="135">
        <f t="shared" ref="O1546" si="9142">O1545*O1544</f>
        <v>290.16847876647057</v>
      </c>
      <c r="P1546" s="135">
        <f t="shared" ref="P1546" si="9143">P1545*P1544</f>
        <v>287.76740778440018</v>
      </c>
      <c r="Q1546" s="135">
        <f t="shared" ref="Q1546" si="9144">Q1545*Q1544</f>
        <v>331.82273823395178</v>
      </c>
      <c r="R1546" s="135">
        <f t="shared" ref="R1546" si="9145">R1545*R1544</f>
        <v>327.55260570434359</v>
      </c>
      <c r="S1546" s="134">
        <f t="shared" ref="S1546" si="9146">S1545*S1544</f>
        <v>418.83602813921567</v>
      </c>
      <c r="T1546" s="135">
        <f t="shared" ref="T1546" si="9147">T1545*T1544</f>
        <v>394.4850840576014</v>
      </c>
      <c r="U1546" s="135">
        <f t="shared" ref="U1546" si="9148">U1545*U1544</f>
        <v>341.24932434127572</v>
      </c>
      <c r="V1546" s="135">
        <f t="shared" ref="V1546" si="9149">V1545*V1544</f>
        <v>354.41785986285373</v>
      </c>
      <c r="W1546" s="135">
        <f t="shared" ref="W1546" si="9150">W1545*W1544</f>
        <v>291.21362166114187</v>
      </c>
      <c r="X1546" s="135">
        <f t="shared" ref="X1546" si="9151">X1545*X1544</f>
        <v>325.5307061617537</v>
      </c>
      <c r="Y1546" s="135">
        <f t="shared" ref="Y1546" si="9152">Y1545*Y1544</f>
        <v>338.41406784264905</v>
      </c>
      <c r="Z1546" s="135">
        <f t="shared" ref="Z1546" si="9153">Z1545*Z1544</f>
        <v>391.80804370777304</v>
      </c>
      <c r="AA1546" s="135">
        <f t="shared" ref="AA1546" si="9154">AA1545*AA1544</f>
        <v>390.39389967764913</v>
      </c>
      <c r="AB1546" s="135">
        <f t="shared" ref="AB1546" si="9155">AB1545*AB1544</f>
        <v>444.55580150003584</v>
      </c>
      <c r="AC1546" s="135">
        <f t="shared" ref="AC1546" si="9156">AC1545*AC1544</f>
        <v>414.16817850829977</v>
      </c>
      <c r="AD1546" s="136">
        <f t="shared" ref="AD1546" si="9157">AD1545*AD1544</f>
        <v>304.5051289766518</v>
      </c>
      <c r="AE1546" s="15"/>
      <c r="AF1546" s="94">
        <f>SUM(G1546:R1546)</f>
        <v>3561.1452006412192</v>
      </c>
      <c r="AG1546" s="95">
        <f>SUM(S1546:AD1546)</f>
        <v>4409.5777444369005</v>
      </c>
    </row>
    <row r="1547" spans="2:33" x14ac:dyDescent="0.2">
      <c r="B1547" s="9">
        <f>G1534</f>
        <v>32</v>
      </c>
      <c r="C1547" s="9" t="str">
        <f t="shared" si="9088"/>
        <v>32 - % YoY Revenue Growth</v>
      </c>
      <c r="D1547" s="9" t="s">
        <v>56</v>
      </c>
      <c r="F1547" s="16" t="s">
        <v>174</v>
      </c>
      <c r="G1547" s="82"/>
      <c r="H1547" s="83"/>
      <c r="I1547" s="83"/>
      <c r="J1547" s="83"/>
      <c r="K1547" s="83"/>
      <c r="L1547" s="83"/>
      <c r="M1547" s="83"/>
      <c r="N1547" s="83"/>
      <c r="O1547" s="83"/>
      <c r="P1547" s="83"/>
      <c r="Q1547" s="83"/>
      <c r="R1547" s="83"/>
      <c r="S1547" s="148">
        <f>S1546/G1546-1</f>
        <v>0.36391411382352645</v>
      </c>
      <c r="T1547" s="149">
        <f t="shared" ref="T1547" si="9158">T1546/H1546-1</f>
        <v>0.28601764709827537</v>
      </c>
      <c r="U1547" s="149">
        <f t="shared" ref="U1547" si="9159">U1546/I1546-1</f>
        <v>-5.5687783099802934E-2</v>
      </c>
      <c r="V1547" s="149">
        <f t="shared" ref="V1547" si="9160">V1546/J1546-1</f>
        <v>9.6865951203055856E-2</v>
      </c>
      <c r="W1547" s="149">
        <f t="shared" ref="W1547" si="9161">W1546/K1546-1</f>
        <v>0.10966225133787444</v>
      </c>
      <c r="X1547" s="149">
        <f t="shared" ref="X1547" si="9162">X1546/L1546-1</f>
        <v>0.3387250649348057</v>
      </c>
      <c r="Y1547" s="149">
        <f t="shared" ref="Y1547" si="9163">Y1546/M1546-1</f>
        <v>0.58311181561950187</v>
      </c>
      <c r="Z1547" s="149">
        <f t="shared" ref="Z1547" si="9164">Z1546/N1546-1</f>
        <v>0.27981460803339231</v>
      </c>
      <c r="AA1547" s="149">
        <f t="shared" ref="AA1547" si="9165">AA1546/O1546-1</f>
        <v>0.34540423321390668</v>
      </c>
      <c r="AB1547" s="149">
        <f t="shared" ref="AB1547" si="9166">AB1546/P1546-1</f>
        <v>0.54484416745729591</v>
      </c>
      <c r="AC1547" s="149">
        <f t="shared" ref="AC1547" si="9167">AC1546/Q1546-1</f>
        <v>0.24816093289029006</v>
      </c>
      <c r="AD1547" s="150">
        <f t="shared" ref="AD1547" si="9168">AD1546/R1546-1</f>
        <v>-7.0362672518303748E-2</v>
      </c>
      <c r="AE1547" s="15"/>
      <c r="AF1547" s="11"/>
      <c r="AG1547" s="97">
        <f>AG1546/AF1546-1</f>
        <v>0.2382471075998005</v>
      </c>
    </row>
    <row r="1548" spans="2:33" ht="6" customHeight="1" x14ac:dyDescent="0.2">
      <c r="B1548" s="9">
        <f>G1534</f>
        <v>32</v>
      </c>
      <c r="C1548" s="9" t="str">
        <f t="shared" si="9088"/>
        <v xml:space="preserve">32 - </v>
      </c>
      <c r="D1548" s="9" t="s">
        <v>56</v>
      </c>
      <c r="G1548" s="11"/>
      <c r="S1548" s="11"/>
      <c r="AD1548" s="15"/>
      <c r="AE1548" s="15"/>
      <c r="AF1548" s="11"/>
      <c r="AG1548" s="15"/>
    </row>
    <row r="1549" spans="2:33" x14ac:dyDescent="0.2">
      <c r="B1549" s="9">
        <f>G1534</f>
        <v>32</v>
      </c>
      <c r="C1549" s="9" t="str">
        <f t="shared" si="9088"/>
        <v>32 - Doctor Compensation</v>
      </c>
      <c r="D1549" s="9" t="s">
        <v>56</v>
      </c>
      <c r="F1549" t="s">
        <v>4</v>
      </c>
      <c r="G1549" s="144">
        <v>-103.41047073796697</v>
      </c>
      <c r="H1549" s="70">
        <v>-101.82378672476644</v>
      </c>
      <c r="I1549" s="70">
        <v>-116.96195134344769</v>
      </c>
      <c r="J1549" s="70">
        <v>-103.85935850977627</v>
      </c>
      <c r="K1549" s="70">
        <v>-82.394805375402328</v>
      </c>
      <c r="L1549" s="70">
        <v>-78.069650695754561</v>
      </c>
      <c r="M1549" s="70">
        <v>-103.81780582389221</v>
      </c>
      <c r="N1549" s="70">
        <v>-97.844409469116428</v>
      </c>
      <c r="O1549" s="70">
        <v>-95.463769546170369</v>
      </c>
      <c r="P1549" s="70">
        <v>-94.520145626116431</v>
      </c>
      <c r="Q1549" s="70">
        <v>-84.089338492544655</v>
      </c>
      <c r="R1549" s="70">
        <v>-65.889043529291285</v>
      </c>
      <c r="S1549" s="144">
        <v>-106.47253933370493</v>
      </c>
      <c r="T1549" s="70">
        <v>-97.918159857359512</v>
      </c>
      <c r="U1549" s="70">
        <v>-113.83699903941738</v>
      </c>
      <c r="V1549" s="70">
        <v>-120.07886876360797</v>
      </c>
      <c r="W1549" s="70">
        <v>-99.353502453696152</v>
      </c>
      <c r="X1549" s="70">
        <v>-113.91835100651599</v>
      </c>
      <c r="Y1549" s="70">
        <v>-118.88777248205538</v>
      </c>
      <c r="Z1549" s="70">
        <v>-103.85881471757601</v>
      </c>
      <c r="AA1549" s="70">
        <v>-103.52450313023158</v>
      </c>
      <c r="AB1549" s="70">
        <v>-120.88513887511407</v>
      </c>
      <c r="AC1549" s="70">
        <v>-91.420867296333739</v>
      </c>
      <c r="AD1549" s="145">
        <v>-83.12098027452673</v>
      </c>
      <c r="AE1549" s="15"/>
      <c r="AF1549" s="92">
        <f>SUM(G1549:R1549)</f>
        <v>-1128.1445358742455</v>
      </c>
      <c r="AG1549" s="93">
        <f>SUM(S1549:AD1549)</f>
        <v>-1273.2764972301393</v>
      </c>
    </row>
    <row r="1550" spans="2:33" x14ac:dyDescent="0.2">
      <c r="B1550" s="9">
        <f>G1534</f>
        <v>32</v>
      </c>
      <c r="C1550" s="9" t="str">
        <f t="shared" si="9088"/>
        <v>32 - % of Revenue - Doctor Compensation</v>
      </c>
      <c r="D1550" s="9" t="s">
        <v>56</v>
      </c>
      <c r="F1550" s="16" t="str">
        <f>"% of Revenue - "&amp;F1549</f>
        <v>% of Revenue - Doctor Compensation</v>
      </c>
      <c r="G1550" s="148">
        <f>G1549/G1546</f>
        <v>-0.33674992379062257</v>
      </c>
      <c r="H1550" s="149">
        <f t="shared" ref="H1550" si="9169">H1549/H1546</f>
        <v>-0.33194458273433797</v>
      </c>
      <c r="I1550" s="149">
        <f t="shared" ref="I1550" si="9170">I1549/I1546</f>
        <v>-0.32365954065786495</v>
      </c>
      <c r="J1550" s="149">
        <f t="shared" ref="J1550" si="9171">J1549/J1546</f>
        <v>-0.32142791592739595</v>
      </c>
      <c r="K1550" s="149">
        <f t="shared" ref="K1550" si="9172">K1549/K1546</f>
        <v>-0.31396335346498311</v>
      </c>
      <c r="L1550" s="149">
        <f t="shared" ref="L1550" si="9173">L1549/L1546</f>
        <v>-0.32105665062877209</v>
      </c>
      <c r="M1550" s="149">
        <f t="shared" ref="M1550" si="9174">M1549/M1546</f>
        <v>-0.48566301075850793</v>
      </c>
      <c r="N1550" s="149">
        <f t="shared" ref="N1550" si="9175">N1549/N1546</f>
        <v>-0.31960217908740113</v>
      </c>
      <c r="O1550" s="149">
        <f t="shared" ref="O1550" si="9176">O1549/O1546</f>
        <v>-0.32899427929592662</v>
      </c>
      <c r="P1550" s="149">
        <f t="shared" ref="P1550" si="9177">P1549/P1546</f>
        <v>-0.32846021845855594</v>
      </c>
      <c r="Q1550" s="149">
        <f t="shared" ref="Q1550" si="9178">Q1549/Q1546</f>
        <v>-0.25341644439464972</v>
      </c>
      <c r="R1550" s="149">
        <f t="shared" ref="R1550" si="9179">R1549/R1546</f>
        <v>-0.20115560792932366</v>
      </c>
      <c r="S1550" s="148">
        <f t="shared" ref="S1550" si="9180">S1549/S1546</f>
        <v>-0.25421055539738535</v>
      </c>
      <c r="T1550" s="149">
        <f t="shared" ref="T1550" si="9181">T1549/T1546</f>
        <v>-0.24821764830799492</v>
      </c>
      <c r="U1550" s="149">
        <f t="shared" ref="U1550" si="9182">U1549/U1546</f>
        <v>-0.33358893606356732</v>
      </c>
      <c r="V1550" s="149">
        <f t="shared" ref="V1550" si="9183">V1549/V1546</f>
        <v>-0.33880591912065022</v>
      </c>
      <c r="W1550" s="149">
        <f t="shared" ref="W1550" si="9184">W1549/W1546</f>
        <v>-0.3411705190401586</v>
      </c>
      <c r="X1550" s="149">
        <f t="shared" ref="X1550" si="9185">X1549/X1546</f>
        <v>-0.34994656064767926</v>
      </c>
      <c r="Y1550" s="149">
        <f t="shared" ref="Y1550" si="9186">Y1549/Y1546</f>
        <v>-0.35130860025988675</v>
      </c>
      <c r="Z1550" s="149">
        <f t="shared" ref="Z1550" si="9187">Z1549/Z1546</f>
        <v>-0.26507575938139316</v>
      </c>
      <c r="AA1550" s="149">
        <f t="shared" ref="AA1550" si="9188">AA1549/AA1546</f>
        <v>-0.2651796127339911</v>
      </c>
      <c r="AB1550" s="149">
        <f t="shared" ref="AB1550" si="9189">AB1549/AB1546</f>
        <v>-0.2719234311355721</v>
      </c>
      <c r="AC1550" s="149">
        <f t="shared" ref="AC1550" si="9190">AC1549/AC1546</f>
        <v>-0.220733682692867</v>
      </c>
      <c r="AD1550" s="150">
        <f t="shared" ref="AD1550" si="9191">AD1549/AD1546</f>
        <v>-0.27297070677880142</v>
      </c>
      <c r="AE1550" s="15"/>
      <c r="AF1550" s="96">
        <f t="shared" ref="AF1550" si="9192">AF1549/AF1546</f>
        <v>-0.31679262493175286</v>
      </c>
      <c r="AG1550" s="97">
        <f t="shared" ref="AG1550" si="9193">AG1549/AG1546</f>
        <v>-0.28875247722675895</v>
      </c>
    </row>
    <row r="1551" spans="2:33" ht="3" customHeight="1" x14ac:dyDescent="0.2">
      <c r="B1551" s="9">
        <f>G1534</f>
        <v>32</v>
      </c>
      <c r="C1551" s="9" t="str">
        <f t="shared" si="9088"/>
        <v xml:space="preserve">32 - </v>
      </c>
      <c r="D1551" s="9" t="s">
        <v>56</v>
      </c>
      <c r="F1551" s="16"/>
      <c r="G1551" s="36"/>
      <c r="H1551" s="37"/>
      <c r="I1551" s="37"/>
      <c r="J1551" s="37"/>
      <c r="K1551" s="37"/>
      <c r="L1551" s="37"/>
      <c r="M1551" s="37"/>
      <c r="N1551" s="37"/>
      <c r="O1551" s="37"/>
      <c r="P1551" s="37"/>
      <c r="Q1551" s="37"/>
      <c r="R1551" s="37"/>
      <c r="S1551" s="36"/>
      <c r="T1551" s="37"/>
      <c r="U1551" s="37"/>
      <c r="V1551" s="37"/>
      <c r="W1551" s="37"/>
      <c r="X1551" s="37"/>
      <c r="Y1551" s="37"/>
      <c r="Z1551" s="37"/>
      <c r="AA1551" s="37"/>
      <c r="AB1551" s="37"/>
      <c r="AC1551" s="37"/>
      <c r="AD1551" s="38"/>
      <c r="AE1551" s="15"/>
      <c r="AF1551" s="36"/>
      <c r="AG1551" s="38"/>
    </row>
    <row r="1552" spans="2:33" x14ac:dyDescent="0.2">
      <c r="B1552" s="9">
        <f>G1534</f>
        <v>32</v>
      </c>
      <c r="C1552" s="9" t="str">
        <f t="shared" si="9088"/>
        <v>32 - Administrative Staff Compensation</v>
      </c>
      <c r="D1552" s="9" t="s">
        <v>56</v>
      </c>
      <c r="F1552" t="s">
        <v>5</v>
      </c>
      <c r="G1552" s="144">
        <v>-57.789522169895939</v>
      </c>
      <c r="H1552" s="70">
        <v>-60.092229164602877</v>
      </c>
      <c r="I1552" s="70">
        <v>-72.484585871016137</v>
      </c>
      <c r="J1552" s="70">
        <v>-66.835564281920938</v>
      </c>
      <c r="K1552" s="70">
        <v>-80.063492407897101</v>
      </c>
      <c r="L1552" s="70">
        <v>-73.81038469494689</v>
      </c>
      <c r="M1552" s="70">
        <v>-65.162492781074832</v>
      </c>
      <c r="N1552" s="70">
        <v>-59.274384463317652</v>
      </c>
      <c r="O1552" s="70">
        <v>-55.816377601108869</v>
      </c>
      <c r="P1552" s="70">
        <v>-53.032441561853283</v>
      </c>
      <c r="Q1552" s="70">
        <v>-47.837093794247707</v>
      </c>
      <c r="R1552" s="70">
        <v>-37.545094271881183</v>
      </c>
      <c r="S1552" s="144">
        <v>-69.82525814948113</v>
      </c>
      <c r="T1552" s="70">
        <v>-65.69786497441342</v>
      </c>
      <c r="U1552" s="70">
        <v>-77.962426187676087</v>
      </c>
      <c r="V1552" s="70">
        <v>-83.230099116443995</v>
      </c>
      <c r="W1552" s="70">
        <v>-103.45200898703429</v>
      </c>
      <c r="X1552" s="70">
        <v>-75.368562628728583</v>
      </c>
      <c r="Y1552" s="70">
        <v>-77.149435291745775</v>
      </c>
      <c r="Z1552" s="70">
        <v>-67.655054420395757</v>
      </c>
      <c r="AA1552" s="70">
        <v>-66.345093944528415</v>
      </c>
      <c r="AB1552" s="70">
        <v>-74.909610800746307</v>
      </c>
      <c r="AC1552" s="70">
        <v>-56.985447278912126</v>
      </c>
      <c r="AD1552" s="145">
        <v>-55.105624210898064</v>
      </c>
      <c r="AE1552" s="15"/>
      <c r="AF1552" s="92">
        <f>SUM(G1552:R1552)</f>
        <v>-729.74366306376351</v>
      </c>
      <c r="AG1552" s="93">
        <f>SUM(S1552:AD1552)</f>
        <v>-873.68648599100413</v>
      </c>
    </row>
    <row r="1553" spans="2:33" x14ac:dyDescent="0.2">
      <c r="B1553" s="9">
        <f>G1534</f>
        <v>32</v>
      </c>
      <c r="C1553" s="9" t="str">
        <f t="shared" si="9088"/>
        <v>32 - % of Revenue - Administrative Staff Compensation</v>
      </c>
      <c r="D1553" s="9" t="s">
        <v>56</v>
      </c>
      <c r="F1553" s="16" t="str">
        <f>"% of Revenue - "&amp;F1552</f>
        <v>% of Revenue - Administrative Staff Compensation</v>
      </c>
      <c r="G1553" s="148">
        <f>G1552/G1546</f>
        <v>-0.18818807271384</v>
      </c>
      <c r="H1553" s="149">
        <f t="shared" ref="H1553" si="9194">H1552/H1546</f>
        <v>-0.1959000993504455</v>
      </c>
      <c r="I1553" s="149">
        <f t="shared" ref="I1553" si="9195">I1552/I1546</f>
        <v>-0.20058085127957229</v>
      </c>
      <c r="J1553" s="149">
        <f t="shared" ref="J1553" si="9196">J1552/J1546</f>
        <v>-0.20684526118026403</v>
      </c>
      <c r="K1553" s="149">
        <f t="shared" ref="K1553" si="9197">K1552/K1546</f>
        <v>-0.30507994347427447</v>
      </c>
      <c r="L1553" s="149">
        <f t="shared" ref="L1553" si="9198">L1552/L1546</f>
        <v>-0.30354068041282389</v>
      </c>
      <c r="M1553" s="149">
        <f t="shared" ref="M1553" si="9199">M1552/M1546</f>
        <v>-0.30483222200120147</v>
      </c>
      <c r="N1553" s="149">
        <f t="shared" ref="N1553" si="9200">N1552/N1546</f>
        <v>-0.19361578797734236</v>
      </c>
      <c r="O1553" s="149">
        <f t="shared" ref="O1553" si="9201">O1552/O1546</f>
        <v>-0.19235851474422294</v>
      </c>
      <c r="P1553" s="149">
        <f t="shared" ref="P1553" si="9202">P1552/P1546</f>
        <v>-0.18428925627875833</v>
      </c>
      <c r="Q1553" s="149">
        <f t="shared" ref="Q1553" si="9203">Q1552/Q1546</f>
        <v>-0.14416460441755544</v>
      </c>
      <c r="R1553" s="149">
        <f t="shared" ref="R1553" si="9204">R1552/R1546</f>
        <v>-0.11462309753618702</v>
      </c>
      <c r="S1553" s="148">
        <f t="shared" ref="S1553" si="9205">S1552/S1546</f>
        <v>-0.16671263563380015</v>
      </c>
      <c r="T1553" s="149">
        <f t="shared" ref="T1553" si="9206">T1552/T1546</f>
        <v>-0.16654080884036782</v>
      </c>
      <c r="U1553" s="149">
        <f t="shared" ref="U1553" si="9207">U1552/U1546</f>
        <v>-0.22846177450510533</v>
      </c>
      <c r="V1553" s="149">
        <f t="shared" ref="V1553" si="9208">V1552/V1546</f>
        <v>-0.23483607498970532</v>
      </c>
      <c r="W1553" s="149">
        <f t="shared" ref="W1553" si="9209">W1552/W1546</f>
        <v>-0.35524440236319627</v>
      </c>
      <c r="X1553" s="149">
        <f t="shared" ref="X1553" si="9210">X1552/X1546</f>
        <v>-0.23152520239144053</v>
      </c>
      <c r="Y1553" s="149">
        <f t="shared" ref="Y1553" si="9211">Y1552/Y1546</f>
        <v>-0.22797348757858854</v>
      </c>
      <c r="Z1553" s="149">
        <f t="shared" ref="Z1553" si="9212">Z1552/Z1546</f>
        <v>-0.17267398029953604</v>
      </c>
      <c r="AA1553" s="149">
        <f t="shared" ref="AA1553" si="9213">AA1552/AA1546</f>
        <v>-0.16994398221721704</v>
      </c>
      <c r="AB1553" s="149">
        <f t="shared" ref="AB1553" si="9214">AB1552/AB1546</f>
        <v>-0.16850440495430194</v>
      </c>
      <c r="AC1553" s="149">
        <f t="shared" ref="AC1553" si="9215">AC1552/AC1546</f>
        <v>-0.13759011492422071</v>
      </c>
      <c r="AD1553" s="150">
        <f t="shared" ref="AD1553" si="9216">AD1552/AD1546</f>
        <v>-0.18096780305832988</v>
      </c>
      <c r="AE1553" s="15"/>
      <c r="AF1553" s="96">
        <f t="shared" ref="AF1553" si="9217">AF1552/AF1546</f>
        <v>-0.20491825577130807</v>
      </c>
      <c r="AG1553" s="97">
        <f t="shared" ref="AG1553" si="9218">AG1552/AG1546</f>
        <v>-0.19813382065737298</v>
      </c>
    </row>
    <row r="1554" spans="2:33" ht="3" customHeight="1" x14ac:dyDescent="0.2">
      <c r="B1554" s="9">
        <f>G1534</f>
        <v>32</v>
      </c>
      <c r="C1554" s="9" t="str">
        <f t="shared" si="9088"/>
        <v xml:space="preserve">32 - </v>
      </c>
      <c r="D1554" s="9" t="s">
        <v>56</v>
      </c>
      <c r="F1554" s="16"/>
      <c r="G1554" s="36"/>
      <c r="H1554" s="37"/>
      <c r="I1554" s="37"/>
      <c r="J1554" s="37"/>
      <c r="K1554" s="37"/>
      <c r="L1554" s="37"/>
      <c r="M1554" s="37"/>
      <c r="N1554" s="37"/>
      <c r="O1554" s="37"/>
      <c r="P1554" s="37"/>
      <c r="Q1554" s="37"/>
      <c r="R1554" s="37"/>
      <c r="S1554" s="36"/>
      <c r="T1554" s="37"/>
      <c r="U1554" s="37"/>
      <c r="V1554" s="37"/>
      <c r="W1554" s="37"/>
      <c r="X1554" s="37"/>
      <c r="Y1554" s="37"/>
      <c r="Z1554" s="37"/>
      <c r="AA1554" s="37"/>
      <c r="AB1554" s="37"/>
      <c r="AC1554" s="37"/>
      <c r="AD1554" s="38"/>
      <c r="AE1554" s="15"/>
      <c r="AF1554" s="36"/>
      <c r="AG1554" s="38"/>
    </row>
    <row r="1555" spans="2:33" x14ac:dyDescent="0.2">
      <c r="B1555" s="9">
        <f>G1534</f>
        <v>32</v>
      </c>
      <c r="C1555" s="9" t="str">
        <f t="shared" si="9088"/>
        <v>32 - Office Supplies</v>
      </c>
      <c r="D1555" s="9" t="s">
        <v>56</v>
      </c>
      <c r="F1555" t="s">
        <v>6</v>
      </c>
      <c r="G1555" s="144">
        <v>-29.254547004223529</v>
      </c>
      <c r="H1555" s="70">
        <v>-29.503547066477779</v>
      </c>
      <c r="I1555" s="70">
        <v>-35.814851282727318</v>
      </c>
      <c r="J1555" s="70">
        <v>-30.580532041166009</v>
      </c>
      <c r="K1555" s="70">
        <v>-37.900942046568673</v>
      </c>
      <c r="L1555" s="70">
        <v>-34.51468022916599</v>
      </c>
      <c r="M1555" s="70">
        <v>-29.283352621967339</v>
      </c>
      <c r="N1555" s="70">
        <v>-28.745721490624227</v>
      </c>
      <c r="O1555" s="70">
        <v>-28.425999216579591</v>
      </c>
      <c r="P1555" s="70">
        <v>-28.316362926190266</v>
      </c>
      <c r="Q1555" s="70">
        <v>-23.95689418404428</v>
      </c>
      <c r="R1555" s="70">
        <v>-18.39144362500673</v>
      </c>
      <c r="S1555" s="144">
        <v>-30.278406816768868</v>
      </c>
      <c r="T1555" s="70">
        <v>-27.453810343903019</v>
      </c>
      <c r="U1555" s="70">
        <v>-32.002031926559418</v>
      </c>
      <c r="V1555" s="70">
        <v>-33.482619884599131</v>
      </c>
      <c r="W1555" s="70">
        <v>-42.372338836535988</v>
      </c>
      <c r="X1555" s="70">
        <v>-31.91441725774224</v>
      </c>
      <c r="Y1555" s="70">
        <v>-32.955254147730052</v>
      </c>
      <c r="Z1555" s="70">
        <v>-30.05203255776873</v>
      </c>
      <c r="AA1555" s="70">
        <v>-31.378790825868219</v>
      </c>
      <c r="AB1555" s="70">
        <v>-34.075314466458202</v>
      </c>
      <c r="AC1555" s="70">
        <v>-25.936311213481897</v>
      </c>
      <c r="AD1555" s="145">
        <v>-22.743574517433164</v>
      </c>
      <c r="AE1555" s="15"/>
      <c r="AF1555" s="92">
        <f>SUM(G1555:R1555)</f>
        <v>-354.68887373474178</v>
      </c>
      <c r="AG1555" s="93">
        <f>SUM(S1555:AD1555)</f>
        <v>-374.64490279484892</v>
      </c>
    </row>
    <row r="1556" spans="2:33" x14ac:dyDescent="0.2">
      <c r="B1556" s="9">
        <f>G1534</f>
        <v>32</v>
      </c>
      <c r="C1556" s="9" t="str">
        <f t="shared" si="9088"/>
        <v>32 - % of Revenue - Office Supplies</v>
      </c>
      <c r="D1556" s="9" t="s">
        <v>56</v>
      </c>
      <c r="F1556" s="16" t="str">
        <f>"% of Revenue - "&amp;F1555</f>
        <v>% of Revenue - Office Supplies</v>
      </c>
      <c r="G1556" s="148">
        <f>G1555/G1546</f>
        <v>-9.5265657373944351E-2</v>
      </c>
      <c r="H1556" s="149">
        <f t="shared" ref="H1556" si="9219">H1555/H1546</f>
        <v>-9.6181284699587782E-2</v>
      </c>
      <c r="I1556" s="149">
        <f t="shared" ref="I1556" si="9220">I1555/I1546</f>
        <v>-9.9107600221707934E-2</v>
      </c>
      <c r="J1556" s="149">
        <f t="shared" ref="J1556" si="9221">J1555/J1546</f>
        <v>-9.4641800440330104E-2</v>
      </c>
      <c r="K1556" s="149">
        <f t="shared" ref="K1556" si="9222">K1555/K1546</f>
        <v>-0.14442059557282591</v>
      </c>
      <c r="L1556" s="149">
        <f t="shared" ref="L1556" si="9223">L1555/L1546</f>
        <v>-0.14193950572526037</v>
      </c>
      <c r="M1556" s="149">
        <f t="shared" ref="M1556" si="9224">M1555/M1546</f>
        <v>-0.1369884586427538</v>
      </c>
      <c r="N1556" s="149">
        <f t="shared" ref="N1556" si="9225">N1555/N1546</f>
        <v>-9.3895964804641005E-2</v>
      </c>
      <c r="O1556" s="149">
        <f t="shared" ref="O1556" si="9226">O1555/O1546</f>
        <v>-9.7963773795902265E-2</v>
      </c>
      <c r="P1556" s="149">
        <f t="shared" ref="P1556" si="9227">P1555/P1546</f>
        <v>-9.8400173752148212E-2</v>
      </c>
      <c r="Q1556" s="149">
        <f t="shared" ref="Q1556" si="9228">Q1555/Q1546</f>
        <v>-7.219786778793158E-2</v>
      </c>
      <c r="R1556" s="149">
        <f t="shared" ref="R1556" si="9229">R1555/R1546</f>
        <v>-5.6148060814412398E-2</v>
      </c>
      <c r="S1556" s="148">
        <f t="shared" ref="S1556" si="9230">S1555/S1546</f>
        <v>-7.2291791494844174E-2</v>
      </c>
      <c r="T1556" s="149">
        <f t="shared" ref="T1556" si="9231">T1555/T1546</f>
        <v>-6.9594039048366918E-2</v>
      </c>
      <c r="U1556" s="149">
        <f t="shared" ref="U1556" si="9232">U1555/U1546</f>
        <v>-9.3779033814452073E-2</v>
      </c>
      <c r="V1556" s="149">
        <f t="shared" ref="V1556" si="9233">V1555/V1546</f>
        <v>-9.4472157519250394E-2</v>
      </c>
      <c r="W1556" s="149">
        <f t="shared" ref="W1556" si="9234">W1555/W1546</f>
        <v>-0.14550259907086602</v>
      </c>
      <c r="X1556" s="149">
        <f t="shared" ref="X1556" si="9235">X1555/X1546</f>
        <v>-9.8038116385506843E-2</v>
      </c>
      <c r="Y1556" s="149">
        <f t="shared" ref="Y1556" si="9236">Y1555/Y1546</f>
        <v>-9.7381454493945904E-2</v>
      </c>
      <c r="Z1556" s="149">
        <f t="shared" ref="Z1556" si="9237">Z1555/Z1546</f>
        <v>-7.6700907601026186E-2</v>
      </c>
      <c r="AA1556" s="149">
        <f t="shared" ref="AA1556" si="9238">AA1555/AA1546</f>
        <v>-8.0377257051859413E-2</v>
      </c>
      <c r="AB1556" s="149">
        <f t="shared" ref="AB1556" si="9239">AB1555/AB1546</f>
        <v>-7.6650252570048746E-2</v>
      </c>
      <c r="AC1556" s="149">
        <f t="shared" ref="AC1556" si="9240">AC1555/AC1546</f>
        <v>-6.2622655624814366E-2</v>
      </c>
      <c r="AD1556" s="150">
        <f t="shared" ref="AD1556" si="9241">AD1555/AD1546</f>
        <v>-7.4690283851268219E-2</v>
      </c>
      <c r="AE1556" s="15"/>
      <c r="AF1556" s="96">
        <f t="shared" ref="AF1556" si="9242">AF1555/AF1546</f>
        <v>-9.9599666329493269E-2</v>
      </c>
      <c r="AG1556" s="97">
        <f t="shared" ref="AG1556" si="9243">AG1555/AG1546</f>
        <v>-8.4961627735784653E-2</v>
      </c>
    </row>
    <row r="1557" spans="2:33" ht="6" customHeight="1" x14ac:dyDescent="0.2">
      <c r="B1557" s="9">
        <f>G1534</f>
        <v>32</v>
      </c>
      <c r="C1557" s="9" t="str">
        <f t="shared" si="9088"/>
        <v xml:space="preserve">32 - </v>
      </c>
      <c r="D1557" s="9" t="s">
        <v>56</v>
      </c>
      <c r="F1557" s="16"/>
      <c r="G1557" s="11"/>
      <c r="S1557" s="11"/>
      <c r="AD1557" s="15"/>
      <c r="AE1557" s="15"/>
      <c r="AF1557" s="11"/>
      <c r="AG1557" s="15"/>
    </row>
    <row r="1558" spans="2:33" x14ac:dyDescent="0.2">
      <c r="B1558" s="9">
        <f>G1534</f>
        <v>32</v>
      </c>
      <c r="C1558" s="9" t="str">
        <f t="shared" si="9088"/>
        <v>32 - Office Gross Profit</v>
      </c>
      <c r="D1558" s="9" t="s">
        <v>56</v>
      </c>
      <c r="F1558" s="8" t="s">
        <v>11</v>
      </c>
      <c r="G1558" s="134">
        <f>G1546+G1549+G1552+G1555</f>
        <v>116.62933281438043</v>
      </c>
      <c r="H1558" s="135">
        <f t="shared" ref="H1558:AD1558" si="9244">H1546+H1549+H1552+H1555</f>
        <v>115.32979227088993</v>
      </c>
      <c r="I1558" s="135">
        <f t="shared" si="9244"/>
        <v>136.11201982475353</v>
      </c>
      <c r="J1558" s="135">
        <f t="shared" si="9244"/>
        <v>121.84320836761623</v>
      </c>
      <c r="K1558" s="135">
        <f t="shared" si="9244"/>
        <v>62.075227333484989</v>
      </c>
      <c r="L1558" s="135">
        <f t="shared" si="9244"/>
        <v>56.770004820775583</v>
      </c>
      <c r="M1558" s="135">
        <f t="shared" si="9244"/>
        <v>15.501456520822003</v>
      </c>
      <c r="N1558" s="135">
        <f t="shared" si="9244"/>
        <v>120.27985990161386</v>
      </c>
      <c r="O1558" s="135">
        <f t="shared" si="9244"/>
        <v>110.46233240261174</v>
      </c>
      <c r="P1558" s="135">
        <f t="shared" si="9244"/>
        <v>111.89845767024019</v>
      </c>
      <c r="Q1558" s="135">
        <f t="shared" si="9244"/>
        <v>175.93941176311515</v>
      </c>
      <c r="R1558" s="135">
        <f t="shared" si="9244"/>
        <v>205.72702427816444</v>
      </c>
      <c r="S1558" s="134">
        <f t="shared" si="9244"/>
        <v>212.25982383926078</v>
      </c>
      <c r="T1558" s="135">
        <f t="shared" si="9244"/>
        <v>203.41524888192544</v>
      </c>
      <c r="U1558" s="135">
        <f t="shared" si="9244"/>
        <v>117.44786718762282</v>
      </c>
      <c r="V1558" s="135">
        <f t="shared" si="9244"/>
        <v>117.62627209820263</v>
      </c>
      <c r="W1558" s="135">
        <f t="shared" si="9244"/>
        <v>46.035771383875456</v>
      </c>
      <c r="X1558" s="135">
        <f t="shared" si="9244"/>
        <v>104.3293752687669</v>
      </c>
      <c r="Y1558" s="135">
        <f t="shared" si="9244"/>
        <v>109.42160592111787</v>
      </c>
      <c r="Z1558" s="135">
        <f t="shared" si="9244"/>
        <v>190.24214201203253</v>
      </c>
      <c r="AA1558" s="135">
        <f t="shared" si="9244"/>
        <v>189.14551177702091</v>
      </c>
      <c r="AB1558" s="135">
        <f t="shared" si="9244"/>
        <v>214.68573735771727</v>
      </c>
      <c r="AC1558" s="135">
        <f t="shared" si="9244"/>
        <v>239.82555271957196</v>
      </c>
      <c r="AD1558" s="136">
        <f t="shared" si="9244"/>
        <v>143.53494997379383</v>
      </c>
      <c r="AE1558" s="15"/>
      <c r="AF1558" s="98">
        <f>SUM(G1558:R1558)</f>
        <v>1348.5681279684682</v>
      </c>
      <c r="AG1558" s="95">
        <f>SUM(S1558:AD1558)</f>
        <v>1887.9698584209082</v>
      </c>
    </row>
    <row r="1559" spans="2:33" x14ac:dyDescent="0.2">
      <c r="B1559" s="9">
        <f>G1534</f>
        <v>32</v>
      </c>
      <c r="C1559" s="9" t="str">
        <f t="shared" si="9088"/>
        <v>32 - % of Revenue - Office Gross Profit</v>
      </c>
      <c r="D1559" s="9" t="s">
        <v>56</v>
      </c>
      <c r="F1559" s="16" t="str">
        <f>"% of Revenue - "&amp;F1558</f>
        <v>% of Revenue - Office Gross Profit</v>
      </c>
      <c r="G1559" s="148">
        <f>G1558/G1546</f>
        <v>0.37979634612159302</v>
      </c>
      <c r="H1559" s="149">
        <f t="shared" ref="H1559" si="9245">H1558/H1546</f>
        <v>0.37597403321562878</v>
      </c>
      <c r="I1559" s="149">
        <f t="shared" ref="I1559" si="9246">I1558/I1546</f>
        <v>0.37665200784085479</v>
      </c>
      <c r="J1559" s="149">
        <f t="shared" ref="J1559" si="9247">J1558/J1546</f>
        <v>0.37708502245200998</v>
      </c>
      <c r="K1559" s="149">
        <f t="shared" ref="K1559" si="9248">K1558/K1546</f>
        <v>0.23653610748791654</v>
      </c>
      <c r="L1559" s="149">
        <f t="shared" ref="L1559" si="9249">L1558/L1546</f>
        <v>0.23346316323314364</v>
      </c>
      <c r="M1559" s="149">
        <f t="shared" ref="M1559" si="9250">M1558/M1546</f>
        <v>7.2516308597536785E-2</v>
      </c>
      <c r="N1559" s="149">
        <f t="shared" ref="N1559" si="9251">N1558/N1546</f>
        <v>0.39288606813061544</v>
      </c>
      <c r="O1559" s="149">
        <f t="shared" ref="O1559" si="9252">O1558/O1546</f>
        <v>0.38068343216394818</v>
      </c>
      <c r="P1559" s="149">
        <f t="shared" ref="P1559" si="9253">P1558/P1546</f>
        <v>0.38885035151053748</v>
      </c>
      <c r="Q1559" s="149">
        <f t="shared" ref="Q1559" si="9254">Q1558/Q1546</f>
        <v>0.53022108339986329</v>
      </c>
      <c r="R1559" s="149">
        <f t="shared" ref="R1559" si="9255">R1558/R1546</f>
        <v>0.62807323372007706</v>
      </c>
      <c r="S1559" s="148">
        <f t="shared" ref="S1559" si="9256">S1558/S1546</f>
        <v>0.50678501747397042</v>
      </c>
      <c r="T1559" s="149">
        <f t="shared" ref="T1559" si="9257">T1558/T1546</f>
        <v>0.51564750380327029</v>
      </c>
      <c r="U1559" s="149">
        <f t="shared" ref="U1559" si="9258">U1558/U1546</f>
        <v>0.3441702556168752</v>
      </c>
      <c r="V1559" s="149">
        <f t="shared" ref="V1559" si="9259">V1558/V1546</f>
        <v>0.33188584837039403</v>
      </c>
      <c r="W1559" s="149">
        <f t="shared" ref="W1559" si="9260">W1558/W1546</f>
        <v>0.15808247952577914</v>
      </c>
      <c r="X1559" s="149">
        <f t="shared" ref="X1559" si="9261">X1558/X1546</f>
        <v>0.32049012057537341</v>
      </c>
      <c r="Y1559" s="149">
        <f t="shared" ref="Y1559" si="9262">Y1558/Y1546</f>
        <v>0.3233364576675789</v>
      </c>
      <c r="Z1559" s="149">
        <f t="shared" ref="Z1559" si="9263">Z1558/Z1546</f>
        <v>0.48554935271804461</v>
      </c>
      <c r="AA1559" s="149">
        <f t="shared" ref="AA1559" si="9264">AA1558/AA1546</f>
        <v>0.48449914799693244</v>
      </c>
      <c r="AB1559" s="149">
        <f t="shared" ref="AB1559" si="9265">AB1558/AB1546</f>
        <v>0.48292191134007723</v>
      </c>
      <c r="AC1559" s="149">
        <f t="shared" ref="AC1559" si="9266">AC1558/AC1546</f>
        <v>0.57905354675809784</v>
      </c>
      <c r="AD1559" s="150">
        <f t="shared" ref="AD1559" si="9267">AD1558/AD1546</f>
        <v>0.4713712063116004</v>
      </c>
      <c r="AE1559" s="15"/>
      <c r="AF1559" s="111">
        <f t="shared" ref="AF1559" si="9268">AF1558/AF1546</f>
        <v>0.37868945296744577</v>
      </c>
      <c r="AG1559" s="97">
        <f t="shared" ref="AG1559" si="9269">AG1558/AG1546</f>
        <v>0.4281520743800834</v>
      </c>
    </row>
    <row r="1560" spans="2:33" ht="6" customHeight="1" x14ac:dyDescent="0.2">
      <c r="B1560" s="9">
        <f>G1534</f>
        <v>32</v>
      </c>
      <c r="C1560" s="9" t="str">
        <f t="shared" si="9088"/>
        <v xml:space="preserve">32 - </v>
      </c>
      <c r="D1560" s="9" t="s">
        <v>56</v>
      </c>
      <c r="F1560" s="16"/>
      <c r="G1560" s="11"/>
      <c r="S1560" s="11"/>
      <c r="AD1560" s="15"/>
      <c r="AE1560" s="15"/>
      <c r="AF1560" s="11"/>
      <c r="AG1560" s="15"/>
    </row>
    <row r="1561" spans="2:33" x14ac:dyDescent="0.2">
      <c r="B1561" s="9">
        <f>G1534</f>
        <v>32</v>
      </c>
      <c r="C1561" s="9" t="str">
        <f t="shared" si="9088"/>
        <v>32 - General and Administrative Expense</v>
      </c>
      <c r="D1561" s="9" t="s">
        <v>56</v>
      </c>
      <c r="F1561" t="s">
        <v>10</v>
      </c>
      <c r="G1561" s="144">
        <v>-6.7761542708709568</v>
      </c>
      <c r="H1561" s="70">
        <v>-5.7155900373355903</v>
      </c>
      <c r="I1561" s="70">
        <v>-5.7527572743276192</v>
      </c>
      <c r="J1561" s="70">
        <v>-3.9494389030002504</v>
      </c>
      <c r="K1561" s="70">
        <v>-4.2992565852951259</v>
      </c>
      <c r="L1561" s="70">
        <v>-3.8512641977286708</v>
      </c>
      <c r="M1561" s="70">
        <v>-2.2279213566389742</v>
      </c>
      <c r="N1561" s="70">
        <v>-1.5279021512962603</v>
      </c>
      <c r="O1561" s="70">
        <v>-0.19786228182519772</v>
      </c>
      <c r="P1561" s="70">
        <v>5.7541248776463015E-2</v>
      </c>
      <c r="Q1561" s="70">
        <v>0.97335933363868588</v>
      </c>
      <c r="R1561" s="70">
        <v>1.3219794866190313</v>
      </c>
      <c r="S1561" s="144">
        <v>0.85637488605535628</v>
      </c>
      <c r="T1561" s="70">
        <v>-0.20247345768815628</v>
      </c>
      <c r="U1561" s="70">
        <v>-0.52365765536547437</v>
      </c>
      <c r="V1561" s="70">
        <v>-0.52043258341751919</v>
      </c>
      <c r="W1561" s="70">
        <v>-1.4959196831397663</v>
      </c>
      <c r="X1561" s="70">
        <v>-0.78320582113149395</v>
      </c>
      <c r="Y1561" s="70">
        <v>0.4204080547773586</v>
      </c>
      <c r="Z1561" s="70">
        <v>0.42836608819647509</v>
      </c>
      <c r="AA1561" s="70">
        <v>0.51774003009096703</v>
      </c>
      <c r="AB1561" s="70">
        <v>1.6610054429779146</v>
      </c>
      <c r="AC1561" s="70">
        <v>2.3410848849736179</v>
      </c>
      <c r="AD1561" s="145">
        <v>1.8609537105233012</v>
      </c>
      <c r="AE1561" s="15"/>
      <c r="AF1561" s="144">
        <v>-31.945266989284466</v>
      </c>
      <c r="AG1561" s="145">
        <v>4.5602438968525805</v>
      </c>
    </row>
    <row r="1562" spans="2:33" x14ac:dyDescent="0.2">
      <c r="B1562" s="9">
        <f>G1534</f>
        <v>32</v>
      </c>
      <c r="C1562" s="9" t="str">
        <f t="shared" si="9088"/>
        <v>32 - % of Revenue - General and Administrative Expense</v>
      </c>
      <c r="D1562" s="9" t="s">
        <v>56</v>
      </c>
      <c r="F1562" s="16" t="str">
        <f>"% of Revenue - "&amp;F1561</f>
        <v>% of Revenue - General and Administrative Expense</v>
      </c>
      <c r="G1562" s="148">
        <f>G1561/G1546</f>
        <v>-2.2066135257147727E-2</v>
      </c>
      <c r="H1562" s="149">
        <f t="shared" ref="H1562" si="9270">H1561/H1546</f>
        <v>-1.8632769523218237E-2</v>
      </c>
      <c r="I1562" s="149">
        <f t="shared" ref="I1562" si="9271">I1561/I1546</f>
        <v>-1.5919149394640942E-2</v>
      </c>
      <c r="J1562" s="149">
        <f t="shared" ref="J1562" si="9272">J1561/J1546</f>
        <v>-1.2222874605512388E-2</v>
      </c>
      <c r="K1562" s="149">
        <f t="shared" ref="K1562" si="9273">K1561/K1546</f>
        <v>-1.6382210125696035E-2</v>
      </c>
      <c r="L1562" s="149">
        <f t="shared" ref="L1562" si="9274">L1561/L1546</f>
        <v>-1.5838087822730731E-2</v>
      </c>
      <c r="M1562" s="149">
        <f t="shared" ref="M1562" si="9275">M1561/M1546</f>
        <v>-1.0422287248431252E-2</v>
      </c>
      <c r="N1562" s="149">
        <f t="shared" ref="N1562" si="9276">N1561/N1546</f>
        <v>-4.9907895569725547E-3</v>
      </c>
      <c r="O1562" s="149">
        <f t="shared" ref="O1562" si="9277">O1561/O1546</f>
        <v>-6.8188758016145008E-4</v>
      </c>
      <c r="P1562" s="149">
        <f t="shared" ref="P1562" si="9278">P1561/P1546</f>
        <v>1.9995749073701153E-4</v>
      </c>
      <c r="Q1562" s="149">
        <f t="shared" ref="Q1562" si="9279">Q1561/Q1546</f>
        <v>2.933371410347468E-3</v>
      </c>
      <c r="R1562" s="149">
        <f t="shared" ref="R1562" si="9280">R1561/R1546</f>
        <v>4.0359303012606164E-3</v>
      </c>
      <c r="S1562" s="148">
        <f t="shared" ref="S1562" si="9281">S1561/S1546</f>
        <v>2.04465430029985E-3</v>
      </c>
      <c r="T1562" s="149">
        <f t="shared" ref="T1562" si="9282">T1561/T1546</f>
        <v>-5.1326011013027749E-4</v>
      </c>
      <c r="U1562" s="149">
        <f t="shared" ref="U1562" si="9283">U1561/U1546</f>
        <v>-1.5345309661090381E-3</v>
      </c>
      <c r="V1562" s="149">
        <f t="shared" ref="V1562" si="9284">V1561/V1546</f>
        <v>-1.4684152305950576E-3</v>
      </c>
      <c r="W1562" s="149">
        <f t="shared" ref="W1562" si="9285">W1561/W1546</f>
        <v>-5.1368465341927877E-3</v>
      </c>
      <c r="X1562" s="149">
        <f t="shared" ref="X1562" si="9286">X1561/X1546</f>
        <v>-2.4059353121125386E-3</v>
      </c>
      <c r="Y1562" s="149">
        <f t="shared" ref="Y1562" si="9287">Y1561/Y1546</f>
        <v>1.2422889434160105E-3</v>
      </c>
      <c r="Z1562" s="149">
        <f t="shared" ref="Z1562" si="9288">Z1561/Z1546</f>
        <v>1.0933060080715663E-3</v>
      </c>
      <c r="AA1562" s="149">
        <f t="shared" ref="AA1562" si="9289">AA1561/AA1546</f>
        <v>1.3261990787214362E-3</v>
      </c>
      <c r="AB1562" s="149">
        <f t="shared" ref="AB1562" si="9290">AB1561/AB1546</f>
        <v>3.7363260975861561E-3</v>
      </c>
      <c r="AC1562" s="149">
        <f t="shared" ref="AC1562" si="9291">AC1561/AC1546</f>
        <v>5.6524982035207312E-3</v>
      </c>
      <c r="AD1562" s="150">
        <f t="shared" ref="AD1562" si="9292">AD1561/AD1546</f>
        <v>6.1114034984481045E-3</v>
      </c>
      <c r="AE1562" s="15"/>
      <c r="AF1562" s="96">
        <f t="shared" ref="AF1562" si="9293">AF1561/AF1546</f>
        <v>-8.9705039220339591E-3</v>
      </c>
      <c r="AG1562" s="97">
        <f t="shared" ref="AG1562" si="9294">AG1561/AG1546</f>
        <v>1.0341679319761988E-3</v>
      </c>
    </row>
    <row r="1563" spans="2:33" ht="3" customHeight="1" x14ac:dyDescent="0.2">
      <c r="B1563" s="9">
        <f>G1534</f>
        <v>32</v>
      </c>
      <c r="C1563" s="9" t="str">
        <f t="shared" si="9088"/>
        <v xml:space="preserve">32 - </v>
      </c>
      <c r="D1563" s="9" t="s">
        <v>56</v>
      </c>
      <c r="F1563" s="16"/>
      <c r="G1563" s="36"/>
      <c r="H1563" s="37"/>
      <c r="I1563" s="37"/>
      <c r="J1563" s="37"/>
      <c r="K1563" s="37"/>
      <c r="L1563" s="37"/>
      <c r="M1563" s="37"/>
      <c r="N1563" s="37"/>
      <c r="O1563" s="37"/>
      <c r="P1563" s="37"/>
      <c r="Q1563" s="37"/>
      <c r="R1563" s="37"/>
      <c r="S1563" s="36"/>
      <c r="T1563" s="37"/>
      <c r="U1563" s="37"/>
      <c r="V1563" s="37"/>
      <c r="W1563" s="37"/>
      <c r="X1563" s="37"/>
      <c r="Y1563" s="37"/>
      <c r="Z1563" s="37"/>
      <c r="AA1563" s="37"/>
      <c r="AB1563" s="37"/>
      <c r="AC1563" s="37"/>
      <c r="AD1563" s="38"/>
      <c r="AE1563" s="15"/>
      <c r="AF1563" s="36"/>
      <c r="AG1563" s="38"/>
    </row>
    <row r="1564" spans="2:33" x14ac:dyDescent="0.2">
      <c r="B1564" s="9">
        <f>G1534</f>
        <v>32</v>
      </c>
      <c r="C1564" s="9" t="str">
        <f t="shared" si="9088"/>
        <v>32 - Marketing</v>
      </c>
      <c r="D1564" s="9" t="s">
        <v>56</v>
      </c>
      <c r="F1564" t="s">
        <v>7</v>
      </c>
      <c r="G1564" s="144">
        <v>-2.1166898523099209</v>
      </c>
      <c r="H1564" s="70">
        <v>-3.4182192300528622</v>
      </c>
      <c r="I1564" s="70">
        <v>-4.4777117872970038</v>
      </c>
      <c r="J1564" s="70">
        <v>-5.3802391885323777</v>
      </c>
      <c r="K1564" s="70">
        <v>-6.5878653722404037</v>
      </c>
      <c r="L1564" s="70">
        <v>-7.7184351218906357</v>
      </c>
      <c r="M1564" s="70">
        <v>-5.9796475523086281</v>
      </c>
      <c r="N1564" s="70">
        <v>-4.4729403241123764</v>
      </c>
      <c r="O1564" s="70">
        <v>-4.8872398154240839</v>
      </c>
      <c r="P1564" s="70">
        <v>-4.4778326509132302</v>
      </c>
      <c r="Q1564" s="70">
        <v>-3.1571053033578398</v>
      </c>
      <c r="R1564" s="70">
        <v>-1.9653156342260614</v>
      </c>
      <c r="S1564" s="144">
        <v>-3.3293415482218243</v>
      </c>
      <c r="T1564" s="70">
        <v>-2.9586381304320106</v>
      </c>
      <c r="U1564" s="70">
        <v>-4.1612639578407604</v>
      </c>
      <c r="V1564" s="70">
        <v>-5.4147601020062774</v>
      </c>
      <c r="W1564" s="70">
        <v>-8.704595503582679</v>
      </c>
      <c r="X1564" s="70">
        <v>-6.7815005100182342</v>
      </c>
      <c r="Y1564" s="70">
        <v>-6.8382111274976163</v>
      </c>
      <c r="Z1564" s="70">
        <v>-6.503184239566913</v>
      </c>
      <c r="AA1564" s="70">
        <v>-7.8947894666221954</v>
      </c>
      <c r="AB1564" s="70">
        <v>-10.297999019765765</v>
      </c>
      <c r="AC1564" s="70">
        <v>-8.4854526138980795</v>
      </c>
      <c r="AD1564" s="145">
        <v>-7.98391680048731</v>
      </c>
      <c r="AE1564" s="15"/>
      <c r="AF1564" s="144">
        <v>-54.639241832665419</v>
      </c>
      <c r="AG1564" s="145">
        <v>-79.353653019939657</v>
      </c>
    </row>
    <row r="1565" spans="2:33" x14ac:dyDescent="0.2">
      <c r="B1565" s="9">
        <f>G1534</f>
        <v>32</v>
      </c>
      <c r="C1565" s="9" t="str">
        <f t="shared" si="9088"/>
        <v>32 - % of Revenue - Marketing</v>
      </c>
      <c r="D1565" s="9" t="s">
        <v>56</v>
      </c>
      <c r="F1565" s="16" t="str">
        <f>"% of Revenue - "&amp;F1564</f>
        <v>% of Revenue - Marketing</v>
      </c>
      <c r="G1565" s="148">
        <f>G1564/G1546</f>
        <v>-6.8928720792685513E-3</v>
      </c>
      <c r="H1565" s="149">
        <f t="shared" ref="H1565" si="9295">H1564/H1546</f>
        <v>-1.1143362396071704E-2</v>
      </c>
      <c r="I1565" s="149">
        <f t="shared" ref="I1565" si="9296">I1564/I1546</f>
        <v>-1.2390817044589639E-2</v>
      </c>
      <c r="J1565" s="149">
        <f t="shared" ref="J1565" si="9297">J1564/J1546</f>
        <v>-1.6650970065428258E-2</v>
      </c>
      <c r="K1565" s="149">
        <f t="shared" ref="K1565" si="9298">K1564/K1546</f>
        <v>-2.5102896900123139E-2</v>
      </c>
      <c r="L1565" s="149">
        <f t="shared" ref="L1565" si="9299">L1564/L1546</f>
        <v>-3.1741591082390261E-2</v>
      </c>
      <c r="M1565" s="149">
        <f t="shared" ref="M1565" si="9300">M1564/M1546</f>
        <v>-2.7972982192045272E-2</v>
      </c>
      <c r="N1565" s="149">
        <f t="shared" ref="N1565" si="9301">N1564/N1546</f>
        <v>-1.4610558562014195E-2</v>
      </c>
      <c r="O1565" s="149">
        <f t="shared" ref="O1565" si="9302">O1564/O1546</f>
        <v>-1.6842766092995804E-2</v>
      </c>
      <c r="P1565" s="149">
        <f t="shared" ref="P1565" si="9303">P1564/P1546</f>
        <v>-1.5560596960542843E-2</v>
      </c>
      <c r="Q1565" s="149">
        <f t="shared" ref="Q1565" si="9304">Q1564/Q1546</f>
        <v>-9.5144332789271393E-3</v>
      </c>
      <c r="R1565" s="149">
        <f t="shared" ref="R1565" si="9305">R1564/R1546</f>
        <v>-5.9999999999999993E-3</v>
      </c>
      <c r="S1565" s="148">
        <f t="shared" ref="S1565" si="9306">S1564/S1546</f>
        <v>-7.949033331762936E-3</v>
      </c>
      <c r="T1565" s="149">
        <f t="shared" ref="T1565" si="9307">T1564/T1546</f>
        <v>-7.5000000000000006E-3</v>
      </c>
      <c r="U1565" s="149">
        <f t="shared" ref="U1565" si="9308">U1564/U1546</f>
        <v>-1.219420424017946E-2</v>
      </c>
      <c r="V1565" s="149">
        <f t="shared" ref="V1565" si="9309">V1564/V1546</f>
        <v>-1.5277898535083939E-2</v>
      </c>
      <c r="W1565" s="149">
        <f t="shared" ref="W1565" si="9310">W1564/W1546</f>
        <v>-2.9890756668351885E-2</v>
      </c>
      <c r="X1565" s="149">
        <f t="shared" ref="X1565" si="9311">X1564/X1546</f>
        <v>-2.0832137742018593E-2</v>
      </c>
      <c r="Y1565" s="149">
        <f t="shared" ref="Y1565" si="9312">Y1564/Y1546</f>
        <v>-2.0206639668056442E-2</v>
      </c>
      <c r="Z1565" s="149">
        <f t="shared" ref="Z1565" si="9313">Z1564/Z1546</f>
        <v>-1.6597883438088018E-2</v>
      </c>
      <c r="AA1565" s="149">
        <f t="shared" ref="AA1565" si="9314">AA1564/AA1546</f>
        <v>-2.0222625079800109E-2</v>
      </c>
      <c r="AB1565" s="149">
        <f t="shared" ref="AB1565" si="9315">AB1564/AB1546</f>
        <v>-2.3164693802258107E-2</v>
      </c>
      <c r="AC1565" s="149">
        <f t="shared" ref="AC1565" si="9316">AC1564/AC1546</f>
        <v>-2.0487939571938972E-2</v>
      </c>
      <c r="AD1565" s="150">
        <f t="shared" ref="AD1565" si="9317">AD1564/AD1546</f>
        <v>-2.6219317971157997E-2</v>
      </c>
      <c r="AE1565" s="15"/>
      <c r="AF1565" s="96">
        <f t="shared" ref="AF1565" si="9318">AF1564/AF1546</f>
        <v>-1.534316596324887E-2</v>
      </c>
      <c r="AG1565" s="97">
        <f t="shared" ref="AG1565" si="9319">AG1564/AG1546</f>
        <v>-1.7995748713139664E-2</v>
      </c>
    </row>
    <row r="1566" spans="2:33" ht="3" customHeight="1" x14ac:dyDescent="0.2">
      <c r="B1566" s="9">
        <f>G1534</f>
        <v>32</v>
      </c>
      <c r="C1566" s="9" t="str">
        <f t="shared" si="9088"/>
        <v xml:space="preserve">32 - </v>
      </c>
      <c r="D1566" s="9" t="s">
        <v>56</v>
      </c>
      <c r="F1566" s="16"/>
      <c r="G1566" s="36"/>
      <c r="H1566" s="37"/>
      <c r="I1566" s="37"/>
      <c r="J1566" s="37"/>
      <c r="K1566" s="37"/>
      <c r="L1566" s="37"/>
      <c r="M1566" s="37"/>
      <c r="N1566" s="37"/>
      <c r="O1566" s="37"/>
      <c r="P1566" s="37"/>
      <c r="Q1566" s="37"/>
      <c r="R1566" s="37"/>
      <c r="S1566" s="36"/>
      <c r="T1566" s="37"/>
      <c r="U1566" s="37"/>
      <c r="V1566" s="37"/>
      <c r="W1566" s="37"/>
      <c r="X1566" s="37"/>
      <c r="Y1566" s="37"/>
      <c r="Z1566" s="37"/>
      <c r="AA1566" s="37"/>
      <c r="AB1566" s="37"/>
      <c r="AC1566" s="37"/>
      <c r="AD1566" s="38"/>
      <c r="AE1566" s="15"/>
      <c r="AF1566" s="36"/>
      <c r="AG1566" s="38"/>
    </row>
    <row r="1567" spans="2:33" x14ac:dyDescent="0.2">
      <c r="B1567" s="9">
        <f>G1534</f>
        <v>32</v>
      </c>
      <c r="C1567" s="9" t="str">
        <f t="shared" si="9088"/>
        <v>32 - Office Rent</v>
      </c>
      <c r="D1567" s="9" t="s">
        <v>56</v>
      </c>
      <c r="F1567" t="s">
        <v>162</v>
      </c>
      <c r="G1567" s="144">
        <v>-26.970114894246745</v>
      </c>
      <c r="H1567" s="70">
        <v>-26.970114894246745</v>
      </c>
      <c r="I1567" s="70">
        <v>-27.779218341074149</v>
      </c>
      <c r="J1567" s="70">
        <v>-27.779218341074149</v>
      </c>
      <c r="K1567" s="70">
        <v>-27.779218341074149</v>
      </c>
      <c r="L1567" s="70">
        <v>-27.779218341074149</v>
      </c>
      <c r="M1567" s="70">
        <v>-27.779218341074149</v>
      </c>
      <c r="N1567" s="70">
        <v>-27.779218341074149</v>
      </c>
      <c r="O1567" s="70">
        <v>-27.779218341074149</v>
      </c>
      <c r="P1567" s="70">
        <v>-27.779218341074149</v>
      </c>
      <c r="Q1567" s="70">
        <v>-27.779218341074149</v>
      </c>
      <c r="R1567" s="70">
        <v>-27.779218341074149</v>
      </c>
      <c r="S1567" s="144">
        <v>-27.779466567578623</v>
      </c>
      <c r="T1567" s="70">
        <v>-27.779466567578623</v>
      </c>
      <c r="U1567" s="70">
        <v>-28.612850564605981</v>
      </c>
      <c r="V1567" s="70">
        <v>-28.612850564605981</v>
      </c>
      <c r="W1567" s="70">
        <v>-28.612850564605981</v>
      </c>
      <c r="X1567" s="70">
        <v>-28.612850564605981</v>
      </c>
      <c r="Y1567" s="70">
        <v>-28.612850564605981</v>
      </c>
      <c r="Z1567" s="70">
        <v>-28.612850564605981</v>
      </c>
      <c r="AA1567" s="70">
        <v>-28.612850564605981</v>
      </c>
      <c r="AB1567" s="70">
        <v>-28.612850564605981</v>
      </c>
      <c r="AC1567" s="70">
        <v>-28.612850564605981</v>
      </c>
      <c r="AD1567" s="145">
        <v>-28.612850564605981</v>
      </c>
      <c r="AE1567" s="15"/>
      <c r="AF1567" s="144">
        <v>-331.732413199235</v>
      </c>
      <c r="AG1567" s="145">
        <v>-341.68743878121711</v>
      </c>
    </row>
    <row r="1568" spans="2:33" x14ac:dyDescent="0.2">
      <c r="B1568" s="9">
        <f>G1534</f>
        <v>32</v>
      </c>
      <c r="C1568" s="9" t="str">
        <f t="shared" si="9088"/>
        <v>32 - % YoY Growth</v>
      </c>
      <c r="D1568" s="9" t="s">
        <v>56</v>
      </c>
      <c r="F1568" s="16" t="s">
        <v>8</v>
      </c>
      <c r="G1568" s="82"/>
      <c r="H1568" s="83"/>
      <c r="I1568" s="83"/>
      <c r="J1568" s="83"/>
      <c r="K1568" s="83"/>
      <c r="L1568" s="83"/>
      <c r="M1568" s="83"/>
      <c r="N1568" s="83"/>
      <c r="O1568" s="83"/>
      <c r="P1568" s="83"/>
      <c r="Q1568" s="83"/>
      <c r="R1568" s="83"/>
      <c r="S1568" s="148">
        <f>S1567/G1567-1</f>
        <v>3.0009203761476311E-2</v>
      </c>
      <c r="T1568" s="149">
        <f t="shared" ref="T1568" si="9320">T1567/H1567-1</f>
        <v>3.0009203761476311E-2</v>
      </c>
      <c r="U1568" s="149">
        <f t="shared" ref="U1568" si="9321">U1567/I1567-1</f>
        <v>3.0009203761476311E-2</v>
      </c>
      <c r="V1568" s="149">
        <f t="shared" ref="V1568" si="9322">V1567/J1567-1</f>
        <v>3.0009203761476311E-2</v>
      </c>
      <c r="W1568" s="149">
        <f t="shared" ref="W1568" si="9323">W1567/K1567-1</f>
        <v>3.0009203761476311E-2</v>
      </c>
      <c r="X1568" s="149">
        <f t="shared" ref="X1568" si="9324">X1567/L1567-1</f>
        <v>3.0009203761476311E-2</v>
      </c>
      <c r="Y1568" s="149">
        <f t="shared" ref="Y1568" si="9325">Y1567/M1567-1</f>
        <v>3.0009203761476311E-2</v>
      </c>
      <c r="Z1568" s="149">
        <f t="shared" ref="Z1568" si="9326">Z1567/N1567-1</f>
        <v>3.0009203761476311E-2</v>
      </c>
      <c r="AA1568" s="149">
        <f t="shared" ref="AA1568" si="9327">AA1567/O1567-1</f>
        <v>3.0009203761476311E-2</v>
      </c>
      <c r="AB1568" s="149">
        <f t="shared" ref="AB1568" si="9328">AB1567/P1567-1</f>
        <v>3.0009203761476311E-2</v>
      </c>
      <c r="AC1568" s="149">
        <f t="shared" ref="AC1568" si="9329">AC1567/Q1567-1</f>
        <v>3.0009203761476311E-2</v>
      </c>
      <c r="AD1568" s="150">
        <f t="shared" ref="AD1568" si="9330">AD1567/R1567-1</f>
        <v>3.0009203761476311E-2</v>
      </c>
      <c r="AE1568" s="15"/>
      <c r="AF1568" s="11"/>
      <c r="AG1568" s="97">
        <f>AG1567/AF1567-1</f>
        <v>3.0009203761476311E-2</v>
      </c>
    </row>
    <row r="1569" spans="2:33" ht="6" customHeight="1" x14ac:dyDescent="0.2">
      <c r="B1569" s="9">
        <f>G1534</f>
        <v>32</v>
      </c>
      <c r="C1569" s="9" t="str">
        <f t="shared" si="9088"/>
        <v xml:space="preserve">32 - </v>
      </c>
      <c r="D1569" s="9" t="s">
        <v>56</v>
      </c>
      <c r="F1569" s="16"/>
      <c r="G1569" s="11"/>
      <c r="S1569" s="11"/>
      <c r="AD1569" s="15"/>
      <c r="AE1569" s="15"/>
      <c r="AF1569" s="11"/>
      <c r="AG1569" s="15"/>
    </row>
    <row r="1570" spans="2:33" x14ac:dyDescent="0.2">
      <c r="B1570" s="9">
        <f>G1534</f>
        <v>32</v>
      </c>
      <c r="C1570" s="9" t="str">
        <f t="shared" si="9088"/>
        <v>32 - Office EBITDA</v>
      </c>
      <c r="D1570" s="9" t="s">
        <v>56</v>
      </c>
      <c r="F1570" s="8" t="s">
        <v>12</v>
      </c>
      <c r="G1570" s="134">
        <f>G1558+G1561+G1564+G1567</f>
        <v>80.766373796952806</v>
      </c>
      <c r="H1570" s="135">
        <f t="shared" ref="H1570:AD1570" si="9331">H1558+H1561+H1564+H1567</f>
        <v>79.225868109254733</v>
      </c>
      <c r="I1570" s="135">
        <f t="shared" si="9331"/>
        <v>98.102332422054758</v>
      </c>
      <c r="J1570" s="135">
        <f t="shared" si="9331"/>
        <v>84.734311935009458</v>
      </c>
      <c r="K1570" s="135">
        <f t="shared" si="9331"/>
        <v>23.408887034875313</v>
      </c>
      <c r="L1570" s="135">
        <f t="shared" si="9331"/>
        <v>17.421087160082131</v>
      </c>
      <c r="M1570" s="135">
        <f t="shared" si="9331"/>
        <v>-20.485330729199749</v>
      </c>
      <c r="N1570" s="135">
        <f t="shared" si="9331"/>
        <v>86.499799085131087</v>
      </c>
      <c r="O1570" s="135">
        <f t="shared" si="9331"/>
        <v>77.598011964288304</v>
      </c>
      <c r="P1570" s="135">
        <f t="shared" si="9331"/>
        <v>79.69894792702928</v>
      </c>
      <c r="Q1570" s="135">
        <f t="shared" si="9331"/>
        <v>145.97644745232185</v>
      </c>
      <c r="R1570" s="135">
        <f t="shared" si="9331"/>
        <v>177.30446978948325</v>
      </c>
      <c r="S1570" s="134">
        <f t="shared" si="9331"/>
        <v>182.00739060951568</v>
      </c>
      <c r="T1570" s="135">
        <f t="shared" si="9331"/>
        <v>172.47467072622666</v>
      </c>
      <c r="U1570" s="135">
        <f t="shared" si="9331"/>
        <v>84.150095009810613</v>
      </c>
      <c r="V1570" s="135">
        <f t="shared" si="9331"/>
        <v>83.078228848172856</v>
      </c>
      <c r="W1570" s="135">
        <f t="shared" si="9331"/>
        <v>7.2224056325470265</v>
      </c>
      <c r="X1570" s="135">
        <f t="shared" si="9331"/>
        <v>68.151818373011196</v>
      </c>
      <c r="Y1570" s="135">
        <f t="shared" si="9331"/>
        <v>74.390952283791634</v>
      </c>
      <c r="Z1570" s="135">
        <f t="shared" si="9331"/>
        <v>155.5544732960561</v>
      </c>
      <c r="AA1570" s="135">
        <f t="shared" si="9331"/>
        <v>153.1556117758837</v>
      </c>
      <c r="AB1570" s="135">
        <f t="shared" si="9331"/>
        <v>177.43589321632342</v>
      </c>
      <c r="AC1570" s="135">
        <f t="shared" si="9331"/>
        <v>205.0683344260415</v>
      </c>
      <c r="AD1570" s="136">
        <f t="shared" si="9331"/>
        <v>108.79913631922382</v>
      </c>
      <c r="AE1570" s="15"/>
      <c r="AF1570" s="94">
        <f>SUM(G1570:R1570)</f>
        <v>930.25120594728332</v>
      </c>
      <c r="AG1570" s="95">
        <f>SUM(S1570:AD1570)</f>
        <v>1471.4890105166044</v>
      </c>
    </row>
    <row r="1571" spans="2:33" x14ac:dyDescent="0.2">
      <c r="B1571" s="9">
        <f>G1534</f>
        <v>32</v>
      </c>
      <c r="C1571" s="9" t="str">
        <f t="shared" si="9088"/>
        <v>32 - % of Revenue - Office EBITDA</v>
      </c>
      <c r="D1571" s="9" t="s">
        <v>56</v>
      </c>
      <c r="F1571" s="16" t="str">
        <f>"% of Revenue - "&amp;F1570</f>
        <v>% of Revenue - Office EBITDA</v>
      </c>
      <c r="G1571" s="148">
        <f>G1570/G1546</f>
        <v>0.26301079597525778</v>
      </c>
      <c r="H1571" s="149">
        <f t="shared" ref="H1571" si="9332">H1570/H1546</f>
        <v>0.25827558154342034</v>
      </c>
      <c r="I1571" s="149">
        <f t="shared" ref="I1571" si="9333">I1570/I1546</f>
        <v>0.27147081152871155</v>
      </c>
      <c r="J1571" s="149">
        <f t="shared" ref="J1571" si="9334">J1570/J1546</f>
        <v>0.2622389901459698</v>
      </c>
      <c r="K1571" s="149">
        <f t="shared" ref="K1571" si="9335">K1570/K1546</f>
        <v>8.9198980941418746E-2</v>
      </c>
      <c r="L1571" s="149">
        <f t="shared" ref="L1571" si="9336">L1570/L1546</f>
        <v>7.1643152544962424E-2</v>
      </c>
      <c r="M1571" s="149">
        <f t="shared" ref="M1571" si="9337">M1570/M1546</f>
        <v>-9.5831031289599022E-2</v>
      </c>
      <c r="N1571" s="149">
        <f t="shared" ref="N1571" si="9338">N1570/N1546</f>
        <v>0.28254577270412479</v>
      </c>
      <c r="O1571" s="149">
        <f t="shared" ref="O1571" si="9339">O1570/O1546</f>
        <v>0.26742398862262251</v>
      </c>
      <c r="P1571" s="149">
        <f t="shared" ref="P1571" si="9340">P1570/P1546</f>
        <v>0.27695613113609091</v>
      </c>
      <c r="Q1571" s="149">
        <f t="shared" ref="Q1571" si="9341">Q1570/Q1546</f>
        <v>0.43992297884481046</v>
      </c>
      <c r="R1571" s="149">
        <f t="shared" ref="R1571" si="9342">R1570/R1546</f>
        <v>0.54130074590071275</v>
      </c>
      <c r="S1571" s="148">
        <f t="shared" ref="S1571" si="9343">S1570/S1546</f>
        <v>0.43455523971547833</v>
      </c>
      <c r="T1571" s="149">
        <f t="shared" ref="T1571" si="9344">T1570/T1546</f>
        <v>0.43721468237070904</v>
      </c>
      <c r="U1571" s="149">
        <f t="shared" ref="U1571" si="9345">U1570/U1546</f>
        <v>0.24659417325513591</v>
      </c>
      <c r="V1571" s="149">
        <f t="shared" ref="V1571" si="9346">V1570/V1546</f>
        <v>0.23440756873911767</v>
      </c>
      <c r="W1571" s="149">
        <f t="shared" ref="W1571" si="9347">W1570/W1546</f>
        <v>2.4801057008765427E-2</v>
      </c>
      <c r="X1571" s="149">
        <f t="shared" ref="X1571" si="9348">X1570/X1546</f>
        <v>0.20935603641380326</v>
      </c>
      <c r="Y1571" s="149">
        <f t="shared" ref="Y1571" si="9349">Y1570/Y1546</f>
        <v>0.21982228090583067</v>
      </c>
      <c r="Z1571" s="149">
        <f t="shared" ref="Z1571" si="9350">Z1570/Z1546</f>
        <v>0.39701704902228907</v>
      </c>
      <c r="AA1571" s="149">
        <f t="shared" ref="AA1571" si="9351">AA1570/AA1546</f>
        <v>0.39231046361724742</v>
      </c>
      <c r="AB1571" s="149">
        <f t="shared" ref="AB1571" si="9352">AB1570/AB1546</f>
        <v>0.39913075617866867</v>
      </c>
      <c r="AC1571" s="149">
        <f t="shared" ref="AC1571" si="9353">AC1570/AC1546</f>
        <v>0.49513300409662453</v>
      </c>
      <c r="AD1571" s="150">
        <f t="shared" ref="AD1571" si="9354">AD1570/AD1546</f>
        <v>0.35729820605933404</v>
      </c>
      <c r="AE1571" s="15"/>
      <c r="AF1571" s="96">
        <f t="shared" ref="AF1571" si="9355">AF1570/AF1546</f>
        <v>0.26122248701900236</v>
      </c>
      <c r="AG1571" s="97">
        <f t="shared" ref="AG1571" si="9356">AG1570/AG1546</f>
        <v>0.33370292935032769</v>
      </c>
    </row>
    <row r="1572" spans="2:33" ht="6" customHeight="1" x14ac:dyDescent="0.2">
      <c r="B1572" s="9">
        <f>G1534</f>
        <v>32</v>
      </c>
      <c r="C1572" s="9" t="str">
        <f t="shared" si="9088"/>
        <v xml:space="preserve">32 - </v>
      </c>
      <c r="D1572" s="9" t="s">
        <v>56</v>
      </c>
      <c r="G1572" s="11"/>
      <c r="S1572" s="11"/>
      <c r="AD1572" s="15"/>
      <c r="AE1572" s="15"/>
      <c r="AF1572" s="11"/>
      <c r="AG1572" s="15"/>
    </row>
    <row r="1573" spans="2:33" x14ac:dyDescent="0.2">
      <c r="B1573" s="9">
        <f>G1534</f>
        <v>32</v>
      </c>
      <c r="C1573" s="9" t="str">
        <f t="shared" si="9088"/>
        <v>32 - Memo:</v>
      </c>
      <c r="D1573" s="9" t="s">
        <v>56</v>
      </c>
      <c r="F1573" s="6" t="s">
        <v>13</v>
      </c>
      <c r="G1573" s="11"/>
      <c r="S1573" s="11"/>
      <c r="AD1573" s="15"/>
      <c r="AE1573" s="15"/>
      <c r="AF1573" s="11"/>
      <c r="AG1573" s="15"/>
    </row>
    <row r="1574" spans="2:33" s="24" customFormat="1" x14ac:dyDescent="0.2">
      <c r="B1574" s="9">
        <f>G1534</f>
        <v>32</v>
      </c>
      <c r="C1574" s="9" t="str">
        <f t="shared" si="9088"/>
        <v>32 - Collections</v>
      </c>
      <c r="D1574" s="9" t="s">
        <v>56</v>
      </c>
      <c r="E1574" s="49"/>
      <c r="F1574" s="24" t="s">
        <v>15</v>
      </c>
      <c r="G1574" s="169">
        <f>G1575*G1544</f>
        <v>305.57980092041777</v>
      </c>
      <c r="H1574" s="170">
        <f t="shared" ref="H1574" si="9357">H1575*H1544</f>
        <v>303.49179837985241</v>
      </c>
      <c r="I1574" s="170">
        <f t="shared" ref="I1574" si="9358">I1575*I1544</f>
        <v>364.73889022933292</v>
      </c>
      <c r="J1574" s="170">
        <f t="shared" ref="J1574" si="9359">J1575*J1544</f>
        <v>327.10072782296095</v>
      </c>
      <c r="K1574" s="170">
        <f t="shared" ref="K1574" si="9360">K1575*K1544</f>
        <v>262.22978650098702</v>
      </c>
      <c r="L1574" s="170">
        <f t="shared" ref="L1574" si="9361">L1575*L1544</f>
        <v>246.32741855838705</v>
      </c>
      <c r="M1574" s="170">
        <f t="shared" ref="M1574" si="9362">M1575*M1544</f>
        <v>212.30833481779572</v>
      </c>
      <c r="N1574" s="170">
        <f t="shared" ref="N1574" si="9363">N1575*N1544</f>
        <v>305.00035879792006</v>
      </c>
      <c r="O1574" s="170">
        <f t="shared" ref="O1574" si="9364">O1575*O1544</f>
        <v>289.47257005928753</v>
      </c>
      <c r="P1574" s="170">
        <f t="shared" ref="P1574" si="9365">P1575*P1544</f>
        <v>283.32258126575977</v>
      </c>
      <c r="Q1574" s="170">
        <f t="shared" ref="Q1574" si="9366">Q1575*Q1544</f>
        <v>334.03206767899684</v>
      </c>
      <c r="R1574" s="170">
        <f t="shared" ref="R1574" si="9367">R1575*R1544</f>
        <v>322.41101220861748</v>
      </c>
      <c r="S1574" s="169">
        <f t="shared" ref="S1574" si="9368">S1575*S1544</f>
        <v>427.96874749725038</v>
      </c>
      <c r="T1574" s="170">
        <f t="shared" ref="T1574" si="9369">T1575*T1544</f>
        <v>402.06514873518711</v>
      </c>
      <c r="U1574" s="170">
        <f t="shared" ref="U1574" si="9370">U1575*U1544</f>
        <v>338.00177282391417</v>
      </c>
      <c r="V1574" s="170">
        <f t="shared" ref="V1574" si="9371">V1575*V1544</f>
        <v>348.90152791807412</v>
      </c>
      <c r="W1574" s="170">
        <f t="shared" ref="W1574" si="9372">W1575*W1544</f>
        <v>289.14476108066975</v>
      </c>
      <c r="X1574" s="170">
        <f t="shared" ref="X1574" si="9373">X1575*X1544</f>
        <v>331.38158283620027</v>
      </c>
      <c r="Y1574" s="170">
        <f t="shared" ref="Y1574" si="9374">Y1575*Y1544</f>
        <v>336.95493951814314</v>
      </c>
      <c r="Z1574" s="170">
        <f t="shared" ref="Z1574" si="9375">Z1575*Z1544</f>
        <v>399.4035349113413</v>
      </c>
      <c r="AA1574" s="170">
        <f t="shared" ref="AA1574" si="9376">AA1575*AA1544</f>
        <v>392.21875757082228</v>
      </c>
      <c r="AB1574" s="170">
        <f t="shared" ref="AB1574" si="9377">AB1575*AB1544</f>
        <v>440.90582803227329</v>
      </c>
      <c r="AC1574" s="170">
        <f t="shared" ref="AC1574" si="9378">AC1575*AC1544</f>
        <v>420.34411890717951</v>
      </c>
      <c r="AD1574" s="171">
        <f t="shared" ref="AD1574" si="9379">AD1575*AD1544</f>
        <v>301.14883951620266</v>
      </c>
      <c r="AE1574" s="26"/>
      <c r="AF1574" s="68">
        <f>SUM(G1574:R1574)</f>
        <v>3556.0153472403158</v>
      </c>
      <c r="AG1574" s="99">
        <f>SUM(S1574:AD1574)</f>
        <v>4428.4395593472573</v>
      </c>
    </row>
    <row r="1575" spans="2:33" x14ac:dyDescent="0.2">
      <c r="B1575" s="9">
        <f>G1534</f>
        <v>32</v>
      </c>
      <c r="C1575" s="9" t="str">
        <f t="shared" si="9088"/>
        <v>32 - Collections as a % of Production</v>
      </c>
      <c r="D1575" s="9" t="s">
        <v>56</v>
      </c>
      <c r="F1575" s="16" t="s">
        <v>17</v>
      </c>
      <c r="G1575" s="140">
        <v>0.97319822472791573</v>
      </c>
      <c r="H1575" s="141">
        <v>0.96760248261589099</v>
      </c>
      <c r="I1575" s="141">
        <v>0.98709636801810785</v>
      </c>
      <c r="J1575" s="141">
        <v>0.99004090947522294</v>
      </c>
      <c r="K1575" s="141">
        <v>0.97722556895791568</v>
      </c>
      <c r="L1575" s="141">
        <v>0.99070844139346192</v>
      </c>
      <c r="M1575" s="141">
        <v>0.97132350744858753</v>
      </c>
      <c r="N1575" s="141">
        <v>0.97433373332039275</v>
      </c>
      <c r="O1575" s="141">
        <v>0.97564283047295219</v>
      </c>
      <c r="P1575" s="141">
        <v>0.96288242226392051</v>
      </c>
      <c r="Q1575" s="141">
        <v>0.98449993640002731</v>
      </c>
      <c r="R1575" s="141">
        <v>0.96263684837554298</v>
      </c>
      <c r="S1575" s="140">
        <v>0.99813835483741664</v>
      </c>
      <c r="T1575" s="141">
        <v>0.99560842761142276</v>
      </c>
      <c r="U1575" s="141">
        <v>0.96754216184842567</v>
      </c>
      <c r="V1575" s="141">
        <v>0.96163440634092967</v>
      </c>
      <c r="W1575" s="141">
        <v>0.96989866921263146</v>
      </c>
      <c r="X1575" s="141">
        <v>0.9943954506236965</v>
      </c>
      <c r="Y1575" s="141">
        <v>0.97262659361463211</v>
      </c>
      <c r="Z1575" s="141">
        <v>0.99577513516305338</v>
      </c>
      <c r="AA1575" s="141">
        <v>0.98140452921377619</v>
      </c>
      <c r="AB1575" s="141">
        <v>0.96881817669623493</v>
      </c>
      <c r="AC1575" s="141">
        <v>0.9914046888007858</v>
      </c>
      <c r="AD1575" s="142">
        <v>0.96607157257807486</v>
      </c>
      <c r="AE1575" s="15"/>
      <c r="AF1575" s="96">
        <f t="shared" ref="AF1575" si="9380">AF1574/AF1544</f>
        <v>0.97657953323898838</v>
      </c>
      <c r="AG1575" s="97">
        <f t="shared" ref="AG1575" si="9381">AG1574/AG1544</f>
        <v>0.98101678634135814</v>
      </c>
    </row>
    <row r="1576" spans="2:33" ht="6" customHeight="1" x14ac:dyDescent="0.2">
      <c r="B1576" s="9">
        <f>G1534</f>
        <v>32</v>
      </c>
      <c r="C1576" s="9" t="str">
        <f t="shared" si="9088"/>
        <v xml:space="preserve">32 - </v>
      </c>
      <c r="D1576" s="9" t="s">
        <v>56</v>
      </c>
      <c r="F1576" s="27"/>
      <c r="R1576" s="15"/>
      <c r="AD1576" s="15"/>
      <c r="AE1576" s="15"/>
      <c r="AF1576" s="11"/>
      <c r="AG1576" s="15"/>
    </row>
    <row r="1577" spans="2:33" s="24" customFormat="1" x14ac:dyDescent="0.2">
      <c r="B1577" s="9">
        <f>G1534</f>
        <v>32</v>
      </c>
      <c r="C1577" s="9" t="str">
        <f t="shared" si="9088"/>
        <v>32 - Production per Vet Workday - YoY Change</v>
      </c>
      <c r="D1577" s="9" t="s">
        <v>56</v>
      </c>
      <c r="E1577" s="49"/>
      <c r="F1577" s="24" t="s">
        <v>55</v>
      </c>
      <c r="G1577" s="88"/>
      <c r="H1577" s="89"/>
      <c r="I1577" s="89"/>
      <c r="J1577" s="89"/>
      <c r="K1577" s="89"/>
      <c r="L1577" s="89"/>
      <c r="M1577" s="89"/>
      <c r="N1577" s="89"/>
      <c r="O1577" s="89"/>
      <c r="P1577" s="89"/>
      <c r="Q1577" s="89"/>
      <c r="R1577" s="89"/>
      <c r="S1577" s="151">
        <f>S1543/G1543-1</f>
        <v>-2.0388028008668679E-2</v>
      </c>
      <c r="T1577" s="152">
        <f t="shared" ref="T1577" si="9382">T1543/H1543-1</f>
        <v>-7.8244457233325515E-2</v>
      </c>
      <c r="U1577" s="152">
        <f t="shared" ref="U1577" si="9383">U1543/I1543-1</f>
        <v>3.137148877904683E-2</v>
      </c>
      <c r="V1577" s="152">
        <f t="shared" ref="V1577" si="9384">V1543/J1543-1</f>
        <v>4.824095011421492E-2</v>
      </c>
      <c r="W1577" s="152">
        <f t="shared" ref="W1577" si="9385">W1543/K1543-1</f>
        <v>6.4678193577814458E-2</v>
      </c>
      <c r="X1577" s="152">
        <f t="shared" ref="X1577" si="9386">X1543/L1543-1</f>
        <v>-2.1367511394138949E-2</v>
      </c>
      <c r="Y1577" s="152">
        <f t="shared" ref="Y1577" si="9387">Y1543/M1543-1</f>
        <v>1.0708989412677727E-2</v>
      </c>
      <c r="Z1577" s="152">
        <f t="shared" ref="Z1577" si="9388">Z1543/N1543-1</f>
        <v>2.7731212575752284E-3</v>
      </c>
      <c r="AA1577" s="152">
        <f t="shared" ref="AA1577" si="9389">AA1543/O1543-1</f>
        <v>5.8347752019044075E-2</v>
      </c>
      <c r="AB1577" s="152">
        <f t="shared" ref="AB1577" si="9390">AB1543/P1543-1</f>
        <v>6.3330650037940694E-2</v>
      </c>
      <c r="AC1577" s="152">
        <f t="shared" ref="AC1577" si="9391">AC1543/Q1543-1</f>
        <v>4.5145318843206494E-2</v>
      </c>
      <c r="AD1577" s="153">
        <f t="shared" ref="AD1577" si="9392">AD1543/R1543-1</f>
        <v>0.16341462495230386</v>
      </c>
      <c r="AF1577" s="43"/>
      <c r="AG1577" s="104">
        <f>AG1543/AF1543-1</f>
        <v>2.724631199101446E-2</v>
      </c>
    </row>
    <row r="1578" spans="2:33" s="24" customFormat="1" ht="6" customHeight="1" x14ac:dyDescent="0.2">
      <c r="E1578" s="49"/>
      <c r="G1578" s="28"/>
      <c r="H1578" s="30"/>
      <c r="I1578" s="30"/>
      <c r="J1578" s="30"/>
      <c r="K1578" s="30"/>
      <c r="L1578" s="30"/>
      <c r="M1578" s="30"/>
      <c r="N1578" s="30"/>
      <c r="O1578" s="30"/>
      <c r="P1578" s="30"/>
      <c r="Q1578" s="30"/>
      <c r="R1578" s="29"/>
      <c r="S1578" s="30"/>
      <c r="T1578" s="30"/>
      <c r="U1578" s="30"/>
      <c r="V1578" s="30"/>
      <c r="W1578" s="30"/>
      <c r="X1578" s="30"/>
      <c r="Y1578" s="30"/>
      <c r="Z1578" s="30"/>
      <c r="AA1578" s="30"/>
      <c r="AB1578" s="30"/>
      <c r="AC1578" s="30"/>
      <c r="AD1578" s="29"/>
      <c r="AE1578" s="25"/>
      <c r="AF1578" s="28"/>
      <c r="AG1578" s="29"/>
    </row>
    <row r="1579" spans="2:33" s="24" customFormat="1" ht="6" customHeight="1" x14ac:dyDescent="0.2">
      <c r="E1579" s="49"/>
    </row>
    <row r="1580" spans="2:33" x14ac:dyDescent="0.2">
      <c r="F1580" s="16"/>
    </row>
  </sheetData>
  <pageMargins left="0.25" right="0.25" top="0.25" bottom="0.25" header="0.3" footer="0.3"/>
  <pageSetup scale="29" fitToHeight="32" orientation="landscape" r:id="rId1"/>
  <rowBreaks count="12" manualBreakCount="12">
    <brk id="151" min="4" max="33" man="1"/>
    <brk id="201" min="4" max="33" man="1"/>
    <brk id="351" min="4" max="33" man="1"/>
    <brk id="451" min="4" max="33" man="1"/>
    <brk id="600" min="4" max="33" man="1"/>
    <brk id="747" min="4" max="33" man="1"/>
    <brk id="796" min="4" max="33" man="1"/>
    <brk id="943" min="4" max="33" man="1"/>
    <brk id="992" min="4" max="33" man="1"/>
    <brk id="1139" min="4" max="33" man="1"/>
    <brk id="1286" min="4" max="33" man="1"/>
    <brk id="1433" min="4" max="3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BE9B-DC56-4BA8-A716-86EB2B060514}">
  <sheetPr>
    <tabColor theme="0"/>
    <pageSetUpPr fitToPage="1"/>
  </sheetPr>
  <dimension ref="A2:N61"/>
  <sheetViews>
    <sheetView showGridLines="0" view="pageBreakPreview" zoomScaleNormal="100" zoomScaleSheetLayoutView="100" workbookViewId="0">
      <selection activeCell="E12" sqref="E12"/>
    </sheetView>
  </sheetViews>
  <sheetFormatPr defaultRowHeight="12.75" x14ac:dyDescent="0.2"/>
  <cols>
    <col min="1" max="1" width="3.7109375" customWidth="1"/>
    <col min="2" max="2" width="2.7109375" customWidth="1"/>
    <col min="3" max="3" width="20.7109375" customWidth="1"/>
    <col min="4" max="4" width="29.42578125" bestFit="1" customWidth="1"/>
    <col min="5" max="11" width="14.7109375" customWidth="1"/>
    <col min="12" max="12" width="2.7109375" customWidth="1"/>
    <col min="13" max="13" width="16.7109375" customWidth="1"/>
    <col min="14" max="14" width="2.7109375" customWidth="1"/>
  </cols>
  <sheetData>
    <row r="2" spans="1:14" ht="13.5" thickBot="1" x14ac:dyDescent="0.25">
      <c r="B2" s="48" t="s">
        <v>0</v>
      </c>
      <c r="C2" s="1"/>
      <c r="D2" s="1"/>
      <c r="E2" s="3"/>
      <c r="F2" s="3"/>
      <c r="G2" s="1"/>
      <c r="H2" s="1"/>
      <c r="I2" s="1"/>
      <c r="J2" s="1"/>
      <c r="K2" s="1"/>
      <c r="L2" s="1"/>
      <c r="M2" s="3">
        <f ca="1">TODAY()</f>
        <v>45999</v>
      </c>
      <c r="N2" s="1"/>
    </row>
    <row r="3" spans="1:14" x14ac:dyDescent="0.2">
      <c r="A3" s="9"/>
      <c r="B3" s="47"/>
      <c r="C3" t="s">
        <v>139</v>
      </c>
      <c r="E3" s="6"/>
      <c r="F3" s="6"/>
      <c r="M3" s="53" t="s">
        <v>16</v>
      </c>
    </row>
    <row r="5" spans="1:14" ht="45" x14ac:dyDescent="0.35">
      <c r="C5" s="59" t="s">
        <v>57</v>
      </c>
      <c r="D5" s="59" t="s">
        <v>58</v>
      </c>
      <c r="E5" s="59" t="s">
        <v>59</v>
      </c>
      <c r="F5" s="59" t="s">
        <v>60</v>
      </c>
      <c r="G5" s="59" t="s">
        <v>140</v>
      </c>
      <c r="H5" s="59" t="s">
        <v>61</v>
      </c>
      <c r="I5" s="58" t="s">
        <v>62</v>
      </c>
      <c r="J5" s="59" t="s">
        <v>63</v>
      </c>
      <c r="K5" s="58" t="s">
        <v>64</v>
      </c>
      <c r="L5" s="24"/>
      <c r="M5" s="60" t="s">
        <v>136</v>
      </c>
    </row>
    <row r="6" spans="1:14" x14ac:dyDescent="0.2">
      <c r="C6" t="s">
        <v>137</v>
      </c>
      <c r="D6" t="s">
        <v>66</v>
      </c>
      <c r="E6" s="66">
        <v>40848</v>
      </c>
      <c r="F6" s="63" t="s">
        <v>141</v>
      </c>
      <c r="G6" s="67">
        <v>350000</v>
      </c>
      <c r="H6" s="67">
        <v>150000</v>
      </c>
      <c r="I6" s="68">
        <f>SUM(G6:H6)</f>
        <v>500000</v>
      </c>
      <c r="J6" s="67">
        <v>90000</v>
      </c>
      <c r="K6" s="68">
        <f>SUM(I6:J6)</f>
        <v>590000</v>
      </c>
      <c r="M6" s="69">
        <f>J6/I6</f>
        <v>0.18</v>
      </c>
    </row>
    <row r="7" spans="1:14" x14ac:dyDescent="0.2">
      <c r="C7" t="s">
        <v>67</v>
      </c>
      <c r="D7" t="s">
        <v>68</v>
      </c>
      <c r="E7" s="66">
        <v>41718</v>
      </c>
      <c r="F7" s="63" t="s">
        <v>141</v>
      </c>
      <c r="G7" s="70">
        <v>250000</v>
      </c>
      <c r="H7" s="70">
        <v>100000</v>
      </c>
      <c r="I7" s="74">
        <f t="shared" ref="I7:I50" si="0">SUM(G7:H7)</f>
        <v>350000</v>
      </c>
      <c r="J7" s="70">
        <v>75000</v>
      </c>
      <c r="K7" s="74">
        <f t="shared" ref="K7:K61" si="1">SUM(I7:J7)</f>
        <v>425000</v>
      </c>
      <c r="M7" s="69">
        <f t="shared" ref="M7:M50" si="2">J7/I7</f>
        <v>0.21428571428571427</v>
      </c>
    </row>
    <row r="8" spans="1:14" x14ac:dyDescent="0.2">
      <c r="C8" t="s">
        <v>69</v>
      </c>
      <c r="D8" t="s">
        <v>70</v>
      </c>
      <c r="E8" s="66">
        <v>39601</v>
      </c>
      <c r="F8" s="63" t="s">
        <v>141</v>
      </c>
      <c r="G8" s="70">
        <v>250000</v>
      </c>
      <c r="H8" s="70">
        <v>100000</v>
      </c>
      <c r="I8" s="74">
        <f t="shared" si="0"/>
        <v>350000</v>
      </c>
      <c r="J8" s="70">
        <v>75000</v>
      </c>
      <c r="K8" s="74">
        <f t="shared" si="1"/>
        <v>425000</v>
      </c>
      <c r="M8" s="69">
        <f t="shared" si="2"/>
        <v>0.21428571428571427</v>
      </c>
    </row>
    <row r="9" spans="1:14" x14ac:dyDescent="0.2">
      <c r="C9" t="s">
        <v>71</v>
      </c>
      <c r="D9" t="s">
        <v>72</v>
      </c>
      <c r="E9" s="66">
        <v>44453</v>
      </c>
      <c r="F9" s="63" t="s">
        <v>141</v>
      </c>
      <c r="G9" s="70">
        <v>240000</v>
      </c>
      <c r="H9" s="70">
        <v>84000</v>
      </c>
      <c r="I9" s="74">
        <f t="shared" si="0"/>
        <v>324000</v>
      </c>
      <c r="J9" s="70">
        <v>72000</v>
      </c>
      <c r="K9" s="74">
        <f t="shared" si="1"/>
        <v>396000</v>
      </c>
      <c r="M9" s="69">
        <f t="shared" si="2"/>
        <v>0.22222222222222221</v>
      </c>
    </row>
    <row r="10" spans="1:14" x14ac:dyDescent="0.2">
      <c r="C10" t="s">
        <v>145</v>
      </c>
      <c r="D10" t="s">
        <v>74</v>
      </c>
      <c r="E10" s="66">
        <v>39783</v>
      </c>
      <c r="F10" s="63" t="s">
        <v>141</v>
      </c>
      <c r="G10" s="70">
        <v>200000</v>
      </c>
      <c r="H10" s="70">
        <v>60000</v>
      </c>
      <c r="I10" s="74">
        <f t="shared" si="0"/>
        <v>260000</v>
      </c>
      <c r="J10" s="70">
        <v>60000</v>
      </c>
      <c r="K10" s="74">
        <f t="shared" si="1"/>
        <v>320000</v>
      </c>
      <c r="M10" s="69">
        <f t="shared" si="2"/>
        <v>0.23076923076923078</v>
      </c>
    </row>
    <row r="11" spans="1:14" x14ac:dyDescent="0.2">
      <c r="C11" t="s">
        <v>146</v>
      </c>
      <c r="D11" t="s">
        <v>76</v>
      </c>
      <c r="E11" s="66">
        <v>42573</v>
      </c>
      <c r="F11" s="63" t="s">
        <v>141</v>
      </c>
      <c r="G11" s="70">
        <v>200000</v>
      </c>
      <c r="H11" s="70">
        <v>60000</v>
      </c>
      <c r="I11" s="74">
        <f t="shared" si="0"/>
        <v>260000</v>
      </c>
      <c r="J11" s="70">
        <v>60000</v>
      </c>
      <c r="K11" s="74">
        <f t="shared" si="1"/>
        <v>320000</v>
      </c>
      <c r="M11" s="69">
        <f t="shared" si="2"/>
        <v>0.23076923076923078</v>
      </c>
    </row>
    <row r="12" spans="1:14" x14ac:dyDescent="0.2">
      <c r="C12" t="s">
        <v>77</v>
      </c>
      <c r="D12" t="s">
        <v>78</v>
      </c>
      <c r="E12" s="66">
        <v>38481</v>
      </c>
      <c r="F12" s="63" t="s">
        <v>141</v>
      </c>
      <c r="G12" s="70">
        <v>180000</v>
      </c>
      <c r="H12" s="70">
        <v>45000</v>
      </c>
      <c r="I12" s="74">
        <f t="shared" si="0"/>
        <v>225000</v>
      </c>
      <c r="J12" s="70">
        <v>54000</v>
      </c>
      <c r="K12" s="74">
        <f t="shared" si="1"/>
        <v>279000</v>
      </c>
      <c r="M12" s="69">
        <f t="shared" si="2"/>
        <v>0.24</v>
      </c>
    </row>
    <row r="13" spans="1:14" x14ac:dyDescent="0.2">
      <c r="C13" t="s">
        <v>79</v>
      </c>
      <c r="D13" t="s">
        <v>80</v>
      </c>
      <c r="E13" s="66">
        <v>38427</v>
      </c>
      <c r="F13" s="63" t="s">
        <v>141</v>
      </c>
      <c r="G13" s="70">
        <v>160000</v>
      </c>
      <c r="H13" s="70">
        <v>32000</v>
      </c>
      <c r="I13" s="74">
        <f t="shared" si="0"/>
        <v>192000</v>
      </c>
      <c r="J13" s="70">
        <v>48000</v>
      </c>
      <c r="K13" s="74">
        <f t="shared" si="1"/>
        <v>240000</v>
      </c>
      <c r="M13" s="69">
        <f t="shared" si="2"/>
        <v>0.25</v>
      </c>
    </row>
    <row r="14" spans="1:14" x14ac:dyDescent="0.2">
      <c r="C14" t="s">
        <v>147</v>
      </c>
      <c r="D14" t="s">
        <v>82</v>
      </c>
      <c r="E14" s="66">
        <v>42696</v>
      </c>
      <c r="F14" s="63" t="s">
        <v>141</v>
      </c>
      <c r="G14" s="70">
        <v>160000</v>
      </c>
      <c r="H14" s="70">
        <v>32000</v>
      </c>
      <c r="I14" s="74">
        <f t="shared" si="0"/>
        <v>192000</v>
      </c>
      <c r="J14" s="70">
        <v>48000</v>
      </c>
      <c r="K14" s="74">
        <f t="shared" si="1"/>
        <v>240000</v>
      </c>
      <c r="M14" s="69">
        <f t="shared" si="2"/>
        <v>0.25</v>
      </c>
    </row>
    <row r="15" spans="1:14" x14ac:dyDescent="0.2">
      <c r="C15" t="s">
        <v>83</v>
      </c>
      <c r="D15" t="s">
        <v>84</v>
      </c>
      <c r="E15" s="66">
        <v>45248</v>
      </c>
      <c r="F15" s="63" t="s">
        <v>141</v>
      </c>
      <c r="G15" s="70">
        <v>150000</v>
      </c>
      <c r="H15" s="70">
        <v>22500</v>
      </c>
      <c r="I15" s="74">
        <f t="shared" si="0"/>
        <v>172500</v>
      </c>
      <c r="J15" s="70">
        <v>45000</v>
      </c>
      <c r="K15" s="74">
        <f t="shared" si="1"/>
        <v>217500</v>
      </c>
      <c r="M15" s="69">
        <f t="shared" si="2"/>
        <v>0.2608695652173913</v>
      </c>
    </row>
    <row r="16" spans="1:14" x14ac:dyDescent="0.2">
      <c r="C16" t="s">
        <v>85</v>
      </c>
      <c r="D16" t="s">
        <v>86</v>
      </c>
      <c r="E16" s="66">
        <v>42458</v>
      </c>
      <c r="F16" s="63" t="s">
        <v>141</v>
      </c>
      <c r="G16" s="70">
        <v>120000</v>
      </c>
      <c r="H16" s="70">
        <v>12000</v>
      </c>
      <c r="I16" s="74">
        <f t="shared" si="0"/>
        <v>132000</v>
      </c>
      <c r="J16" s="70">
        <v>36000</v>
      </c>
      <c r="K16" s="74">
        <f t="shared" si="1"/>
        <v>168000</v>
      </c>
      <c r="M16" s="69">
        <f t="shared" si="2"/>
        <v>0.27272727272727271</v>
      </c>
    </row>
    <row r="17" spans="3:13" x14ac:dyDescent="0.2">
      <c r="C17" t="s">
        <v>87</v>
      </c>
      <c r="D17" t="s">
        <v>88</v>
      </c>
      <c r="E17" s="66">
        <v>41921</v>
      </c>
      <c r="F17" s="63" t="s">
        <v>141</v>
      </c>
      <c r="G17" s="70">
        <v>130000</v>
      </c>
      <c r="H17" s="70">
        <v>13000</v>
      </c>
      <c r="I17" s="74">
        <f t="shared" si="0"/>
        <v>143000</v>
      </c>
      <c r="J17" s="70">
        <v>39000</v>
      </c>
      <c r="K17" s="74">
        <f t="shared" si="1"/>
        <v>182000</v>
      </c>
      <c r="M17" s="69">
        <f t="shared" si="2"/>
        <v>0.27272727272727271</v>
      </c>
    </row>
    <row r="18" spans="3:13" x14ac:dyDescent="0.2">
      <c r="C18" t="s">
        <v>89</v>
      </c>
      <c r="D18" t="s">
        <v>90</v>
      </c>
      <c r="E18" s="66">
        <v>40143</v>
      </c>
      <c r="F18" s="63" t="s">
        <v>141</v>
      </c>
      <c r="G18" s="70">
        <v>130000</v>
      </c>
      <c r="H18" s="70">
        <v>13000</v>
      </c>
      <c r="I18" s="74">
        <f t="shared" si="0"/>
        <v>143000</v>
      </c>
      <c r="J18" s="70">
        <v>39000</v>
      </c>
      <c r="K18" s="74">
        <f t="shared" si="1"/>
        <v>182000</v>
      </c>
      <c r="M18" s="69">
        <f t="shared" si="2"/>
        <v>0.27272727272727271</v>
      </c>
    </row>
    <row r="19" spans="3:13" x14ac:dyDescent="0.2">
      <c r="C19" t="s">
        <v>81</v>
      </c>
      <c r="D19" t="s">
        <v>91</v>
      </c>
      <c r="E19" s="66">
        <v>40811</v>
      </c>
      <c r="F19" s="63" t="s">
        <v>141</v>
      </c>
      <c r="G19" s="70">
        <v>110000</v>
      </c>
      <c r="H19" s="70">
        <v>11000</v>
      </c>
      <c r="I19" s="74">
        <f t="shared" si="0"/>
        <v>121000</v>
      </c>
      <c r="J19" s="70">
        <v>33000</v>
      </c>
      <c r="K19" s="74">
        <f t="shared" si="1"/>
        <v>154000</v>
      </c>
      <c r="M19" s="69">
        <f t="shared" si="2"/>
        <v>0.27272727272727271</v>
      </c>
    </row>
    <row r="20" spans="3:13" x14ac:dyDescent="0.2">
      <c r="C20" t="s">
        <v>92</v>
      </c>
      <c r="D20" t="s">
        <v>93</v>
      </c>
      <c r="E20" s="66">
        <v>43400</v>
      </c>
      <c r="F20" s="63" t="s">
        <v>141</v>
      </c>
      <c r="G20" s="70">
        <v>120000</v>
      </c>
      <c r="H20" s="70">
        <v>12000</v>
      </c>
      <c r="I20" s="74">
        <f t="shared" si="0"/>
        <v>132000</v>
      </c>
      <c r="J20" s="70">
        <v>36000</v>
      </c>
      <c r="K20" s="74">
        <f t="shared" si="1"/>
        <v>168000</v>
      </c>
      <c r="M20" s="69">
        <f t="shared" si="2"/>
        <v>0.27272727272727271</v>
      </c>
    </row>
    <row r="21" spans="3:13" x14ac:dyDescent="0.2">
      <c r="C21" t="s">
        <v>94</v>
      </c>
      <c r="D21" t="s">
        <v>95</v>
      </c>
      <c r="E21" s="66">
        <v>40031</v>
      </c>
      <c r="F21" s="63" t="s">
        <v>141</v>
      </c>
      <c r="G21" s="70">
        <v>140000</v>
      </c>
      <c r="H21" s="70">
        <v>14000</v>
      </c>
      <c r="I21" s="74">
        <f t="shared" si="0"/>
        <v>154000</v>
      </c>
      <c r="J21" s="70">
        <v>42000</v>
      </c>
      <c r="K21" s="74">
        <f t="shared" si="1"/>
        <v>196000</v>
      </c>
      <c r="M21" s="69">
        <f t="shared" si="2"/>
        <v>0.27272727272727271</v>
      </c>
    </row>
    <row r="22" spans="3:13" x14ac:dyDescent="0.2">
      <c r="C22" t="s">
        <v>96</v>
      </c>
      <c r="D22" t="s">
        <v>97</v>
      </c>
      <c r="E22" s="66">
        <v>44978</v>
      </c>
      <c r="F22" s="63" t="s">
        <v>141</v>
      </c>
      <c r="G22" s="70">
        <v>100000</v>
      </c>
      <c r="H22" s="70">
        <v>10000</v>
      </c>
      <c r="I22" s="74">
        <f t="shared" si="0"/>
        <v>110000</v>
      </c>
      <c r="J22" s="70">
        <v>30000</v>
      </c>
      <c r="K22" s="74">
        <f t="shared" si="1"/>
        <v>140000</v>
      </c>
      <c r="M22" s="69">
        <f t="shared" si="2"/>
        <v>0.27272727272727271</v>
      </c>
    </row>
    <row r="23" spans="3:13" x14ac:dyDescent="0.2">
      <c r="C23" t="s">
        <v>98</v>
      </c>
      <c r="D23" t="s">
        <v>99</v>
      </c>
      <c r="E23" s="66">
        <v>41398</v>
      </c>
      <c r="F23" s="63" t="s">
        <v>141</v>
      </c>
      <c r="G23" s="70">
        <v>80000</v>
      </c>
      <c r="H23" s="70">
        <v>4000</v>
      </c>
      <c r="I23" s="74">
        <f t="shared" si="0"/>
        <v>84000</v>
      </c>
      <c r="J23" s="70">
        <v>24000</v>
      </c>
      <c r="K23" s="74">
        <f t="shared" si="1"/>
        <v>108000</v>
      </c>
      <c r="M23" s="69">
        <f t="shared" si="2"/>
        <v>0.2857142857142857</v>
      </c>
    </row>
    <row r="24" spans="3:13" x14ac:dyDescent="0.2">
      <c r="C24" t="s">
        <v>100</v>
      </c>
      <c r="D24" t="s">
        <v>101</v>
      </c>
      <c r="E24" s="66">
        <v>40362</v>
      </c>
      <c r="F24" s="63" t="s">
        <v>141</v>
      </c>
      <c r="G24" s="70">
        <v>75000</v>
      </c>
      <c r="H24" s="70">
        <v>3750</v>
      </c>
      <c r="I24" s="74">
        <f t="shared" si="0"/>
        <v>78750</v>
      </c>
      <c r="J24" s="70">
        <v>22500</v>
      </c>
      <c r="K24" s="74">
        <f t="shared" si="1"/>
        <v>101250</v>
      </c>
      <c r="M24" s="69">
        <f t="shared" si="2"/>
        <v>0.2857142857142857</v>
      </c>
    </row>
    <row r="25" spans="3:13" x14ac:dyDescent="0.2">
      <c r="C25" t="s">
        <v>102</v>
      </c>
      <c r="D25" t="s">
        <v>103</v>
      </c>
      <c r="E25" s="66">
        <v>45063</v>
      </c>
      <c r="F25" s="63" t="s">
        <v>141</v>
      </c>
      <c r="G25" s="70">
        <v>85000</v>
      </c>
      <c r="H25" s="70">
        <v>4250</v>
      </c>
      <c r="I25" s="74">
        <f t="shared" si="0"/>
        <v>89250</v>
      </c>
      <c r="J25" s="70">
        <v>25500</v>
      </c>
      <c r="K25" s="74">
        <f t="shared" si="1"/>
        <v>114750</v>
      </c>
      <c r="M25" s="69">
        <f t="shared" si="2"/>
        <v>0.2857142857142857</v>
      </c>
    </row>
    <row r="26" spans="3:13" x14ac:dyDescent="0.2">
      <c r="C26" t="s">
        <v>104</v>
      </c>
      <c r="D26" t="s">
        <v>105</v>
      </c>
      <c r="E26" s="66">
        <v>44169</v>
      </c>
      <c r="F26" s="63" t="s">
        <v>141</v>
      </c>
      <c r="G26" s="70">
        <v>60000</v>
      </c>
      <c r="H26" s="70">
        <v>3000</v>
      </c>
      <c r="I26" s="74">
        <f t="shared" si="0"/>
        <v>63000</v>
      </c>
      <c r="J26" s="70">
        <v>18000</v>
      </c>
      <c r="K26" s="74">
        <f t="shared" si="1"/>
        <v>81000</v>
      </c>
      <c r="M26" s="69">
        <f t="shared" si="2"/>
        <v>0.2857142857142857</v>
      </c>
    </row>
    <row r="27" spans="3:13" x14ac:dyDescent="0.2">
      <c r="C27" t="s">
        <v>148</v>
      </c>
      <c r="D27" t="s">
        <v>107</v>
      </c>
      <c r="E27" s="66">
        <v>45017</v>
      </c>
      <c r="F27" s="63" t="s">
        <v>141</v>
      </c>
      <c r="G27" s="70">
        <v>70000</v>
      </c>
      <c r="H27" s="70">
        <v>3500</v>
      </c>
      <c r="I27" s="74">
        <f t="shared" si="0"/>
        <v>73500</v>
      </c>
      <c r="J27" s="70">
        <v>21000</v>
      </c>
      <c r="K27" s="74">
        <f t="shared" si="1"/>
        <v>94500</v>
      </c>
      <c r="M27" s="69">
        <f t="shared" si="2"/>
        <v>0.2857142857142857</v>
      </c>
    </row>
    <row r="28" spans="3:13" x14ac:dyDescent="0.2">
      <c r="C28" t="s">
        <v>108</v>
      </c>
      <c r="D28" t="s">
        <v>109</v>
      </c>
      <c r="E28" s="66">
        <v>40157</v>
      </c>
      <c r="F28" s="63" t="s">
        <v>141</v>
      </c>
      <c r="G28" s="70">
        <v>75000</v>
      </c>
      <c r="H28" s="70">
        <v>3750</v>
      </c>
      <c r="I28" s="74">
        <f t="shared" si="0"/>
        <v>78750</v>
      </c>
      <c r="J28" s="70">
        <v>22500</v>
      </c>
      <c r="K28" s="74">
        <f t="shared" si="1"/>
        <v>101250</v>
      </c>
      <c r="M28" s="69">
        <f t="shared" si="2"/>
        <v>0.2857142857142857</v>
      </c>
    </row>
    <row r="29" spans="3:13" x14ac:dyDescent="0.2">
      <c r="C29" t="s">
        <v>73</v>
      </c>
      <c r="D29" t="s">
        <v>110</v>
      </c>
      <c r="E29" s="66">
        <v>45335</v>
      </c>
      <c r="F29" s="63" t="s">
        <v>141</v>
      </c>
      <c r="G29" s="70">
        <v>85000</v>
      </c>
      <c r="H29" s="70">
        <v>4250</v>
      </c>
      <c r="I29" s="74">
        <f t="shared" si="0"/>
        <v>89250</v>
      </c>
      <c r="J29" s="70">
        <v>25500</v>
      </c>
      <c r="K29" s="74">
        <f t="shared" si="1"/>
        <v>114750</v>
      </c>
      <c r="M29" s="69">
        <f t="shared" si="2"/>
        <v>0.2857142857142857</v>
      </c>
    </row>
    <row r="30" spans="3:13" x14ac:dyDescent="0.2">
      <c r="C30" t="s">
        <v>111</v>
      </c>
      <c r="D30" t="s">
        <v>112</v>
      </c>
      <c r="E30" s="66">
        <v>44694</v>
      </c>
      <c r="F30" s="63" t="s">
        <v>141</v>
      </c>
      <c r="G30" s="70">
        <v>95000</v>
      </c>
      <c r="H30" s="70">
        <v>4750</v>
      </c>
      <c r="I30" s="74">
        <f t="shared" si="0"/>
        <v>99750</v>
      </c>
      <c r="J30" s="70">
        <v>28500</v>
      </c>
      <c r="K30" s="74">
        <f t="shared" si="1"/>
        <v>128250</v>
      </c>
      <c r="M30" s="69">
        <f t="shared" si="2"/>
        <v>0.2857142857142857</v>
      </c>
    </row>
    <row r="31" spans="3:13" x14ac:dyDescent="0.2">
      <c r="C31" t="s">
        <v>149</v>
      </c>
      <c r="D31" t="s">
        <v>110</v>
      </c>
      <c r="E31" s="66">
        <v>45368</v>
      </c>
      <c r="F31" s="63" t="s">
        <v>141</v>
      </c>
      <c r="G31" s="70">
        <v>85000</v>
      </c>
      <c r="H31" s="70">
        <v>4250</v>
      </c>
      <c r="I31" s="74">
        <f t="shared" si="0"/>
        <v>89250</v>
      </c>
      <c r="J31" s="70">
        <v>25500</v>
      </c>
      <c r="K31" s="74">
        <f t="shared" si="1"/>
        <v>114750</v>
      </c>
      <c r="M31" s="69">
        <f t="shared" si="2"/>
        <v>0.2857142857142857</v>
      </c>
    </row>
    <row r="32" spans="3:13" x14ac:dyDescent="0.2">
      <c r="C32" t="s">
        <v>150</v>
      </c>
      <c r="D32" t="s">
        <v>95</v>
      </c>
      <c r="E32" s="66">
        <v>40489</v>
      </c>
      <c r="F32" s="63" t="s">
        <v>141</v>
      </c>
      <c r="G32" s="70">
        <v>140000</v>
      </c>
      <c r="H32" s="70">
        <v>14000</v>
      </c>
      <c r="I32" s="74">
        <f t="shared" si="0"/>
        <v>154000</v>
      </c>
      <c r="J32" s="70">
        <v>42000</v>
      </c>
      <c r="K32" s="74">
        <f t="shared" si="1"/>
        <v>196000</v>
      </c>
      <c r="M32" s="69">
        <f t="shared" si="2"/>
        <v>0.27272727272727271</v>
      </c>
    </row>
    <row r="33" spans="3:13" x14ac:dyDescent="0.2">
      <c r="C33" t="s">
        <v>115</v>
      </c>
      <c r="D33" t="s">
        <v>112</v>
      </c>
      <c r="E33" s="66">
        <v>45236</v>
      </c>
      <c r="F33" s="63" t="s">
        <v>141</v>
      </c>
      <c r="G33" s="70">
        <v>95000</v>
      </c>
      <c r="H33" s="70">
        <v>4750</v>
      </c>
      <c r="I33" s="74">
        <f t="shared" si="0"/>
        <v>99750</v>
      </c>
      <c r="J33" s="70">
        <v>28500</v>
      </c>
      <c r="K33" s="74">
        <f t="shared" si="1"/>
        <v>128250</v>
      </c>
      <c r="M33" s="69">
        <f t="shared" si="2"/>
        <v>0.2857142857142857</v>
      </c>
    </row>
    <row r="34" spans="3:13" x14ac:dyDescent="0.2">
      <c r="C34" t="s">
        <v>116</v>
      </c>
      <c r="D34" t="s">
        <v>110</v>
      </c>
      <c r="E34" s="66">
        <v>40015</v>
      </c>
      <c r="F34" s="63" t="s">
        <v>141</v>
      </c>
      <c r="G34" s="70">
        <v>85000</v>
      </c>
      <c r="H34" s="70">
        <v>4250</v>
      </c>
      <c r="I34" s="74">
        <f t="shared" si="0"/>
        <v>89250</v>
      </c>
      <c r="J34" s="70">
        <v>25500</v>
      </c>
      <c r="K34" s="74">
        <f t="shared" si="1"/>
        <v>114750</v>
      </c>
      <c r="M34" s="69">
        <f t="shared" si="2"/>
        <v>0.2857142857142857</v>
      </c>
    </row>
    <row r="35" spans="3:13" x14ac:dyDescent="0.2">
      <c r="C35" t="s">
        <v>106</v>
      </c>
      <c r="D35" t="s">
        <v>90</v>
      </c>
      <c r="E35" s="66">
        <v>40345</v>
      </c>
      <c r="F35" s="63" t="s">
        <v>141</v>
      </c>
      <c r="G35" s="70">
        <v>130000</v>
      </c>
      <c r="H35" s="70">
        <v>13000</v>
      </c>
      <c r="I35" s="74">
        <f t="shared" si="0"/>
        <v>143000</v>
      </c>
      <c r="J35" s="70">
        <v>39000</v>
      </c>
      <c r="K35" s="74">
        <f t="shared" si="1"/>
        <v>182000</v>
      </c>
      <c r="M35" s="69">
        <f t="shared" si="2"/>
        <v>0.27272727272727271</v>
      </c>
    </row>
    <row r="36" spans="3:13" x14ac:dyDescent="0.2">
      <c r="C36" t="s">
        <v>117</v>
      </c>
      <c r="D36" t="s">
        <v>110</v>
      </c>
      <c r="E36" s="66">
        <v>44824</v>
      </c>
      <c r="F36" s="63" t="s">
        <v>141</v>
      </c>
      <c r="G36" s="70">
        <v>85000</v>
      </c>
      <c r="H36" s="70">
        <v>4250</v>
      </c>
      <c r="I36" s="74">
        <f t="shared" si="0"/>
        <v>89250</v>
      </c>
      <c r="J36" s="70">
        <v>25500</v>
      </c>
      <c r="K36" s="74">
        <f t="shared" si="1"/>
        <v>114750</v>
      </c>
      <c r="M36" s="69">
        <f t="shared" si="2"/>
        <v>0.2857142857142857</v>
      </c>
    </row>
    <row r="37" spans="3:13" x14ac:dyDescent="0.2">
      <c r="C37" t="s">
        <v>118</v>
      </c>
      <c r="D37" t="s">
        <v>86</v>
      </c>
      <c r="E37" s="66">
        <v>38939</v>
      </c>
      <c r="F37" s="63" t="s">
        <v>141</v>
      </c>
      <c r="G37" s="70">
        <v>120000</v>
      </c>
      <c r="H37" s="70">
        <v>12000</v>
      </c>
      <c r="I37" s="74">
        <f t="shared" si="0"/>
        <v>132000</v>
      </c>
      <c r="J37" s="70">
        <v>36000</v>
      </c>
      <c r="K37" s="74">
        <f t="shared" si="1"/>
        <v>168000</v>
      </c>
      <c r="M37" s="69">
        <f t="shared" si="2"/>
        <v>0.27272727272727271</v>
      </c>
    </row>
    <row r="38" spans="3:13" x14ac:dyDescent="0.2">
      <c r="C38" t="s">
        <v>65</v>
      </c>
      <c r="D38" t="s">
        <v>86</v>
      </c>
      <c r="E38" s="66">
        <v>42100</v>
      </c>
      <c r="F38" s="63" t="s">
        <v>141</v>
      </c>
      <c r="G38" s="70">
        <v>120000</v>
      </c>
      <c r="H38" s="70">
        <v>12000</v>
      </c>
      <c r="I38" s="74">
        <f t="shared" si="0"/>
        <v>132000</v>
      </c>
      <c r="J38" s="70">
        <v>36000</v>
      </c>
      <c r="K38" s="74">
        <f t="shared" si="1"/>
        <v>168000</v>
      </c>
      <c r="M38" s="69">
        <f t="shared" si="2"/>
        <v>0.27272727272727271</v>
      </c>
    </row>
    <row r="39" spans="3:13" x14ac:dyDescent="0.2">
      <c r="C39" t="s">
        <v>119</v>
      </c>
      <c r="D39" t="s">
        <v>110</v>
      </c>
      <c r="E39" s="66">
        <v>42772</v>
      </c>
      <c r="F39" s="63" t="s">
        <v>141</v>
      </c>
      <c r="G39" s="70">
        <v>85000</v>
      </c>
      <c r="H39" s="70">
        <v>4250</v>
      </c>
      <c r="I39" s="74">
        <f t="shared" si="0"/>
        <v>89250</v>
      </c>
      <c r="J39" s="70">
        <v>25500</v>
      </c>
      <c r="K39" s="74">
        <f t="shared" si="1"/>
        <v>114750</v>
      </c>
      <c r="M39" s="69">
        <f t="shared" si="2"/>
        <v>0.2857142857142857</v>
      </c>
    </row>
    <row r="40" spans="3:13" x14ac:dyDescent="0.2">
      <c r="C40" t="s">
        <v>120</v>
      </c>
      <c r="D40" t="s">
        <v>110</v>
      </c>
      <c r="E40" s="66">
        <v>41160</v>
      </c>
      <c r="F40" s="63" t="s">
        <v>141</v>
      </c>
      <c r="G40" s="70">
        <v>85000</v>
      </c>
      <c r="H40" s="70">
        <v>4250</v>
      </c>
      <c r="I40" s="74">
        <f t="shared" si="0"/>
        <v>89250</v>
      </c>
      <c r="J40" s="70">
        <v>25500</v>
      </c>
      <c r="K40" s="74">
        <f t="shared" si="1"/>
        <v>114750</v>
      </c>
      <c r="M40" s="69">
        <f t="shared" si="2"/>
        <v>0.2857142857142857</v>
      </c>
    </row>
    <row r="41" spans="3:13" x14ac:dyDescent="0.2">
      <c r="C41" t="s">
        <v>121</v>
      </c>
      <c r="D41" t="s">
        <v>99</v>
      </c>
      <c r="E41" s="66">
        <v>44972</v>
      </c>
      <c r="F41" s="63" t="s">
        <v>141</v>
      </c>
      <c r="G41" s="70">
        <v>80000</v>
      </c>
      <c r="H41" s="70">
        <v>4000</v>
      </c>
      <c r="I41" s="74">
        <f t="shared" si="0"/>
        <v>84000</v>
      </c>
      <c r="J41" s="70">
        <v>24000</v>
      </c>
      <c r="K41" s="74">
        <f t="shared" si="1"/>
        <v>108000</v>
      </c>
      <c r="M41" s="69">
        <f t="shared" si="2"/>
        <v>0.2857142857142857</v>
      </c>
    </row>
    <row r="42" spans="3:13" x14ac:dyDescent="0.2">
      <c r="C42" t="s">
        <v>151</v>
      </c>
      <c r="D42" t="s">
        <v>90</v>
      </c>
      <c r="E42" s="66">
        <v>42189</v>
      </c>
      <c r="F42" s="63" t="s">
        <v>141</v>
      </c>
      <c r="G42" s="70">
        <v>130000</v>
      </c>
      <c r="H42" s="70">
        <v>13000</v>
      </c>
      <c r="I42" s="74">
        <f t="shared" si="0"/>
        <v>143000</v>
      </c>
      <c r="J42" s="70">
        <v>39000</v>
      </c>
      <c r="K42" s="74">
        <f t="shared" si="1"/>
        <v>182000</v>
      </c>
      <c r="M42" s="69">
        <f t="shared" si="2"/>
        <v>0.27272727272727271</v>
      </c>
    </row>
    <row r="43" spans="3:13" x14ac:dyDescent="0.2">
      <c r="C43" t="s">
        <v>123</v>
      </c>
      <c r="D43" t="s">
        <v>99</v>
      </c>
      <c r="E43" s="66">
        <v>44716</v>
      </c>
      <c r="F43" s="63" t="s">
        <v>141</v>
      </c>
      <c r="G43" s="70">
        <v>80000</v>
      </c>
      <c r="H43" s="70">
        <v>4000</v>
      </c>
      <c r="I43" s="74">
        <f t="shared" si="0"/>
        <v>84000</v>
      </c>
      <c r="J43" s="70">
        <v>24000</v>
      </c>
      <c r="K43" s="74">
        <f t="shared" si="1"/>
        <v>108000</v>
      </c>
      <c r="M43" s="69">
        <f t="shared" si="2"/>
        <v>0.2857142857142857</v>
      </c>
    </row>
    <row r="44" spans="3:13" x14ac:dyDescent="0.2">
      <c r="C44" t="s">
        <v>124</v>
      </c>
      <c r="D44" t="s">
        <v>99</v>
      </c>
      <c r="E44" s="66">
        <v>38697</v>
      </c>
      <c r="F44" s="63" t="s">
        <v>141</v>
      </c>
      <c r="G44" s="70">
        <v>80000</v>
      </c>
      <c r="H44" s="70">
        <v>4000</v>
      </c>
      <c r="I44" s="74">
        <f t="shared" si="0"/>
        <v>84000</v>
      </c>
      <c r="J44" s="70">
        <v>24000</v>
      </c>
      <c r="K44" s="74">
        <f t="shared" si="1"/>
        <v>108000</v>
      </c>
      <c r="M44" s="69">
        <f t="shared" si="2"/>
        <v>0.2857142857142857</v>
      </c>
    </row>
    <row r="45" spans="3:13" x14ac:dyDescent="0.2">
      <c r="C45" t="s">
        <v>125</v>
      </c>
      <c r="D45" t="s">
        <v>99</v>
      </c>
      <c r="E45" s="66">
        <v>43863</v>
      </c>
      <c r="F45" s="63" t="s">
        <v>141</v>
      </c>
      <c r="G45" s="70">
        <v>80000</v>
      </c>
      <c r="H45" s="70">
        <v>4000</v>
      </c>
      <c r="I45" s="74">
        <f t="shared" si="0"/>
        <v>84000</v>
      </c>
      <c r="J45" s="70">
        <v>24000</v>
      </c>
      <c r="K45" s="74">
        <f t="shared" si="1"/>
        <v>108000</v>
      </c>
      <c r="M45" s="69">
        <f t="shared" si="2"/>
        <v>0.2857142857142857</v>
      </c>
    </row>
    <row r="46" spans="3:13" x14ac:dyDescent="0.2">
      <c r="C46" t="s">
        <v>126</v>
      </c>
      <c r="D46" t="s">
        <v>110</v>
      </c>
      <c r="E46" s="66">
        <v>40847</v>
      </c>
      <c r="F46" s="63" t="s">
        <v>141</v>
      </c>
      <c r="G46" s="70">
        <v>85000</v>
      </c>
      <c r="H46" s="70">
        <v>4250</v>
      </c>
      <c r="I46" s="74">
        <f t="shared" si="0"/>
        <v>89250</v>
      </c>
      <c r="J46" s="70">
        <v>25500</v>
      </c>
      <c r="K46" s="74">
        <f t="shared" si="1"/>
        <v>114750</v>
      </c>
      <c r="M46" s="69">
        <f t="shared" si="2"/>
        <v>0.2857142857142857</v>
      </c>
    </row>
    <row r="47" spans="3:13" x14ac:dyDescent="0.2">
      <c r="C47" t="s">
        <v>127</v>
      </c>
      <c r="D47" t="s">
        <v>110</v>
      </c>
      <c r="E47" s="66">
        <v>39385</v>
      </c>
      <c r="F47" s="63" t="s">
        <v>141</v>
      </c>
      <c r="G47" s="70">
        <v>85000</v>
      </c>
      <c r="H47" s="70">
        <v>4250</v>
      </c>
      <c r="I47" s="74">
        <f t="shared" si="0"/>
        <v>89250</v>
      </c>
      <c r="J47" s="70">
        <v>25500</v>
      </c>
      <c r="K47" s="74">
        <f t="shared" si="1"/>
        <v>114750</v>
      </c>
      <c r="M47" s="69">
        <f t="shared" si="2"/>
        <v>0.2857142857142857</v>
      </c>
    </row>
    <row r="48" spans="3:13" x14ac:dyDescent="0.2">
      <c r="C48" t="s">
        <v>128</v>
      </c>
      <c r="D48" t="s">
        <v>90</v>
      </c>
      <c r="E48" s="66">
        <v>39936</v>
      </c>
      <c r="F48" s="63" t="s">
        <v>141</v>
      </c>
      <c r="G48" s="70">
        <v>130000</v>
      </c>
      <c r="H48" s="70">
        <v>13000</v>
      </c>
      <c r="I48" s="74">
        <f t="shared" si="0"/>
        <v>143000</v>
      </c>
      <c r="J48" s="70">
        <v>39000</v>
      </c>
      <c r="K48" s="74">
        <f t="shared" si="1"/>
        <v>182000</v>
      </c>
      <c r="M48" s="69">
        <f t="shared" si="2"/>
        <v>0.27272727272727271</v>
      </c>
    </row>
    <row r="49" spans="3:13" x14ac:dyDescent="0.2">
      <c r="C49" t="s">
        <v>129</v>
      </c>
      <c r="D49" t="s">
        <v>99</v>
      </c>
      <c r="E49" s="66">
        <v>43887</v>
      </c>
      <c r="F49" s="63" t="s">
        <v>141</v>
      </c>
      <c r="G49" s="70">
        <v>80000</v>
      </c>
      <c r="H49" s="70">
        <v>4000</v>
      </c>
      <c r="I49" s="74">
        <f t="shared" si="0"/>
        <v>84000</v>
      </c>
      <c r="J49" s="70">
        <v>24000</v>
      </c>
      <c r="K49" s="74">
        <f t="shared" si="1"/>
        <v>108000</v>
      </c>
      <c r="M49" s="69">
        <f t="shared" si="2"/>
        <v>0.2857142857142857</v>
      </c>
    </row>
    <row r="50" spans="3:13" x14ac:dyDescent="0.2">
      <c r="C50" t="s">
        <v>122</v>
      </c>
      <c r="D50" t="s">
        <v>99</v>
      </c>
      <c r="E50" s="66">
        <v>44041</v>
      </c>
      <c r="F50" s="63" t="s">
        <v>141</v>
      </c>
      <c r="G50" s="70">
        <v>80000</v>
      </c>
      <c r="H50" s="70">
        <v>4000</v>
      </c>
      <c r="I50" s="74">
        <f t="shared" si="0"/>
        <v>84000</v>
      </c>
      <c r="J50" s="70">
        <v>24000</v>
      </c>
      <c r="K50" s="74">
        <f t="shared" si="1"/>
        <v>108000</v>
      </c>
      <c r="M50" s="69">
        <f t="shared" si="2"/>
        <v>0.2857142857142857</v>
      </c>
    </row>
    <row r="51" spans="3:13" x14ac:dyDescent="0.2">
      <c r="C51" t="s">
        <v>130</v>
      </c>
      <c r="D51" t="s">
        <v>74</v>
      </c>
      <c r="E51" s="66">
        <v>38591</v>
      </c>
      <c r="F51" s="66">
        <v>45101</v>
      </c>
      <c r="G51" s="70">
        <v>200000</v>
      </c>
      <c r="H51" s="70">
        <v>60000</v>
      </c>
      <c r="I51" s="74">
        <f t="shared" ref="I51:I60" si="3">SUM(G51:H51)</f>
        <v>260000</v>
      </c>
      <c r="J51" s="70">
        <v>60000</v>
      </c>
      <c r="K51" s="74">
        <f t="shared" ref="K51:K60" si="4">SUM(I51:J51)</f>
        <v>320000</v>
      </c>
      <c r="M51" s="69">
        <f t="shared" ref="M51:M60" si="5">J51/I51</f>
        <v>0.23076923076923078</v>
      </c>
    </row>
    <row r="52" spans="3:13" x14ac:dyDescent="0.2">
      <c r="C52" t="s">
        <v>132</v>
      </c>
      <c r="D52" t="s">
        <v>90</v>
      </c>
      <c r="E52" s="66">
        <v>43026</v>
      </c>
      <c r="F52" s="66">
        <v>45110</v>
      </c>
      <c r="G52" s="70">
        <v>130000</v>
      </c>
      <c r="H52" s="70">
        <v>13000</v>
      </c>
      <c r="I52" s="74">
        <f t="shared" si="3"/>
        <v>143000</v>
      </c>
      <c r="J52" s="70">
        <v>39000</v>
      </c>
      <c r="K52" s="74">
        <f t="shared" si="4"/>
        <v>182000</v>
      </c>
      <c r="M52" s="69">
        <f t="shared" si="5"/>
        <v>0.27272727272727271</v>
      </c>
    </row>
    <row r="53" spans="3:13" x14ac:dyDescent="0.2">
      <c r="C53" t="s">
        <v>131</v>
      </c>
      <c r="D53" t="s">
        <v>103</v>
      </c>
      <c r="E53" s="66">
        <v>42388</v>
      </c>
      <c r="F53" s="66">
        <v>45231</v>
      </c>
      <c r="G53" s="70">
        <v>85000</v>
      </c>
      <c r="H53" s="70">
        <v>4250</v>
      </c>
      <c r="I53" s="74">
        <f t="shared" si="3"/>
        <v>89250</v>
      </c>
      <c r="J53" s="70">
        <v>25500</v>
      </c>
      <c r="K53" s="74">
        <f t="shared" si="4"/>
        <v>114750</v>
      </c>
      <c r="M53" s="69">
        <f t="shared" si="5"/>
        <v>0.2857142857142857</v>
      </c>
    </row>
    <row r="54" spans="3:13" x14ac:dyDescent="0.2">
      <c r="C54" t="s">
        <v>133</v>
      </c>
      <c r="D54" t="s">
        <v>93</v>
      </c>
      <c r="E54" s="66">
        <v>38928</v>
      </c>
      <c r="F54" s="66">
        <v>45398</v>
      </c>
      <c r="G54" s="70">
        <v>120000</v>
      </c>
      <c r="H54" s="70">
        <v>12000</v>
      </c>
      <c r="I54" s="74">
        <f t="shared" si="3"/>
        <v>132000</v>
      </c>
      <c r="J54" s="70">
        <v>36000</v>
      </c>
      <c r="K54" s="74">
        <f t="shared" si="4"/>
        <v>168000</v>
      </c>
      <c r="M54" s="69">
        <f t="shared" si="5"/>
        <v>0.27272727272727271</v>
      </c>
    </row>
    <row r="55" spans="3:13" x14ac:dyDescent="0.2">
      <c r="C55" t="s">
        <v>114</v>
      </c>
      <c r="D55" t="s">
        <v>86</v>
      </c>
      <c r="E55" s="66">
        <v>43340</v>
      </c>
      <c r="F55" s="66">
        <v>45437</v>
      </c>
      <c r="G55" s="70">
        <v>120000</v>
      </c>
      <c r="H55" s="70">
        <v>12000</v>
      </c>
      <c r="I55" s="74">
        <f t="shared" si="3"/>
        <v>132000</v>
      </c>
      <c r="J55" s="70">
        <v>36000</v>
      </c>
      <c r="K55" s="74">
        <f t="shared" si="4"/>
        <v>168000</v>
      </c>
      <c r="M55" s="69">
        <f t="shared" si="5"/>
        <v>0.27272727272727271</v>
      </c>
    </row>
    <row r="56" spans="3:13" x14ac:dyDescent="0.2">
      <c r="C56" t="s">
        <v>135</v>
      </c>
      <c r="D56" t="s">
        <v>82</v>
      </c>
      <c r="E56" s="66">
        <v>44954</v>
      </c>
      <c r="F56" s="66">
        <v>45489</v>
      </c>
      <c r="G56" s="70">
        <v>160000</v>
      </c>
      <c r="H56" s="70">
        <v>32000</v>
      </c>
      <c r="I56" s="74">
        <f t="shared" si="3"/>
        <v>192000</v>
      </c>
      <c r="J56" s="70">
        <v>48000</v>
      </c>
      <c r="K56" s="74">
        <f t="shared" si="4"/>
        <v>240000</v>
      </c>
      <c r="M56" s="69">
        <f t="shared" si="5"/>
        <v>0.25</v>
      </c>
    </row>
    <row r="57" spans="3:13" x14ac:dyDescent="0.2">
      <c r="C57" t="s">
        <v>113</v>
      </c>
      <c r="D57" t="s">
        <v>88</v>
      </c>
      <c r="E57" s="66">
        <v>43244</v>
      </c>
      <c r="F57" s="66">
        <v>45499</v>
      </c>
      <c r="G57" s="70">
        <v>130000</v>
      </c>
      <c r="H57" s="70">
        <v>13000</v>
      </c>
      <c r="I57" s="74">
        <f t="shared" si="3"/>
        <v>143000</v>
      </c>
      <c r="J57" s="70">
        <v>39000</v>
      </c>
      <c r="K57" s="74">
        <f t="shared" si="4"/>
        <v>182000</v>
      </c>
      <c r="M57" s="69">
        <f t="shared" si="5"/>
        <v>0.27272727272727271</v>
      </c>
    </row>
    <row r="58" spans="3:13" x14ac:dyDescent="0.2">
      <c r="C58" t="s">
        <v>75</v>
      </c>
      <c r="D58" t="s">
        <v>90</v>
      </c>
      <c r="E58" s="66">
        <v>42099</v>
      </c>
      <c r="F58" s="66">
        <v>45554</v>
      </c>
      <c r="G58" s="70">
        <v>130000</v>
      </c>
      <c r="H58" s="70">
        <v>13000</v>
      </c>
      <c r="I58" s="74">
        <f t="shared" si="3"/>
        <v>143000</v>
      </c>
      <c r="J58" s="70">
        <v>39000</v>
      </c>
      <c r="K58" s="74">
        <f t="shared" si="4"/>
        <v>182000</v>
      </c>
      <c r="M58" s="69">
        <f t="shared" si="5"/>
        <v>0.27272727272727271</v>
      </c>
    </row>
    <row r="59" spans="3:13" x14ac:dyDescent="0.2">
      <c r="C59" t="s">
        <v>134</v>
      </c>
      <c r="D59" t="s">
        <v>110</v>
      </c>
      <c r="E59" s="66">
        <v>45193</v>
      </c>
      <c r="F59" s="66">
        <v>45609</v>
      </c>
      <c r="G59" s="70">
        <v>85000</v>
      </c>
      <c r="H59" s="70">
        <v>4250</v>
      </c>
      <c r="I59" s="74">
        <f t="shared" si="3"/>
        <v>89250</v>
      </c>
      <c r="J59" s="70">
        <v>25500</v>
      </c>
      <c r="K59" s="74">
        <f t="shared" si="4"/>
        <v>114750</v>
      </c>
      <c r="M59" s="69">
        <f t="shared" si="5"/>
        <v>0.2857142857142857</v>
      </c>
    </row>
    <row r="60" spans="3:13" x14ac:dyDescent="0.2">
      <c r="C60" s="23" t="s">
        <v>152</v>
      </c>
      <c r="D60" s="23" t="s">
        <v>99</v>
      </c>
      <c r="E60" s="71">
        <v>42869</v>
      </c>
      <c r="F60" s="71">
        <v>45626</v>
      </c>
      <c r="G60" s="72">
        <v>80000</v>
      </c>
      <c r="H60" s="72">
        <v>4000</v>
      </c>
      <c r="I60" s="75">
        <f t="shared" si="3"/>
        <v>84000</v>
      </c>
      <c r="J60" s="72">
        <v>24000</v>
      </c>
      <c r="K60" s="75">
        <f t="shared" si="4"/>
        <v>108000</v>
      </c>
      <c r="L60" s="23"/>
      <c r="M60" s="73">
        <f t="shared" si="5"/>
        <v>0.2857142857142857</v>
      </c>
    </row>
    <row r="61" spans="3:13" x14ac:dyDescent="0.2">
      <c r="G61" s="55">
        <f>SUM(G6:G60)</f>
        <v>6795000</v>
      </c>
      <c r="H61" s="55">
        <f t="shared" ref="H61:J61" si="6">SUM(H6:H60)</f>
        <v>1104750</v>
      </c>
      <c r="I61" s="68">
        <f t="shared" si="6"/>
        <v>7899750</v>
      </c>
      <c r="J61" s="76">
        <f t="shared" si="6"/>
        <v>2023500</v>
      </c>
      <c r="K61" s="68">
        <f t="shared" si="1"/>
        <v>9923250</v>
      </c>
      <c r="M61" s="31"/>
    </row>
  </sheetData>
  <sortState xmlns:xlrd2="http://schemas.microsoft.com/office/spreadsheetml/2017/richdata2" ref="C51:M60">
    <sortCondition ref="F51:F60"/>
  </sortState>
  <pageMargins left="0.7" right="0.7" top="0.75" bottom="0.75" header="0.3" footer="0.3"/>
  <pageSetup scale="5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BD4B-DB3D-4D9E-B4E5-42BF2E0203EA}">
  <sheetPr>
    <tabColor theme="0"/>
    <pageSetUpPr fitToPage="1"/>
  </sheetPr>
  <dimension ref="B2:AJ377"/>
  <sheetViews>
    <sheetView showGridLines="0" view="pageBreakPreview" zoomScale="85" zoomScaleNormal="70" zoomScaleSheetLayoutView="85" workbookViewId="0">
      <selection activeCell="H27" sqref="H27"/>
    </sheetView>
  </sheetViews>
  <sheetFormatPr defaultRowHeight="12.75" x14ac:dyDescent="0.2"/>
  <cols>
    <col min="1" max="1" width="3.7109375" customWidth="1"/>
    <col min="2" max="2" width="1.7109375" customWidth="1"/>
    <col min="3" max="3" width="18.7109375" customWidth="1"/>
    <col min="4" max="4" width="29.42578125" bestFit="1" customWidth="1"/>
    <col min="5" max="5" width="8.7109375" customWidth="1"/>
    <col min="6" max="6" width="10.42578125" bestFit="1" customWidth="1"/>
    <col min="7" max="8" width="13.42578125" bestFit="1" customWidth="1"/>
    <col min="9" max="9" width="1.7109375" customWidth="1"/>
    <col min="10" max="33" width="13.140625" bestFit="1" customWidth="1"/>
    <col min="34" max="34" width="1.7109375" customWidth="1"/>
    <col min="35" max="35" width="9.7109375" bestFit="1" customWidth="1"/>
    <col min="36" max="36" width="10.7109375" bestFit="1" customWidth="1"/>
  </cols>
  <sheetData>
    <row r="2" spans="2:34" ht="13.5" thickBot="1" x14ac:dyDescent="0.25">
      <c r="B2" s="48" t="s">
        <v>0</v>
      </c>
      <c r="C2" s="1"/>
      <c r="D2" s="1"/>
      <c r="E2" s="1"/>
      <c r="F2" s="1"/>
      <c r="G2" s="1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3">
        <f ca="1">TODAY()</f>
        <v>45999</v>
      </c>
      <c r="AH2" s="1"/>
    </row>
    <row r="3" spans="2:34" x14ac:dyDescent="0.2">
      <c r="B3" s="47"/>
      <c r="C3" t="s">
        <v>138</v>
      </c>
      <c r="H3" s="6"/>
      <c r="I3" s="6"/>
      <c r="AG3" s="53" t="s">
        <v>228</v>
      </c>
    </row>
    <row r="4" spans="2:34" x14ac:dyDescent="0.2">
      <c r="B4" s="47"/>
      <c r="H4" s="6"/>
      <c r="I4" s="6"/>
    </row>
    <row r="5" spans="2:34" ht="15" customHeight="1" x14ac:dyDescent="0.2">
      <c r="B5" s="47"/>
      <c r="E5" s="77" t="s">
        <v>143</v>
      </c>
      <c r="F5" s="77" t="s">
        <v>144</v>
      </c>
      <c r="G5" s="17" t="s">
        <v>154</v>
      </c>
      <c r="H5" s="50"/>
      <c r="I5" s="52" t="s">
        <v>56</v>
      </c>
      <c r="J5" s="20">
        <v>2023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2"/>
      <c r="V5" s="20">
        <v>2024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2"/>
    </row>
    <row r="6" spans="2:34" ht="15" x14ac:dyDescent="0.35">
      <c r="C6" s="59" t="s">
        <v>57</v>
      </c>
      <c r="D6" s="59" t="s">
        <v>58</v>
      </c>
      <c r="E6" s="59" t="s">
        <v>142</v>
      </c>
      <c r="F6" s="59" t="s">
        <v>142</v>
      </c>
      <c r="G6" s="13">
        <v>45291</v>
      </c>
      <c r="H6" s="14">
        <v>45657</v>
      </c>
      <c r="I6" s="51"/>
      <c r="J6" s="4">
        <v>44957</v>
      </c>
      <c r="K6" s="19">
        <f>EOMONTH(J6,1)</f>
        <v>44985</v>
      </c>
      <c r="L6" s="19">
        <f t="shared" ref="L6:AG6" si="0">EOMONTH(K6,1)</f>
        <v>45016</v>
      </c>
      <c r="M6" s="19">
        <f t="shared" si="0"/>
        <v>45046</v>
      </c>
      <c r="N6" s="19">
        <f t="shared" si="0"/>
        <v>45077</v>
      </c>
      <c r="O6" s="19">
        <f t="shared" si="0"/>
        <v>45107</v>
      </c>
      <c r="P6" s="19">
        <f t="shared" si="0"/>
        <v>45138</v>
      </c>
      <c r="Q6" s="19">
        <f t="shared" si="0"/>
        <v>45169</v>
      </c>
      <c r="R6" s="19">
        <f t="shared" si="0"/>
        <v>45199</v>
      </c>
      <c r="S6" s="19">
        <f t="shared" si="0"/>
        <v>45230</v>
      </c>
      <c r="T6" s="19">
        <f t="shared" si="0"/>
        <v>45260</v>
      </c>
      <c r="U6" s="5">
        <f t="shared" si="0"/>
        <v>45291</v>
      </c>
      <c r="V6" s="4">
        <f t="shared" si="0"/>
        <v>45322</v>
      </c>
      <c r="W6" s="19">
        <f t="shared" si="0"/>
        <v>45351</v>
      </c>
      <c r="X6" s="19">
        <f t="shared" si="0"/>
        <v>45382</v>
      </c>
      <c r="Y6" s="19">
        <f t="shared" si="0"/>
        <v>45412</v>
      </c>
      <c r="Z6" s="19">
        <f t="shared" si="0"/>
        <v>45443</v>
      </c>
      <c r="AA6" s="19">
        <f t="shared" si="0"/>
        <v>45473</v>
      </c>
      <c r="AB6" s="19">
        <f t="shared" si="0"/>
        <v>45504</v>
      </c>
      <c r="AC6" s="19">
        <f t="shared" si="0"/>
        <v>45535</v>
      </c>
      <c r="AD6" s="19">
        <f t="shared" si="0"/>
        <v>45565</v>
      </c>
      <c r="AE6" s="19">
        <f t="shared" si="0"/>
        <v>45596</v>
      </c>
      <c r="AF6" s="19">
        <f t="shared" si="0"/>
        <v>45626</v>
      </c>
      <c r="AG6" s="5">
        <f t="shared" si="0"/>
        <v>45657</v>
      </c>
    </row>
    <row r="7" spans="2:34" x14ac:dyDescent="0.2">
      <c r="C7" t="s">
        <v>137</v>
      </c>
      <c r="D7" t="s">
        <v>66</v>
      </c>
      <c r="E7" s="64">
        <f>_xlfn.XLOOKUP($C7,'Corporate Roster - ''24'!$C$6:$C$60,'Corporate Roster - ''24'!$E$6:$E$60)</f>
        <v>40848</v>
      </c>
      <c r="F7" s="64" t="str">
        <f>_xlfn.XLOOKUP($C7,'Corporate Roster - ''24'!$C$6:$C$60,'Corporate Roster - ''24'!$F$6:$F$60)</f>
        <v>-</v>
      </c>
      <c r="G7" s="56">
        <f>(MROUND(H7*0.9,1000))</f>
        <v>315000</v>
      </c>
      <c r="H7" s="61">
        <f>_xlfn.XLOOKUP($C7,'Corporate Roster - ''24'!$C$6:$C$60,'Corporate Roster - ''24'!$G$6:$G$60)</f>
        <v>350000</v>
      </c>
      <c r="J7" s="56">
        <f>IF(AND(J$6&gt;$E7,J$6&lt;$F7),$G7/12,0)</f>
        <v>26250</v>
      </c>
      <c r="K7" s="55">
        <f t="shared" ref="K7:U22" si="1">IF(AND(K$6&gt;$E7,K$6&lt;$F7),$G7/12,0)</f>
        <v>26250</v>
      </c>
      <c r="L7" s="55">
        <f t="shared" si="1"/>
        <v>26250</v>
      </c>
      <c r="M7" s="55">
        <f t="shared" si="1"/>
        <v>26250</v>
      </c>
      <c r="N7" s="55">
        <f t="shared" si="1"/>
        <v>26250</v>
      </c>
      <c r="O7" s="55">
        <f t="shared" si="1"/>
        <v>26250</v>
      </c>
      <c r="P7" s="55">
        <f t="shared" si="1"/>
        <v>26250</v>
      </c>
      <c r="Q7" s="55">
        <f t="shared" si="1"/>
        <v>26250</v>
      </c>
      <c r="R7" s="55">
        <f t="shared" si="1"/>
        <v>26250</v>
      </c>
      <c r="S7" s="55">
        <f t="shared" si="1"/>
        <v>26250</v>
      </c>
      <c r="T7" s="55">
        <f t="shared" si="1"/>
        <v>26250</v>
      </c>
      <c r="U7" s="61">
        <f t="shared" si="1"/>
        <v>26250</v>
      </c>
      <c r="V7" s="55">
        <f>IF(AND(V$6&gt;$E7,V$6&lt;$F7),$H7/12,0)</f>
        <v>29166.666666666668</v>
      </c>
      <c r="W7" s="55">
        <f t="shared" ref="W7:AG22" si="2">IF(AND(W$6&gt;$E7,W$6&lt;$F7),$H7/12,0)</f>
        <v>29166.666666666668</v>
      </c>
      <c r="X7" s="55">
        <f t="shared" si="2"/>
        <v>29166.666666666668</v>
      </c>
      <c r="Y7" s="55">
        <f t="shared" si="2"/>
        <v>29166.666666666668</v>
      </c>
      <c r="Z7" s="55">
        <f t="shared" si="2"/>
        <v>29166.666666666668</v>
      </c>
      <c r="AA7" s="55">
        <f t="shared" si="2"/>
        <v>29166.666666666668</v>
      </c>
      <c r="AB7" s="55">
        <f t="shared" si="2"/>
        <v>29166.666666666668</v>
      </c>
      <c r="AC7" s="55">
        <f t="shared" si="2"/>
        <v>29166.666666666668</v>
      </c>
      <c r="AD7" s="55">
        <f t="shared" si="2"/>
        <v>29166.666666666668</v>
      </c>
      <c r="AE7" s="55">
        <f t="shared" si="2"/>
        <v>29166.666666666668</v>
      </c>
      <c r="AF7" s="55">
        <f t="shared" si="2"/>
        <v>29166.666666666668</v>
      </c>
      <c r="AG7" s="61">
        <f t="shared" si="2"/>
        <v>29166.666666666668</v>
      </c>
    </row>
    <row r="8" spans="2:34" x14ac:dyDescent="0.2">
      <c r="C8" t="s">
        <v>67</v>
      </c>
      <c r="D8" t="s">
        <v>68</v>
      </c>
      <c r="E8" s="64">
        <f>_xlfn.XLOOKUP($C8,'Corporate Roster - ''24'!$C$6:$C$60,'Corporate Roster - ''24'!$E$6:$E$60)</f>
        <v>41718</v>
      </c>
      <c r="F8" s="64" t="str">
        <f>_xlfn.XLOOKUP($C8,'Corporate Roster - ''24'!$C$6:$C$60,'Corporate Roster - ''24'!$F$6:$F$60)</f>
        <v>-</v>
      </c>
      <c r="G8" s="32">
        <f>(MROUND(H8*0.95,1000))</f>
        <v>238000</v>
      </c>
      <c r="H8" s="33">
        <f>_xlfn.XLOOKUP($C8,'Corporate Roster - ''24'!$C$6:$C$60,'Corporate Roster - ''24'!$G$6:$G$60)</f>
        <v>250000</v>
      </c>
      <c r="J8" s="32">
        <f t="shared" ref="J8:U23" si="3">IF(AND(J$6&gt;$E8,J$6&lt;$F8),$G8/12,0)</f>
        <v>19833.333333333332</v>
      </c>
      <c r="K8" s="10">
        <f t="shared" si="1"/>
        <v>19833.333333333332</v>
      </c>
      <c r="L8" s="10">
        <f t="shared" si="1"/>
        <v>19833.333333333332</v>
      </c>
      <c r="M8" s="10">
        <f t="shared" si="1"/>
        <v>19833.333333333332</v>
      </c>
      <c r="N8" s="10">
        <f t="shared" si="1"/>
        <v>19833.333333333332</v>
      </c>
      <c r="O8" s="10">
        <f t="shared" si="1"/>
        <v>19833.333333333332</v>
      </c>
      <c r="P8" s="10">
        <f t="shared" si="1"/>
        <v>19833.333333333332</v>
      </c>
      <c r="Q8" s="10">
        <f t="shared" si="1"/>
        <v>19833.333333333332</v>
      </c>
      <c r="R8" s="10">
        <f t="shared" si="1"/>
        <v>19833.333333333332</v>
      </c>
      <c r="S8" s="10">
        <f t="shared" si="1"/>
        <v>19833.333333333332</v>
      </c>
      <c r="T8" s="10">
        <f t="shared" si="1"/>
        <v>19833.333333333332</v>
      </c>
      <c r="U8" s="33">
        <f t="shared" si="1"/>
        <v>19833.333333333332</v>
      </c>
      <c r="V8" s="10">
        <f t="shared" ref="V8:AG23" si="4">IF(AND(V$6&gt;$E8,V$6&lt;$F8),$H8/12,0)</f>
        <v>20833.333333333332</v>
      </c>
      <c r="W8" s="10">
        <f t="shared" si="2"/>
        <v>20833.333333333332</v>
      </c>
      <c r="X8" s="10">
        <f t="shared" si="2"/>
        <v>20833.333333333332</v>
      </c>
      <c r="Y8" s="10">
        <f t="shared" si="2"/>
        <v>20833.333333333332</v>
      </c>
      <c r="Z8" s="10">
        <f t="shared" si="2"/>
        <v>20833.333333333332</v>
      </c>
      <c r="AA8" s="10">
        <f t="shared" si="2"/>
        <v>20833.333333333332</v>
      </c>
      <c r="AB8" s="10">
        <f t="shared" si="2"/>
        <v>20833.333333333332</v>
      </c>
      <c r="AC8" s="10">
        <f t="shared" si="2"/>
        <v>20833.333333333332</v>
      </c>
      <c r="AD8" s="10">
        <f t="shared" si="2"/>
        <v>20833.333333333332</v>
      </c>
      <c r="AE8" s="10">
        <f t="shared" si="2"/>
        <v>20833.333333333332</v>
      </c>
      <c r="AF8" s="10">
        <f t="shared" si="2"/>
        <v>20833.333333333332</v>
      </c>
      <c r="AG8" s="33">
        <f t="shared" si="2"/>
        <v>20833.333333333332</v>
      </c>
    </row>
    <row r="9" spans="2:34" x14ac:dyDescent="0.2">
      <c r="C9" t="s">
        <v>69</v>
      </c>
      <c r="D9" t="s">
        <v>70</v>
      </c>
      <c r="E9" s="64">
        <f>_xlfn.XLOOKUP($C9,'Corporate Roster - ''24'!$C$6:$C$60,'Corporate Roster - ''24'!$E$6:$E$60)</f>
        <v>39601</v>
      </c>
      <c r="F9" s="64" t="str">
        <f>_xlfn.XLOOKUP($C9,'Corporate Roster - ''24'!$C$6:$C$60,'Corporate Roster - ''24'!$F$6:$F$60)</f>
        <v>-</v>
      </c>
      <c r="G9" s="32">
        <f t="shared" ref="G9:G61" si="5">H9</f>
        <v>250000</v>
      </c>
      <c r="H9" s="33">
        <f>_xlfn.XLOOKUP($C9,'Corporate Roster - ''24'!$C$6:$C$60,'Corporate Roster - ''24'!$G$6:$G$60)</f>
        <v>250000</v>
      </c>
      <c r="J9" s="32">
        <f t="shared" si="3"/>
        <v>20833.333333333332</v>
      </c>
      <c r="K9" s="10">
        <f t="shared" si="1"/>
        <v>20833.333333333332</v>
      </c>
      <c r="L9" s="10">
        <f t="shared" si="1"/>
        <v>20833.333333333332</v>
      </c>
      <c r="M9" s="10">
        <f t="shared" si="1"/>
        <v>20833.333333333332</v>
      </c>
      <c r="N9" s="10">
        <f t="shared" si="1"/>
        <v>20833.333333333332</v>
      </c>
      <c r="O9" s="10">
        <f t="shared" si="1"/>
        <v>20833.333333333332</v>
      </c>
      <c r="P9" s="10">
        <f t="shared" si="1"/>
        <v>20833.333333333332</v>
      </c>
      <c r="Q9" s="10">
        <f t="shared" si="1"/>
        <v>20833.333333333332</v>
      </c>
      <c r="R9" s="10">
        <f t="shared" si="1"/>
        <v>20833.333333333332</v>
      </c>
      <c r="S9" s="10">
        <f t="shared" si="1"/>
        <v>20833.333333333332</v>
      </c>
      <c r="T9" s="10">
        <f t="shared" si="1"/>
        <v>20833.333333333332</v>
      </c>
      <c r="U9" s="33">
        <f t="shared" si="1"/>
        <v>20833.333333333332</v>
      </c>
      <c r="V9" s="10">
        <f t="shared" si="4"/>
        <v>20833.333333333332</v>
      </c>
      <c r="W9" s="10">
        <f t="shared" si="2"/>
        <v>20833.333333333332</v>
      </c>
      <c r="X9" s="10">
        <f t="shared" si="2"/>
        <v>20833.333333333332</v>
      </c>
      <c r="Y9" s="10">
        <f t="shared" si="2"/>
        <v>20833.333333333332</v>
      </c>
      <c r="Z9" s="10">
        <f t="shared" si="2"/>
        <v>20833.333333333332</v>
      </c>
      <c r="AA9" s="10">
        <f t="shared" si="2"/>
        <v>20833.333333333332</v>
      </c>
      <c r="AB9" s="10">
        <f t="shared" si="2"/>
        <v>20833.333333333332</v>
      </c>
      <c r="AC9" s="10">
        <f t="shared" si="2"/>
        <v>20833.333333333332</v>
      </c>
      <c r="AD9" s="10">
        <f t="shared" si="2"/>
        <v>20833.333333333332</v>
      </c>
      <c r="AE9" s="10">
        <f t="shared" si="2"/>
        <v>20833.333333333332</v>
      </c>
      <c r="AF9" s="10">
        <f t="shared" si="2"/>
        <v>20833.333333333332</v>
      </c>
      <c r="AG9" s="33">
        <f t="shared" si="2"/>
        <v>20833.333333333332</v>
      </c>
    </row>
    <row r="10" spans="2:34" x14ac:dyDescent="0.2">
      <c r="C10" t="s">
        <v>71</v>
      </c>
      <c r="D10" t="s">
        <v>72</v>
      </c>
      <c r="E10" s="64">
        <f>_xlfn.XLOOKUP($C10,'Corporate Roster - ''24'!$C$6:$C$60,'Corporate Roster - ''24'!$E$6:$E$60)</f>
        <v>44453</v>
      </c>
      <c r="F10" s="64" t="str">
        <f>_xlfn.XLOOKUP($C10,'Corporate Roster - ''24'!$C$6:$C$60,'Corporate Roster - ''24'!$F$6:$F$60)</f>
        <v>-</v>
      </c>
      <c r="G10" s="32">
        <f t="shared" si="5"/>
        <v>240000</v>
      </c>
      <c r="H10" s="33">
        <f>_xlfn.XLOOKUP($C10,'Corporate Roster - ''24'!$C$6:$C$60,'Corporate Roster - ''24'!$G$6:$G$60)</f>
        <v>240000</v>
      </c>
      <c r="J10" s="32">
        <f t="shared" si="3"/>
        <v>20000</v>
      </c>
      <c r="K10" s="10">
        <f t="shared" si="1"/>
        <v>20000</v>
      </c>
      <c r="L10" s="10">
        <f t="shared" si="1"/>
        <v>20000</v>
      </c>
      <c r="M10" s="10">
        <f t="shared" si="1"/>
        <v>20000</v>
      </c>
      <c r="N10" s="10">
        <f t="shared" si="1"/>
        <v>20000</v>
      </c>
      <c r="O10" s="10">
        <f t="shared" si="1"/>
        <v>20000</v>
      </c>
      <c r="P10" s="10">
        <f t="shared" si="1"/>
        <v>20000</v>
      </c>
      <c r="Q10" s="10">
        <f t="shared" si="1"/>
        <v>20000</v>
      </c>
      <c r="R10" s="10">
        <f t="shared" si="1"/>
        <v>20000</v>
      </c>
      <c r="S10" s="10">
        <f t="shared" si="1"/>
        <v>20000</v>
      </c>
      <c r="T10" s="10">
        <f t="shared" si="1"/>
        <v>20000</v>
      </c>
      <c r="U10" s="33">
        <f t="shared" si="1"/>
        <v>20000</v>
      </c>
      <c r="V10" s="10">
        <f t="shared" si="4"/>
        <v>20000</v>
      </c>
      <c r="W10" s="10">
        <f t="shared" si="2"/>
        <v>20000</v>
      </c>
      <c r="X10" s="10">
        <f t="shared" si="2"/>
        <v>20000</v>
      </c>
      <c r="Y10" s="10">
        <f t="shared" si="2"/>
        <v>20000</v>
      </c>
      <c r="Z10" s="10">
        <f t="shared" si="2"/>
        <v>20000</v>
      </c>
      <c r="AA10" s="10">
        <f t="shared" si="2"/>
        <v>20000</v>
      </c>
      <c r="AB10" s="10">
        <f t="shared" si="2"/>
        <v>20000</v>
      </c>
      <c r="AC10" s="10">
        <f t="shared" si="2"/>
        <v>20000</v>
      </c>
      <c r="AD10" s="10">
        <f t="shared" si="2"/>
        <v>20000</v>
      </c>
      <c r="AE10" s="10">
        <f t="shared" si="2"/>
        <v>20000</v>
      </c>
      <c r="AF10" s="10">
        <f t="shared" si="2"/>
        <v>20000</v>
      </c>
      <c r="AG10" s="33">
        <f t="shared" si="2"/>
        <v>20000</v>
      </c>
    </row>
    <row r="11" spans="2:34" x14ac:dyDescent="0.2">
      <c r="C11" t="s">
        <v>145</v>
      </c>
      <c r="D11" t="s">
        <v>74</v>
      </c>
      <c r="E11" s="64">
        <f>_xlfn.XLOOKUP($C11,'Corporate Roster - ''24'!$C$6:$C$60,'Corporate Roster - ''24'!$E$6:$E$60)</f>
        <v>39783</v>
      </c>
      <c r="F11" s="64" t="str">
        <f>_xlfn.XLOOKUP($C11,'Corporate Roster - ''24'!$C$6:$C$60,'Corporate Roster - ''24'!$F$6:$F$60)</f>
        <v>-</v>
      </c>
      <c r="G11" s="32">
        <f>(MROUND(H11*0.8,1000))</f>
        <v>160000</v>
      </c>
      <c r="H11" s="33">
        <f>_xlfn.XLOOKUP($C11,'Corporate Roster - ''24'!$C$6:$C$60,'Corporate Roster - ''24'!$G$6:$G$60)</f>
        <v>200000</v>
      </c>
      <c r="J11" s="32">
        <f t="shared" si="3"/>
        <v>13333.333333333334</v>
      </c>
      <c r="K11" s="10">
        <f t="shared" si="1"/>
        <v>13333.333333333334</v>
      </c>
      <c r="L11" s="10">
        <f t="shared" si="1"/>
        <v>13333.333333333334</v>
      </c>
      <c r="M11" s="10">
        <f t="shared" si="1"/>
        <v>13333.333333333334</v>
      </c>
      <c r="N11" s="10">
        <f t="shared" si="1"/>
        <v>13333.333333333334</v>
      </c>
      <c r="O11" s="10">
        <f t="shared" si="1"/>
        <v>13333.333333333334</v>
      </c>
      <c r="P11" s="10">
        <f t="shared" si="1"/>
        <v>13333.333333333334</v>
      </c>
      <c r="Q11" s="10">
        <f t="shared" si="1"/>
        <v>13333.333333333334</v>
      </c>
      <c r="R11" s="10">
        <f t="shared" si="1"/>
        <v>13333.333333333334</v>
      </c>
      <c r="S11" s="10">
        <f t="shared" si="1"/>
        <v>13333.333333333334</v>
      </c>
      <c r="T11" s="10">
        <f t="shared" si="1"/>
        <v>13333.333333333334</v>
      </c>
      <c r="U11" s="33">
        <f t="shared" si="1"/>
        <v>13333.333333333334</v>
      </c>
      <c r="V11" s="10">
        <f t="shared" si="4"/>
        <v>16666.666666666668</v>
      </c>
      <c r="W11" s="10">
        <f t="shared" si="2"/>
        <v>16666.666666666668</v>
      </c>
      <c r="X11" s="10">
        <f t="shared" si="2"/>
        <v>16666.666666666668</v>
      </c>
      <c r="Y11" s="10">
        <f t="shared" si="2"/>
        <v>16666.666666666668</v>
      </c>
      <c r="Z11" s="10">
        <f t="shared" si="2"/>
        <v>16666.666666666668</v>
      </c>
      <c r="AA11" s="10">
        <f t="shared" si="2"/>
        <v>16666.666666666668</v>
      </c>
      <c r="AB11" s="10">
        <f t="shared" si="2"/>
        <v>16666.666666666668</v>
      </c>
      <c r="AC11" s="10">
        <f t="shared" si="2"/>
        <v>16666.666666666668</v>
      </c>
      <c r="AD11" s="10">
        <f t="shared" si="2"/>
        <v>16666.666666666668</v>
      </c>
      <c r="AE11" s="10">
        <f t="shared" si="2"/>
        <v>16666.666666666668</v>
      </c>
      <c r="AF11" s="10">
        <f t="shared" si="2"/>
        <v>16666.666666666668</v>
      </c>
      <c r="AG11" s="33">
        <f t="shared" si="2"/>
        <v>16666.666666666668</v>
      </c>
    </row>
    <row r="12" spans="2:34" x14ac:dyDescent="0.2">
      <c r="C12" t="s">
        <v>146</v>
      </c>
      <c r="D12" t="s">
        <v>76</v>
      </c>
      <c r="E12" s="64">
        <f>_xlfn.XLOOKUP($C12,'Corporate Roster - ''24'!$C$6:$C$60,'Corporate Roster - ''24'!$E$6:$E$60)</f>
        <v>42573</v>
      </c>
      <c r="F12" s="64" t="str">
        <f>_xlfn.XLOOKUP($C12,'Corporate Roster - ''24'!$C$6:$C$60,'Corporate Roster - ''24'!$F$6:$F$60)</f>
        <v>-</v>
      </c>
      <c r="G12" s="32">
        <f>(MROUND(H12*0.8,1000))</f>
        <v>160000</v>
      </c>
      <c r="H12" s="33">
        <f>_xlfn.XLOOKUP($C12,'Corporate Roster - ''24'!$C$6:$C$60,'Corporate Roster - ''24'!$G$6:$G$60)</f>
        <v>200000</v>
      </c>
      <c r="J12" s="32">
        <f t="shared" si="3"/>
        <v>13333.333333333334</v>
      </c>
      <c r="K12" s="10">
        <f t="shared" si="1"/>
        <v>13333.333333333334</v>
      </c>
      <c r="L12" s="10">
        <f t="shared" si="1"/>
        <v>13333.333333333334</v>
      </c>
      <c r="M12" s="10">
        <f t="shared" si="1"/>
        <v>13333.333333333334</v>
      </c>
      <c r="N12" s="10">
        <f t="shared" si="1"/>
        <v>13333.333333333334</v>
      </c>
      <c r="O12" s="10">
        <f t="shared" si="1"/>
        <v>13333.333333333334</v>
      </c>
      <c r="P12" s="10">
        <f t="shared" si="1"/>
        <v>13333.333333333334</v>
      </c>
      <c r="Q12" s="10">
        <f t="shared" si="1"/>
        <v>13333.333333333334</v>
      </c>
      <c r="R12" s="10">
        <f t="shared" si="1"/>
        <v>13333.333333333334</v>
      </c>
      <c r="S12" s="10">
        <f t="shared" si="1"/>
        <v>13333.333333333334</v>
      </c>
      <c r="T12" s="10">
        <f t="shared" si="1"/>
        <v>13333.333333333334</v>
      </c>
      <c r="U12" s="33">
        <f t="shared" si="1"/>
        <v>13333.333333333334</v>
      </c>
      <c r="V12" s="10">
        <f t="shared" si="4"/>
        <v>16666.666666666668</v>
      </c>
      <c r="W12" s="10">
        <f t="shared" si="2"/>
        <v>16666.666666666668</v>
      </c>
      <c r="X12" s="10">
        <f t="shared" si="2"/>
        <v>16666.666666666668</v>
      </c>
      <c r="Y12" s="10">
        <f t="shared" si="2"/>
        <v>16666.666666666668</v>
      </c>
      <c r="Z12" s="10">
        <f t="shared" si="2"/>
        <v>16666.666666666668</v>
      </c>
      <c r="AA12" s="10">
        <f t="shared" si="2"/>
        <v>16666.666666666668</v>
      </c>
      <c r="AB12" s="10">
        <f t="shared" si="2"/>
        <v>16666.666666666668</v>
      </c>
      <c r="AC12" s="10">
        <f t="shared" si="2"/>
        <v>16666.666666666668</v>
      </c>
      <c r="AD12" s="10">
        <f t="shared" si="2"/>
        <v>16666.666666666668</v>
      </c>
      <c r="AE12" s="10">
        <f t="shared" si="2"/>
        <v>16666.666666666668</v>
      </c>
      <c r="AF12" s="10">
        <f t="shared" si="2"/>
        <v>16666.666666666668</v>
      </c>
      <c r="AG12" s="33">
        <f t="shared" si="2"/>
        <v>16666.666666666668</v>
      </c>
    </row>
    <row r="13" spans="2:34" x14ac:dyDescent="0.2">
      <c r="C13" t="s">
        <v>77</v>
      </c>
      <c r="D13" t="s">
        <v>78</v>
      </c>
      <c r="E13" s="64">
        <f>_xlfn.XLOOKUP($C13,'Corporate Roster - ''24'!$C$6:$C$60,'Corporate Roster - ''24'!$E$6:$E$60)</f>
        <v>38481</v>
      </c>
      <c r="F13" s="64" t="str">
        <f>_xlfn.XLOOKUP($C13,'Corporate Roster - ''24'!$C$6:$C$60,'Corporate Roster - ''24'!$F$6:$F$60)</f>
        <v>-</v>
      </c>
      <c r="G13" s="32">
        <f t="shared" si="5"/>
        <v>180000</v>
      </c>
      <c r="H13" s="33">
        <f>_xlfn.XLOOKUP($C13,'Corporate Roster - ''24'!$C$6:$C$60,'Corporate Roster - ''24'!$G$6:$G$60)</f>
        <v>180000</v>
      </c>
      <c r="J13" s="32">
        <f t="shared" si="3"/>
        <v>15000</v>
      </c>
      <c r="K13" s="10">
        <f t="shared" si="1"/>
        <v>15000</v>
      </c>
      <c r="L13" s="10">
        <f t="shared" si="1"/>
        <v>15000</v>
      </c>
      <c r="M13" s="10">
        <f t="shared" si="1"/>
        <v>15000</v>
      </c>
      <c r="N13" s="10">
        <f t="shared" si="1"/>
        <v>15000</v>
      </c>
      <c r="O13" s="10">
        <f t="shared" si="1"/>
        <v>15000</v>
      </c>
      <c r="P13" s="10">
        <f t="shared" si="1"/>
        <v>15000</v>
      </c>
      <c r="Q13" s="10">
        <f t="shared" si="1"/>
        <v>15000</v>
      </c>
      <c r="R13" s="10">
        <f t="shared" si="1"/>
        <v>15000</v>
      </c>
      <c r="S13" s="10">
        <f t="shared" si="1"/>
        <v>15000</v>
      </c>
      <c r="T13" s="10">
        <f t="shared" si="1"/>
        <v>15000</v>
      </c>
      <c r="U13" s="33">
        <f t="shared" si="1"/>
        <v>15000</v>
      </c>
      <c r="V13" s="10">
        <f t="shared" si="4"/>
        <v>15000</v>
      </c>
      <c r="W13" s="10">
        <f t="shared" si="2"/>
        <v>15000</v>
      </c>
      <c r="X13" s="10">
        <f t="shared" si="2"/>
        <v>15000</v>
      </c>
      <c r="Y13" s="10">
        <f t="shared" si="2"/>
        <v>15000</v>
      </c>
      <c r="Z13" s="10">
        <f t="shared" si="2"/>
        <v>15000</v>
      </c>
      <c r="AA13" s="10">
        <f t="shared" si="2"/>
        <v>15000</v>
      </c>
      <c r="AB13" s="10">
        <f t="shared" si="2"/>
        <v>15000</v>
      </c>
      <c r="AC13" s="10">
        <f t="shared" si="2"/>
        <v>15000</v>
      </c>
      <c r="AD13" s="10">
        <f t="shared" si="2"/>
        <v>15000</v>
      </c>
      <c r="AE13" s="10">
        <f t="shared" si="2"/>
        <v>15000</v>
      </c>
      <c r="AF13" s="10">
        <f t="shared" si="2"/>
        <v>15000</v>
      </c>
      <c r="AG13" s="33">
        <f t="shared" si="2"/>
        <v>15000</v>
      </c>
    </row>
    <row r="14" spans="2:34" x14ac:dyDescent="0.2">
      <c r="C14" t="s">
        <v>79</v>
      </c>
      <c r="D14" t="s">
        <v>80</v>
      </c>
      <c r="E14" s="64">
        <f>_xlfn.XLOOKUP($C14,'Corporate Roster - ''24'!$C$6:$C$60,'Corporate Roster - ''24'!$E$6:$E$60)</f>
        <v>38427</v>
      </c>
      <c r="F14" s="64" t="str">
        <f>_xlfn.XLOOKUP($C14,'Corporate Roster - ''24'!$C$6:$C$60,'Corporate Roster - ''24'!$F$6:$F$60)</f>
        <v>-</v>
      </c>
      <c r="G14" s="32">
        <f t="shared" si="5"/>
        <v>160000</v>
      </c>
      <c r="H14" s="33">
        <f>_xlfn.XLOOKUP($C14,'Corporate Roster - ''24'!$C$6:$C$60,'Corporate Roster - ''24'!$G$6:$G$60)</f>
        <v>160000</v>
      </c>
      <c r="J14" s="32">
        <f t="shared" si="3"/>
        <v>13333.333333333334</v>
      </c>
      <c r="K14" s="10">
        <f t="shared" si="1"/>
        <v>13333.333333333334</v>
      </c>
      <c r="L14" s="10">
        <f t="shared" si="1"/>
        <v>13333.333333333334</v>
      </c>
      <c r="M14" s="10">
        <f t="shared" si="1"/>
        <v>13333.333333333334</v>
      </c>
      <c r="N14" s="10">
        <f t="shared" si="1"/>
        <v>13333.333333333334</v>
      </c>
      <c r="O14" s="10">
        <f t="shared" si="1"/>
        <v>13333.333333333334</v>
      </c>
      <c r="P14" s="10">
        <f t="shared" si="1"/>
        <v>13333.333333333334</v>
      </c>
      <c r="Q14" s="10">
        <f t="shared" si="1"/>
        <v>13333.333333333334</v>
      </c>
      <c r="R14" s="10">
        <f t="shared" si="1"/>
        <v>13333.333333333334</v>
      </c>
      <c r="S14" s="10">
        <f t="shared" si="1"/>
        <v>13333.333333333334</v>
      </c>
      <c r="T14" s="10">
        <f t="shared" si="1"/>
        <v>13333.333333333334</v>
      </c>
      <c r="U14" s="33">
        <f t="shared" si="1"/>
        <v>13333.333333333334</v>
      </c>
      <c r="V14" s="10">
        <f t="shared" si="4"/>
        <v>13333.333333333334</v>
      </c>
      <c r="W14" s="10">
        <f t="shared" si="2"/>
        <v>13333.333333333334</v>
      </c>
      <c r="X14" s="10">
        <f t="shared" si="2"/>
        <v>13333.333333333334</v>
      </c>
      <c r="Y14" s="10">
        <f t="shared" si="2"/>
        <v>13333.333333333334</v>
      </c>
      <c r="Z14" s="10">
        <f t="shared" si="2"/>
        <v>13333.333333333334</v>
      </c>
      <c r="AA14" s="10">
        <f t="shared" si="2"/>
        <v>13333.333333333334</v>
      </c>
      <c r="AB14" s="10">
        <f t="shared" si="2"/>
        <v>13333.333333333334</v>
      </c>
      <c r="AC14" s="10">
        <f t="shared" si="2"/>
        <v>13333.333333333334</v>
      </c>
      <c r="AD14" s="10">
        <f t="shared" si="2"/>
        <v>13333.333333333334</v>
      </c>
      <c r="AE14" s="10">
        <f t="shared" si="2"/>
        <v>13333.333333333334</v>
      </c>
      <c r="AF14" s="10">
        <f t="shared" si="2"/>
        <v>13333.333333333334</v>
      </c>
      <c r="AG14" s="33">
        <f t="shared" si="2"/>
        <v>13333.333333333334</v>
      </c>
    </row>
    <row r="15" spans="2:34" x14ac:dyDescent="0.2">
      <c r="C15" t="s">
        <v>147</v>
      </c>
      <c r="D15" t="s">
        <v>82</v>
      </c>
      <c r="E15" s="64">
        <f>_xlfn.XLOOKUP($C15,'Corporate Roster - ''24'!$C$6:$C$60,'Corporate Roster - ''24'!$E$6:$E$60)</f>
        <v>42696</v>
      </c>
      <c r="F15" s="64" t="str">
        <f>_xlfn.XLOOKUP($C15,'Corporate Roster - ''24'!$C$6:$C$60,'Corporate Roster - ''24'!$F$6:$F$60)</f>
        <v>-</v>
      </c>
      <c r="G15" s="32">
        <f>(MROUND(H15*0.95,1000))</f>
        <v>152000</v>
      </c>
      <c r="H15" s="33">
        <f>_xlfn.XLOOKUP($C15,'Corporate Roster - ''24'!$C$6:$C$60,'Corporate Roster - ''24'!$G$6:$G$60)</f>
        <v>160000</v>
      </c>
      <c r="J15" s="32">
        <f t="shared" si="3"/>
        <v>12666.666666666666</v>
      </c>
      <c r="K15" s="10">
        <f t="shared" si="1"/>
        <v>12666.666666666666</v>
      </c>
      <c r="L15" s="10">
        <f t="shared" si="1"/>
        <v>12666.666666666666</v>
      </c>
      <c r="M15" s="10">
        <f t="shared" si="1"/>
        <v>12666.666666666666</v>
      </c>
      <c r="N15" s="10">
        <f t="shared" si="1"/>
        <v>12666.666666666666</v>
      </c>
      <c r="O15" s="10">
        <f t="shared" si="1"/>
        <v>12666.666666666666</v>
      </c>
      <c r="P15" s="10">
        <f t="shared" si="1"/>
        <v>12666.666666666666</v>
      </c>
      <c r="Q15" s="10">
        <f t="shared" si="1"/>
        <v>12666.666666666666</v>
      </c>
      <c r="R15" s="10">
        <f t="shared" si="1"/>
        <v>12666.666666666666</v>
      </c>
      <c r="S15" s="10">
        <f t="shared" si="1"/>
        <v>12666.666666666666</v>
      </c>
      <c r="T15" s="10">
        <f t="shared" si="1"/>
        <v>12666.666666666666</v>
      </c>
      <c r="U15" s="33">
        <f t="shared" si="1"/>
        <v>12666.666666666666</v>
      </c>
      <c r="V15" s="10">
        <f t="shared" si="4"/>
        <v>13333.333333333334</v>
      </c>
      <c r="W15" s="10">
        <f t="shared" si="2"/>
        <v>13333.333333333334</v>
      </c>
      <c r="X15" s="10">
        <f t="shared" si="2"/>
        <v>13333.333333333334</v>
      </c>
      <c r="Y15" s="10">
        <f t="shared" si="2"/>
        <v>13333.333333333334</v>
      </c>
      <c r="Z15" s="10">
        <f t="shared" si="2"/>
        <v>13333.333333333334</v>
      </c>
      <c r="AA15" s="10">
        <f t="shared" si="2"/>
        <v>13333.333333333334</v>
      </c>
      <c r="AB15" s="10">
        <f t="shared" si="2"/>
        <v>13333.333333333334</v>
      </c>
      <c r="AC15" s="10">
        <f t="shared" si="2"/>
        <v>13333.333333333334</v>
      </c>
      <c r="AD15" s="10">
        <f t="shared" si="2"/>
        <v>13333.333333333334</v>
      </c>
      <c r="AE15" s="10">
        <f t="shared" si="2"/>
        <v>13333.333333333334</v>
      </c>
      <c r="AF15" s="10">
        <f t="shared" si="2"/>
        <v>13333.333333333334</v>
      </c>
      <c r="AG15" s="33">
        <f t="shared" si="2"/>
        <v>13333.333333333334</v>
      </c>
    </row>
    <row r="16" spans="2:34" x14ac:dyDescent="0.2">
      <c r="C16" t="s">
        <v>83</v>
      </c>
      <c r="D16" t="s">
        <v>84</v>
      </c>
      <c r="E16" s="64">
        <f>_xlfn.XLOOKUP($C16,'Corporate Roster - ''24'!$C$6:$C$60,'Corporate Roster - ''24'!$E$6:$E$60)</f>
        <v>45248</v>
      </c>
      <c r="F16" s="64" t="str">
        <f>_xlfn.XLOOKUP($C16,'Corporate Roster - ''24'!$C$6:$C$60,'Corporate Roster - ''24'!$F$6:$F$60)</f>
        <v>-</v>
      </c>
      <c r="G16" s="32">
        <f t="shared" si="5"/>
        <v>150000</v>
      </c>
      <c r="H16" s="33">
        <f>_xlfn.XLOOKUP($C16,'Corporate Roster - ''24'!$C$6:$C$60,'Corporate Roster - ''24'!$G$6:$G$60)</f>
        <v>150000</v>
      </c>
      <c r="J16" s="32">
        <f t="shared" si="3"/>
        <v>0</v>
      </c>
      <c r="K16" s="10">
        <f t="shared" si="1"/>
        <v>0</v>
      </c>
      <c r="L16" s="10">
        <f t="shared" si="1"/>
        <v>0</v>
      </c>
      <c r="M16" s="10">
        <f t="shared" si="1"/>
        <v>0</v>
      </c>
      <c r="N16" s="10">
        <f t="shared" si="1"/>
        <v>0</v>
      </c>
      <c r="O16" s="10">
        <f t="shared" si="1"/>
        <v>0</v>
      </c>
      <c r="P16" s="10">
        <f t="shared" si="1"/>
        <v>0</v>
      </c>
      <c r="Q16" s="10">
        <f t="shared" si="1"/>
        <v>0</v>
      </c>
      <c r="R16" s="10">
        <f t="shared" si="1"/>
        <v>0</v>
      </c>
      <c r="S16" s="10">
        <f t="shared" si="1"/>
        <v>0</v>
      </c>
      <c r="T16" s="10">
        <f t="shared" si="1"/>
        <v>12500</v>
      </c>
      <c r="U16" s="33">
        <f t="shared" si="1"/>
        <v>12500</v>
      </c>
      <c r="V16" s="10">
        <f t="shared" si="4"/>
        <v>12500</v>
      </c>
      <c r="W16" s="10">
        <f t="shared" si="2"/>
        <v>12500</v>
      </c>
      <c r="X16" s="10">
        <f t="shared" si="2"/>
        <v>12500</v>
      </c>
      <c r="Y16" s="10">
        <f t="shared" si="2"/>
        <v>12500</v>
      </c>
      <c r="Z16" s="10">
        <f t="shared" si="2"/>
        <v>12500</v>
      </c>
      <c r="AA16" s="10">
        <f t="shared" si="2"/>
        <v>12500</v>
      </c>
      <c r="AB16" s="10">
        <f t="shared" si="2"/>
        <v>12500</v>
      </c>
      <c r="AC16" s="10">
        <f t="shared" si="2"/>
        <v>12500</v>
      </c>
      <c r="AD16" s="10">
        <f t="shared" si="2"/>
        <v>12500</v>
      </c>
      <c r="AE16" s="10">
        <f t="shared" si="2"/>
        <v>12500</v>
      </c>
      <c r="AF16" s="10">
        <f t="shared" si="2"/>
        <v>12500</v>
      </c>
      <c r="AG16" s="33">
        <f t="shared" si="2"/>
        <v>12500</v>
      </c>
    </row>
    <row r="17" spans="3:33" x14ac:dyDescent="0.2">
      <c r="C17" t="s">
        <v>85</v>
      </c>
      <c r="D17" t="s">
        <v>86</v>
      </c>
      <c r="E17" s="64">
        <f>_xlfn.XLOOKUP($C17,'Corporate Roster - ''24'!$C$6:$C$60,'Corporate Roster - ''24'!$E$6:$E$60)</f>
        <v>42458</v>
      </c>
      <c r="F17" s="64" t="str">
        <f>_xlfn.XLOOKUP($C17,'Corporate Roster - ''24'!$C$6:$C$60,'Corporate Roster - ''24'!$F$6:$F$60)</f>
        <v>-</v>
      </c>
      <c r="G17" s="32">
        <f>(MROUND(H17*0.8,1000))</f>
        <v>96000</v>
      </c>
      <c r="H17" s="33">
        <f>_xlfn.XLOOKUP($C17,'Corporate Roster - ''24'!$C$6:$C$60,'Corporate Roster - ''24'!$G$6:$G$60)</f>
        <v>120000</v>
      </c>
      <c r="J17" s="32">
        <f t="shared" si="3"/>
        <v>8000</v>
      </c>
      <c r="K17" s="10">
        <f t="shared" si="1"/>
        <v>8000</v>
      </c>
      <c r="L17" s="10">
        <f t="shared" si="1"/>
        <v>8000</v>
      </c>
      <c r="M17" s="10">
        <f t="shared" si="1"/>
        <v>8000</v>
      </c>
      <c r="N17" s="10">
        <f t="shared" si="1"/>
        <v>8000</v>
      </c>
      <c r="O17" s="10">
        <f t="shared" si="1"/>
        <v>8000</v>
      </c>
      <c r="P17" s="10">
        <f t="shared" si="1"/>
        <v>8000</v>
      </c>
      <c r="Q17" s="10">
        <f t="shared" si="1"/>
        <v>8000</v>
      </c>
      <c r="R17" s="10">
        <f t="shared" si="1"/>
        <v>8000</v>
      </c>
      <c r="S17" s="10">
        <f t="shared" si="1"/>
        <v>8000</v>
      </c>
      <c r="T17" s="10">
        <f t="shared" si="1"/>
        <v>8000</v>
      </c>
      <c r="U17" s="33">
        <f t="shared" si="1"/>
        <v>8000</v>
      </c>
      <c r="V17" s="10">
        <f t="shared" si="4"/>
        <v>10000</v>
      </c>
      <c r="W17" s="10">
        <f t="shared" si="2"/>
        <v>10000</v>
      </c>
      <c r="X17" s="10">
        <f t="shared" si="2"/>
        <v>10000</v>
      </c>
      <c r="Y17" s="10">
        <f t="shared" si="2"/>
        <v>10000</v>
      </c>
      <c r="Z17" s="10">
        <f t="shared" si="2"/>
        <v>10000</v>
      </c>
      <c r="AA17" s="10">
        <f t="shared" si="2"/>
        <v>10000</v>
      </c>
      <c r="AB17" s="10">
        <f t="shared" si="2"/>
        <v>10000</v>
      </c>
      <c r="AC17" s="10">
        <f t="shared" si="2"/>
        <v>10000</v>
      </c>
      <c r="AD17" s="10">
        <f t="shared" si="2"/>
        <v>10000</v>
      </c>
      <c r="AE17" s="10">
        <f t="shared" si="2"/>
        <v>10000</v>
      </c>
      <c r="AF17" s="10">
        <f t="shared" si="2"/>
        <v>10000</v>
      </c>
      <c r="AG17" s="33">
        <f t="shared" si="2"/>
        <v>10000</v>
      </c>
    </row>
    <row r="18" spans="3:33" x14ac:dyDescent="0.2">
      <c r="C18" t="s">
        <v>87</v>
      </c>
      <c r="D18" t="s">
        <v>88</v>
      </c>
      <c r="E18" s="64">
        <f>_xlfn.XLOOKUP($C18,'Corporate Roster - ''24'!$C$6:$C$60,'Corporate Roster - ''24'!$E$6:$E$60)</f>
        <v>41921</v>
      </c>
      <c r="F18" s="64" t="str">
        <f>_xlfn.XLOOKUP($C18,'Corporate Roster - ''24'!$C$6:$C$60,'Corporate Roster - ''24'!$F$6:$F$60)</f>
        <v>-</v>
      </c>
      <c r="G18" s="32">
        <f t="shared" si="5"/>
        <v>130000</v>
      </c>
      <c r="H18" s="33">
        <f>_xlfn.XLOOKUP($C18,'Corporate Roster - ''24'!$C$6:$C$60,'Corporate Roster - ''24'!$G$6:$G$60)</f>
        <v>130000</v>
      </c>
      <c r="J18" s="32">
        <f t="shared" si="3"/>
        <v>10833.333333333334</v>
      </c>
      <c r="K18" s="10">
        <f t="shared" si="1"/>
        <v>10833.333333333334</v>
      </c>
      <c r="L18" s="10">
        <f t="shared" si="1"/>
        <v>10833.333333333334</v>
      </c>
      <c r="M18" s="10">
        <f t="shared" si="1"/>
        <v>10833.333333333334</v>
      </c>
      <c r="N18" s="10">
        <f t="shared" si="1"/>
        <v>10833.333333333334</v>
      </c>
      <c r="O18" s="10">
        <f t="shared" si="1"/>
        <v>10833.333333333334</v>
      </c>
      <c r="P18" s="10">
        <f t="shared" si="1"/>
        <v>10833.333333333334</v>
      </c>
      <c r="Q18" s="10">
        <f t="shared" si="1"/>
        <v>10833.333333333334</v>
      </c>
      <c r="R18" s="10">
        <f t="shared" si="1"/>
        <v>10833.333333333334</v>
      </c>
      <c r="S18" s="10">
        <f t="shared" si="1"/>
        <v>10833.333333333334</v>
      </c>
      <c r="T18" s="10">
        <f t="shared" si="1"/>
        <v>10833.333333333334</v>
      </c>
      <c r="U18" s="33">
        <f t="shared" si="1"/>
        <v>10833.333333333334</v>
      </c>
      <c r="V18" s="10">
        <f t="shared" si="4"/>
        <v>10833.333333333334</v>
      </c>
      <c r="W18" s="10">
        <f t="shared" si="2"/>
        <v>10833.333333333334</v>
      </c>
      <c r="X18" s="10">
        <f t="shared" si="2"/>
        <v>10833.333333333334</v>
      </c>
      <c r="Y18" s="10">
        <f t="shared" si="2"/>
        <v>10833.333333333334</v>
      </c>
      <c r="Z18" s="10">
        <f t="shared" si="2"/>
        <v>10833.333333333334</v>
      </c>
      <c r="AA18" s="10">
        <f t="shared" si="2"/>
        <v>10833.333333333334</v>
      </c>
      <c r="AB18" s="10">
        <f t="shared" si="2"/>
        <v>10833.333333333334</v>
      </c>
      <c r="AC18" s="10">
        <f t="shared" si="2"/>
        <v>10833.333333333334</v>
      </c>
      <c r="AD18" s="10">
        <f t="shared" si="2"/>
        <v>10833.333333333334</v>
      </c>
      <c r="AE18" s="10">
        <f t="shared" si="2"/>
        <v>10833.333333333334</v>
      </c>
      <c r="AF18" s="10">
        <f t="shared" si="2"/>
        <v>10833.333333333334</v>
      </c>
      <c r="AG18" s="33">
        <f t="shared" si="2"/>
        <v>10833.333333333334</v>
      </c>
    </row>
    <row r="19" spans="3:33" x14ac:dyDescent="0.2">
      <c r="C19" t="s">
        <v>89</v>
      </c>
      <c r="D19" t="s">
        <v>90</v>
      </c>
      <c r="E19" s="64">
        <f>_xlfn.XLOOKUP($C19,'Corporate Roster - ''24'!$C$6:$C$60,'Corporate Roster - ''24'!$E$6:$E$60)</f>
        <v>40143</v>
      </c>
      <c r="F19" s="64" t="str">
        <f>_xlfn.XLOOKUP($C19,'Corporate Roster - ''24'!$C$6:$C$60,'Corporate Roster - ''24'!$F$6:$F$60)</f>
        <v>-</v>
      </c>
      <c r="G19" s="32">
        <f>(MROUND(H19*0.8,1000))</f>
        <v>104000</v>
      </c>
      <c r="H19" s="33">
        <f>_xlfn.XLOOKUP($C19,'Corporate Roster - ''24'!$C$6:$C$60,'Corporate Roster - ''24'!$G$6:$G$60)</f>
        <v>130000</v>
      </c>
      <c r="J19" s="32">
        <f t="shared" si="3"/>
        <v>8666.6666666666661</v>
      </c>
      <c r="K19" s="10">
        <f t="shared" si="1"/>
        <v>8666.6666666666661</v>
      </c>
      <c r="L19" s="10">
        <f t="shared" si="1"/>
        <v>8666.6666666666661</v>
      </c>
      <c r="M19" s="10">
        <f t="shared" si="1"/>
        <v>8666.6666666666661</v>
      </c>
      <c r="N19" s="10">
        <f t="shared" si="1"/>
        <v>8666.6666666666661</v>
      </c>
      <c r="O19" s="10">
        <f t="shared" si="1"/>
        <v>8666.6666666666661</v>
      </c>
      <c r="P19" s="10">
        <f t="shared" si="1"/>
        <v>8666.6666666666661</v>
      </c>
      <c r="Q19" s="10">
        <f t="shared" si="1"/>
        <v>8666.6666666666661</v>
      </c>
      <c r="R19" s="10">
        <f t="shared" si="1"/>
        <v>8666.6666666666661</v>
      </c>
      <c r="S19" s="10">
        <f t="shared" si="1"/>
        <v>8666.6666666666661</v>
      </c>
      <c r="T19" s="10">
        <f t="shared" si="1"/>
        <v>8666.6666666666661</v>
      </c>
      <c r="U19" s="33">
        <f t="shared" si="1"/>
        <v>8666.6666666666661</v>
      </c>
      <c r="V19" s="10">
        <f t="shared" si="4"/>
        <v>10833.333333333334</v>
      </c>
      <c r="W19" s="10">
        <f t="shared" si="2"/>
        <v>10833.333333333334</v>
      </c>
      <c r="X19" s="10">
        <f t="shared" si="2"/>
        <v>10833.333333333334</v>
      </c>
      <c r="Y19" s="10">
        <f t="shared" si="2"/>
        <v>10833.333333333334</v>
      </c>
      <c r="Z19" s="10">
        <f t="shared" si="2"/>
        <v>10833.333333333334</v>
      </c>
      <c r="AA19" s="10">
        <f t="shared" si="2"/>
        <v>10833.333333333334</v>
      </c>
      <c r="AB19" s="10">
        <f t="shared" si="2"/>
        <v>10833.333333333334</v>
      </c>
      <c r="AC19" s="10">
        <f t="shared" si="2"/>
        <v>10833.333333333334</v>
      </c>
      <c r="AD19" s="10">
        <f t="shared" si="2"/>
        <v>10833.333333333334</v>
      </c>
      <c r="AE19" s="10">
        <f t="shared" si="2"/>
        <v>10833.333333333334</v>
      </c>
      <c r="AF19" s="10">
        <f t="shared" si="2"/>
        <v>10833.333333333334</v>
      </c>
      <c r="AG19" s="33">
        <f t="shared" si="2"/>
        <v>10833.333333333334</v>
      </c>
    </row>
    <row r="20" spans="3:33" x14ac:dyDescent="0.2">
      <c r="C20" t="s">
        <v>81</v>
      </c>
      <c r="D20" t="s">
        <v>91</v>
      </c>
      <c r="E20" s="64">
        <f>_xlfn.XLOOKUP($C20,'Corporate Roster - ''24'!$C$6:$C$60,'Corporate Roster - ''24'!$E$6:$E$60)</f>
        <v>40811</v>
      </c>
      <c r="F20" s="64" t="str">
        <f>_xlfn.XLOOKUP($C20,'Corporate Roster - ''24'!$C$6:$C$60,'Corporate Roster - ''24'!$F$6:$F$60)</f>
        <v>-</v>
      </c>
      <c r="G20" s="32">
        <f t="shared" si="5"/>
        <v>110000</v>
      </c>
      <c r="H20" s="33">
        <f>_xlfn.XLOOKUP($C20,'Corporate Roster - ''24'!$C$6:$C$60,'Corporate Roster - ''24'!$G$6:$G$60)</f>
        <v>110000</v>
      </c>
      <c r="J20" s="32">
        <f t="shared" si="3"/>
        <v>9166.6666666666661</v>
      </c>
      <c r="K20" s="10">
        <f t="shared" si="1"/>
        <v>9166.6666666666661</v>
      </c>
      <c r="L20" s="10">
        <f t="shared" si="1"/>
        <v>9166.6666666666661</v>
      </c>
      <c r="M20" s="10">
        <f t="shared" si="1"/>
        <v>9166.6666666666661</v>
      </c>
      <c r="N20" s="10">
        <f t="shared" si="1"/>
        <v>9166.6666666666661</v>
      </c>
      <c r="O20" s="10">
        <f t="shared" si="1"/>
        <v>9166.6666666666661</v>
      </c>
      <c r="P20" s="10">
        <f t="shared" si="1"/>
        <v>9166.6666666666661</v>
      </c>
      <c r="Q20" s="10">
        <f t="shared" si="1"/>
        <v>9166.6666666666661</v>
      </c>
      <c r="R20" s="10">
        <f t="shared" si="1"/>
        <v>9166.6666666666661</v>
      </c>
      <c r="S20" s="10">
        <f t="shared" si="1"/>
        <v>9166.6666666666661</v>
      </c>
      <c r="T20" s="10">
        <f t="shared" si="1"/>
        <v>9166.6666666666661</v>
      </c>
      <c r="U20" s="33">
        <f t="shared" si="1"/>
        <v>9166.6666666666661</v>
      </c>
      <c r="V20" s="10">
        <f t="shared" si="4"/>
        <v>9166.6666666666661</v>
      </c>
      <c r="W20" s="10">
        <f t="shared" si="2"/>
        <v>9166.6666666666661</v>
      </c>
      <c r="X20" s="10">
        <f t="shared" si="2"/>
        <v>9166.6666666666661</v>
      </c>
      <c r="Y20" s="10">
        <f t="shared" si="2"/>
        <v>9166.6666666666661</v>
      </c>
      <c r="Z20" s="10">
        <f t="shared" si="2"/>
        <v>9166.6666666666661</v>
      </c>
      <c r="AA20" s="10">
        <f t="shared" si="2"/>
        <v>9166.6666666666661</v>
      </c>
      <c r="AB20" s="10">
        <f t="shared" si="2"/>
        <v>9166.6666666666661</v>
      </c>
      <c r="AC20" s="10">
        <f t="shared" si="2"/>
        <v>9166.6666666666661</v>
      </c>
      <c r="AD20" s="10">
        <f t="shared" si="2"/>
        <v>9166.6666666666661</v>
      </c>
      <c r="AE20" s="10">
        <f t="shared" si="2"/>
        <v>9166.6666666666661</v>
      </c>
      <c r="AF20" s="10">
        <f t="shared" si="2"/>
        <v>9166.6666666666661</v>
      </c>
      <c r="AG20" s="33">
        <f t="shared" si="2"/>
        <v>9166.6666666666661</v>
      </c>
    </row>
    <row r="21" spans="3:33" x14ac:dyDescent="0.2">
      <c r="C21" t="s">
        <v>92</v>
      </c>
      <c r="D21" t="s">
        <v>93</v>
      </c>
      <c r="E21" s="64">
        <f>_xlfn.XLOOKUP($C21,'Corporate Roster - ''24'!$C$6:$C$60,'Corporate Roster - ''24'!$E$6:$E$60)</f>
        <v>43400</v>
      </c>
      <c r="F21" s="64" t="str">
        <f>_xlfn.XLOOKUP($C21,'Corporate Roster - ''24'!$C$6:$C$60,'Corporate Roster - ''24'!$F$6:$F$60)</f>
        <v>-</v>
      </c>
      <c r="G21" s="32">
        <f>(MROUND(H21*0.95,1000))</f>
        <v>114000</v>
      </c>
      <c r="H21" s="33">
        <f>_xlfn.XLOOKUP($C21,'Corporate Roster - ''24'!$C$6:$C$60,'Corporate Roster - ''24'!$G$6:$G$60)</f>
        <v>120000</v>
      </c>
      <c r="J21" s="32">
        <f t="shared" si="3"/>
        <v>9500</v>
      </c>
      <c r="K21" s="10">
        <f t="shared" si="1"/>
        <v>9500</v>
      </c>
      <c r="L21" s="10">
        <f t="shared" si="1"/>
        <v>9500</v>
      </c>
      <c r="M21" s="10">
        <f t="shared" si="1"/>
        <v>9500</v>
      </c>
      <c r="N21" s="10">
        <f t="shared" si="1"/>
        <v>9500</v>
      </c>
      <c r="O21" s="10">
        <f t="shared" si="1"/>
        <v>9500</v>
      </c>
      <c r="P21" s="10">
        <f t="shared" si="1"/>
        <v>9500</v>
      </c>
      <c r="Q21" s="10">
        <f t="shared" si="1"/>
        <v>9500</v>
      </c>
      <c r="R21" s="10">
        <f t="shared" si="1"/>
        <v>9500</v>
      </c>
      <c r="S21" s="10">
        <f t="shared" si="1"/>
        <v>9500</v>
      </c>
      <c r="T21" s="10">
        <f t="shared" si="1"/>
        <v>9500</v>
      </c>
      <c r="U21" s="33">
        <f t="shared" si="1"/>
        <v>9500</v>
      </c>
      <c r="V21" s="10">
        <f t="shared" si="4"/>
        <v>10000</v>
      </c>
      <c r="W21" s="10">
        <f t="shared" si="2"/>
        <v>10000</v>
      </c>
      <c r="X21" s="10">
        <f t="shared" si="2"/>
        <v>10000</v>
      </c>
      <c r="Y21" s="10">
        <f t="shared" si="2"/>
        <v>10000</v>
      </c>
      <c r="Z21" s="10">
        <f t="shared" si="2"/>
        <v>10000</v>
      </c>
      <c r="AA21" s="10">
        <f t="shared" si="2"/>
        <v>10000</v>
      </c>
      <c r="AB21" s="10">
        <f t="shared" si="2"/>
        <v>10000</v>
      </c>
      <c r="AC21" s="10">
        <f t="shared" si="2"/>
        <v>10000</v>
      </c>
      <c r="AD21" s="10">
        <f t="shared" si="2"/>
        <v>10000</v>
      </c>
      <c r="AE21" s="10">
        <f t="shared" si="2"/>
        <v>10000</v>
      </c>
      <c r="AF21" s="10">
        <f t="shared" si="2"/>
        <v>10000</v>
      </c>
      <c r="AG21" s="33">
        <f t="shared" si="2"/>
        <v>10000</v>
      </c>
    </row>
    <row r="22" spans="3:33" x14ac:dyDescent="0.2">
      <c r="C22" t="s">
        <v>94</v>
      </c>
      <c r="D22" t="s">
        <v>95</v>
      </c>
      <c r="E22" s="64">
        <f>_xlfn.XLOOKUP($C22,'Corporate Roster - ''24'!$C$6:$C$60,'Corporate Roster - ''24'!$E$6:$E$60)</f>
        <v>40031</v>
      </c>
      <c r="F22" s="64" t="str">
        <f>_xlfn.XLOOKUP($C22,'Corporate Roster - ''24'!$C$6:$C$60,'Corporate Roster - ''24'!$F$6:$F$60)</f>
        <v>-</v>
      </c>
      <c r="G22" s="32">
        <f>(MROUND(H22*0.8,1000))</f>
        <v>112000</v>
      </c>
      <c r="H22" s="33">
        <f>_xlfn.XLOOKUP($C22,'Corporate Roster - ''24'!$C$6:$C$60,'Corporate Roster - ''24'!$G$6:$G$60)</f>
        <v>140000</v>
      </c>
      <c r="J22" s="32">
        <f t="shared" si="3"/>
        <v>9333.3333333333339</v>
      </c>
      <c r="K22" s="10">
        <f t="shared" si="1"/>
        <v>9333.3333333333339</v>
      </c>
      <c r="L22" s="10">
        <f t="shared" si="1"/>
        <v>9333.3333333333339</v>
      </c>
      <c r="M22" s="10">
        <f t="shared" si="1"/>
        <v>9333.3333333333339</v>
      </c>
      <c r="N22" s="10">
        <f t="shared" si="1"/>
        <v>9333.3333333333339</v>
      </c>
      <c r="O22" s="10">
        <f t="shared" si="1"/>
        <v>9333.3333333333339</v>
      </c>
      <c r="P22" s="10">
        <f t="shared" si="1"/>
        <v>9333.3333333333339</v>
      </c>
      <c r="Q22" s="10">
        <f t="shared" si="1"/>
        <v>9333.3333333333339</v>
      </c>
      <c r="R22" s="10">
        <f t="shared" si="1"/>
        <v>9333.3333333333339</v>
      </c>
      <c r="S22" s="10">
        <f t="shared" si="1"/>
        <v>9333.3333333333339</v>
      </c>
      <c r="T22" s="10">
        <f t="shared" si="1"/>
        <v>9333.3333333333339</v>
      </c>
      <c r="U22" s="33">
        <f t="shared" si="1"/>
        <v>9333.3333333333339</v>
      </c>
      <c r="V22" s="10">
        <f t="shared" si="4"/>
        <v>11666.666666666666</v>
      </c>
      <c r="W22" s="10">
        <f t="shared" si="2"/>
        <v>11666.666666666666</v>
      </c>
      <c r="X22" s="10">
        <f t="shared" si="2"/>
        <v>11666.666666666666</v>
      </c>
      <c r="Y22" s="10">
        <f t="shared" si="2"/>
        <v>11666.666666666666</v>
      </c>
      <c r="Z22" s="10">
        <f t="shared" si="2"/>
        <v>11666.666666666666</v>
      </c>
      <c r="AA22" s="10">
        <f t="shared" si="2"/>
        <v>11666.666666666666</v>
      </c>
      <c r="AB22" s="10">
        <f t="shared" si="2"/>
        <v>11666.666666666666</v>
      </c>
      <c r="AC22" s="10">
        <f t="shared" si="2"/>
        <v>11666.666666666666</v>
      </c>
      <c r="AD22" s="10">
        <f t="shared" si="2"/>
        <v>11666.666666666666</v>
      </c>
      <c r="AE22" s="10">
        <f t="shared" si="2"/>
        <v>11666.666666666666</v>
      </c>
      <c r="AF22" s="10">
        <f t="shared" si="2"/>
        <v>11666.666666666666</v>
      </c>
      <c r="AG22" s="33">
        <f t="shared" si="2"/>
        <v>11666.666666666666</v>
      </c>
    </row>
    <row r="23" spans="3:33" x14ac:dyDescent="0.2">
      <c r="C23" t="s">
        <v>96</v>
      </c>
      <c r="D23" t="s">
        <v>97</v>
      </c>
      <c r="E23" s="64">
        <f>_xlfn.XLOOKUP($C23,'Corporate Roster - ''24'!$C$6:$C$60,'Corporate Roster - ''24'!$E$6:$E$60)</f>
        <v>44978</v>
      </c>
      <c r="F23" s="64" t="str">
        <f>_xlfn.XLOOKUP($C23,'Corporate Roster - ''24'!$C$6:$C$60,'Corporate Roster - ''24'!$F$6:$F$60)</f>
        <v>-</v>
      </c>
      <c r="G23" s="32">
        <f t="shared" si="5"/>
        <v>100000</v>
      </c>
      <c r="H23" s="33">
        <f>_xlfn.XLOOKUP($C23,'Corporate Roster - ''24'!$C$6:$C$60,'Corporate Roster - ''24'!$G$6:$G$60)</f>
        <v>100000</v>
      </c>
      <c r="J23" s="32">
        <f t="shared" si="3"/>
        <v>0</v>
      </c>
      <c r="K23" s="10">
        <f t="shared" si="3"/>
        <v>8333.3333333333339</v>
      </c>
      <c r="L23" s="10">
        <f t="shared" si="3"/>
        <v>8333.3333333333339</v>
      </c>
      <c r="M23" s="10">
        <f t="shared" si="3"/>
        <v>8333.3333333333339</v>
      </c>
      <c r="N23" s="10">
        <f t="shared" si="3"/>
        <v>8333.3333333333339</v>
      </c>
      <c r="O23" s="10">
        <f t="shared" si="3"/>
        <v>8333.3333333333339</v>
      </c>
      <c r="P23" s="10">
        <f t="shared" si="3"/>
        <v>8333.3333333333339</v>
      </c>
      <c r="Q23" s="10">
        <f t="shared" si="3"/>
        <v>8333.3333333333339</v>
      </c>
      <c r="R23" s="10">
        <f t="shared" si="3"/>
        <v>8333.3333333333339</v>
      </c>
      <c r="S23" s="10">
        <f t="shared" si="3"/>
        <v>8333.3333333333339</v>
      </c>
      <c r="T23" s="10">
        <f t="shared" si="3"/>
        <v>8333.3333333333339</v>
      </c>
      <c r="U23" s="33">
        <f t="shared" si="3"/>
        <v>8333.3333333333339</v>
      </c>
      <c r="V23" s="10">
        <f t="shared" si="4"/>
        <v>8333.3333333333339</v>
      </c>
      <c r="W23" s="10">
        <f t="shared" si="4"/>
        <v>8333.3333333333339</v>
      </c>
      <c r="X23" s="10">
        <f t="shared" si="4"/>
        <v>8333.3333333333339</v>
      </c>
      <c r="Y23" s="10">
        <f t="shared" si="4"/>
        <v>8333.3333333333339</v>
      </c>
      <c r="Z23" s="10">
        <f t="shared" si="4"/>
        <v>8333.3333333333339</v>
      </c>
      <c r="AA23" s="10">
        <f t="shared" si="4"/>
        <v>8333.3333333333339</v>
      </c>
      <c r="AB23" s="10">
        <f t="shared" si="4"/>
        <v>8333.3333333333339</v>
      </c>
      <c r="AC23" s="10">
        <f t="shared" si="4"/>
        <v>8333.3333333333339</v>
      </c>
      <c r="AD23" s="10">
        <f t="shared" si="4"/>
        <v>8333.3333333333339</v>
      </c>
      <c r="AE23" s="10">
        <f t="shared" si="4"/>
        <v>8333.3333333333339</v>
      </c>
      <c r="AF23" s="10">
        <f t="shared" si="4"/>
        <v>8333.3333333333339</v>
      </c>
      <c r="AG23" s="33">
        <f t="shared" si="4"/>
        <v>8333.3333333333339</v>
      </c>
    </row>
    <row r="24" spans="3:33" x14ac:dyDescent="0.2">
      <c r="C24" t="s">
        <v>98</v>
      </c>
      <c r="D24" t="s">
        <v>99</v>
      </c>
      <c r="E24" s="64">
        <f>_xlfn.XLOOKUP($C24,'Corporate Roster - ''24'!$C$6:$C$60,'Corporate Roster - ''24'!$E$6:$E$60)</f>
        <v>41398</v>
      </c>
      <c r="F24" s="64" t="str">
        <f>_xlfn.XLOOKUP($C24,'Corporate Roster - ''24'!$C$6:$C$60,'Corporate Roster - ''24'!$F$6:$F$60)</f>
        <v>-</v>
      </c>
      <c r="G24" s="32">
        <f>(MROUND(H24*0.8,1000))</f>
        <v>64000</v>
      </c>
      <c r="H24" s="33">
        <f>_xlfn.XLOOKUP($C24,'Corporate Roster - ''24'!$C$6:$C$60,'Corporate Roster - ''24'!$G$6:$G$60)</f>
        <v>80000</v>
      </c>
      <c r="J24" s="32">
        <f t="shared" ref="J24:U39" si="6">IF(AND(J$6&gt;$E24,J$6&lt;$F24),$G24/12,0)</f>
        <v>5333.333333333333</v>
      </c>
      <c r="K24" s="10">
        <f t="shared" si="6"/>
        <v>5333.333333333333</v>
      </c>
      <c r="L24" s="10">
        <f t="shared" si="6"/>
        <v>5333.333333333333</v>
      </c>
      <c r="M24" s="10">
        <f t="shared" si="6"/>
        <v>5333.333333333333</v>
      </c>
      <c r="N24" s="10">
        <f t="shared" si="6"/>
        <v>5333.333333333333</v>
      </c>
      <c r="O24" s="10">
        <f t="shared" si="6"/>
        <v>5333.333333333333</v>
      </c>
      <c r="P24" s="10">
        <f t="shared" si="6"/>
        <v>5333.333333333333</v>
      </c>
      <c r="Q24" s="10">
        <f t="shared" si="6"/>
        <v>5333.333333333333</v>
      </c>
      <c r="R24" s="10">
        <f t="shared" si="6"/>
        <v>5333.333333333333</v>
      </c>
      <c r="S24" s="10">
        <f t="shared" si="6"/>
        <v>5333.333333333333</v>
      </c>
      <c r="T24" s="10">
        <f t="shared" si="6"/>
        <v>5333.333333333333</v>
      </c>
      <c r="U24" s="33">
        <f t="shared" si="6"/>
        <v>5333.333333333333</v>
      </c>
      <c r="V24" s="10">
        <f t="shared" ref="V24:AG39" si="7">IF(AND(V$6&gt;$E24,V$6&lt;$F24),$H24/12,0)</f>
        <v>6666.666666666667</v>
      </c>
      <c r="W24" s="10">
        <f t="shared" si="7"/>
        <v>6666.666666666667</v>
      </c>
      <c r="X24" s="10">
        <f t="shared" si="7"/>
        <v>6666.666666666667</v>
      </c>
      <c r="Y24" s="10">
        <f t="shared" si="7"/>
        <v>6666.666666666667</v>
      </c>
      <c r="Z24" s="10">
        <f t="shared" si="7"/>
        <v>6666.666666666667</v>
      </c>
      <c r="AA24" s="10">
        <f t="shared" si="7"/>
        <v>6666.666666666667</v>
      </c>
      <c r="AB24" s="10">
        <f t="shared" si="7"/>
        <v>6666.666666666667</v>
      </c>
      <c r="AC24" s="10">
        <f t="shared" si="7"/>
        <v>6666.666666666667</v>
      </c>
      <c r="AD24" s="10">
        <f t="shared" si="7"/>
        <v>6666.666666666667</v>
      </c>
      <c r="AE24" s="10">
        <f t="shared" si="7"/>
        <v>6666.666666666667</v>
      </c>
      <c r="AF24" s="10">
        <f t="shared" si="7"/>
        <v>6666.666666666667</v>
      </c>
      <c r="AG24" s="33">
        <f t="shared" si="7"/>
        <v>6666.666666666667</v>
      </c>
    </row>
    <row r="25" spans="3:33" x14ac:dyDescent="0.2">
      <c r="C25" t="s">
        <v>100</v>
      </c>
      <c r="D25" t="s">
        <v>101</v>
      </c>
      <c r="E25" s="64">
        <f>_xlfn.XLOOKUP($C25,'Corporate Roster - ''24'!$C$6:$C$60,'Corporate Roster - ''24'!$E$6:$E$60)</f>
        <v>40362</v>
      </c>
      <c r="F25" s="64" t="str">
        <f>_xlfn.XLOOKUP($C25,'Corporate Roster - ''24'!$C$6:$C$60,'Corporate Roster - ''24'!$F$6:$F$60)</f>
        <v>-</v>
      </c>
      <c r="G25" s="32">
        <f t="shared" si="5"/>
        <v>75000</v>
      </c>
      <c r="H25" s="33">
        <f>_xlfn.XLOOKUP($C25,'Corporate Roster - ''24'!$C$6:$C$60,'Corporate Roster - ''24'!$G$6:$G$60)</f>
        <v>75000</v>
      </c>
      <c r="J25" s="32">
        <f t="shared" si="6"/>
        <v>6250</v>
      </c>
      <c r="K25" s="10">
        <f t="shared" si="6"/>
        <v>6250</v>
      </c>
      <c r="L25" s="10">
        <f t="shared" si="6"/>
        <v>6250</v>
      </c>
      <c r="M25" s="10">
        <f t="shared" si="6"/>
        <v>6250</v>
      </c>
      <c r="N25" s="10">
        <f t="shared" si="6"/>
        <v>6250</v>
      </c>
      <c r="O25" s="10">
        <f t="shared" si="6"/>
        <v>6250</v>
      </c>
      <c r="P25" s="10">
        <f t="shared" si="6"/>
        <v>6250</v>
      </c>
      <c r="Q25" s="10">
        <f t="shared" si="6"/>
        <v>6250</v>
      </c>
      <c r="R25" s="10">
        <f t="shared" si="6"/>
        <v>6250</v>
      </c>
      <c r="S25" s="10">
        <f t="shared" si="6"/>
        <v>6250</v>
      </c>
      <c r="T25" s="10">
        <f t="shared" si="6"/>
        <v>6250</v>
      </c>
      <c r="U25" s="33">
        <f t="shared" si="6"/>
        <v>6250</v>
      </c>
      <c r="V25" s="10">
        <f t="shared" si="7"/>
        <v>6250</v>
      </c>
      <c r="W25" s="10">
        <f t="shared" si="7"/>
        <v>6250</v>
      </c>
      <c r="X25" s="10">
        <f t="shared" si="7"/>
        <v>6250</v>
      </c>
      <c r="Y25" s="10">
        <f t="shared" si="7"/>
        <v>6250</v>
      </c>
      <c r="Z25" s="10">
        <f t="shared" si="7"/>
        <v>6250</v>
      </c>
      <c r="AA25" s="10">
        <f t="shared" si="7"/>
        <v>6250</v>
      </c>
      <c r="AB25" s="10">
        <f t="shared" si="7"/>
        <v>6250</v>
      </c>
      <c r="AC25" s="10">
        <f t="shared" si="7"/>
        <v>6250</v>
      </c>
      <c r="AD25" s="10">
        <f t="shared" si="7"/>
        <v>6250</v>
      </c>
      <c r="AE25" s="10">
        <f t="shared" si="7"/>
        <v>6250</v>
      </c>
      <c r="AF25" s="10">
        <f t="shared" si="7"/>
        <v>6250</v>
      </c>
      <c r="AG25" s="33">
        <f t="shared" si="7"/>
        <v>6250</v>
      </c>
    </row>
    <row r="26" spans="3:33" x14ac:dyDescent="0.2">
      <c r="C26" t="s">
        <v>102</v>
      </c>
      <c r="D26" t="s">
        <v>103</v>
      </c>
      <c r="E26" s="64">
        <f>_xlfn.XLOOKUP($C26,'Corporate Roster - ''24'!$C$6:$C$60,'Corporate Roster - ''24'!$E$6:$E$60)</f>
        <v>45063</v>
      </c>
      <c r="F26" s="64" t="str">
        <f>_xlfn.XLOOKUP($C26,'Corporate Roster - ''24'!$C$6:$C$60,'Corporate Roster - ''24'!$F$6:$F$60)</f>
        <v>-</v>
      </c>
      <c r="G26" s="32">
        <f t="shared" si="5"/>
        <v>85000</v>
      </c>
      <c r="H26" s="33">
        <f>_xlfn.XLOOKUP($C26,'Corporate Roster - ''24'!$C$6:$C$60,'Corporate Roster - ''24'!$G$6:$G$60)</f>
        <v>85000</v>
      </c>
      <c r="J26" s="32">
        <f t="shared" si="6"/>
        <v>0</v>
      </c>
      <c r="K26" s="10">
        <f t="shared" si="6"/>
        <v>0</v>
      </c>
      <c r="L26" s="10">
        <f t="shared" si="6"/>
        <v>0</v>
      </c>
      <c r="M26" s="10">
        <f t="shared" si="6"/>
        <v>0</v>
      </c>
      <c r="N26" s="10">
        <f t="shared" si="6"/>
        <v>7083.333333333333</v>
      </c>
      <c r="O26" s="10">
        <f t="shared" si="6"/>
        <v>7083.333333333333</v>
      </c>
      <c r="P26" s="10">
        <f t="shared" si="6"/>
        <v>7083.333333333333</v>
      </c>
      <c r="Q26" s="10">
        <f t="shared" si="6"/>
        <v>7083.333333333333</v>
      </c>
      <c r="R26" s="10">
        <f t="shared" si="6"/>
        <v>7083.333333333333</v>
      </c>
      <c r="S26" s="10">
        <f t="shared" si="6"/>
        <v>7083.333333333333</v>
      </c>
      <c r="T26" s="10">
        <f t="shared" si="6"/>
        <v>7083.333333333333</v>
      </c>
      <c r="U26" s="33">
        <f t="shared" si="6"/>
        <v>7083.333333333333</v>
      </c>
      <c r="V26" s="10">
        <f t="shared" si="7"/>
        <v>7083.333333333333</v>
      </c>
      <c r="W26" s="10">
        <f t="shared" si="7"/>
        <v>7083.333333333333</v>
      </c>
      <c r="X26" s="10">
        <f t="shared" si="7"/>
        <v>7083.333333333333</v>
      </c>
      <c r="Y26" s="10">
        <f t="shared" si="7"/>
        <v>7083.333333333333</v>
      </c>
      <c r="Z26" s="10">
        <f t="shared" si="7"/>
        <v>7083.333333333333</v>
      </c>
      <c r="AA26" s="10">
        <f t="shared" si="7"/>
        <v>7083.333333333333</v>
      </c>
      <c r="AB26" s="10">
        <f t="shared" si="7"/>
        <v>7083.333333333333</v>
      </c>
      <c r="AC26" s="10">
        <f t="shared" si="7"/>
        <v>7083.333333333333</v>
      </c>
      <c r="AD26" s="10">
        <f t="shared" si="7"/>
        <v>7083.333333333333</v>
      </c>
      <c r="AE26" s="10">
        <f t="shared" si="7"/>
        <v>7083.333333333333</v>
      </c>
      <c r="AF26" s="10">
        <f t="shared" si="7"/>
        <v>7083.333333333333</v>
      </c>
      <c r="AG26" s="33">
        <f t="shared" si="7"/>
        <v>7083.333333333333</v>
      </c>
    </row>
    <row r="27" spans="3:33" x14ac:dyDescent="0.2">
      <c r="C27" t="s">
        <v>104</v>
      </c>
      <c r="D27" t="s">
        <v>105</v>
      </c>
      <c r="E27" s="64">
        <f>_xlfn.XLOOKUP($C27,'Corporate Roster - ''24'!$C$6:$C$60,'Corporate Roster - ''24'!$E$6:$E$60)</f>
        <v>44169</v>
      </c>
      <c r="F27" s="64" t="str">
        <f>_xlfn.XLOOKUP($C27,'Corporate Roster - ''24'!$C$6:$C$60,'Corporate Roster - ''24'!$F$6:$F$60)</f>
        <v>-</v>
      </c>
      <c r="G27" s="32">
        <f>(MROUND(H27*0.8,1000))</f>
        <v>48000</v>
      </c>
      <c r="H27" s="33">
        <f>_xlfn.XLOOKUP($C27,'Corporate Roster - ''24'!$C$6:$C$60,'Corporate Roster - ''24'!$G$6:$G$60)</f>
        <v>60000</v>
      </c>
      <c r="J27" s="32">
        <f t="shared" si="6"/>
        <v>4000</v>
      </c>
      <c r="K27" s="10">
        <f t="shared" si="6"/>
        <v>4000</v>
      </c>
      <c r="L27" s="10">
        <f t="shared" si="6"/>
        <v>4000</v>
      </c>
      <c r="M27" s="10">
        <f t="shared" si="6"/>
        <v>4000</v>
      </c>
      <c r="N27" s="10">
        <f t="shared" si="6"/>
        <v>4000</v>
      </c>
      <c r="O27" s="10">
        <f t="shared" si="6"/>
        <v>4000</v>
      </c>
      <c r="P27" s="10">
        <f t="shared" si="6"/>
        <v>4000</v>
      </c>
      <c r="Q27" s="10">
        <f t="shared" si="6"/>
        <v>4000</v>
      </c>
      <c r="R27" s="10">
        <f t="shared" si="6"/>
        <v>4000</v>
      </c>
      <c r="S27" s="10">
        <f t="shared" si="6"/>
        <v>4000</v>
      </c>
      <c r="T27" s="10">
        <f t="shared" si="6"/>
        <v>4000</v>
      </c>
      <c r="U27" s="33">
        <f t="shared" si="6"/>
        <v>4000</v>
      </c>
      <c r="V27" s="10">
        <f t="shared" si="7"/>
        <v>5000</v>
      </c>
      <c r="W27" s="10">
        <f t="shared" si="7"/>
        <v>5000</v>
      </c>
      <c r="X27" s="10">
        <f t="shared" si="7"/>
        <v>5000</v>
      </c>
      <c r="Y27" s="10">
        <f t="shared" si="7"/>
        <v>5000</v>
      </c>
      <c r="Z27" s="10">
        <f t="shared" si="7"/>
        <v>5000</v>
      </c>
      <c r="AA27" s="10">
        <f t="shared" si="7"/>
        <v>5000</v>
      </c>
      <c r="AB27" s="10">
        <f t="shared" si="7"/>
        <v>5000</v>
      </c>
      <c r="AC27" s="10">
        <f t="shared" si="7"/>
        <v>5000</v>
      </c>
      <c r="AD27" s="10">
        <f t="shared" si="7"/>
        <v>5000</v>
      </c>
      <c r="AE27" s="10">
        <f t="shared" si="7"/>
        <v>5000</v>
      </c>
      <c r="AF27" s="10">
        <f t="shared" si="7"/>
        <v>5000</v>
      </c>
      <c r="AG27" s="33">
        <f t="shared" si="7"/>
        <v>5000</v>
      </c>
    </row>
    <row r="28" spans="3:33" x14ac:dyDescent="0.2">
      <c r="C28" t="s">
        <v>148</v>
      </c>
      <c r="D28" t="s">
        <v>107</v>
      </c>
      <c r="E28" s="64">
        <f>_xlfn.XLOOKUP($C28,'Corporate Roster - ''24'!$C$6:$C$60,'Corporate Roster - ''24'!$E$6:$E$60)</f>
        <v>45017</v>
      </c>
      <c r="F28" s="64" t="str">
        <f>_xlfn.XLOOKUP($C28,'Corporate Roster - ''24'!$C$6:$C$60,'Corporate Roster - ''24'!$F$6:$F$60)</f>
        <v>-</v>
      </c>
      <c r="G28" s="32">
        <f>(MROUND(H28*0.95,1000))</f>
        <v>67000</v>
      </c>
      <c r="H28" s="33">
        <f>_xlfn.XLOOKUP($C28,'Corporate Roster - ''24'!$C$6:$C$60,'Corporate Roster - ''24'!$G$6:$G$60)</f>
        <v>70000</v>
      </c>
      <c r="J28" s="32">
        <f t="shared" si="6"/>
        <v>0</v>
      </c>
      <c r="K28" s="10">
        <f t="shared" si="6"/>
        <v>0</v>
      </c>
      <c r="L28" s="10">
        <f t="shared" si="6"/>
        <v>0</v>
      </c>
      <c r="M28" s="10">
        <f t="shared" si="6"/>
        <v>5583.333333333333</v>
      </c>
      <c r="N28" s="10">
        <f t="shared" si="6"/>
        <v>5583.333333333333</v>
      </c>
      <c r="O28" s="10">
        <f t="shared" si="6"/>
        <v>5583.333333333333</v>
      </c>
      <c r="P28" s="10">
        <f t="shared" si="6"/>
        <v>5583.333333333333</v>
      </c>
      <c r="Q28" s="10">
        <f t="shared" si="6"/>
        <v>5583.333333333333</v>
      </c>
      <c r="R28" s="10">
        <f t="shared" si="6"/>
        <v>5583.333333333333</v>
      </c>
      <c r="S28" s="10">
        <f t="shared" si="6"/>
        <v>5583.333333333333</v>
      </c>
      <c r="T28" s="10">
        <f t="shared" si="6"/>
        <v>5583.333333333333</v>
      </c>
      <c r="U28" s="33">
        <f t="shared" si="6"/>
        <v>5583.333333333333</v>
      </c>
      <c r="V28" s="10">
        <f t="shared" si="7"/>
        <v>5833.333333333333</v>
      </c>
      <c r="W28" s="10">
        <f t="shared" si="7"/>
        <v>5833.333333333333</v>
      </c>
      <c r="X28" s="10">
        <f t="shared" si="7"/>
        <v>5833.333333333333</v>
      </c>
      <c r="Y28" s="10">
        <f t="shared" si="7"/>
        <v>5833.333333333333</v>
      </c>
      <c r="Z28" s="10">
        <f t="shared" si="7"/>
        <v>5833.333333333333</v>
      </c>
      <c r="AA28" s="10">
        <f t="shared" si="7"/>
        <v>5833.333333333333</v>
      </c>
      <c r="AB28" s="10">
        <f t="shared" si="7"/>
        <v>5833.333333333333</v>
      </c>
      <c r="AC28" s="10">
        <f t="shared" si="7"/>
        <v>5833.333333333333</v>
      </c>
      <c r="AD28" s="10">
        <f t="shared" si="7"/>
        <v>5833.333333333333</v>
      </c>
      <c r="AE28" s="10">
        <f t="shared" si="7"/>
        <v>5833.333333333333</v>
      </c>
      <c r="AF28" s="10">
        <f t="shared" si="7"/>
        <v>5833.333333333333</v>
      </c>
      <c r="AG28" s="33">
        <f t="shared" si="7"/>
        <v>5833.333333333333</v>
      </c>
    </row>
    <row r="29" spans="3:33" x14ac:dyDescent="0.2">
      <c r="C29" t="s">
        <v>108</v>
      </c>
      <c r="D29" t="s">
        <v>109</v>
      </c>
      <c r="E29" s="64">
        <f>_xlfn.XLOOKUP($C29,'Corporate Roster - ''24'!$C$6:$C$60,'Corporate Roster - ''24'!$E$6:$E$60)</f>
        <v>40157</v>
      </c>
      <c r="F29" s="64" t="str">
        <f>_xlfn.XLOOKUP($C29,'Corporate Roster - ''24'!$C$6:$C$60,'Corporate Roster - ''24'!$F$6:$F$60)</f>
        <v>-</v>
      </c>
      <c r="G29" s="32">
        <f t="shared" si="5"/>
        <v>75000</v>
      </c>
      <c r="H29" s="33">
        <f>_xlfn.XLOOKUP($C29,'Corporate Roster - ''24'!$C$6:$C$60,'Corporate Roster - ''24'!$G$6:$G$60)</f>
        <v>75000</v>
      </c>
      <c r="J29" s="32">
        <f t="shared" si="6"/>
        <v>6250</v>
      </c>
      <c r="K29" s="10">
        <f t="shared" si="6"/>
        <v>6250</v>
      </c>
      <c r="L29" s="10">
        <f t="shared" si="6"/>
        <v>6250</v>
      </c>
      <c r="M29" s="10">
        <f t="shared" si="6"/>
        <v>6250</v>
      </c>
      <c r="N29" s="10">
        <f t="shared" si="6"/>
        <v>6250</v>
      </c>
      <c r="O29" s="10">
        <f t="shared" si="6"/>
        <v>6250</v>
      </c>
      <c r="P29" s="10">
        <f t="shared" si="6"/>
        <v>6250</v>
      </c>
      <c r="Q29" s="10">
        <f t="shared" si="6"/>
        <v>6250</v>
      </c>
      <c r="R29" s="10">
        <f t="shared" si="6"/>
        <v>6250</v>
      </c>
      <c r="S29" s="10">
        <f t="shared" si="6"/>
        <v>6250</v>
      </c>
      <c r="T29" s="10">
        <f t="shared" si="6"/>
        <v>6250</v>
      </c>
      <c r="U29" s="33">
        <f t="shared" si="6"/>
        <v>6250</v>
      </c>
      <c r="V29" s="10">
        <f t="shared" si="7"/>
        <v>6250</v>
      </c>
      <c r="W29" s="10">
        <f t="shared" si="7"/>
        <v>6250</v>
      </c>
      <c r="X29" s="10">
        <f t="shared" si="7"/>
        <v>6250</v>
      </c>
      <c r="Y29" s="10">
        <f t="shared" si="7"/>
        <v>6250</v>
      </c>
      <c r="Z29" s="10">
        <f t="shared" si="7"/>
        <v>6250</v>
      </c>
      <c r="AA29" s="10">
        <f t="shared" si="7"/>
        <v>6250</v>
      </c>
      <c r="AB29" s="10">
        <f t="shared" si="7"/>
        <v>6250</v>
      </c>
      <c r="AC29" s="10">
        <f t="shared" si="7"/>
        <v>6250</v>
      </c>
      <c r="AD29" s="10">
        <f t="shared" si="7"/>
        <v>6250</v>
      </c>
      <c r="AE29" s="10">
        <f t="shared" si="7"/>
        <v>6250</v>
      </c>
      <c r="AF29" s="10">
        <f t="shared" si="7"/>
        <v>6250</v>
      </c>
      <c r="AG29" s="33">
        <f t="shared" si="7"/>
        <v>6250</v>
      </c>
    </row>
    <row r="30" spans="3:33" x14ac:dyDescent="0.2">
      <c r="C30" t="s">
        <v>73</v>
      </c>
      <c r="D30" t="s">
        <v>110</v>
      </c>
      <c r="E30" s="64">
        <f>_xlfn.XLOOKUP($C30,'Corporate Roster - ''24'!$C$6:$C$60,'Corporate Roster - ''24'!$E$6:$E$60)</f>
        <v>45335</v>
      </c>
      <c r="F30" s="64" t="str">
        <f>_xlfn.XLOOKUP($C30,'Corporate Roster - ''24'!$C$6:$C$60,'Corporate Roster - ''24'!$F$6:$F$60)</f>
        <v>-</v>
      </c>
      <c r="G30" s="32">
        <f>(MROUND(H30*0.8,1000))</f>
        <v>68000</v>
      </c>
      <c r="H30" s="33">
        <f>_xlfn.XLOOKUP($C30,'Corporate Roster - ''24'!$C$6:$C$60,'Corporate Roster - ''24'!$G$6:$G$60)</f>
        <v>85000</v>
      </c>
      <c r="J30" s="32">
        <f t="shared" si="6"/>
        <v>0</v>
      </c>
      <c r="K30" s="10">
        <f t="shared" si="6"/>
        <v>0</v>
      </c>
      <c r="L30" s="10">
        <f t="shared" si="6"/>
        <v>0</v>
      </c>
      <c r="M30" s="10">
        <f t="shared" si="6"/>
        <v>0</v>
      </c>
      <c r="N30" s="10">
        <f t="shared" si="6"/>
        <v>0</v>
      </c>
      <c r="O30" s="10">
        <f t="shared" si="6"/>
        <v>0</v>
      </c>
      <c r="P30" s="10">
        <f t="shared" si="6"/>
        <v>0</v>
      </c>
      <c r="Q30" s="10">
        <f t="shared" si="6"/>
        <v>0</v>
      </c>
      <c r="R30" s="10">
        <f t="shared" si="6"/>
        <v>0</v>
      </c>
      <c r="S30" s="10">
        <f t="shared" si="6"/>
        <v>0</v>
      </c>
      <c r="T30" s="10">
        <f t="shared" si="6"/>
        <v>0</v>
      </c>
      <c r="U30" s="33">
        <f t="shared" si="6"/>
        <v>0</v>
      </c>
      <c r="V30" s="10">
        <f t="shared" si="7"/>
        <v>0</v>
      </c>
      <c r="W30" s="10">
        <f t="shared" si="7"/>
        <v>7083.333333333333</v>
      </c>
      <c r="X30" s="10">
        <f t="shared" si="7"/>
        <v>7083.333333333333</v>
      </c>
      <c r="Y30" s="10">
        <f t="shared" si="7"/>
        <v>7083.333333333333</v>
      </c>
      <c r="Z30" s="10">
        <f t="shared" si="7"/>
        <v>7083.333333333333</v>
      </c>
      <c r="AA30" s="10">
        <f t="shared" si="7"/>
        <v>7083.333333333333</v>
      </c>
      <c r="AB30" s="10">
        <f t="shared" si="7"/>
        <v>7083.333333333333</v>
      </c>
      <c r="AC30" s="10">
        <f t="shared" si="7"/>
        <v>7083.333333333333</v>
      </c>
      <c r="AD30" s="10">
        <f t="shared" si="7"/>
        <v>7083.333333333333</v>
      </c>
      <c r="AE30" s="10">
        <f t="shared" si="7"/>
        <v>7083.333333333333</v>
      </c>
      <c r="AF30" s="10">
        <f t="shared" si="7"/>
        <v>7083.333333333333</v>
      </c>
      <c r="AG30" s="33">
        <f t="shared" si="7"/>
        <v>7083.333333333333</v>
      </c>
    </row>
    <row r="31" spans="3:33" x14ac:dyDescent="0.2">
      <c r="C31" t="s">
        <v>111</v>
      </c>
      <c r="D31" t="s">
        <v>112</v>
      </c>
      <c r="E31" s="64">
        <f>_xlfn.XLOOKUP($C31,'Corporate Roster - ''24'!$C$6:$C$60,'Corporate Roster - ''24'!$E$6:$E$60)</f>
        <v>44694</v>
      </c>
      <c r="F31" s="64" t="str">
        <f>_xlfn.XLOOKUP($C31,'Corporate Roster - ''24'!$C$6:$C$60,'Corporate Roster - ''24'!$F$6:$F$60)</f>
        <v>-</v>
      </c>
      <c r="G31" s="32">
        <f>(MROUND(H31*0.95,1000))</f>
        <v>90000</v>
      </c>
      <c r="H31" s="33">
        <f>_xlfn.XLOOKUP($C31,'Corporate Roster - ''24'!$C$6:$C$60,'Corporate Roster - ''24'!$G$6:$G$60)</f>
        <v>95000</v>
      </c>
      <c r="J31" s="32">
        <f t="shared" si="6"/>
        <v>7500</v>
      </c>
      <c r="K31" s="10">
        <f t="shared" si="6"/>
        <v>7500</v>
      </c>
      <c r="L31" s="10">
        <f t="shared" si="6"/>
        <v>7500</v>
      </c>
      <c r="M31" s="10">
        <f t="shared" si="6"/>
        <v>7500</v>
      </c>
      <c r="N31" s="10">
        <f t="shared" si="6"/>
        <v>7500</v>
      </c>
      <c r="O31" s="10">
        <f t="shared" si="6"/>
        <v>7500</v>
      </c>
      <c r="P31" s="10">
        <f t="shared" si="6"/>
        <v>7500</v>
      </c>
      <c r="Q31" s="10">
        <f t="shared" si="6"/>
        <v>7500</v>
      </c>
      <c r="R31" s="10">
        <f t="shared" si="6"/>
        <v>7500</v>
      </c>
      <c r="S31" s="10">
        <f t="shared" si="6"/>
        <v>7500</v>
      </c>
      <c r="T31" s="10">
        <f t="shared" si="6"/>
        <v>7500</v>
      </c>
      <c r="U31" s="33">
        <f t="shared" si="6"/>
        <v>7500</v>
      </c>
      <c r="V31" s="10">
        <f t="shared" si="7"/>
        <v>7916.666666666667</v>
      </c>
      <c r="W31" s="10">
        <f t="shared" si="7"/>
        <v>7916.666666666667</v>
      </c>
      <c r="X31" s="10">
        <f t="shared" si="7"/>
        <v>7916.666666666667</v>
      </c>
      <c r="Y31" s="10">
        <f t="shared" si="7"/>
        <v>7916.666666666667</v>
      </c>
      <c r="Z31" s="10">
        <f t="shared" si="7"/>
        <v>7916.666666666667</v>
      </c>
      <c r="AA31" s="10">
        <f t="shared" si="7"/>
        <v>7916.666666666667</v>
      </c>
      <c r="AB31" s="10">
        <f t="shared" si="7"/>
        <v>7916.666666666667</v>
      </c>
      <c r="AC31" s="10">
        <f t="shared" si="7"/>
        <v>7916.666666666667</v>
      </c>
      <c r="AD31" s="10">
        <f t="shared" si="7"/>
        <v>7916.666666666667</v>
      </c>
      <c r="AE31" s="10">
        <f t="shared" si="7"/>
        <v>7916.666666666667</v>
      </c>
      <c r="AF31" s="10">
        <f t="shared" si="7"/>
        <v>7916.666666666667</v>
      </c>
      <c r="AG31" s="33">
        <f t="shared" si="7"/>
        <v>7916.666666666667</v>
      </c>
    </row>
    <row r="32" spans="3:33" x14ac:dyDescent="0.2">
      <c r="C32" t="s">
        <v>149</v>
      </c>
      <c r="D32" t="s">
        <v>110</v>
      </c>
      <c r="E32" s="64">
        <f>_xlfn.XLOOKUP($C32,'Corporate Roster - ''24'!$C$6:$C$60,'Corporate Roster - ''24'!$E$6:$E$60)</f>
        <v>45368</v>
      </c>
      <c r="F32" s="64" t="str">
        <f>_xlfn.XLOOKUP($C32,'Corporate Roster - ''24'!$C$6:$C$60,'Corporate Roster - ''24'!$F$6:$F$60)</f>
        <v>-</v>
      </c>
      <c r="G32" s="32">
        <f>(MROUND(H32*0.8,1000))</f>
        <v>68000</v>
      </c>
      <c r="H32" s="33">
        <f>_xlfn.XLOOKUP($C32,'Corporate Roster - ''24'!$C$6:$C$60,'Corporate Roster - ''24'!$G$6:$G$60)</f>
        <v>85000</v>
      </c>
      <c r="J32" s="32">
        <f t="shared" si="6"/>
        <v>0</v>
      </c>
      <c r="K32" s="10">
        <f t="shared" si="6"/>
        <v>0</v>
      </c>
      <c r="L32" s="10">
        <f t="shared" si="6"/>
        <v>0</v>
      </c>
      <c r="M32" s="10">
        <f t="shared" si="6"/>
        <v>0</v>
      </c>
      <c r="N32" s="10">
        <f t="shared" si="6"/>
        <v>0</v>
      </c>
      <c r="O32" s="10">
        <f t="shared" si="6"/>
        <v>0</v>
      </c>
      <c r="P32" s="10">
        <f t="shared" si="6"/>
        <v>0</v>
      </c>
      <c r="Q32" s="10">
        <f t="shared" si="6"/>
        <v>0</v>
      </c>
      <c r="R32" s="10">
        <f t="shared" si="6"/>
        <v>0</v>
      </c>
      <c r="S32" s="10">
        <f t="shared" si="6"/>
        <v>0</v>
      </c>
      <c r="T32" s="10">
        <f t="shared" si="6"/>
        <v>0</v>
      </c>
      <c r="U32" s="33">
        <f t="shared" si="6"/>
        <v>0</v>
      </c>
      <c r="V32" s="10">
        <f t="shared" si="7"/>
        <v>0</v>
      </c>
      <c r="W32" s="10">
        <f t="shared" si="7"/>
        <v>0</v>
      </c>
      <c r="X32" s="10">
        <f t="shared" si="7"/>
        <v>7083.333333333333</v>
      </c>
      <c r="Y32" s="10">
        <f t="shared" si="7"/>
        <v>7083.333333333333</v>
      </c>
      <c r="Z32" s="10">
        <f t="shared" si="7"/>
        <v>7083.333333333333</v>
      </c>
      <c r="AA32" s="10">
        <f t="shared" si="7"/>
        <v>7083.333333333333</v>
      </c>
      <c r="AB32" s="10">
        <f t="shared" si="7"/>
        <v>7083.333333333333</v>
      </c>
      <c r="AC32" s="10">
        <f t="shared" si="7"/>
        <v>7083.333333333333</v>
      </c>
      <c r="AD32" s="10">
        <f t="shared" si="7"/>
        <v>7083.333333333333</v>
      </c>
      <c r="AE32" s="10">
        <f t="shared" si="7"/>
        <v>7083.333333333333</v>
      </c>
      <c r="AF32" s="10">
        <f t="shared" si="7"/>
        <v>7083.333333333333</v>
      </c>
      <c r="AG32" s="33">
        <f t="shared" si="7"/>
        <v>7083.333333333333</v>
      </c>
    </row>
    <row r="33" spans="3:33" x14ac:dyDescent="0.2">
      <c r="C33" t="s">
        <v>150</v>
      </c>
      <c r="D33" t="s">
        <v>95</v>
      </c>
      <c r="E33" s="64">
        <f>_xlfn.XLOOKUP($C33,'Corporate Roster - ''24'!$C$6:$C$60,'Corporate Roster - ''24'!$E$6:$E$60)</f>
        <v>40489</v>
      </c>
      <c r="F33" s="64" t="str">
        <f>_xlfn.XLOOKUP($C33,'Corporate Roster - ''24'!$C$6:$C$60,'Corporate Roster - ''24'!$F$6:$F$60)</f>
        <v>-</v>
      </c>
      <c r="G33" s="32">
        <f>(MROUND(H33*0.8,1000))</f>
        <v>112000</v>
      </c>
      <c r="H33" s="33">
        <f>_xlfn.XLOOKUP($C33,'Corporate Roster - ''24'!$C$6:$C$60,'Corporate Roster - ''24'!$G$6:$G$60)</f>
        <v>140000</v>
      </c>
      <c r="J33" s="32">
        <f t="shared" si="6"/>
        <v>9333.3333333333339</v>
      </c>
      <c r="K33" s="10">
        <f t="shared" si="6"/>
        <v>9333.3333333333339</v>
      </c>
      <c r="L33" s="10">
        <f t="shared" si="6"/>
        <v>9333.3333333333339</v>
      </c>
      <c r="M33" s="10">
        <f t="shared" si="6"/>
        <v>9333.3333333333339</v>
      </c>
      <c r="N33" s="10">
        <f t="shared" si="6"/>
        <v>9333.3333333333339</v>
      </c>
      <c r="O33" s="10">
        <f t="shared" si="6"/>
        <v>9333.3333333333339</v>
      </c>
      <c r="P33" s="10">
        <f t="shared" si="6"/>
        <v>9333.3333333333339</v>
      </c>
      <c r="Q33" s="10">
        <f t="shared" si="6"/>
        <v>9333.3333333333339</v>
      </c>
      <c r="R33" s="10">
        <f t="shared" si="6"/>
        <v>9333.3333333333339</v>
      </c>
      <c r="S33" s="10">
        <f t="shared" si="6"/>
        <v>9333.3333333333339</v>
      </c>
      <c r="T33" s="10">
        <f t="shared" si="6"/>
        <v>9333.3333333333339</v>
      </c>
      <c r="U33" s="33">
        <f t="shared" si="6"/>
        <v>9333.3333333333339</v>
      </c>
      <c r="V33" s="10">
        <f t="shared" si="7"/>
        <v>11666.666666666666</v>
      </c>
      <c r="W33" s="10">
        <f t="shared" si="7"/>
        <v>11666.666666666666</v>
      </c>
      <c r="X33" s="10">
        <f t="shared" si="7"/>
        <v>11666.666666666666</v>
      </c>
      <c r="Y33" s="10">
        <f t="shared" si="7"/>
        <v>11666.666666666666</v>
      </c>
      <c r="Z33" s="10">
        <f t="shared" si="7"/>
        <v>11666.666666666666</v>
      </c>
      <c r="AA33" s="10">
        <f t="shared" si="7"/>
        <v>11666.666666666666</v>
      </c>
      <c r="AB33" s="10">
        <f t="shared" si="7"/>
        <v>11666.666666666666</v>
      </c>
      <c r="AC33" s="10">
        <f t="shared" si="7"/>
        <v>11666.666666666666</v>
      </c>
      <c r="AD33" s="10">
        <f t="shared" si="7"/>
        <v>11666.666666666666</v>
      </c>
      <c r="AE33" s="10">
        <f t="shared" si="7"/>
        <v>11666.666666666666</v>
      </c>
      <c r="AF33" s="10">
        <f t="shared" si="7"/>
        <v>11666.666666666666</v>
      </c>
      <c r="AG33" s="33">
        <f t="shared" si="7"/>
        <v>11666.666666666666</v>
      </c>
    </row>
    <row r="34" spans="3:33" x14ac:dyDescent="0.2">
      <c r="C34" t="s">
        <v>115</v>
      </c>
      <c r="D34" t="s">
        <v>112</v>
      </c>
      <c r="E34" s="64">
        <f>_xlfn.XLOOKUP($C34,'Corporate Roster - ''24'!$C$6:$C$60,'Corporate Roster - ''24'!$E$6:$E$60)</f>
        <v>45236</v>
      </c>
      <c r="F34" s="64" t="str">
        <f>_xlfn.XLOOKUP($C34,'Corporate Roster - ''24'!$C$6:$C$60,'Corporate Roster - ''24'!$F$6:$F$60)</f>
        <v>-</v>
      </c>
      <c r="G34" s="32">
        <f t="shared" si="5"/>
        <v>95000</v>
      </c>
      <c r="H34" s="33">
        <f>_xlfn.XLOOKUP($C34,'Corporate Roster - ''24'!$C$6:$C$60,'Corporate Roster - ''24'!$G$6:$G$60)</f>
        <v>95000</v>
      </c>
      <c r="J34" s="32">
        <f t="shared" si="6"/>
        <v>0</v>
      </c>
      <c r="K34" s="10">
        <f t="shared" si="6"/>
        <v>0</v>
      </c>
      <c r="L34" s="10">
        <f t="shared" si="6"/>
        <v>0</v>
      </c>
      <c r="M34" s="10">
        <f t="shared" si="6"/>
        <v>0</v>
      </c>
      <c r="N34" s="10">
        <f t="shared" si="6"/>
        <v>0</v>
      </c>
      <c r="O34" s="10">
        <f t="shared" si="6"/>
        <v>0</v>
      </c>
      <c r="P34" s="10">
        <f t="shared" si="6"/>
        <v>0</v>
      </c>
      <c r="Q34" s="10">
        <f t="shared" si="6"/>
        <v>0</v>
      </c>
      <c r="R34" s="10">
        <f t="shared" si="6"/>
        <v>0</v>
      </c>
      <c r="S34" s="10">
        <f t="shared" si="6"/>
        <v>0</v>
      </c>
      <c r="T34" s="10">
        <f t="shared" si="6"/>
        <v>7916.666666666667</v>
      </c>
      <c r="U34" s="33">
        <f t="shared" si="6"/>
        <v>7916.666666666667</v>
      </c>
      <c r="V34" s="10">
        <f t="shared" si="7"/>
        <v>7916.666666666667</v>
      </c>
      <c r="W34" s="10">
        <f t="shared" si="7"/>
        <v>7916.666666666667</v>
      </c>
      <c r="X34" s="10">
        <f t="shared" si="7"/>
        <v>7916.666666666667</v>
      </c>
      <c r="Y34" s="10">
        <f t="shared" si="7"/>
        <v>7916.666666666667</v>
      </c>
      <c r="Z34" s="10">
        <f t="shared" si="7"/>
        <v>7916.666666666667</v>
      </c>
      <c r="AA34" s="10">
        <f t="shared" si="7"/>
        <v>7916.666666666667</v>
      </c>
      <c r="AB34" s="10">
        <f t="shared" si="7"/>
        <v>7916.666666666667</v>
      </c>
      <c r="AC34" s="10">
        <f t="shared" si="7"/>
        <v>7916.666666666667</v>
      </c>
      <c r="AD34" s="10">
        <f t="shared" si="7"/>
        <v>7916.666666666667</v>
      </c>
      <c r="AE34" s="10">
        <f t="shared" si="7"/>
        <v>7916.666666666667</v>
      </c>
      <c r="AF34" s="10">
        <f t="shared" si="7"/>
        <v>7916.666666666667</v>
      </c>
      <c r="AG34" s="33">
        <f t="shared" si="7"/>
        <v>7916.666666666667</v>
      </c>
    </row>
    <row r="35" spans="3:33" x14ac:dyDescent="0.2">
      <c r="C35" t="s">
        <v>116</v>
      </c>
      <c r="D35" t="s">
        <v>110</v>
      </c>
      <c r="E35" s="64">
        <f>_xlfn.XLOOKUP($C35,'Corporate Roster - ''24'!$C$6:$C$60,'Corporate Roster - ''24'!$E$6:$E$60)</f>
        <v>40015</v>
      </c>
      <c r="F35" s="64" t="str">
        <f>_xlfn.XLOOKUP($C35,'Corporate Roster - ''24'!$C$6:$C$60,'Corporate Roster - ''24'!$F$6:$F$60)</f>
        <v>-</v>
      </c>
      <c r="G35" s="32">
        <f t="shared" si="5"/>
        <v>85000</v>
      </c>
      <c r="H35" s="33">
        <f>_xlfn.XLOOKUP($C35,'Corporate Roster - ''24'!$C$6:$C$60,'Corporate Roster - ''24'!$G$6:$G$60)</f>
        <v>85000</v>
      </c>
      <c r="J35" s="32">
        <f t="shared" si="6"/>
        <v>7083.333333333333</v>
      </c>
      <c r="K35" s="10">
        <f t="shared" si="6"/>
        <v>7083.333333333333</v>
      </c>
      <c r="L35" s="10">
        <f t="shared" si="6"/>
        <v>7083.333333333333</v>
      </c>
      <c r="M35" s="10">
        <f t="shared" si="6"/>
        <v>7083.333333333333</v>
      </c>
      <c r="N35" s="10">
        <f t="shared" si="6"/>
        <v>7083.333333333333</v>
      </c>
      <c r="O35" s="10">
        <f t="shared" si="6"/>
        <v>7083.333333333333</v>
      </c>
      <c r="P35" s="10">
        <f t="shared" si="6"/>
        <v>7083.333333333333</v>
      </c>
      <c r="Q35" s="10">
        <f t="shared" si="6"/>
        <v>7083.333333333333</v>
      </c>
      <c r="R35" s="10">
        <f t="shared" si="6"/>
        <v>7083.333333333333</v>
      </c>
      <c r="S35" s="10">
        <f t="shared" si="6"/>
        <v>7083.333333333333</v>
      </c>
      <c r="T35" s="10">
        <f t="shared" si="6"/>
        <v>7083.333333333333</v>
      </c>
      <c r="U35" s="33">
        <f t="shared" si="6"/>
        <v>7083.333333333333</v>
      </c>
      <c r="V35" s="10">
        <f t="shared" si="7"/>
        <v>7083.333333333333</v>
      </c>
      <c r="W35" s="10">
        <f t="shared" si="7"/>
        <v>7083.333333333333</v>
      </c>
      <c r="X35" s="10">
        <f t="shared" si="7"/>
        <v>7083.333333333333</v>
      </c>
      <c r="Y35" s="10">
        <f t="shared" si="7"/>
        <v>7083.333333333333</v>
      </c>
      <c r="Z35" s="10">
        <f t="shared" si="7"/>
        <v>7083.333333333333</v>
      </c>
      <c r="AA35" s="10">
        <f t="shared" si="7"/>
        <v>7083.333333333333</v>
      </c>
      <c r="AB35" s="10">
        <f t="shared" si="7"/>
        <v>7083.333333333333</v>
      </c>
      <c r="AC35" s="10">
        <f t="shared" si="7"/>
        <v>7083.333333333333</v>
      </c>
      <c r="AD35" s="10">
        <f t="shared" si="7"/>
        <v>7083.333333333333</v>
      </c>
      <c r="AE35" s="10">
        <f t="shared" si="7"/>
        <v>7083.333333333333</v>
      </c>
      <c r="AF35" s="10">
        <f t="shared" si="7"/>
        <v>7083.333333333333</v>
      </c>
      <c r="AG35" s="33">
        <f t="shared" si="7"/>
        <v>7083.333333333333</v>
      </c>
    </row>
    <row r="36" spans="3:33" x14ac:dyDescent="0.2">
      <c r="C36" t="s">
        <v>106</v>
      </c>
      <c r="D36" t="s">
        <v>90</v>
      </c>
      <c r="E36" s="64">
        <f>_xlfn.XLOOKUP($C36,'Corporate Roster - ''24'!$C$6:$C$60,'Corporate Roster - ''24'!$E$6:$E$60)</f>
        <v>40345</v>
      </c>
      <c r="F36" s="64" t="str">
        <f>_xlfn.XLOOKUP($C36,'Corporate Roster - ''24'!$C$6:$C$60,'Corporate Roster - ''24'!$F$6:$F$60)</f>
        <v>-</v>
      </c>
      <c r="G36" s="32">
        <f>(MROUND(H36*0.8,1000))</f>
        <v>104000</v>
      </c>
      <c r="H36" s="33">
        <f>_xlfn.XLOOKUP($C36,'Corporate Roster - ''24'!$C$6:$C$60,'Corporate Roster - ''24'!$G$6:$G$60)</f>
        <v>130000</v>
      </c>
      <c r="J36" s="32">
        <f t="shared" si="6"/>
        <v>8666.6666666666661</v>
      </c>
      <c r="K36" s="10">
        <f t="shared" si="6"/>
        <v>8666.6666666666661</v>
      </c>
      <c r="L36" s="10">
        <f t="shared" si="6"/>
        <v>8666.6666666666661</v>
      </c>
      <c r="M36" s="10">
        <f t="shared" si="6"/>
        <v>8666.6666666666661</v>
      </c>
      <c r="N36" s="10">
        <f t="shared" si="6"/>
        <v>8666.6666666666661</v>
      </c>
      <c r="O36" s="10">
        <f t="shared" si="6"/>
        <v>8666.6666666666661</v>
      </c>
      <c r="P36" s="10">
        <f t="shared" si="6"/>
        <v>8666.6666666666661</v>
      </c>
      <c r="Q36" s="10">
        <f t="shared" si="6"/>
        <v>8666.6666666666661</v>
      </c>
      <c r="R36" s="10">
        <f t="shared" si="6"/>
        <v>8666.6666666666661</v>
      </c>
      <c r="S36" s="10">
        <f t="shared" si="6"/>
        <v>8666.6666666666661</v>
      </c>
      <c r="T36" s="10">
        <f t="shared" si="6"/>
        <v>8666.6666666666661</v>
      </c>
      <c r="U36" s="33">
        <f t="shared" si="6"/>
        <v>8666.6666666666661</v>
      </c>
      <c r="V36" s="10">
        <f t="shared" si="7"/>
        <v>10833.333333333334</v>
      </c>
      <c r="W36" s="10">
        <f t="shared" si="7"/>
        <v>10833.333333333334</v>
      </c>
      <c r="X36" s="10">
        <f t="shared" si="7"/>
        <v>10833.333333333334</v>
      </c>
      <c r="Y36" s="10">
        <f t="shared" si="7"/>
        <v>10833.333333333334</v>
      </c>
      <c r="Z36" s="10">
        <f t="shared" si="7"/>
        <v>10833.333333333334</v>
      </c>
      <c r="AA36" s="10">
        <f t="shared" si="7"/>
        <v>10833.333333333334</v>
      </c>
      <c r="AB36" s="10">
        <f t="shared" si="7"/>
        <v>10833.333333333334</v>
      </c>
      <c r="AC36" s="10">
        <f t="shared" si="7"/>
        <v>10833.333333333334</v>
      </c>
      <c r="AD36" s="10">
        <f t="shared" si="7"/>
        <v>10833.333333333334</v>
      </c>
      <c r="AE36" s="10">
        <f t="shared" si="7"/>
        <v>10833.333333333334</v>
      </c>
      <c r="AF36" s="10">
        <f t="shared" si="7"/>
        <v>10833.333333333334</v>
      </c>
      <c r="AG36" s="33">
        <f t="shared" si="7"/>
        <v>10833.333333333334</v>
      </c>
    </row>
    <row r="37" spans="3:33" x14ac:dyDescent="0.2">
      <c r="C37" t="s">
        <v>117</v>
      </c>
      <c r="D37" t="s">
        <v>110</v>
      </c>
      <c r="E37" s="64">
        <f>_xlfn.XLOOKUP($C37,'Corporate Roster - ''24'!$C$6:$C$60,'Corporate Roster - ''24'!$E$6:$E$60)</f>
        <v>44824</v>
      </c>
      <c r="F37" s="64" t="str">
        <f>_xlfn.XLOOKUP($C37,'Corporate Roster - ''24'!$C$6:$C$60,'Corporate Roster - ''24'!$F$6:$F$60)</f>
        <v>-</v>
      </c>
      <c r="G37" s="32">
        <f t="shared" si="5"/>
        <v>85000</v>
      </c>
      <c r="H37" s="33">
        <f>_xlfn.XLOOKUP($C37,'Corporate Roster - ''24'!$C$6:$C$60,'Corporate Roster - ''24'!$G$6:$G$60)</f>
        <v>85000</v>
      </c>
      <c r="J37" s="32">
        <f t="shared" si="6"/>
        <v>7083.333333333333</v>
      </c>
      <c r="K37" s="10">
        <f t="shared" si="6"/>
        <v>7083.333333333333</v>
      </c>
      <c r="L37" s="10">
        <f t="shared" si="6"/>
        <v>7083.333333333333</v>
      </c>
      <c r="M37" s="10">
        <f t="shared" si="6"/>
        <v>7083.333333333333</v>
      </c>
      <c r="N37" s="10">
        <f t="shared" si="6"/>
        <v>7083.333333333333</v>
      </c>
      <c r="O37" s="10">
        <f t="shared" si="6"/>
        <v>7083.333333333333</v>
      </c>
      <c r="P37" s="10">
        <f t="shared" si="6"/>
        <v>7083.333333333333</v>
      </c>
      <c r="Q37" s="10">
        <f t="shared" si="6"/>
        <v>7083.333333333333</v>
      </c>
      <c r="R37" s="10">
        <f t="shared" si="6"/>
        <v>7083.333333333333</v>
      </c>
      <c r="S37" s="10">
        <f t="shared" si="6"/>
        <v>7083.333333333333</v>
      </c>
      <c r="T37" s="10">
        <f t="shared" si="6"/>
        <v>7083.333333333333</v>
      </c>
      <c r="U37" s="33">
        <f t="shared" si="6"/>
        <v>7083.333333333333</v>
      </c>
      <c r="V37" s="10">
        <f t="shared" si="7"/>
        <v>7083.333333333333</v>
      </c>
      <c r="W37" s="10">
        <f t="shared" si="7"/>
        <v>7083.333333333333</v>
      </c>
      <c r="X37" s="10">
        <f t="shared" si="7"/>
        <v>7083.333333333333</v>
      </c>
      <c r="Y37" s="10">
        <f t="shared" si="7"/>
        <v>7083.333333333333</v>
      </c>
      <c r="Z37" s="10">
        <f t="shared" si="7"/>
        <v>7083.333333333333</v>
      </c>
      <c r="AA37" s="10">
        <f t="shared" si="7"/>
        <v>7083.333333333333</v>
      </c>
      <c r="AB37" s="10">
        <f t="shared" si="7"/>
        <v>7083.333333333333</v>
      </c>
      <c r="AC37" s="10">
        <f t="shared" si="7"/>
        <v>7083.333333333333</v>
      </c>
      <c r="AD37" s="10">
        <f t="shared" si="7"/>
        <v>7083.333333333333</v>
      </c>
      <c r="AE37" s="10">
        <f t="shared" si="7"/>
        <v>7083.333333333333</v>
      </c>
      <c r="AF37" s="10">
        <f t="shared" si="7"/>
        <v>7083.333333333333</v>
      </c>
      <c r="AG37" s="33">
        <f t="shared" si="7"/>
        <v>7083.333333333333</v>
      </c>
    </row>
    <row r="38" spans="3:33" x14ac:dyDescent="0.2">
      <c r="C38" t="s">
        <v>118</v>
      </c>
      <c r="D38" t="s">
        <v>86</v>
      </c>
      <c r="E38" s="64">
        <f>_xlfn.XLOOKUP($C38,'Corporate Roster - ''24'!$C$6:$C$60,'Corporate Roster - ''24'!$E$6:$E$60)</f>
        <v>38939</v>
      </c>
      <c r="F38" s="64" t="str">
        <f>_xlfn.XLOOKUP($C38,'Corporate Roster - ''24'!$C$6:$C$60,'Corporate Roster - ''24'!$F$6:$F$60)</f>
        <v>-</v>
      </c>
      <c r="G38" s="32">
        <f>(MROUND(H38*0.95,1000))</f>
        <v>114000</v>
      </c>
      <c r="H38" s="33">
        <f>_xlfn.XLOOKUP($C38,'Corporate Roster - ''24'!$C$6:$C$60,'Corporate Roster - ''24'!$G$6:$G$60)</f>
        <v>120000</v>
      </c>
      <c r="J38" s="32">
        <f t="shared" si="6"/>
        <v>9500</v>
      </c>
      <c r="K38" s="10">
        <f t="shared" si="6"/>
        <v>9500</v>
      </c>
      <c r="L38" s="10">
        <f t="shared" si="6"/>
        <v>9500</v>
      </c>
      <c r="M38" s="10">
        <f t="shared" si="6"/>
        <v>9500</v>
      </c>
      <c r="N38" s="10">
        <f t="shared" si="6"/>
        <v>9500</v>
      </c>
      <c r="O38" s="10">
        <f t="shared" si="6"/>
        <v>9500</v>
      </c>
      <c r="P38" s="10">
        <f t="shared" si="6"/>
        <v>9500</v>
      </c>
      <c r="Q38" s="10">
        <f t="shared" si="6"/>
        <v>9500</v>
      </c>
      <c r="R38" s="10">
        <f t="shared" si="6"/>
        <v>9500</v>
      </c>
      <c r="S38" s="10">
        <f t="shared" si="6"/>
        <v>9500</v>
      </c>
      <c r="T38" s="10">
        <f t="shared" si="6"/>
        <v>9500</v>
      </c>
      <c r="U38" s="33">
        <f t="shared" si="6"/>
        <v>9500</v>
      </c>
      <c r="V38" s="10">
        <f t="shared" si="7"/>
        <v>10000</v>
      </c>
      <c r="W38" s="10">
        <f t="shared" si="7"/>
        <v>10000</v>
      </c>
      <c r="X38" s="10">
        <f t="shared" si="7"/>
        <v>10000</v>
      </c>
      <c r="Y38" s="10">
        <f t="shared" si="7"/>
        <v>10000</v>
      </c>
      <c r="Z38" s="10">
        <f t="shared" si="7"/>
        <v>10000</v>
      </c>
      <c r="AA38" s="10">
        <f t="shared" si="7"/>
        <v>10000</v>
      </c>
      <c r="AB38" s="10">
        <f t="shared" si="7"/>
        <v>10000</v>
      </c>
      <c r="AC38" s="10">
        <f t="shared" si="7"/>
        <v>10000</v>
      </c>
      <c r="AD38" s="10">
        <f t="shared" si="7"/>
        <v>10000</v>
      </c>
      <c r="AE38" s="10">
        <f t="shared" si="7"/>
        <v>10000</v>
      </c>
      <c r="AF38" s="10">
        <f t="shared" si="7"/>
        <v>10000</v>
      </c>
      <c r="AG38" s="33">
        <f t="shared" si="7"/>
        <v>10000</v>
      </c>
    </row>
    <row r="39" spans="3:33" x14ac:dyDescent="0.2">
      <c r="C39" t="s">
        <v>65</v>
      </c>
      <c r="D39" t="s">
        <v>86</v>
      </c>
      <c r="E39" s="64">
        <f>_xlfn.XLOOKUP($C39,'Corporate Roster - ''24'!$C$6:$C$60,'Corporate Roster - ''24'!$E$6:$E$60)</f>
        <v>42100</v>
      </c>
      <c r="F39" s="64" t="str">
        <f>_xlfn.XLOOKUP($C39,'Corporate Roster - ''24'!$C$6:$C$60,'Corporate Roster - ''24'!$F$6:$F$60)</f>
        <v>-</v>
      </c>
      <c r="G39" s="32">
        <f t="shared" si="5"/>
        <v>120000</v>
      </c>
      <c r="H39" s="33">
        <f>_xlfn.XLOOKUP($C39,'Corporate Roster - ''24'!$C$6:$C$60,'Corporate Roster - ''24'!$G$6:$G$60)</f>
        <v>120000</v>
      </c>
      <c r="J39" s="32">
        <f t="shared" si="6"/>
        <v>10000</v>
      </c>
      <c r="K39" s="10">
        <f t="shared" si="6"/>
        <v>10000</v>
      </c>
      <c r="L39" s="10">
        <f t="shared" si="6"/>
        <v>10000</v>
      </c>
      <c r="M39" s="10">
        <f t="shared" si="6"/>
        <v>10000</v>
      </c>
      <c r="N39" s="10">
        <f t="shared" si="6"/>
        <v>10000</v>
      </c>
      <c r="O39" s="10">
        <f t="shared" si="6"/>
        <v>10000</v>
      </c>
      <c r="P39" s="10">
        <f t="shared" si="6"/>
        <v>10000</v>
      </c>
      <c r="Q39" s="10">
        <f t="shared" si="6"/>
        <v>10000</v>
      </c>
      <c r="R39" s="10">
        <f t="shared" si="6"/>
        <v>10000</v>
      </c>
      <c r="S39" s="10">
        <f t="shared" si="6"/>
        <v>10000</v>
      </c>
      <c r="T39" s="10">
        <f t="shared" si="6"/>
        <v>10000</v>
      </c>
      <c r="U39" s="33">
        <f t="shared" si="6"/>
        <v>10000</v>
      </c>
      <c r="V39" s="10">
        <f t="shared" si="7"/>
        <v>10000</v>
      </c>
      <c r="W39" s="10">
        <f t="shared" si="7"/>
        <v>10000</v>
      </c>
      <c r="X39" s="10">
        <f t="shared" si="7"/>
        <v>10000</v>
      </c>
      <c r="Y39" s="10">
        <f t="shared" si="7"/>
        <v>10000</v>
      </c>
      <c r="Z39" s="10">
        <f t="shared" si="7"/>
        <v>10000</v>
      </c>
      <c r="AA39" s="10">
        <f t="shared" si="7"/>
        <v>10000</v>
      </c>
      <c r="AB39" s="10">
        <f t="shared" si="7"/>
        <v>10000</v>
      </c>
      <c r="AC39" s="10">
        <f t="shared" si="7"/>
        <v>10000</v>
      </c>
      <c r="AD39" s="10">
        <f t="shared" si="7"/>
        <v>10000</v>
      </c>
      <c r="AE39" s="10">
        <f t="shared" si="7"/>
        <v>10000</v>
      </c>
      <c r="AF39" s="10">
        <f t="shared" si="7"/>
        <v>10000</v>
      </c>
      <c r="AG39" s="33">
        <f t="shared" si="7"/>
        <v>10000</v>
      </c>
    </row>
    <row r="40" spans="3:33" x14ac:dyDescent="0.2">
      <c r="C40" t="s">
        <v>119</v>
      </c>
      <c r="D40" t="s">
        <v>110</v>
      </c>
      <c r="E40" s="64">
        <f>_xlfn.XLOOKUP($C40,'Corporate Roster - ''24'!$C$6:$C$60,'Corporate Roster - ''24'!$E$6:$E$60)</f>
        <v>42772</v>
      </c>
      <c r="F40" s="64" t="str">
        <f>_xlfn.XLOOKUP($C40,'Corporate Roster - ''24'!$C$6:$C$60,'Corporate Roster - ''24'!$F$6:$F$60)</f>
        <v>-</v>
      </c>
      <c r="G40" s="32">
        <f>(MROUND(H40*0.95,1000))</f>
        <v>81000</v>
      </c>
      <c r="H40" s="33">
        <f>_xlfn.XLOOKUP($C40,'Corporate Roster - ''24'!$C$6:$C$60,'Corporate Roster - ''24'!$G$6:$G$60)</f>
        <v>85000</v>
      </c>
      <c r="J40" s="32">
        <f t="shared" ref="J40:U55" si="8">IF(AND(J$6&gt;$E40,J$6&lt;$F40),$G40/12,0)</f>
        <v>6750</v>
      </c>
      <c r="K40" s="10">
        <f t="shared" si="8"/>
        <v>6750</v>
      </c>
      <c r="L40" s="10">
        <f t="shared" si="8"/>
        <v>6750</v>
      </c>
      <c r="M40" s="10">
        <f t="shared" si="8"/>
        <v>6750</v>
      </c>
      <c r="N40" s="10">
        <f t="shared" si="8"/>
        <v>6750</v>
      </c>
      <c r="O40" s="10">
        <f t="shared" si="8"/>
        <v>6750</v>
      </c>
      <c r="P40" s="10">
        <f t="shared" si="8"/>
        <v>6750</v>
      </c>
      <c r="Q40" s="10">
        <f t="shared" si="8"/>
        <v>6750</v>
      </c>
      <c r="R40" s="10">
        <f t="shared" si="8"/>
        <v>6750</v>
      </c>
      <c r="S40" s="10">
        <f t="shared" si="8"/>
        <v>6750</v>
      </c>
      <c r="T40" s="10">
        <f t="shared" si="8"/>
        <v>6750</v>
      </c>
      <c r="U40" s="33">
        <f t="shared" si="8"/>
        <v>6750</v>
      </c>
      <c r="V40" s="10">
        <f t="shared" ref="V40:AG55" si="9">IF(AND(V$6&gt;$E40,V$6&lt;$F40),$H40/12,0)</f>
        <v>7083.333333333333</v>
      </c>
      <c r="W40" s="10">
        <f t="shared" si="9"/>
        <v>7083.333333333333</v>
      </c>
      <c r="X40" s="10">
        <f t="shared" si="9"/>
        <v>7083.333333333333</v>
      </c>
      <c r="Y40" s="10">
        <f t="shared" si="9"/>
        <v>7083.333333333333</v>
      </c>
      <c r="Z40" s="10">
        <f t="shared" si="9"/>
        <v>7083.333333333333</v>
      </c>
      <c r="AA40" s="10">
        <f t="shared" si="9"/>
        <v>7083.333333333333</v>
      </c>
      <c r="AB40" s="10">
        <f t="shared" si="9"/>
        <v>7083.333333333333</v>
      </c>
      <c r="AC40" s="10">
        <f t="shared" si="9"/>
        <v>7083.333333333333</v>
      </c>
      <c r="AD40" s="10">
        <f t="shared" si="9"/>
        <v>7083.333333333333</v>
      </c>
      <c r="AE40" s="10">
        <f t="shared" si="9"/>
        <v>7083.333333333333</v>
      </c>
      <c r="AF40" s="10">
        <f t="shared" si="9"/>
        <v>7083.333333333333</v>
      </c>
      <c r="AG40" s="33">
        <f t="shared" si="9"/>
        <v>7083.333333333333</v>
      </c>
    </row>
    <row r="41" spans="3:33" x14ac:dyDescent="0.2">
      <c r="C41" t="s">
        <v>120</v>
      </c>
      <c r="D41" t="s">
        <v>110</v>
      </c>
      <c r="E41" s="64">
        <f>_xlfn.XLOOKUP($C41,'Corporate Roster - ''24'!$C$6:$C$60,'Corporate Roster - ''24'!$E$6:$E$60)</f>
        <v>41160</v>
      </c>
      <c r="F41" s="64" t="str">
        <f>_xlfn.XLOOKUP($C41,'Corporate Roster - ''24'!$C$6:$C$60,'Corporate Roster - ''24'!$F$6:$F$60)</f>
        <v>-</v>
      </c>
      <c r="G41" s="32">
        <f t="shared" si="5"/>
        <v>85000</v>
      </c>
      <c r="H41" s="33">
        <f>_xlfn.XLOOKUP($C41,'Corporate Roster - ''24'!$C$6:$C$60,'Corporate Roster - ''24'!$G$6:$G$60)</f>
        <v>85000</v>
      </c>
      <c r="J41" s="32">
        <f t="shared" si="8"/>
        <v>7083.333333333333</v>
      </c>
      <c r="K41" s="10">
        <f t="shared" si="8"/>
        <v>7083.333333333333</v>
      </c>
      <c r="L41" s="10">
        <f t="shared" si="8"/>
        <v>7083.333333333333</v>
      </c>
      <c r="M41" s="10">
        <f t="shared" si="8"/>
        <v>7083.333333333333</v>
      </c>
      <c r="N41" s="10">
        <f t="shared" si="8"/>
        <v>7083.333333333333</v>
      </c>
      <c r="O41" s="10">
        <f t="shared" si="8"/>
        <v>7083.333333333333</v>
      </c>
      <c r="P41" s="10">
        <f t="shared" si="8"/>
        <v>7083.333333333333</v>
      </c>
      <c r="Q41" s="10">
        <f t="shared" si="8"/>
        <v>7083.333333333333</v>
      </c>
      <c r="R41" s="10">
        <f t="shared" si="8"/>
        <v>7083.333333333333</v>
      </c>
      <c r="S41" s="10">
        <f t="shared" si="8"/>
        <v>7083.333333333333</v>
      </c>
      <c r="T41" s="10">
        <f t="shared" si="8"/>
        <v>7083.333333333333</v>
      </c>
      <c r="U41" s="33">
        <f t="shared" si="8"/>
        <v>7083.333333333333</v>
      </c>
      <c r="V41" s="10">
        <f t="shared" si="9"/>
        <v>7083.333333333333</v>
      </c>
      <c r="W41" s="10">
        <f t="shared" si="9"/>
        <v>7083.333333333333</v>
      </c>
      <c r="X41" s="10">
        <f t="shared" si="9"/>
        <v>7083.333333333333</v>
      </c>
      <c r="Y41" s="10">
        <f t="shared" si="9"/>
        <v>7083.333333333333</v>
      </c>
      <c r="Z41" s="10">
        <f t="shared" si="9"/>
        <v>7083.333333333333</v>
      </c>
      <c r="AA41" s="10">
        <f t="shared" si="9"/>
        <v>7083.333333333333</v>
      </c>
      <c r="AB41" s="10">
        <f t="shared" si="9"/>
        <v>7083.333333333333</v>
      </c>
      <c r="AC41" s="10">
        <f t="shared" si="9"/>
        <v>7083.333333333333</v>
      </c>
      <c r="AD41" s="10">
        <f t="shared" si="9"/>
        <v>7083.333333333333</v>
      </c>
      <c r="AE41" s="10">
        <f t="shared" si="9"/>
        <v>7083.333333333333</v>
      </c>
      <c r="AF41" s="10">
        <f t="shared" si="9"/>
        <v>7083.333333333333</v>
      </c>
      <c r="AG41" s="33">
        <f t="shared" si="9"/>
        <v>7083.333333333333</v>
      </c>
    </row>
    <row r="42" spans="3:33" x14ac:dyDescent="0.2">
      <c r="C42" t="s">
        <v>121</v>
      </c>
      <c r="D42" t="s">
        <v>99</v>
      </c>
      <c r="E42" s="64">
        <f>_xlfn.XLOOKUP($C42,'Corporate Roster - ''24'!$C$6:$C$60,'Corporate Roster - ''24'!$E$6:$E$60)</f>
        <v>44972</v>
      </c>
      <c r="F42" s="64" t="str">
        <f>_xlfn.XLOOKUP($C42,'Corporate Roster - ''24'!$C$6:$C$60,'Corporate Roster - ''24'!$F$6:$F$60)</f>
        <v>-</v>
      </c>
      <c r="G42" s="32">
        <f t="shared" si="5"/>
        <v>80000</v>
      </c>
      <c r="H42" s="33">
        <f>_xlfn.XLOOKUP($C42,'Corporate Roster - ''24'!$C$6:$C$60,'Corporate Roster - ''24'!$G$6:$G$60)</f>
        <v>80000</v>
      </c>
      <c r="J42" s="32">
        <f t="shared" si="8"/>
        <v>0</v>
      </c>
      <c r="K42" s="10">
        <f t="shared" si="8"/>
        <v>6666.666666666667</v>
      </c>
      <c r="L42" s="10">
        <f t="shared" si="8"/>
        <v>6666.666666666667</v>
      </c>
      <c r="M42" s="10">
        <f t="shared" si="8"/>
        <v>6666.666666666667</v>
      </c>
      <c r="N42" s="10">
        <f t="shared" si="8"/>
        <v>6666.666666666667</v>
      </c>
      <c r="O42" s="10">
        <f t="shared" si="8"/>
        <v>6666.666666666667</v>
      </c>
      <c r="P42" s="10">
        <f t="shared" si="8"/>
        <v>6666.666666666667</v>
      </c>
      <c r="Q42" s="10">
        <f t="shared" si="8"/>
        <v>6666.666666666667</v>
      </c>
      <c r="R42" s="10">
        <f t="shared" si="8"/>
        <v>6666.666666666667</v>
      </c>
      <c r="S42" s="10">
        <f t="shared" si="8"/>
        <v>6666.666666666667</v>
      </c>
      <c r="T42" s="10">
        <f t="shared" si="8"/>
        <v>6666.666666666667</v>
      </c>
      <c r="U42" s="33">
        <f t="shared" si="8"/>
        <v>6666.666666666667</v>
      </c>
      <c r="V42" s="10">
        <f t="shared" si="9"/>
        <v>6666.666666666667</v>
      </c>
      <c r="W42" s="10">
        <f t="shared" si="9"/>
        <v>6666.666666666667</v>
      </c>
      <c r="X42" s="10">
        <f t="shared" si="9"/>
        <v>6666.666666666667</v>
      </c>
      <c r="Y42" s="10">
        <f t="shared" si="9"/>
        <v>6666.666666666667</v>
      </c>
      <c r="Z42" s="10">
        <f t="shared" si="9"/>
        <v>6666.666666666667</v>
      </c>
      <c r="AA42" s="10">
        <f t="shared" si="9"/>
        <v>6666.666666666667</v>
      </c>
      <c r="AB42" s="10">
        <f t="shared" si="9"/>
        <v>6666.666666666667</v>
      </c>
      <c r="AC42" s="10">
        <f t="shared" si="9"/>
        <v>6666.666666666667</v>
      </c>
      <c r="AD42" s="10">
        <f t="shared" si="9"/>
        <v>6666.666666666667</v>
      </c>
      <c r="AE42" s="10">
        <f t="shared" si="9"/>
        <v>6666.666666666667</v>
      </c>
      <c r="AF42" s="10">
        <f t="shared" si="9"/>
        <v>6666.666666666667</v>
      </c>
      <c r="AG42" s="33">
        <f t="shared" si="9"/>
        <v>6666.666666666667</v>
      </c>
    </row>
    <row r="43" spans="3:33" x14ac:dyDescent="0.2">
      <c r="C43" t="s">
        <v>151</v>
      </c>
      <c r="D43" t="s">
        <v>90</v>
      </c>
      <c r="E43" s="64">
        <f>_xlfn.XLOOKUP($C43,'Corporate Roster - ''24'!$C$6:$C$60,'Corporate Roster - ''24'!$E$6:$E$60)</f>
        <v>42189</v>
      </c>
      <c r="F43" s="64" t="str">
        <f>_xlfn.XLOOKUP($C43,'Corporate Roster - ''24'!$C$6:$C$60,'Corporate Roster - ''24'!$F$6:$F$60)</f>
        <v>-</v>
      </c>
      <c r="G43" s="32">
        <f>(MROUND(H43*0.8,1000))</f>
        <v>104000</v>
      </c>
      <c r="H43" s="33">
        <f>_xlfn.XLOOKUP($C43,'Corporate Roster - ''24'!$C$6:$C$60,'Corporate Roster - ''24'!$G$6:$G$60)</f>
        <v>130000</v>
      </c>
      <c r="J43" s="32">
        <f t="shared" si="8"/>
        <v>8666.6666666666661</v>
      </c>
      <c r="K43" s="10">
        <f t="shared" si="8"/>
        <v>8666.6666666666661</v>
      </c>
      <c r="L43" s="10">
        <f t="shared" si="8"/>
        <v>8666.6666666666661</v>
      </c>
      <c r="M43" s="10">
        <f t="shared" si="8"/>
        <v>8666.6666666666661</v>
      </c>
      <c r="N43" s="10">
        <f t="shared" si="8"/>
        <v>8666.6666666666661</v>
      </c>
      <c r="O43" s="10">
        <f t="shared" si="8"/>
        <v>8666.6666666666661</v>
      </c>
      <c r="P43" s="10">
        <f t="shared" si="8"/>
        <v>8666.6666666666661</v>
      </c>
      <c r="Q43" s="10">
        <f t="shared" si="8"/>
        <v>8666.6666666666661</v>
      </c>
      <c r="R43" s="10">
        <f t="shared" si="8"/>
        <v>8666.6666666666661</v>
      </c>
      <c r="S43" s="10">
        <f t="shared" si="8"/>
        <v>8666.6666666666661</v>
      </c>
      <c r="T43" s="10">
        <f t="shared" si="8"/>
        <v>8666.6666666666661</v>
      </c>
      <c r="U43" s="33">
        <f t="shared" si="8"/>
        <v>8666.6666666666661</v>
      </c>
      <c r="V43" s="10">
        <f t="shared" si="9"/>
        <v>10833.333333333334</v>
      </c>
      <c r="W43" s="10">
        <f t="shared" si="9"/>
        <v>10833.333333333334</v>
      </c>
      <c r="X43" s="10">
        <f t="shared" si="9"/>
        <v>10833.333333333334</v>
      </c>
      <c r="Y43" s="10">
        <f t="shared" si="9"/>
        <v>10833.333333333334</v>
      </c>
      <c r="Z43" s="10">
        <f t="shared" si="9"/>
        <v>10833.333333333334</v>
      </c>
      <c r="AA43" s="10">
        <f t="shared" si="9"/>
        <v>10833.333333333334</v>
      </c>
      <c r="AB43" s="10">
        <f t="shared" si="9"/>
        <v>10833.333333333334</v>
      </c>
      <c r="AC43" s="10">
        <f t="shared" si="9"/>
        <v>10833.333333333334</v>
      </c>
      <c r="AD43" s="10">
        <f t="shared" si="9"/>
        <v>10833.333333333334</v>
      </c>
      <c r="AE43" s="10">
        <f t="shared" si="9"/>
        <v>10833.333333333334</v>
      </c>
      <c r="AF43" s="10">
        <f t="shared" si="9"/>
        <v>10833.333333333334</v>
      </c>
      <c r="AG43" s="33">
        <f t="shared" si="9"/>
        <v>10833.333333333334</v>
      </c>
    </row>
    <row r="44" spans="3:33" x14ac:dyDescent="0.2">
      <c r="C44" t="s">
        <v>123</v>
      </c>
      <c r="D44" t="s">
        <v>99</v>
      </c>
      <c r="E44" s="64">
        <f>_xlfn.XLOOKUP($C44,'Corporate Roster - ''24'!$C$6:$C$60,'Corporate Roster - ''24'!$E$6:$E$60)</f>
        <v>44716</v>
      </c>
      <c r="F44" s="64" t="str">
        <f>_xlfn.XLOOKUP($C44,'Corporate Roster - ''24'!$C$6:$C$60,'Corporate Roster - ''24'!$F$6:$F$60)</f>
        <v>-</v>
      </c>
      <c r="G44" s="32">
        <f t="shared" si="5"/>
        <v>80000</v>
      </c>
      <c r="H44" s="33">
        <f>_xlfn.XLOOKUP($C44,'Corporate Roster - ''24'!$C$6:$C$60,'Corporate Roster - ''24'!$G$6:$G$60)</f>
        <v>80000</v>
      </c>
      <c r="J44" s="32">
        <f t="shared" si="8"/>
        <v>6666.666666666667</v>
      </c>
      <c r="K44" s="10">
        <f t="shared" si="8"/>
        <v>6666.666666666667</v>
      </c>
      <c r="L44" s="10">
        <f t="shared" si="8"/>
        <v>6666.666666666667</v>
      </c>
      <c r="M44" s="10">
        <f t="shared" si="8"/>
        <v>6666.666666666667</v>
      </c>
      <c r="N44" s="10">
        <f t="shared" si="8"/>
        <v>6666.666666666667</v>
      </c>
      <c r="O44" s="10">
        <f t="shared" si="8"/>
        <v>6666.666666666667</v>
      </c>
      <c r="P44" s="10">
        <f t="shared" si="8"/>
        <v>6666.666666666667</v>
      </c>
      <c r="Q44" s="10">
        <f t="shared" si="8"/>
        <v>6666.666666666667</v>
      </c>
      <c r="R44" s="10">
        <f t="shared" si="8"/>
        <v>6666.666666666667</v>
      </c>
      <c r="S44" s="10">
        <f t="shared" si="8"/>
        <v>6666.666666666667</v>
      </c>
      <c r="T44" s="10">
        <f t="shared" si="8"/>
        <v>6666.666666666667</v>
      </c>
      <c r="U44" s="33">
        <f t="shared" si="8"/>
        <v>6666.666666666667</v>
      </c>
      <c r="V44" s="10">
        <f t="shared" si="9"/>
        <v>6666.666666666667</v>
      </c>
      <c r="W44" s="10">
        <f t="shared" si="9"/>
        <v>6666.666666666667</v>
      </c>
      <c r="X44" s="10">
        <f t="shared" si="9"/>
        <v>6666.666666666667</v>
      </c>
      <c r="Y44" s="10">
        <f t="shared" si="9"/>
        <v>6666.666666666667</v>
      </c>
      <c r="Z44" s="10">
        <f t="shared" si="9"/>
        <v>6666.666666666667</v>
      </c>
      <c r="AA44" s="10">
        <f t="shared" si="9"/>
        <v>6666.666666666667</v>
      </c>
      <c r="AB44" s="10">
        <f t="shared" si="9"/>
        <v>6666.666666666667</v>
      </c>
      <c r="AC44" s="10">
        <f t="shared" si="9"/>
        <v>6666.666666666667</v>
      </c>
      <c r="AD44" s="10">
        <f t="shared" si="9"/>
        <v>6666.666666666667</v>
      </c>
      <c r="AE44" s="10">
        <f t="shared" si="9"/>
        <v>6666.666666666667</v>
      </c>
      <c r="AF44" s="10">
        <f t="shared" si="9"/>
        <v>6666.666666666667</v>
      </c>
      <c r="AG44" s="33">
        <f t="shared" si="9"/>
        <v>6666.666666666667</v>
      </c>
    </row>
    <row r="45" spans="3:33" x14ac:dyDescent="0.2">
      <c r="C45" t="s">
        <v>124</v>
      </c>
      <c r="D45" t="s">
        <v>99</v>
      </c>
      <c r="E45" s="64">
        <f>_xlfn.XLOOKUP($C45,'Corporate Roster - ''24'!$C$6:$C$60,'Corporate Roster - ''24'!$E$6:$E$60)</f>
        <v>38697</v>
      </c>
      <c r="F45" s="64" t="str">
        <f>_xlfn.XLOOKUP($C45,'Corporate Roster - ''24'!$C$6:$C$60,'Corporate Roster - ''24'!$F$6:$F$60)</f>
        <v>-</v>
      </c>
      <c r="G45" s="32">
        <f t="shared" si="5"/>
        <v>80000</v>
      </c>
      <c r="H45" s="33">
        <f>_xlfn.XLOOKUP($C45,'Corporate Roster - ''24'!$C$6:$C$60,'Corporate Roster - ''24'!$G$6:$G$60)</f>
        <v>80000</v>
      </c>
      <c r="J45" s="32">
        <f t="shared" si="8"/>
        <v>6666.666666666667</v>
      </c>
      <c r="K45" s="10">
        <f t="shared" si="8"/>
        <v>6666.666666666667</v>
      </c>
      <c r="L45" s="10">
        <f t="shared" si="8"/>
        <v>6666.666666666667</v>
      </c>
      <c r="M45" s="10">
        <f t="shared" si="8"/>
        <v>6666.666666666667</v>
      </c>
      <c r="N45" s="10">
        <f t="shared" si="8"/>
        <v>6666.666666666667</v>
      </c>
      <c r="O45" s="10">
        <f t="shared" si="8"/>
        <v>6666.666666666667</v>
      </c>
      <c r="P45" s="10">
        <f t="shared" si="8"/>
        <v>6666.666666666667</v>
      </c>
      <c r="Q45" s="10">
        <f t="shared" si="8"/>
        <v>6666.666666666667</v>
      </c>
      <c r="R45" s="10">
        <f t="shared" si="8"/>
        <v>6666.666666666667</v>
      </c>
      <c r="S45" s="10">
        <f t="shared" si="8"/>
        <v>6666.666666666667</v>
      </c>
      <c r="T45" s="10">
        <f t="shared" si="8"/>
        <v>6666.666666666667</v>
      </c>
      <c r="U45" s="33">
        <f t="shared" si="8"/>
        <v>6666.666666666667</v>
      </c>
      <c r="V45" s="10">
        <f t="shared" si="9"/>
        <v>6666.666666666667</v>
      </c>
      <c r="W45" s="10">
        <f t="shared" si="9"/>
        <v>6666.666666666667</v>
      </c>
      <c r="X45" s="10">
        <f t="shared" si="9"/>
        <v>6666.666666666667</v>
      </c>
      <c r="Y45" s="10">
        <f t="shared" si="9"/>
        <v>6666.666666666667</v>
      </c>
      <c r="Z45" s="10">
        <f t="shared" si="9"/>
        <v>6666.666666666667</v>
      </c>
      <c r="AA45" s="10">
        <f t="shared" si="9"/>
        <v>6666.666666666667</v>
      </c>
      <c r="AB45" s="10">
        <f t="shared" si="9"/>
        <v>6666.666666666667</v>
      </c>
      <c r="AC45" s="10">
        <f t="shared" si="9"/>
        <v>6666.666666666667</v>
      </c>
      <c r="AD45" s="10">
        <f t="shared" si="9"/>
        <v>6666.666666666667</v>
      </c>
      <c r="AE45" s="10">
        <f t="shared" si="9"/>
        <v>6666.666666666667</v>
      </c>
      <c r="AF45" s="10">
        <f t="shared" si="9"/>
        <v>6666.666666666667</v>
      </c>
      <c r="AG45" s="33">
        <f t="shared" si="9"/>
        <v>6666.666666666667</v>
      </c>
    </row>
    <row r="46" spans="3:33" x14ac:dyDescent="0.2">
      <c r="C46" t="s">
        <v>125</v>
      </c>
      <c r="D46" t="s">
        <v>99</v>
      </c>
      <c r="E46" s="64">
        <f>_xlfn.XLOOKUP($C46,'Corporate Roster - ''24'!$C$6:$C$60,'Corporate Roster - ''24'!$E$6:$E$60)</f>
        <v>43863</v>
      </c>
      <c r="F46" s="64" t="str">
        <f>_xlfn.XLOOKUP($C46,'Corporate Roster - ''24'!$C$6:$C$60,'Corporate Roster - ''24'!$F$6:$F$60)</f>
        <v>-</v>
      </c>
      <c r="G46" s="32">
        <f>(MROUND(H46*0.8,1000))</f>
        <v>64000</v>
      </c>
      <c r="H46" s="33">
        <f>_xlfn.XLOOKUP($C46,'Corporate Roster - ''24'!$C$6:$C$60,'Corporate Roster - ''24'!$G$6:$G$60)</f>
        <v>80000</v>
      </c>
      <c r="J46" s="32">
        <f t="shared" si="8"/>
        <v>5333.333333333333</v>
      </c>
      <c r="K46" s="10">
        <f t="shared" si="8"/>
        <v>5333.333333333333</v>
      </c>
      <c r="L46" s="10">
        <f t="shared" si="8"/>
        <v>5333.333333333333</v>
      </c>
      <c r="M46" s="10">
        <f t="shared" si="8"/>
        <v>5333.333333333333</v>
      </c>
      <c r="N46" s="10">
        <f t="shared" si="8"/>
        <v>5333.333333333333</v>
      </c>
      <c r="O46" s="10">
        <f t="shared" si="8"/>
        <v>5333.333333333333</v>
      </c>
      <c r="P46" s="10">
        <f t="shared" si="8"/>
        <v>5333.333333333333</v>
      </c>
      <c r="Q46" s="10">
        <f t="shared" si="8"/>
        <v>5333.333333333333</v>
      </c>
      <c r="R46" s="10">
        <f t="shared" si="8"/>
        <v>5333.333333333333</v>
      </c>
      <c r="S46" s="10">
        <f t="shared" si="8"/>
        <v>5333.333333333333</v>
      </c>
      <c r="T46" s="10">
        <f t="shared" si="8"/>
        <v>5333.333333333333</v>
      </c>
      <c r="U46" s="33">
        <f t="shared" si="8"/>
        <v>5333.333333333333</v>
      </c>
      <c r="V46" s="10">
        <f t="shared" si="9"/>
        <v>6666.666666666667</v>
      </c>
      <c r="W46" s="10">
        <f t="shared" si="9"/>
        <v>6666.666666666667</v>
      </c>
      <c r="X46" s="10">
        <f t="shared" si="9"/>
        <v>6666.666666666667</v>
      </c>
      <c r="Y46" s="10">
        <f t="shared" si="9"/>
        <v>6666.666666666667</v>
      </c>
      <c r="Z46" s="10">
        <f t="shared" si="9"/>
        <v>6666.666666666667</v>
      </c>
      <c r="AA46" s="10">
        <f t="shared" si="9"/>
        <v>6666.666666666667</v>
      </c>
      <c r="AB46" s="10">
        <f t="shared" si="9"/>
        <v>6666.666666666667</v>
      </c>
      <c r="AC46" s="10">
        <f t="shared" si="9"/>
        <v>6666.666666666667</v>
      </c>
      <c r="AD46" s="10">
        <f t="shared" si="9"/>
        <v>6666.666666666667</v>
      </c>
      <c r="AE46" s="10">
        <f t="shared" si="9"/>
        <v>6666.666666666667</v>
      </c>
      <c r="AF46" s="10">
        <f t="shared" si="9"/>
        <v>6666.666666666667</v>
      </c>
      <c r="AG46" s="33">
        <f t="shared" si="9"/>
        <v>6666.666666666667</v>
      </c>
    </row>
    <row r="47" spans="3:33" x14ac:dyDescent="0.2">
      <c r="C47" t="s">
        <v>126</v>
      </c>
      <c r="D47" t="s">
        <v>110</v>
      </c>
      <c r="E47" s="64">
        <f>_xlfn.XLOOKUP($C47,'Corporate Roster - ''24'!$C$6:$C$60,'Corporate Roster - ''24'!$E$6:$E$60)</f>
        <v>40847</v>
      </c>
      <c r="F47" s="64" t="str">
        <f>_xlfn.XLOOKUP($C47,'Corporate Roster - ''24'!$C$6:$C$60,'Corporate Roster - ''24'!$F$6:$F$60)</f>
        <v>-</v>
      </c>
      <c r="G47" s="32">
        <f t="shared" si="5"/>
        <v>85000</v>
      </c>
      <c r="H47" s="33">
        <f>_xlfn.XLOOKUP($C47,'Corporate Roster - ''24'!$C$6:$C$60,'Corporate Roster - ''24'!$G$6:$G$60)</f>
        <v>85000</v>
      </c>
      <c r="J47" s="32">
        <f t="shared" si="8"/>
        <v>7083.333333333333</v>
      </c>
      <c r="K47" s="10">
        <f t="shared" si="8"/>
        <v>7083.333333333333</v>
      </c>
      <c r="L47" s="10">
        <f t="shared" si="8"/>
        <v>7083.333333333333</v>
      </c>
      <c r="M47" s="10">
        <f t="shared" si="8"/>
        <v>7083.333333333333</v>
      </c>
      <c r="N47" s="10">
        <f t="shared" si="8"/>
        <v>7083.333333333333</v>
      </c>
      <c r="O47" s="10">
        <f t="shared" si="8"/>
        <v>7083.333333333333</v>
      </c>
      <c r="P47" s="10">
        <f t="shared" si="8"/>
        <v>7083.333333333333</v>
      </c>
      <c r="Q47" s="10">
        <f t="shared" si="8"/>
        <v>7083.333333333333</v>
      </c>
      <c r="R47" s="10">
        <f t="shared" si="8"/>
        <v>7083.333333333333</v>
      </c>
      <c r="S47" s="10">
        <f t="shared" si="8"/>
        <v>7083.333333333333</v>
      </c>
      <c r="T47" s="10">
        <f t="shared" si="8"/>
        <v>7083.333333333333</v>
      </c>
      <c r="U47" s="33">
        <f t="shared" si="8"/>
        <v>7083.333333333333</v>
      </c>
      <c r="V47" s="10">
        <f t="shared" si="9"/>
        <v>7083.333333333333</v>
      </c>
      <c r="W47" s="10">
        <f t="shared" si="9"/>
        <v>7083.333333333333</v>
      </c>
      <c r="X47" s="10">
        <f t="shared" si="9"/>
        <v>7083.333333333333</v>
      </c>
      <c r="Y47" s="10">
        <f t="shared" si="9"/>
        <v>7083.333333333333</v>
      </c>
      <c r="Z47" s="10">
        <f t="shared" si="9"/>
        <v>7083.333333333333</v>
      </c>
      <c r="AA47" s="10">
        <f t="shared" si="9"/>
        <v>7083.333333333333</v>
      </c>
      <c r="AB47" s="10">
        <f t="shared" si="9"/>
        <v>7083.333333333333</v>
      </c>
      <c r="AC47" s="10">
        <f t="shared" si="9"/>
        <v>7083.333333333333</v>
      </c>
      <c r="AD47" s="10">
        <f t="shared" si="9"/>
        <v>7083.333333333333</v>
      </c>
      <c r="AE47" s="10">
        <f t="shared" si="9"/>
        <v>7083.333333333333</v>
      </c>
      <c r="AF47" s="10">
        <f t="shared" si="9"/>
        <v>7083.333333333333</v>
      </c>
      <c r="AG47" s="33">
        <f t="shared" si="9"/>
        <v>7083.333333333333</v>
      </c>
    </row>
    <row r="48" spans="3:33" x14ac:dyDescent="0.2">
      <c r="C48" t="s">
        <v>127</v>
      </c>
      <c r="D48" t="s">
        <v>110</v>
      </c>
      <c r="E48" s="64">
        <f>_xlfn.XLOOKUP($C48,'Corporate Roster - ''24'!$C$6:$C$60,'Corporate Roster - ''24'!$E$6:$E$60)</f>
        <v>39385</v>
      </c>
      <c r="F48" s="64" t="str">
        <f>_xlfn.XLOOKUP($C48,'Corporate Roster - ''24'!$C$6:$C$60,'Corporate Roster - ''24'!$F$6:$F$60)</f>
        <v>-</v>
      </c>
      <c r="G48" s="32">
        <f t="shared" si="5"/>
        <v>85000</v>
      </c>
      <c r="H48" s="33">
        <f>_xlfn.XLOOKUP($C48,'Corporate Roster - ''24'!$C$6:$C$60,'Corporate Roster - ''24'!$G$6:$G$60)</f>
        <v>85000</v>
      </c>
      <c r="J48" s="32">
        <f t="shared" si="8"/>
        <v>7083.333333333333</v>
      </c>
      <c r="K48" s="10">
        <f t="shared" si="8"/>
        <v>7083.333333333333</v>
      </c>
      <c r="L48" s="10">
        <f t="shared" si="8"/>
        <v>7083.333333333333</v>
      </c>
      <c r="M48" s="10">
        <f t="shared" si="8"/>
        <v>7083.333333333333</v>
      </c>
      <c r="N48" s="10">
        <f t="shared" si="8"/>
        <v>7083.333333333333</v>
      </c>
      <c r="O48" s="10">
        <f t="shared" si="8"/>
        <v>7083.333333333333</v>
      </c>
      <c r="P48" s="10">
        <f t="shared" si="8"/>
        <v>7083.333333333333</v>
      </c>
      <c r="Q48" s="10">
        <f t="shared" si="8"/>
        <v>7083.333333333333</v>
      </c>
      <c r="R48" s="10">
        <f t="shared" si="8"/>
        <v>7083.333333333333</v>
      </c>
      <c r="S48" s="10">
        <f t="shared" si="8"/>
        <v>7083.333333333333</v>
      </c>
      <c r="T48" s="10">
        <f t="shared" si="8"/>
        <v>7083.333333333333</v>
      </c>
      <c r="U48" s="33">
        <f t="shared" si="8"/>
        <v>7083.333333333333</v>
      </c>
      <c r="V48" s="10">
        <f t="shared" si="9"/>
        <v>7083.333333333333</v>
      </c>
      <c r="W48" s="10">
        <f t="shared" si="9"/>
        <v>7083.333333333333</v>
      </c>
      <c r="X48" s="10">
        <f t="shared" si="9"/>
        <v>7083.333333333333</v>
      </c>
      <c r="Y48" s="10">
        <f t="shared" si="9"/>
        <v>7083.333333333333</v>
      </c>
      <c r="Z48" s="10">
        <f t="shared" si="9"/>
        <v>7083.333333333333</v>
      </c>
      <c r="AA48" s="10">
        <f t="shared" si="9"/>
        <v>7083.333333333333</v>
      </c>
      <c r="AB48" s="10">
        <f t="shared" si="9"/>
        <v>7083.333333333333</v>
      </c>
      <c r="AC48" s="10">
        <f t="shared" si="9"/>
        <v>7083.333333333333</v>
      </c>
      <c r="AD48" s="10">
        <f t="shared" si="9"/>
        <v>7083.333333333333</v>
      </c>
      <c r="AE48" s="10">
        <f t="shared" si="9"/>
        <v>7083.333333333333</v>
      </c>
      <c r="AF48" s="10">
        <f t="shared" si="9"/>
        <v>7083.333333333333</v>
      </c>
      <c r="AG48" s="33">
        <f t="shared" si="9"/>
        <v>7083.333333333333</v>
      </c>
    </row>
    <row r="49" spans="3:33" x14ac:dyDescent="0.2">
      <c r="C49" t="s">
        <v>128</v>
      </c>
      <c r="D49" t="s">
        <v>90</v>
      </c>
      <c r="E49" s="64">
        <f>_xlfn.XLOOKUP($C49,'Corporate Roster - ''24'!$C$6:$C$60,'Corporate Roster - ''24'!$E$6:$E$60)</f>
        <v>39936</v>
      </c>
      <c r="F49" s="64" t="str">
        <f>_xlfn.XLOOKUP($C49,'Corporate Roster - ''24'!$C$6:$C$60,'Corporate Roster - ''24'!$F$6:$F$60)</f>
        <v>-</v>
      </c>
      <c r="G49" s="32">
        <f>(MROUND(H49*0.95,1000))</f>
        <v>124000</v>
      </c>
      <c r="H49" s="33">
        <f>_xlfn.XLOOKUP($C49,'Corporate Roster - ''24'!$C$6:$C$60,'Corporate Roster - ''24'!$G$6:$G$60)</f>
        <v>130000</v>
      </c>
      <c r="J49" s="32">
        <f t="shared" si="8"/>
        <v>10333.333333333334</v>
      </c>
      <c r="K49" s="10">
        <f t="shared" si="8"/>
        <v>10333.333333333334</v>
      </c>
      <c r="L49" s="10">
        <f t="shared" si="8"/>
        <v>10333.333333333334</v>
      </c>
      <c r="M49" s="10">
        <f t="shared" si="8"/>
        <v>10333.333333333334</v>
      </c>
      <c r="N49" s="10">
        <f t="shared" si="8"/>
        <v>10333.333333333334</v>
      </c>
      <c r="O49" s="10">
        <f t="shared" si="8"/>
        <v>10333.333333333334</v>
      </c>
      <c r="P49" s="10">
        <f t="shared" si="8"/>
        <v>10333.333333333334</v>
      </c>
      <c r="Q49" s="10">
        <f t="shared" si="8"/>
        <v>10333.333333333334</v>
      </c>
      <c r="R49" s="10">
        <f t="shared" si="8"/>
        <v>10333.333333333334</v>
      </c>
      <c r="S49" s="10">
        <f t="shared" si="8"/>
        <v>10333.333333333334</v>
      </c>
      <c r="T49" s="10">
        <f t="shared" si="8"/>
        <v>10333.333333333334</v>
      </c>
      <c r="U49" s="33">
        <f t="shared" si="8"/>
        <v>10333.333333333334</v>
      </c>
      <c r="V49" s="10">
        <f t="shared" si="9"/>
        <v>10833.333333333334</v>
      </c>
      <c r="W49" s="10">
        <f t="shared" si="9"/>
        <v>10833.333333333334</v>
      </c>
      <c r="X49" s="10">
        <f t="shared" si="9"/>
        <v>10833.333333333334</v>
      </c>
      <c r="Y49" s="10">
        <f t="shared" si="9"/>
        <v>10833.333333333334</v>
      </c>
      <c r="Z49" s="10">
        <f t="shared" si="9"/>
        <v>10833.333333333334</v>
      </c>
      <c r="AA49" s="10">
        <f t="shared" si="9"/>
        <v>10833.333333333334</v>
      </c>
      <c r="AB49" s="10">
        <f t="shared" si="9"/>
        <v>10833.333333333334</v>
      </c>
      <c r="AC49" s="10">
        <f t="shared" si="9"/>
        <v>10833.333333333334</v>
      </c>
      <c r="AD49" s="10">
        <f t="shared" si="9"/>
        <v>10833.333333333334</v>
      </c>
      <c r="AE49" s="10">
        <f t="shared" si="9"/>
        <v>10833.333333333334</v>
      </c>
      <c r="AF49" s="10">
        <f t="shared" si="9"/>
        <v>10833.333333333334</v>
      </c>
      <c r="AG49" s="33">
        <f t="shared" si="9"/>
        <v>10833.333333333334</v>
      </c>
    </row>
    <row r="50" spans="3:33" x14ac:dyDescent="0.2">
      <c r="C50" t="s">
        <v>129</v>
      </c>
      <c r="D50" t="s">
        <v>99</v>
      </c>
      <c r="E50" s="64">
        <f>_xlfn.XLOOKUP($C50,'Corporate Roster - ''24'!$C$6:$C$60,'Corporate Roster - ''24'!$E$6:$E$60)</f>
        <v>43887</v>
      </c>
      <c r="F50" s="64" t="str">
        <f>_xlfn.XLOOKUP($C50,'Corporate Roster - ''24'!$C$6:$C$60,'Corporate Roster - ''24'!$F$6:$F$60)</f>
        <v>-</v>
      </c>
      <c r="G50" s="32">
        <f t="shared" si="5"/>
        <v>80000</v>
      </c>
      <c r="H50" s="33">
        <f>_xlfn.XLOOKUP($C50,'Corporate Roster - ''24'!$C$6:$C$60,'Corporate Roster - ''24'!$G$6:$G$60)</f>
        <v>80000</v>
      </c>
      <c r="J50" s="32">
        <f t="shared" si="8"/>
        <v>6666.666666666667</v>
      </c>
      <c r="K50" s="10">
        <f t="shared" si="8"/>
        <v>6666.666666666667</v>
      </c>
      <c r="L50" s="10">
        <f t="shared" si="8"/>
        <v>6666.666666666667</v>
      </c>
      <c r="M50" s="10">
        <f t="shared" si="8"/>
        <v>6666.666666666667</v>
      </c>
      <c r="N50" s="10">
        <f t="shared" si="8"/>
        <v>6666.666666666667</v>
      </c>
      <c r="O50" s="10">
        <f t="shared" si="8"/>
        <v>6666.666666666667</v>
      </c>
      <c r="P50" s="10">
        <f t="shared" si="8"/>
        <v>6666.666666666667</v>
      </c>
      <c r="Q50" s="10">
        <f t="shared" si="8"/>
        <v>6666.666666666667</v>
      </c>
      <c r="R50" s="10">
        <f t="shared" si="8"/>
        <v>6666.666666666667</v>
      </c>
      <c r="S50" s="10">
        <f t="shared" si="8"/>
        <v>6666.666666666667</v>
      </c>
      <c r="T50" s="10">
        <f t="shared" si="8"/>
        <v>6666.666666666667</v>
      </c>
      <c r="U50" s="33">
        <f t="shared" si="8"/>
        <v>6666.666666666667</v>
      </c>
      <c r="V50" s="10">
        <f t="shared" si="9"/>
        <v>6666.666666666667</v>
      </c>
      <c r="W50" s="10">
        <f t="shared" si="9"/>
        <v>6666.666666666667</v>
      </c>
      <c r="X50" s="10">
        <f t="shared" si="9"/>
        <v>6666.666666666667</v>
      </c>
      <c r="Y50" s="10">
        <f t="shared" si="9"/>
        <v>6666.666666666667</v>
      </c>
      <c r="Z50" s="10">
        <f t="shared" si="9"/>
        <v>6666.666666666667</v>
      </c>
      <c r="AA50" s="10">
        <f t="shared" si="9"/>
        <v>6666.666666666667</v>
      </c>
      <c r="AB50" s="10">
        <f t="shared" si="9"/>
        <v>6666.666666666667</v>
      </c>
      <c r="AC50" s="10">
        <f t="shared" si="9"/>
        <v>6666.666666666667</v>
      </c>
      <c r="AD50" s="10">
        <f t="shared" si="9"/>
        <v>6666.666666666667</v>
      </c>
      <c r="AE50" s="10">
        <f t="shared" si="9"/>
        <v>6666.666666666667</v>
      </c>
      <c r="AF50" s="10">
        <f t="shared" si="9"/>
        <v>6666.666666666667</v>
      </c>
      <c r="AG50" s="33">
        <f t="shared" si="9"/>
        <v>6666.666666666667</v>
      </c>
    </row>
    <row r="51" spans="3:33" x14ac:dyDescent="0.2">
      <c r="C51" t="s">
        <v>122</v>
      </c>
      <c r="D51" t="s">
        <v>99</v>
      </c>
      <c r="E51" s="64">
        <f>_xlfn.XLOOKUP($C51,'Corporate Roster - ''24'!$C$6:$C$60,'Corporate Roster - ''24'!$E$6:$E$60)</f>
        <v>44041</v>
      </c>
      <c r="F51" s="64" t="str">
        <f>_xlfn.XLOOKUP($C51,'Corporate Roster - ''24'!$C$6:$C$60,'Corporate Roster - ''24'!$F$6:$F$60)</f>
        <v>-</v>
      </c>
      <c r="G51" s="32">
        <f t="shared" si="5"/>
        <v>80000</v>
      </c>
      <c r="H51" s="33">
        <f>_xlfn.XLOOKUP($C51,'Corporate Roster - ''24'!$C$6:$C$60,'Corporate Roster - ''24'!$G$6:$G$60)</f>
        <v>80000</v>
      </c>
      <c r="J51" s="32">
        <f t="shared" si="8"/>
        <v>6666.666666666667</v>
      </c>
      <c r="K51" s="10">
        <f t="shared" si="8"/>
        <v>6666.666666666667</v>
      </c>
      <c r="L51" s="10">
        <f t="shared" si="8"/>
        <v>6666.666666666667</v>
      </c>
      <c r="M51" s="10">
        <f t="shared" si="8"/>
        <v>6666.666666666667</v>
      </c>
      <c r="N51" s="10">
        <f t="shared" si="8"/>
        <v>6666.666666666667</v>
      </c>
      <c r="O51" s="10">
        <f t="shared" si="8"/>
        <v>6666.666666666667</v>
      </c>
      <c r="P51" s="10">
        <f t="shared" si="8"/>
        <v>6666.666666666667</v>
      </c>
      <c r="Q51" s="10">
        <f t="shared" si="8"/>
        <v>6666.666666666667</v>
      </c>
      <c r="R51" s="10">
        <f t="shared" si="8"/>
        <v>6666.666666666667</v>
      </c>
      <c r="S51" s="10">
        <f t="shared" si="8"/>
        <v>6666.666666666667</v>
      </c>
      <c r="T51" s="10">
        <f t="shared" si="8"/>
        <v>6666.666666666667</v>
      </c>
      <c r="U51" s="33">
        <f t="shared" si="8"/>
        <v>6666.666666666667</v>
      </c>
      <c r="V51" s="10">
        <f t="shared" si="9"/>
        <v>6666.666666666667</v>
      </c>
      <c r="W51" s="10">
        <f t="shared" si="9"/>
        <v>6666.666666666667</v>
      </c>
      <c r="X51" s="10">
        <f t="shared" si="9"/>
        <v>6666.666666666667</v>
      </c>
      <c r="Y51" s="10">
        <f t="shared" si="9"/>
        <v>6666.666666666667</v>
      </c>
      <c r="Z51" s="10">
        <f t="shared" si="9"/>
        <v>6666.666666666667</v>
      </c>
      <c r="AA51" s="10">
        <f t="shared" si="9"/>
        <v>6666.666666666667</v>
      </c>
      <c r="AB51" s="10">
        <f t="shared" si="9"/>
        <v>6666.666666666667</v>
      </c>
      <c r="AC51" s="10">
        <f t="shared" si="9"/>
        <v>6666.666666666667</v>
      </c>
      <c r="AD51" s="10">
        <f t="shared" si="9"/>
        <v>6666.666666666667</v>
      </c>
      <c r="AE51" s="10">
        <f t="shared" si="9"/>
        <v>6666.666666666667</v>
      </c>
      <c r="AF51" s="10">
        <f t="shared" si="9"/>
        <v>6666.666666666667</v>
      </c>
      <c r="AG51" s="33">
        <f t="shared" si="9"/>
        <v>6666.666666666667</v>
      </c>
    </row>
    <row r="52" spans="3:33" x14ac:dyDescent="0.2">
      <c r="C52" t="s">
        <v>130</v>
      </c>
      <c r="D52" t="s">
        <v>74</v>
      </c>
      <c r="E52" s="64">
        <f>_xlfn.XLOOKUP($C52,'Corporate Roster - ''24'!$C$6:$C$60,'Corporate Roster - ''24'!$E$6:$E$60)</f>
        <v>38591</v>
      </c>
      <c r="F52" s="64">
        <f>_xlfn.XLOOKUP($C52,'Corporate Roster - ''24'!$C$6:$C$60,'Corporate Roster - ''24'!$F$6:$F$60)</f>
        <v>45101</v>
      </c>
      <c r="G52" s="32">
        <f t="shared" si="5"/>
        <v>200000</v>
      </c>
      <c r="H52" s="33">
        <f>_xlfn.XLOOKUP($C52,'Corporate Roster - ''24'!$C$6:$C$60,'Corporate Roster - ''24'!$G$6:$G$60)</f>
        <v>200000</v>
      </c>
      <c r="J52" s="32">
        <f t="shared" si="8"/>
        <v>16666.666666666668</v>
      </c>
      <c r="K52" s="10">
        <f t="shared" si="8"/>
        <v>16666.666666666668</v>
      </c>
      <c r="L52" s="10">
        <f t="shared" si="8"/>
        <v>16666.666666666668</v>
      </c>
      <c r="M52" s="10">
        <f t="shared" si="8"/>
        <v>16666.666666666668</v>
      </c>
      <c r="N52" s="10">
        <f t="shared" si="8"/>
        <v>16666.666666666668</v>
      </c>
      <c r="O52" s="10">
        <f t="shared" si="8"/>
        <v>0</v>
      </c>
      <c r="P52" s="10">
        <f t="shared" si="8"/>
        <v>0</v>
      </c>
      <c r="Q52" s="10">
        <f t="shared" si="8"/>
        <v>0</v>
      </c>
      <c r="R52" s="10">
        <f t="shared" si="8"/>
        <v>0</v>
      </c>
      <c r="S52" s="10">
        <f t="shared" si="8"/>
        <v>0</v>
      </c>
      <c r="T52" s="10">
        <f t="shared" si="8"/>
        <v>0</v>
      </c>
      <c r="U52" s="33">
        <f t="shared" si="8"/>
        <v>0</v>
      </c>
      <c r="V52" s="10">
        <f t="shared" si="9"/>
        <v>0</v>
      </c>
      <c r="W52" s="10">
        <f t="shared" si="9"/>
        <v>0</v>
      </c>
      <c r="X52" s="10">
        <f t="shared" si="9"/>
        <v>0</v>
      </c>
      <c r="Y52" s="10">
        <f t="shared" si="9"/>
        <v>0</v>
      </c>
      <c r="Z52" s="10">
        <f t="shared" si="9"/>
        <v>0</v>
      </c>
      <c r="AA52" s="10">
        <f t="shared" si="9"/>
        <v>0</v>
      </c>
      <c r="AB52" s="10">
        <f t="shared" si="9"/>
        <v>0</v>
      </c>
      <c r="AC52" s="10">
        <f t="shared" si="9"/>
        <v>0</v>
      </c>
      <c r="AD52" s="10">
        <f t="shared" si="9"/>
        <v>0</v>
      </c>
      <c r="AE52" s="10">
        <f t="shared" si="9"/>
        <v>0</v>
      </c>
      <c r="AF52" s="10">
        <f t="shared" si="9"/>
        <v>0</v>
      </c>
      <c r="AG52" s="33">
        <f t="shared" si="9"/>
        <v>0</v>
      </c>
    </row>
    <row r="53" spans="3:33" x14ac:dyDescent="0.2">
      <c r="C53" t="s">
        <v>132</v>
      </c>
      <c r="D53" t="s">
        <v>90</v>
      </c>
      <c r="E53" s="64">
        <f>_xlfn.XLOOKUP($C53,'Corporate Roster - ''24'!$C$6:$C$60,'Corporate Roster - ''24'!$E$6:$E$60)</f>
        <v>43026</v>
      </c>
      <c r="F53" s="64">
        <f>_xlfn.XLOOKUP($C53,'Corporate Roster - ''24'!$C$6:$C$60,'Corporate Roster - ''24'!$F$6:$F$60)</f>
        <v>45110</v>
      </c>
      <c r="G53" s="32">
        <f t="shared" si="5"/>
        <v>130000</v>
      </c>
      <c r="H53" s="33">
        <f>_xlfn.XLOOKUP($C53,'Corporate Roster - ''24'!$C$6:$C$60,'Corporate Roster - ''24'!$G$6:$G$60)</f>
        <v>130000</v>
      </c>
      <c r="J53" s="32">
        <f t="shared" si="8"/>
        <v>10833.333333333334</v>
      </c>
      <c r="K53" s="10">
        <f t="shared" si="8"/>
        <v>10833.333333333334</v>
      </c>
      <c r="L53" s="10">
        <f t="shared" si="8"/>
        <v>10833.333333333334</v>
      </c>
      <c r="M53" s="10">
        <f t="shared" si="8"/>
        <v>10833.333333333334</v>
      </c>
      <c r="N53" s="10">
        <f t="shared" si="8"/>
        <v>10833.333333333334</v>
      </c>
      <c r="O53" s="10">
        <f t="shared" si="8"/>
        <v>10833.333333333334</v>
      </c>
      <c r="P53" s="10">
        <f t="shared" si="8"/>
        <v>0</v>
      </c>
      <c r="Q53" s="10">
        <f t="shared" si="8"/>
        <v>0</v>
      </c>
      <c r="R53" s="10">
        <f t="shared" si="8"/>
        <v>0</v>
      </c>
      <c r="S53" s="10">
        <f t="shared" si="8"/>
        <v>0</v>
      </c>
      <c r="T53" s="10">
        <f t="shared" si="8"/>
        <v>0</v>
      </c>
      <c r="U53" s="33">
        <f t="shared" si="8"/>
        <v>0</v>
      </c>
      <c r="V53" s="10">
        <f t="shared" si="9"/>
        <v>0</v>
      </c>
      <c r="W53" s="10">
        <f t="shared" si="9"/>
        <v>0</v>
      </c>
      <c r="X53" s="10">
        <f t="shared" si="9"/>
        <v>0</v>
      </c>
      <c r="Y53" s="10">
        <f t="shared" si="9"/>
        <v>0</v>
      </c>
      <c r="Z53" s="10">
        <f t="shared" si="9"/>
        <v>0</v>
      </c>
      <c r="AA53" s="10">
        <f t="shared" si="9"/>
        <v>0</v>
      </c>
      <c r="AB53" s="10">
        <f t="shared" si="9"/>
        <v>0</v>
      </c>
      <c r="AC53" s="10">
        <f t="shared" si="9"/>
        <v>0</v>
      </c>
      <c r="AD53" s="10">
        <f t="shared" si="9"/>
        <v>0</v>
      </c>
      <c r="AE53" s="10">
        <f t="shared" si="9"/>
        <v>0</v>
      </c>
      <c r="AF53" s="10">
        <f t="shared" si="9"/>
        <v>0</v>
      </c>
      <c r="AG53" s="33">
        <f t="shared" si="9"/>
        <v>0</v>
      </c>
    </row>
    <row r="54" spans="3:33" x14ac:dyDescent="0.2">
      <c r="C54" t="s">
        <v>131</v>
      </c>
      <c r="D54" t="s">
        <v>103</v>
      </c>
      <c r="E54" s="64">
        <f>_xlfn.XLOOKUP($C54,'Corporate Roster - ''24'!$C$6:$C$60,'Corporate Roster - ''24'!$E$6:$E$60)</f>
        <v>42388</v>
      </c>
      <c r="F54" s="64">
        <f>_xlfn.XLOOKUP($C54,'Corporate Roster - ''24'!$C$6:$C$60,'Corporate Roster - ''24'!$F$6:$F$60)</f>
        <v>45231</v>
      </c>
      <c r="G54" s="32">
        <f>(MROUND(H54*0.95,1000))</f>
        <v>81000</v>
      </c>
      <c r="H54" s="33">
        <f>_xlfn.XLOOKUP($C54,'Corporate Roster - ''24'!$C$6:$C$60,'Corporate Roster - ''24'!$G$6:$G$60)</f>
        <v>85000</v>
      </c>
      <c r="J54" s="32">
        <f t="shared" si="8"/>
        <v>6750</v>
      </c>
      <c r="K54" s="10">
        <f t="shared" si="8"/>
        <v>6750</v>
      </c>
      <c r="L54" s="10">
        <f t="shared" si="8"/>
        <v>6750</v>
      </c>
      <c r="M54" s="10">
        <f t="shared" si="8"/>
        <v>6750</v>
      </c>
      <c r="N54" s="10">
        <f t="shared" si="8"/>
        <v>6750</v>
      </c>
      <c r="O54" s="10">
        <f t="shared" si="8"/>
        <v>6750</v>
      </c>
      <c r="P54" s="10">
        <f t="shared" si="8"/>
        <v>6750</v>
      </c>
      <c r="Q54" s="10">
        <f t="shared" si="8"/>
        <v>6750</v>
      </c>
      <c r="R54" s="10">
        <f t="shared" si="8"/>
        <v>6750</v>
      </c>
      <c r="S54" s="10">
        <f t="shared" si="8"/>
        <v>6750</v>
      </c>
      <c r="T54" s="10">
        <f t="shared" si="8"/>
        <v>0</v>
      </c>
      <c r="U54" s="33">
        <f t="shared" si="8"/>
        <v>0</v>
      </c>
      <c r="V54" s="10">
        <f t="shared" si="9"/>
        <v>0</v>
      </c>
      <c r="W54" s="10">
        <f t="shared" si="9"/>
        <v>0</v>
      </c>
      <c r="X54" s="10">
        <f t="shared" si="9"/>
        <v>0</v>
      </c>
      <c r="Y54" s="10">
        <f t="shared" si="9"/>
        <v>0</v>
      </c>
      <c r="Z54" s="10">
        <f t="shared" si="9"/>
        <v>0</v>
      </c>
      <c r="AA54" s="10">
        <f t="shared" si="9"/>
        <v>0</v>
      </c>
      <c r="AB54" s="10">
        <f t="shared" si="9"/>
        <v>0</v>
      </c>
      <c r="AC54" s="10">
        <f t="shared" si="9"/>
        <v>0</v>
      </c>
      <c r="AD54" s="10">
        <f t="shared" si="9"/>
        <v>0</v>
      </c>
      <c r="AE54" s="10">
        <f t="shared" si="9"/>
        <v>0</v>
      </c>
      <c r="AF54" s="10">
        <f t="shared" si="9"/>
        <v>0</v>
      </c>
      <c r="AG54" s="33">
        <f t="shared" si="9"/>
        <v>0</v>
      </c>
    </row>
    <row r="55" spans="3:33" x14ac:dyDescent="0.2">
      <c r="C55" t="s">
        <v>133</v>
      </c>
      <c r="D55" t="s">
        <v>93</v>
      </c>
      <c r="E55" s="64">
        <f>_xlfn.XLOOKUP($C55,'Corporate Roster - ''24'!$C$6:$C$60,'Corporate Roster - ''24'!$E$6:$E$60)</f>
        <v>38928</v>
      </c>
      <c r="F55" s="64">
        <f>_xlfn.XLOOKUP($C55,'Corporate Roster - ''24'!$C$6:$C$60,'Corporate Roster - ''24'!$F$6:$F$60)</f>
        <v>45398</v>
      </c>
      <c r="G55" s="32">
        <f t="shared" si="5"/>
        <v>120000</v>
      </c>
      <c r="H55" s="33">
        <f>_xlfn.XLOOKUP($C55,'Corporate Roster - ''24'!$C$6:$C$60,'Corporate Roster - ''24'!$G$6:$G$60)</f>
        <v>120000</v>
      </c>
      <c r="J55" s="32">
        <f t="shared" si="8"/>
        <v>10000</v>
      </c>
      <c r="K55" s="10">
        <f t="shared" si="8"/>
        <v>10000</v>
      </c>
      <c r="L55" s="10">
        <f t="shared" si="8"/>
        <v>10000</v>
      </c>
      <c r="M55" s="10">
        <f t="shared" si="8"/>
        <v>10000</v>
      </c>
      <c r="N55" s="10">
        <f t="shared" si="8"/>
        <v>10000</v>
      </c>
      <c r="O55" s="10">
        <f t="shared" si="8"/>
        <v>10000</v>
      </c>
      <c r="P55" s="10">
        <f t="shared" si="8"/>
        <v>10000</v>
      </c>
      <c r="Q55" s="10">
        <f t="shared" si="8"/>
        <v>10000</v>
      </c>
      <c r="R55" s="10">
        <f t="shared" si="8"/>
        <v>10000</v>
      </c>
      <c r="S55" s="10">
        <f t="shared" si="8"/>
        <v>10000</v>
      </c>
      <c r="T55" s="10">
        <f t="shared" si="8"/>
        <v>10000</v>
      </c>
      <c r="U55" s="33">
        <f t="shared" si="8"/>
        <v>10000</v>
      </c>
      <c r="V55" s="10">
        <f t="shared" si="9"/>
        <v>10000</v>
      </c>
      <c r="W55" s="10">
        <f t="shared" si="9"/>
        <v>10000</v>
      </c>
      <c r="X55" s="10">
        <f t="shared" si="9"/>
        <v>10000</v>
      </c>
      <c r="Y55" s="10">
        <f t="shared" si="9"/>
        <v>0</v>
      </c>
      <c r="Z55" s="10">
        <f t="shared" si="9"/>
        <v>0</v>
      </c>
      <c r="AA55" s="10">
        <f t="shared" si="9"/>
        <v>0</v>
      </c>
      <c r="AB55" s="10">
        <f t="shared" si="9"/>
        <v>0</v>
      </c>
      <c r="AC55" s="10">
        <f t="shared" si="9"/>
        <v>0</v>
      </c>
      <c r="AD55" s="10">
        <f t="shared" si="9"/>
        <v>0</v>
      </c>
      <c r="AE55" s="10">
        <f t="shared" si="9"/>
        <v>0</v>
      </c>
      <c r="AF55" s="10">
        <f t="shared" si="9"/>
        <v>0</v>
      </c>
      <c r="AG55" s="33">
        <f t="shared" si="9"/>
        <v>0</v>
      </c>
    </row>
    <row r="56" spans="3:33" x14ac:dyDescent="0.2">
      <c r="C56" t="s">
        <v>114</v>
      </c>
      <c r="D56" t="s">
        <v>86</v>
      </c>
      <c r="E56" s="64">
        <f>_xlfn.XLOOKUP($C56,'Corporate Roster - ''24'!$C$6:$C$60,'Corporate Roster - ''24'!$E$6:$E$60)</f>
        <v>43340</v>
      </c>
      <c r="F56" s="64">
        <f>_xlfn.XLOOKUP($C56,'Corporate Roster - ''24'!$C$6:$C$60,'Corporate Roster - ''24'!$F$6:$F$60)</f>
        <v>45437</v>
      </c>
      <c r="G56" s="32">
        <f t="shared" si="5"/>
        <v>120000</v>
      </c>
      <c r="H56" s="33">
        <f>_xlfn.XLOOKUP($C56,'Corporate Roster - ''24'!$C$6:$C$60,'Corporate Roster - ''24'!$G$6:$G$60)</f>
        <v>120000</v>
      </c>
      <c r="J56" s="32">
        <f t="shared" ref="J56:U61" si="10">IF(AND(J$6&gt;$E56,J$6&lt;$F56),$G56/12,0)</f>
        <v>10000</v>
      </c>
      <c r="K56" s="10">
        <f t="shared" si="10"/>
        <v>10000</v>
      </c>
      <c r="L56" s="10">
        <f t="shared" si="10"/>
        <v>10000</v>
      </c>
      <c r="M56" s="10">
        <f t="shared" si="10"/>
        <v>10000</v>
      </c>
      <c r="N56" s="10">
        <f t="shared" si="10"/>
        <v>10000</v>
      </c>
      <c r="O56" s="10">
        <f t="shared" si="10"/>
        <v>10000</v>
      </c>
      <c r="P56" s="10">
        <f t="shared" si="10"/>
        <v>10000</v>
      </c>
      <c r="Q56" s="10">
        <f t="shared" si="10"/>
        <v>10000</v>
      </c>
      <c r="R56" s="10">
        <f t="shared" si="10"/>
        <v>10000</v>
      </c>
      <c r="S56" s="10">
        <f t="shared" si="10"/>
        <v>10000</v>
      </c>
      <c r="T56" s="10">
        <f t="shared" si="10"/>
        <v>10000</v>
      </c>
      <c r="U56" s="33">
        <f t="shared" si="10"/>
        <v>10000</v>
      </c>
      <c r="V56" s="10">
        <f t="shared" ref="V56:AG61" si="11">IF(AND(V$6&gt;$E56,V$6&lt;$F56),$H56/12,0)</f>
        <v>10000</v>
      </c>
      <c r="W56" s="10">
        <f t="shared" si="11"/>
        <v>10000</v>
      </c>
      <c r="X56" s="10">
        <f t="shared" si="11"/>
        <v>10000</v>
      </c>
      <c r="Y56" s="10">
        <f t="shared" si="11"/>
        <v>10000</v>
      </c>
      <c r="Z56" s="10">
        <f t="shared" si="11"/>
        <v>0</v>
      </c>
      <c r="AA56" s="10">
        <f t="shared" si="11"/>
        <v>0</v>
      </c>
      <c r="AB56" s="10">
        <f t="shared" si="11"/>
        <v>0</v>
      </c>
      <c r="AC56" s="10">
        <f t="shared" si="11"/>
        <v>0</v>
      </c>
      <c r="AD56" s="10">
        <f t="shared" si="11"/>
        <v>0</v>
      </c>
      <c r="AE56" s="10">
        <f t="shared" si="11"/>
        <v>0</v>
      </c>
      <c r="AF56" s="10">
        <f t="shared" si="11"/>
        <v>0</v>
      </c>
      <c r="AG56" s="33">
        <f t="shared" si="11"/>
        <v>0</v>
      </c>
    </row>
    <row r="57" spans="3:33" x14ac:dyDescent="0.2">
      <c r="C57" t="s">
        <v>135</v>
      </c>
      <c r="D57" t="s">
        <v>82</v>
      </c>
      <c r="E57" s="64">
        <f>_xlfn.XLOOKUP($C57,'Corporate Roster - ''24'!$C$6:$C$60,'Corporate Roster - ''24'!$E$6:$E$60)</f>
        <v>44954</v>
      </c>
      <c r="F57" s="64">
        <f>_xlfn.XLOOKUP($C57,'Corporate Roster - ''24'!$C$6:$C$60,'Corporate Roster - ''24'!$F$6:$F$60)</f>
        <v>45489</v>
      </c>
      <c r="G57" s="32">
        <f t="shared" si="5"/>
        <v>160000</v>
      </c>
      <c r="H57" s="33">
        <f>_xlfn.XLOOKUP($C57,'Corporate Roster - ''24'!$C$6:$C$60,'Corporate Roster - ''24'!$G$6:$G$60)</f>
        <v>160000</v>
      </c>
      <c r="J57" s="32">
        <f t="shared" si="10"/>
        <v>13333.333333333334</v>
      </c>
      <c r="K57" s="10">
        <f t="shared" si="10"/>
        <v>13333.333333333334</v>
      </c>
      <c r="L57" s="10">
        <f t="shared" si="10"/>
        <v>13333.333333333334</v>
      </c>
      <c r="M57" s="10">
        <f t="shared" si="10"/>
        <v>13333.333333333334</v>
      </c>
      <c r="N57" s="10">
        <f t="shared" si="10"/>
        <v>13333.333333333334</v>
      </c>
      <c r="O57" s="10">
        <f t="shared" si="10"/>
        <v>13333.333333333334</v>
      </c>
      <c r="P57" s="10">
        <f t="shared" si="10"/>
        <v>13333.333333333334</v>
      </c>
      <c r="Q57" s="10">
        <f t="shared" si="10"/>
        <v>13333.333333333334</v>
      </c>
      <c r="R57" s="10">
        <f t="shared" si="10"/>
        <v>13333.333333333334</v>
      </c>
      <c r="S57" s="10">
        <f t="shared" si="10"/>
        <v>13333.333333333334</v>
      </c>
      <c r="T57" s="10">
        <f t="shared" si="10"/>
        <v>13333.333333333334</v>
      </c>
      <c r="U57" s="33">
        <f t="shared" si="10"/>
        <v>13333.333333333334</v>
      </c>
      <c r="V57" s="10">
        <f t="shared" si="11"/>
        <v>13333.333333333334</v>
      </c>
      <c r="W57" s="10">
        <f t="shared" si="11"/>
        <v>13333.333333333334</v>
      </c>
      <c r="X57" s="10">
        <f t="shared" si="11"/>
        <v>13333.333333333334</v>
      </c>
      <c r="Y57" s="10">
        <f t="shared" si="11"/>
        <v>13333.333333333334</v>
      </c>
      <c r="Z57" s="10">
        <f t="shared" si="11"/>
        <v>13333.333333333334</v>
      </c>
      <c r="AA57" s="10">
        <f t="shared" si="11"/>
        <v>13333.333333333334</v>
      </c>
      <c r="AB57" s="10">
        <f t="shared" si="11"/>
        <v>0</v>
      </c>
      <c r="AC57" s="10">
        <f t="shared" si="11"/>
        <v>0</v>
      </c>
      <c r="AD57" s="10">
        <f t="shared" si="11"/>
        <v>0</v>
      </c>
      <c r="AE57" s="10">
        <f t="shared" si="11"/>
        <v>0</v>
      </c>
      <c r="AF57" s="10">
        <f t="shared" si="11"/>
        <v>0</v>
      </c>
      <c r="AG57" s="33">
        <f t="shared" si="11"/>
        <v>0</v>
      </c>
    </row>
    <row r="58" spans="3:33" x14ac:dyDescent="0.2">
      <c r="C58" t="s">
        <v>113</v>
      </c>
      <c r="D58" t="s">
        <v>88</v>
      </c>
      <c r="E58" s="64">
        <f>_xlfn.XLOOKUP($C58,'Corporate Roster - ''24'!$C$6:$C$60,'Corporate Roster - ''24'!$E$6:$E$60)</f>
        <v>43244</v>
      </c>
      <c r="F58" s="64">
        <f>_xlfn.XLOOKUP($C58,'Corporate Roster - ''24'!$C$6:$C$60,'Corporate Roster - ''24'!$F$6:$F$60)</f>
        <v>45499</v>
      </c>
      <c r="G58" s="32">
        <f>(MROUND(H58*0.95,1000))</f>
        <v>124000</v>
      </c>
      <c r="H58" s="33">
        <f>_xlfn.XLOOKUP($C58,'Corporate Roster - ''24'!$C$6:$C$60,'Corporate Roster - ''24'!$G$6:$G$60)</f>
        <v>130000</v>
      </c>
      <c r="J58" s="32">
        <f t="shared" si="10"/>
        <v>10333.333333333334</v>
      </c>
      <c r="K58" s="10">
        <f t="shared" si="10"/>
        <v>10333.333333333334</v>
      </c>
      <c r="L58" s="10">
        <f t="shared" si="10"/>
        <v>10333.333333333334</v>
      </c>
      <c r="M58" s="10">
        <f t="shared" si="10"/>
        <v>10333.333333333334</v>
      </c>
      <c r="N58" s="10">
        <f t="shared" si="10"/>
        <v>10333.333333333334</v>
      </c>
      <c r="O58" s="10">
        <f t="shared" si="10"/>
        <v>10333.333333333334</v>
      </c>
      <c r="P58" s="10">
        <f t="shared" si="10"/>
        <v>10333.333333333334</v>
      </c>
      <c r="Q58" s="10">
        <f t="shared" si="10"/>
        <v>10333.333333333334</v>
      </c>
      <c r="R58" s="10">
        <f t="shared" si="10"/>
        <v>10333.333333333334</v>
      </c>
      <c r="S58" s="10">
        <f t="shared" si="10"/>
        <v>10333.333333333334</v>
      </c>
      <c r="T58" s="10">
        <f t="shared" si="10"/>
        <v>10333.333333333334</v>
      </c>
      <c r="U58" s="33">
        <f t="shared" si="10"/>
        <v>10333.333333333334</v>
      </c>
      <c r="V58" s="10">
        <f t="shared" si="11"/>
        <v>10833.333333333334</v>
      </c>
      <c r="W58" s="10">
        <f t="shared" si="11"/>
        <v>10833.333333333334</v>
      </c>
      <c r="X58" s="10">
        <f t="shared" si="11"/>
        <v>10833.333333333334</v>
      </c>
      <c r="Y58" s="10">
        <f t="shared" si="11"/>
        <v>10833.333333333334</v>
      </c>
      <c r="Z58" s="10">
        <f t="shared" si="11"/>
        <v>10833.333333333334</v>
      </c>
      <c r="AA58" s="10">
        <f t="shared" si="11"/>
        <v>10833.333333333334</v>
      </c>
      <c r="AB58" s="10">
        <f t="shared" si="11"/>
        <v>0</v>
      </c>
      <c r="AC58" s="10">
        <f t="shared" si="11"/>
        <v>0</v>
      </c>
      <c r="AD58" s="10">
        <f t="shared" si="11"/>
        <v>0</v>
      </c>
      <c r="AE58" s="10">
        <f t="shared" si="11"/>
        <v>0</v>
      </c>
      <c r="AF58" s="10">
        <f t="shared" si="11"/>
        <v>0</v>
      </c>
      <c r="AG58" s="33">
        <f t="shared" si="11"/>
        <v>0</v>
      </c>
    </row>
    <row r="59" spans="3:33" x14ac:dyDescent="0.2">
      <c r="C59" t="s">
        <v>75</v>
      </c>
      <c r="D59" t="s">
        <v>90</v>
      </c>
      <c r="E59" s="64">
        <f>_xlfn.XLOOKUP($C59,'Corporate Roster - ''24'!$C$6:$C$60,'Corporate Roster - ''24'!$E$6:$E$60)</f>
        <v>42099</v>
      </c>
      <c r="F59" s="64">
        <f>_xlfn.XLOOKUP($C59,'Corporate Roster - ''24'!$C$6:$C$60,'Corporate Roster - ''24'!$F$6:$F$60)</f>
        <v>45554</v>
      </c>
      <c r="G59" s="32">
        <f>(MROUND(H59*0.95,1000))</f>
        <v>124000</v>
      </c>
      <c r="H59" s="33">
        <f>_xlfn.XLOOKUP($C59,'Corporate Roster - ''24'!$C$6:$C$60,'Corporate Roster - ''24'!$G$6:$G$60)</f>
        <v>130000</v>
      </c>
      <c r="J59" s="32">
        <f t="shared" si="10"/>
        <v>10333.333333333334</v>
      </c>
      <c r="K59" s="10">
        <f t="shared" si="10"/>
        <v>10333.333333333334</v>
      </c>
      <c r="L59" s="10">
        <f t="shared" si="10"/>
        <v>10333.333333333334</v>
      </c>
      <c r="M59" s="10">
        <f t="shared" si="10"/>
        <v>10333.333333333334</v>
      </c>
      <c r="N59" s="10">
        <f t="shared" si="10"/>
        <v>10333.333333333334</v>
      </c>
      <c r="O59" s="10">
        <f t="shared" si="10"/>
        <v>10333.333333333334</v>
      </c>
      <c r="P59" s="10">
        <f t="shared" si="10"/>
        <v>10333.333333333334</v>
      </c>
      <c r="Q59" s="10">
        <f t="shared" si="10"/>
        <v>10333.333333333334</v>
      </c>
      <c r="R59" s="10">
        <f t="shared" si="10"/>
        <v>10333.333333333334</v>
      </c>
      <c r="S59" s="10">
        <f t="shared" si="10"/>
        <v>10333.333333333334</v>
      </c>
      <c r="T59" s="10">
        <f t="shared" si="10"/>
        <v>10333.333333333334</v>
      </c>
      <c r="U59" s="33">
        <f t="shared" si="10"/>
        <v>10333.333333333334</v>
      </c>
      <c r="V59" s="10">
        <f t="shared" si="11"/>
        <v>10833.333333333334</v>
      </c>
      <c r="W59" s="10">
        <f t="shared" si="11"/>
        <v>10833.333333333334</v>
      </c>
      <c r="X59" s="10">
        <f t="shared" si="11"/>
        <v>10833.333333333334</v>
      </c>
      <c r="Y59" s="10">
        <f t="shared" si="11"/>
        <v>10833.333333333334</v>
      </c>
      <c r="Z59" s="10">
        <f t="shared" si="11"/>
        <v>10833.333333333334</v>
      </c>
      <c r="AA59" s="10">
        <f t="shared" si="11"/>
        <v>10833.333333333334</v>
      </c>
      <c r="AB59" s="10">
        <f t="shared" si="11"/>
        <v>10833.333333333334</v>
      </c>
      <c r="AC59" s="10">
        <f t="shared" si="11"/>
        <v>10833.333333333334</v>
      </c>
      <c r="AD59" s="10">
        <f t="shared" si="11"/>
        <v>0</v>
      </c>
      <c r="AE59" s="10">
        <f t="shared" si="11"/>
        <v>0</v>
      </c>
      <c r="AF59" s="10">
        <f t="shared" si="11"/>
        <v>0</v>
      </c>
      <c r="AG59" s="33">
        <f t="shared" si="11"/>
        <v>0</v>
      </c>
    </row>
    <row r="60" spans="3:33" x14ac:dyDescent="0.2">
      <c r="C60" t="s">
        <v>134</v>
      </c>
      <c r="D60" t="s">
        <v>110</v>
      </c>
      <c r="E60" s="64">
        <f>_xlfn.XLOOKUP($C60,'Corporate Roster - ''24'!$C$6:$C$60,'Corporate Roster - ''24'!$E$6:$E$60)</f>
        <v>45193</v>
      </c>
      <c r="F60" s="64">
        <f>_xlfn.XLOOKUP($C60,'Corporate Roster - ''24'!$C$6:$C$60,'Corporate Roster - ''24'!$F$6:$F$60)</f>
        <v>45609</v>
      </c>
      <c r="G60" s="32">
        <f>(MROUND(H60*0.95,1000))</f>
        <v>81000</v>
      </c>
      <c r="H60" s="33">
        <f>_xlfn.XLOOKUP($C60,'Corporate Roster - ''24'!$C$6:$C$60,'Corporate Roster - ''24'!$G$6:$G$60)</f>
        <v>85000</v>
      </c>
      <c r="J60" s="32">
        <f t="shared" si="10"/>
        <v>0</v>
      </c>
      <c r="K60" s="10">
        <f t="shared" si="10"/>
        <v>0</v>
      </c>
      <c r="L60" s="10">
        <f t="shared" si="10"/>
        <v>0</v>
      </c>
      <c r="M60" s="10">
        <f t="shared" si="10"/>
        <v>0</v>
      </c>
      <c r="N60" s="10">
        <f t="shared" si="10"/>
        <v>0</v>
      </c>
      <c r="O60" s="10">
        <f t="shared" si="10"/>
        <v>0</v>
      </c>
      <c r="P60" s="10">
        <f t="shared" si="10"/>
        <v>0</v>
      </c>
      <c r="Q60" s="10">
        <f t="shared" si="10"/>
        <v>0</v>
      </c>
      <c r="R60" s="10">
        <f t="shared" si="10"/>
        <v>6750</v>
      </c>
      <c r="S60" s="10">
        <f t="shared" si="10"/>
        <v>6750</v>
      </c>
      <c r="T60" s="10">
        <f t="shared" si="10"/>
        <v>6750</v>
      </c>
      <c r="U60" s="33">
        <f t="shared" si="10"/>
        <v>6750</v>
      </c>
      <c r="V60" s="10">
        <f t="shared" si="11"/>
        <v>7083.333333333333</v>
      </c>
      <c r="W60" s="10">
        <f t="shared" si="11"/>
        <v>7083.333333333333</v>
      </c>
      <c r="X60" s="10">
        <f t="shared" si="11"/>
        <v>7083.333333333333</v>
      </c>
      <c r="Y60" s="10">
        <f t="shared" si="11"/>
        <v>7083.333333333333</v>
      </c>
      <c r="Z60" s="10">
        <f t="shared" si="11"/>
        <v>7083.333333333333</v>
      </c>
      <c r="AA60" s="10">
        <f t="shared" si="11"/>
        <v>7083.333333333333</v>
      </c>
      <c r="AB60" s="10">
        <f t="shared" si="11"/>
        <v>7083.333333333333</v>
      </c>
      <c r="AC60" s="10">
        <f t="shared" si="11"/>
        <v>7083.333333333333</v>
      </c>
      <c r="AD60" s="10">
        <f t="shared" si="11"/>
        <v>7083.333333333333</v>
      </c>
      <c r="AE60" s="10">
        <f t="shared" si="11"/>
        <v>7083.333333333333</v>
      </c>
      <c r="AF60" s="10">
        <f t="shared" si="11"/>
        <v>0</v>
      </c>
      <c r="AG60" s="33">
        <f t="shared" si="11"/>
        <v>0</v>
      </c>
    </row>
    <row r="61" spans="3:33" x14ac:dyDescent="0.2">
      <c r="C61" s="23" t="s">
        <v>152</v>
      </c>
      <c r="D61" s="23" t="s">
        <v>99</v>
      </c>
      <c r="E61" s="65">
        <f>_xlfn.XLOOKUP($C61,'Corporate Roster - ''24'!$C$6:$C$60,'Corporate Roster - ''24'!$E$6:$E$60)</f>
        <v>42869</v>
      </c>
      <c r="F61" s="78">
        <f>_xlfn.XLOOKUP($C61,'Corporate Roster - ''24'!$C$6:$C$60,'Corporate Roster - ''24'!$F$6:$F$60)</f>
        <v>45626</v>
      </c>
      <c r="G61" s="54">
        <f t="shared" si="5"/>
        <v>80000</v>
      </c>
      <c r="H61" s="62">
        <f>_xlfn.XLOOKUP($C61,'Corporate Roster - ''24'!$C$6:$C$60,'Corporate Roster - ''24'!$G$6:$G$60)</f>
        <v>80000</v>
      </c>
      <c r="J61" s="57">
        <f t="shared" si="10"/>
        <v>6666.666666666667</v>
      </c>
      <c r="K61" s="54">
        <f t="shared" si="10"/>
        <v>6666.666666666667</v>
      </c>
      <c r="L61" s="54">
        <f t="shared" si="10"/>
        <v>6666.666666666667</v>
      </c>
      <c r="M61" s="54">
        <f t="shared" si="10"/>
        <v>6666.666666666667</v>
      </c>
      <c r="N61" s="54">
        <f t="shared" si="10"/>
        <v>6666.666666666667</v>
      </c>
      <c r="O61" s="54">
        <f t="shared" si="10"/>
        <v>6666.666666666667</v>
      </c>
      <c r="P61" s="54">
        <f t="shared" si="10"/>
        <v>6666.666666666667</v>
      </c>
      <c r="Q61" s="54">
        <f t="shared" si="10"/>
        <v>6666.666666666667</v>
      </c>
      <c r="R61" s="54">
        <f t="shared" si="10"/>
        <v>6666.666666666667</v>
      </c>
      <c r="S61" s="54">
        <f t="shared" si="10"/>
        <v>6666.666666666667</v>
      </c>
      <c r="T61" s="54">
        <f t="shared" si="10"/>
        <v>6666.666666666667</v>
      </c>
      <c r="U61" s="62">
        <f t="shared" si="10"/>
        <v>6666.666666666667</v>
      </c>
      <c r="V61" s="54">
        <f t="shared" si="11"/>
        <v>6666.666666666667</v>
      </c>
      <c r="W61" s="54">
        <f t="shared" si="11"/>
        <v>6666.666666666667</v>
      </c>
      <c r="X61" s="54">
        <f t="shared" si="11"/>
        <v>6666.666666666667</v>
      </c>
      <c r="Y61" s="54">
        <f t="shared" si="11"/>
        <v>6666.666666666667</v>
      </c>
      <c r="Z61" s="54">
        <f t="shared" si="11"/>
        <v>6666.666666666667</v>
      </c>
      <c r="AA61" s="54">
        <f t="shared" si="11"/>
        <v>6666.666666666667</v>
      </c>
      <c r="AB61" s="54">
        <f t="shared" si="11"/>
        <v>6666.666666666667</v>
      </c>
      <c r="AC61" s="54">
        <f t="shared" si="11"/>
        <v>6666.666666666667</v>
      </c>
      <c r="AD61" s="54">
        <f t="shared" si="11"/>
        <v>6666.666666666667</v>
      </c>
      <c r="AE61" s="54">
        <f t="shared" si="11"/>
        <v>6666.666666666667</v>
      </c>
      <c r="AF61" s="54">
        <f t="shared" si="11"/>
        <v>0</v>
      </c>
      <c r="AG61" s="62">
        <f t="shared" si="11"/>
        <v>0</v>
      </c>
    </row>
    <row r="62" spans="3:33" x14ac:dyDescent="0.2">
      <c r="G62" s="34">
        <f>SUM(G7:G61)</f>
        <v>6374000</v>
      </c>
      <c r="H62" s="34">
        <f>SUM(H7:H61)</f>
        <v>6795000</v>
      </c>
      <c r="J62" s="34">
        <f>SUM(J7:J61)</f>
        <v>464999.99999999994</v>
      </c>
      <c r="K62" s="34">
        <f t="shared" ref="K62:AG62" si="12">SUM(K7:K61)</f>
        <v>480000</v>
      </c>
      <c r="L62" s="34">
        <f t="shared" si="12"/>
        <v>480000</v>
      </c>
      <c r="M62" s="34">
        <f t="shared" si="12"/>
        <v>485583.33333333331</v>
      </c>
      <c r="N62" s="34">
        <f t="shared" si="12"/>
        <v>492666.66666666663</v>
      </c>
      <c r="O62" s="34">
        <f t="shared" si="12"/>
        <v>475999.99999999994</v>
      </c>
      <c r="P62" s="34">
        <f t="shared" si="12"/>
        <v>465166.66666666663</v>
      </c>
      <c r="Q62" s="34">
        <f t="shared" si="12"/>
        <v>465166.66666666663</v>
      </c>
      <c r="R62" s="34">
        <f t="shared" si="12"/>
        <v>471916.66666666663</v>
      </c>
      <c r="S62" s="34">
        <f t="shared" si="12"/>
        <v>471916.66666666663</v>
      </c>
      <c r="T62" s="34">
        <f t="shared" si="12"/>
        <v>485583.33333333331</v>
      </c>
      <c r="U62" s="34">
        <f t="shared" si="12"/>
        <v>485583.33333333331</v>
      </c>
      <c r="V62" s="34">
        <f t="shared" si="12"/>
        <v>517499.99999999994</v>
      </c>
      <c r="W62" s="34">
        <f t="shared" si="12"/>
        <v>524583.33333333326</v>
      </c>
      <c r="X62" s="34">
        <f t="shared" si="12"/>
        <v>531666.66666666651</v>
      </c>
      <c r="Y62" s="34">
        <f t="shared" si="12"/>
        <v>521666.66666666657</v>
      </c>
      <c r="Z62" s="34">
        <f t="shared" si="12"/>
        <v>511666.66666666657</v>
      </c>
      <c r="AA62" s="34">
        <f t="shared" si="12"/>
        <v>511666.66666666657</v>
      </c>
      <c r="AB62" s="34">
        <f t="shared" si="12"/>
        <v>487499.99999999994</v>
      </c>
      <c r="AC62" s="34">
        <f t="shared" si="12"/>
        <v>487499.99999999994</v>
      </c>
      <c r="AD62" s="34">
        <f t="shared" si="12"/>
        <v>476666.66666666663</v>
      </c>
      <c r="AE62" s="34">
        <f t="shared" si="12"/>
        <v>476666.66666666663</v>
      </c>
      <c r="AF62" s="34">
        <f t="shared" si="12"/>
        <v>462916.66666666663</v>
      </c>
      <c r="AG62" s="34">
        <f t="shared" si="12"/>
        <v>462916.66666666663</v>
      </c>
    </row>
    <row r="65" spans="2:36" ht="13.5" thickBot="1" x14ac:dyDescent="0.25">
      <c r="B65" s="48" t="s">
        <v>0</v>
      </c>
      <c r="C65" s="1"/>
      <c r="D65" s="1"/>
      <c r="E65" s="1"/>
      <c r="F65" s="1"/>
      <c r="G65" s="1"/>
      <c r="H65" s="3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3">
        <f ca="1">TODAY()</f>
        <v>45999</v>
      </c>
      <c r="AH65" s="1"/>
    </row>
    <row r="66" spans="2:36" x14ac:dyDescent="0.2">
      <c r="B66" s="47"/>
      <c r="C66" t="s">
        <v>156</v>
      </c>
      <c r="H66" s="6"/>
      <c r="I66" s="6"/>
      <c r="AG66" s="53" t="s">
        <v>228</v>
      </c>
    </row>
    <row r="67" spans="2:36" x14ac:dyDescent="0.2">
      <c r="B67" s="47"/>
      <c r="H67" s="6"/>
      <c r="I67" s="6"/>
    </row>
    <row r="68" spans="2:36" ht="15" customHeight="1" x14ac:dyDescent="0.2">
      <c r="B68" s="47"/>
      <c r="E68" s="77" t="s">
        <v>143</v>
      </c>
      <c r="F68" s="77" t="s">
        <v>144</v>
      </c>
      <c r="G68" s="17" t="s">
        <v>154</v>
      </c>
      <c r="H68" s="50"/>
      <c r="I68" s="52" t="s">
        <v>56</v>
      </c>
      <c r="J68" s="20">
        <v>2023</v>
      </c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2"/>
      <c r="V68" s="20">
        <v>2024</v>
      </c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2"/>
    </row>
    <row r="69" spans="2:36" ht="15" x14ac:dyDescent="0.35">
      <c r="C69" s="59" t="s">
        <v>57</v>
      </c>
      <c r="D69" s="59" t="s">
        <v>58</v>
      </c>
      <c r="E69" s="59" t="s">
        <v>142</v>
      </c>
      <c r="F69" s="59" t="s">
        <v>142</v>
      </c>
      <c r="G69" s="13">
        <v>45291</v>
      </c>
      <c r="H69" s="14">
        <v>45657</v>
      </c>
      <c r="I69" s="51"/>
      <c r="J69" s="4">
        <v>44957</v>
      </c>
      <c r="K69" s="19">
        <f>EOMONTH(J69,1)</f>
        <v>44985</v>
      </c>
      <c r="L69" s="19">
        <f t="shared" ref="L69" si="13">EOMONTH(K69,1)</f>
        <v>45016</v>
      </c>
      <c r="M69" s="19">
        <f t="shared" ref="M69" si="14">EOMONTH(L69,1)</f>
        <v>45046</v>
      </c>
      <c r="N69" s="19">
        <f t="shared" ref="N69" si="15">EOMONTH(M69,1)</f>
        <v>45077</v>
      </c>
      <c r="O69" s="19">
        <f t="shared" ref="O69" si="16">EOMONTH(N69,1)</f>
        <v>45107</v>
      </c>
      <c r="P69" s="19">
        <f t="shared" ref="P69" si="17">EOMONTH(O69,1)</f>
        <v>45138</v>
      </c>
      <c r="Q69" s="19">
        <f t="shared" ref="Q69" si="18">EOMONTH(P69,1)</f>
        <v>45169</v>
      </c>
      <c r="R69" s="19">
        <f t="shared" ref="R69" si="19">EOMONTH(Q69,1)</f>
        <v>45199</v>
      </c>
      <c r="S69" s="19">
        <f t="shared" ref="S69" si="20">EOMONTH(R69,1)</f>
        <v>45230</v>
      </c>
      <c r="T69" s="19">
        <f t="shared" ref="T69" si="21">EOMONTH(S69,1)</f>
        <v>45260</v>
      </c>
      <c r="U69" s="5">
        <f t="shared" ref="U69" si="22">EOMONTH(T69,1)</f>
        <v>45291</v>
      </c>
      <c r="V69" s="4">
        <f t="shared" ref="V69" si="23">EOMONTH(U69,1)</f>
        <v>45322</v>
      </c>
      <c r="W69" s="19">
        <f t="shared" ref="W69" si="24">EOMONTH(V69,1)</f>
        <v>45351</v>
      </c>
      <c r="X69" s="19">
        <f t="shared" ref="X69" si="25">EOMONTH(W69,1)</f>
        <v>45382</v>
      </c>
      <c r="Y69" s="19">
        <f t="shared" ref="Y69" si="26">EOMONTH(X69,1)</f>
        <v>45412</v>
      </c>
      <c r="Z69" s="19">
        <f t="shared" ref="Z69" si="27">EOMONTH(Y69,1)</f>
        <v>45443</v>
      </c>
      <c r="AA69" s="19">
        <f t="shared" ref="AA69" si="28">EOMONTH(Z69,1)</f>
        <v>45473</v>
      </c>
      <c r="AB69" s="19">
        <f t="shared" ref="AB69" si="29">EOMONTH(AA69,1)</f>
        <v>45504</v>
      </c>
      <c r="AC69" s="19">
        <f t="shared" ref="AC69" si="30">EOMONTH(AB69,1)</f>
        <v>45535</v>
      </c>
      <c r="AD69" s="19">
        <f t="shared" ref="AD69" si="31">EOMONTH(AC69,1)</f>
        <v>45565</v>
      </c>
      <c r="AE69" s="19">
        <f t="shared" ref="AE69" si="32">EOMONTH(AD69,1)</f>
        <v>45596</v>
      </c>
      <c r="AF69" s="19">
        <f t="shared" ref="AF69" si="33">EOMONTH(AE69,1)</f>
        <v>45626</v>
      </c>
      <c r="AG69" s="5">
        <f t="shared" ref="AG69" si="34">EOMONTH(AF69,1)</f>
        <v>45657</v>
      </c>
    </row>
    <row r="70" spans="2:36" x14ac:dyDescent="0.2">
      <c r="C70" t="s">
        <v>137</v>
      </c>
      <c r="D70" t="s">
        <v>66</v>
      </c>
      <c r="E70" s="64">
        <f>_xlfn.XLOOKUP($C70,'Corporate Roster - ''24'!$C$6:$C$60,'Corporate Roster - ''24'!$E$6:$E$60)</f>
        <v>40848</v>
      </c>
      <c r="F70" s="64" t="str">
        <f>_xlfn.XLOOKUP($C70,'Corporate Roster - ''24'!$C$6:$C$60,'Corporate Roster - ''24'!$F$6:$F$60)</f>
        <v>-</v>
      </c>
      <c r="G70" s="56">
        <f>(MROUND(H70*0.9,1000))</f>
        <v>135000</v>
      </c>
      <c r="H70" s="61">
        <f>_xlfn.XLOOKUP($C70,'Corporate Roster - ''24'!$C$6:$C$60,'Corporate Roster - ''24'!$H$6:$H$60)</f>
        <v>150000</v>
      </c>
      <c r="J70" s="56">
        <v>0</v>
      </c>
      <c r="K70" s="55">
        <v>0</v>
      </c>
      <c r="L70" s="55">
        <v>0</v>
      </c>
      <c r="M70" s="55">
        <v>0</v>
      </c>
      <c r="N70" s="55">
        <v>0</v>
      </c>
      <c r="O70" s="55">
        <v>0</v>
      </c>
      <c r="P70" s="55">
        <v>0</v>
      </c>
      <c r="Q70" s="55">
        <v>0</v>
      </c>
      <c r="R70" s="55">
        <v>0</v>
      </c>
      <c r="S70" s="55">
        <v>0</v>
      </c>
      <c r="T70" s="55">
        <v>0</v>
      </c>
      <c r="U70" s="61">
        <f>MIN(YEARFRAC(U$69,$E70),1)*$G70</f>
        <v>135000</v>
      </c>
      <c r="V70" s="55">
        <v>0</v>
      </c>
      <c r="W70" s="55">
        <v>0</v>
      </c>
      <c r="X70" s="55">
        <v>0</v>
      </c>
      <c r="Y70" s="55">
        <v>0</v>
      </c>
      <c r="Z70" s="55">
        <v>0</v>
      </c>
      <c r="AA70" s="55">
        <v>0</v>
      </c>
      <c r="AB70" s="55">
        <v>0</v>
      </c>
      <c r="AC70" s="55">
        <v>0</v>
      </c>
      <c r="AD70" s="55">
        <v>0</v>
      </c>
      <c r="AE70" s="55">
        <v>0</v>
      </c>
      <c r="AF70" s="55">
        <v>0</v>
      </c>
      <c r="AG70" s="61">
        <f>MIN(YEARFRAC(AG$69,$E70),1)*$H70</f>
        <v>150000</v>
      </c>
      <c r="AJ70" s="55"/>
    </row>
    <row r="71" spans="2:36" x14ac:dyDescent="0.2">
      <c r="C71" t="s">
        <v>67</v>
      </c>
      <c r="D71" t="s">
        <v>68</v>
      </c>
      <c r="E71" s="64">
        <f>_xlfn.XLOOKUP($C71,'Corporate Roster - ''24'!$C$6:$C$60,'Corporate Roster - ''24'!$E$6:$E$60)</f>
        <v>41718</v>
      </c>
      <c r="F71" s="64" t="str">
        <f>_xlfn.XLOOKUP($C71,'Corporate Roster - ''24'!$C$6:$C$60,'Corporate Roster - ''24'!$F$6:$F$60)</f>
        <v>-</v>
      </c>
      <c r="G71" s="32">
        <f>(MROUND(H71*0.8,1000))</f>
        <v>80000</v>
      </c>
      <c r="H71" s="33">
        <f>_xlfn.XLOOKUP($C71,'Corporate Roster - ''24'!$C$6:$C$60,'Corporate Roster - ''24'!$H$6:$H$60)</f>
        <v>100000</v>
      </c>
      <c r="J71" s="32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33">
        <f t="shared" ref="U71:U124" si="35">MIN(YEARFRAC(U$69,E71),1)*$G71</f>
        <v>80000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33">
        <f t="shared" ref="AG71:AG114" si="36">MIN(YEARFRAC(AG$69,$E71),1)*$H71</f>
        <v>100000</v>
      </c>
      <c r="AJ71" s="55"/>
    </row>
    <row r="72" spans="2:36" x14ac:dyDescent="0.2">
      <c r="C72" t="s">
        <v>69</v>
      </c>
      <c r="D72" t="s">
        <v>70</v>
      </c>
      <c r="E72" s="64">
        <f>_xlfn.XLOOKUP($C72,'Corporate Roster - ''24'!$C$6:$C$60,'Corporate Roster - ''24'!$E$6:$E$60)</f>
        <v>39601</v>
      </c>
      <c r="F72" s="64" t="str">
        <f>_xlfn.XLOOKUP($C72,'Corporate Roster - ''24'!$C$6:$C$60,'Corporate Roster - ''24'!$F$6:$F$60)</f>
        <v>-</v>
      </c>
      <c r="G72" s="32">
        <f>(MROUND(H72*0.8,1000))</f>
        <v>80000</v>
      </c>
      <c r="H72" s="33">
        <f>_xlfn.XLOOKUP($C72,'Corporate Roster - ''24'!$C$6:$C$60,'Corporate Roster - ''24'!$H$6:$H$60)</f>
        <v>100000</v>
      </c>
      <c r="J72" s="32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33">
        <f t="shared" si="35"/>
        <v>80000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33">
        <f t="shared" si="36"/>
        <v>100000</v>
      </c>
      <c r="AJ72" s="55"/>
    </row>
    <row r="73" spans="2:36" x14ac:dyDescent="0.2">
      <c r="C73" t="s">
        <v>71</v>
      </c>
      <c r="D73" t="s">
        <v>72</v>
      </c>
      <c r="E73" s="64">
        <f>_xlfn.XLOOKUP($C73,'Corporate Roster - ''24'!$C$6:$C$60,'Corporate Roster - ''24'!$E$6:$E$60)</f>
        <v>44453</v>
      </c>
      <c r="F73" s="64" t="str">
        <f>_xlfn.XLOOKUP($C73,'Corporate Roster - ''24'!$C$6:$C$60,'Corporate Roster - ''24'!$F$6:$F$60)</f>
        <v>-</v>
      </c>
      <c r="G73" s="32">
        <f>(MROUND(H73*0.8,1000))</f>
        <v>67000</v>
      </c>
      <c r="H73" s="33">
        <f>_xlfn.XLOOKUP($C73,'Corporate Roster - ''24'!$C$6:$C$60,'Corporate Roster - ''24'!$H$6:$H$60)</f>
        <v>84000</v>
      </c>
      <c r="J73" s="32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33">
        <f t="shared" si="35"/>
        <v>67000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33">
        <f t="shared" si="36"/>
        <v>84000</v>
      </c>
      <c r="AJ73" s="55"/>
    </row>
    <row r="74" spans="2:36" x14ac:dyDescent="0.2">
      <c r="C74" t="s">
        <v>145</v>
      </c>
      <c r="D74" t="s">
        <v>74</v>
      </c>
      <c r="E74" s="64">
        <f>_xlfn.XLOOKUP($C74,'Corporate Roster - ''24'!$C$6:$C$60,'Corporate Roster - ''24'!$E$6:$E$60)</f>
        <v>39783</v>
      </c>
      <c r="F74" s="64" t="str">
        <f>_xlfn.XLOOKUP($C74,'Corporate Roster - ''24'!$C$6:$C$60,'Corporate Roster - ''24'!$F$6:$F$60)</f>
        <v>-</v>
      </c>
      <c r="G74" s="32">
        <f>(MROUND(H74*0.95,1000))</f>
        <v>57000</v>
      </c>
      <c r="H74" s="33">
        <f>_xlfn.XLOOKUP($C74,'Corporate Roster - ''24'!$C$6:$C$60,'Corporate Roster - ''24'!$H$6:$H$60)</f>
        <v>60000</v>
      </c>
      <c r="J74" s="32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33">
        <f t="shared" si="35"/>
        <v>57000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33">
        <f t="shared" si="36"/>
        <v>60000</v>
      </c>
      <c r="AJ74" s="55"/>
    </row>
    <row r="75" spans="2:36" x14ac:dyDescent="0.2">
      <c r="C75" t="s">
        <v>146</v>
      </c>
      <c r="D75" t="s">
        <v>76</v>
      </c>
      <c r="E75" s="64">
        <f>_xlfn.XLOOKUP($C75,'Corporate Roster - ''24'!$C$6:$C$60,'Corporate Roster - ''24'!$E$6:$E$60)</f>
        <v>42573</v>
      </c>
      <c r="F75" s="64" t="str">
        <f>_xlfn.XLOOKUP($C75,'Corporate Roster - ''24'!$C$6:$C$60,'Corporate Roster - ''24'!$F$6:$F$60)</f>
        <v>-</v>
      </c>
      <c r="G75" s="32">
        <f t="shared" ref="G75:G124" si="37">H75</f>
        <v>60000</v>
      </c>
      <c r="H75" s="33">
        <f>_xlfn.XLOOKUP($C75,'Corporate Roster - ''24'!$C$6:$C$60,'Corporate Roster - ''24'!$H$6:$H$60)</f>
        <v>60000</v>
      </c>
      <c r="J75" s="32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33">
        <f t="shared" si="35"/>
        <v>60000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33">
        <f t="shared" si="36"/>
        <v>60000</v>
      </c>
      <c r="AJ75" s="55"/>
    </row>
    <row r="76" spans="2:36" x14ac:dyDescent="0.2">
      <c r="C76" t="s">
        <v>77</v>
      </c>
      <c r="D76" t="s">
        <v>78</v>
      </c>
      <c r="E76" s="64">
        <f>_xlfn.XLOOKUP($C76,'Corporate Roster - ''24'!$C$6:$C$60,'Corporate Roster - ''24'!$E$6:$E$60)</f>
        <v>38481</v>
      </c>
      <c r="F76" s="64" t="str">
        <f>_xlfn.XLOOKUP($C76,'Corporate Roster - ''24'!$C$6:$C$60,'Corporate Roster - ''24'!$F$6:$F$60)</f>
        <v>-</v>
      </c>
      <c r="G76" s="32">
        <f t="shared" si="37"/>
        <v>45000</v>
      </c>
      <c r="H76" s="33">
        <f>_xlfn.XLOOKUP($C76,'Corporate Roster - ''24'!$C$6:$C$60,'Corporate Roster - ''24'!$H$6:$H$60)</f>
        <v>45000</v>
      </c>
      <c r="J76" s="32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33">
        <f t="shared" si="35"/>
        <v>45000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33">
        <f t="shared" si="36"/>
        <v>45000</v>
      </c>
      <c r="AJ76" s="55"/>
    </row>
    <row r="77" spans="2:36" x14ac:dyDescent="0.2">
      <c r="C77" t="s">
        <v>79</v>
      </c>
      <c r="D77" t="s">
        <v>80</v>
      </c>
      <c r="E77" s="64">
        <f>_xlfn.XLOOKUP($C77,'Corporate Roster - ''24'!$C$6:$C$60,'Corporate Roster - ''24'!$E$6:$E$60)</f>
        <v>38427</v>
      </c>
      <c r="F77" s="64" t="str">
        <f>_xlfn.XLOOKUP($C77,'Corporate Roster - ''24'!$C$6:$C$60,'Corporate Roster - ''24'!$F$6:$F$60)</f>
        <v>-</v>
      </c>
      <c r="G77" s="32">
        <f t="shared" si="37"/>
        <v>32000</v>
      </c>
      <c r="H77" s="33">
        <f>_xlfn.XLOOKUP($C77,'Corporate Roster - ''24'!$C$6:$C$60,'Corporate Roster - ''24'!$H$6:$H$60)</f>
        <v>32000</v>
      </c>
      <c r="J77" s="32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33">
        <f t="shared" si="35"/>
        <v>32000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33">
        <f t="shared" si="36"/>
        <v>32000</v>
      </c>
      <c r="AJ77" s="55"/>
    </row>
    <row r="78" spans="2:36" x14ac:dyDescent="0.2">
      <c r="C78" t="s">
        <v>147</v>
      </c>
      <c r="D78" t="s">
        <v>82</v>
      </c>
      <c r="E78" s="64">
        <f>_xlfn.XLOOKUP($C78,'Corporate Roster - ''24'!$C$6:$C$60,'Corporate Roster - ''24'!$E$6:$E$60)</f>
        <v>42696</v>
      </c>
      <c r="F78" s="64" t="str">
        <f>_xlfn.XLOOKUP($C78,'Corporate Roster - ''24'!$C$6:$C$60,'Corporate Roster - ''24'!$F$6:$F$60)</f>
        <v>-</v>
      </c>
      <c r="G78" s="32">
        <f>(MROUND(H78*0.95,1000))</f>
        <v>30000</v>
      </c>
      <c r="H78" s="33">
        <f>_xlfn.XLOOKUP($C78,'Corporate Roster - ''24'!$C$6:$C$60,'Corporate Roster - ''24'!$H$6:$H$60)</f>
        <v>32000</v>
      </c>
      <c r="J78" s="32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33">
        <f t="shared" si="35"/>
        <v>30000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33">
        <f t="shared" si="36"/>
        <v>32000</v>
      </c>
      <c r="AJ78" s="55"/>
    </row>
    <row r="79" spans="2:36" x14ac:dyDescent="0.2">
      <c r="C79" t="s">
        <v>83</v>
      </c>
      <c r="D79" t="s">
        <v>84</v>
      </c>
      <c r="E79" s="64">
        <f>_xlfn.XLOOKUP($C79,'Corporate Roster - ''24'!$C$6:$C$60,'Corporate Roster - ''24'!$E$6:$E$60)</f>
        <v>45248</v>
      </c>
      <c r="F79" s="64" t="str">
        <f>_xlfn.XLOOKUP($C79,'Corporate Roster - ''24'!$C$6:$C$60,'Corporate Roster - ''24'!$F$6:$F$60)</f>
        <v>-</v>
      </c>
      <c r="G79" s="32">
        <f t="shared" si="37"/>
        <v>22500</v>
      </c>
      <c r="H79" s="33">
        <f>_xlfn.XLOOKUP($C79,'Corporate Roster - ''24'!$C$6:$C$60,'Corporate Roster - ''24'!$H$6:$H$60)</f>
        <v>22500</v>
      </c>
      <c r="J79" s="32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33">
        <f t="shared" si="35"/>
        <v>2687.5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33">
        <f t="shared" si="36"/>
        <v>22500</v>
      </c>
      <c r="AJ79" s="55"/>
    </row>
    <row r="80" spans="2:36" x14ac:dyDescent="0.2">
      <c r="C80" t="s">
        <v>85</v>
      </c>
      <c r="D80" t="s">
        <v>86</v>
      </c>
      <c r="E80" s="64">
        <f>_xlfn.XLOOKUP($C80,'Corporate Roster - ''24'!$C$6:$C$60,'Corporate Roster - ''24'!$E$6:$E$60)</f>
        <v>42458</v>
      </c>
      <c r="F80" s="64" t="str">
        <f>_xlfn.XLOOKUP($C80,'Corporate Roster - ''24'!$C$6:$C$60,'Corporate Roster - ''24'!$F$6:$F$60)</f>
        <v>-</v>
      </c>
      <c r="G80" s="32">
        <f>(MROUND(H80*0.95,1000))</f>
        <v>11000</v>
      </c>
      <c r="H80" s="33">
        <f>_xlfn.XLOOKUP($C80,'Corporate Roster - ''24'!$C$6:$C$60,'Corporate Roster - ''24'!$H$6:$H$60)</f>
        <v>12000</v>
      </c>
      <c r="J80" s="32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33">
        <f t="shared" si="35"/>
        <v>11000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33">
        <f t="shared" si="36"/>
        <v>12000</v>
      </c>
      <c r="AJ80" s="55"/>
    </row>
    <row r="81" spans="3:36" x14ac:dyDescent="0.2">
      <c r="C81" t="s">
        <v>87</v>
      </c>
      <c r="D81" t="s">
        <v>88</v>
      </c>
      <c r="E81" s="64">
        <f>_xlfn.XLOOKUP($C81,'Corporate Roster - ''24'!$C$6:$C$60,'Corporate Roster - ''24'!$E$6:$E$60)</f>
        <v>41921</v>
      </c>
      <c r="F81" s="64" t="str">
        <f>_xlfn.XLOOKUP($C81,'Corporate Roster - ''24'!$C$6:$C$60,'Corporate Roster - ''24'!$F$6:$F$60)</f>
        <v>-</v>
      </c>
      <c r="G81" s="32">
        <f t="shared" si="37"/>
        <v>13000</v>
      </c>
      <c r="H81" s="33">
        <f>_xlfn.XLOOKUP($C81,'Corporate Roster - ''24'!$C$6:$C$60,'Corporate Roster - ''24'!$H$6:$H$60)</f>
        <v>13000</v>
      </c>
      <c r="J81" s="32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33">
        <f t="shared" si="35"/>
        <v>13000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33">
        <f t="shared" si="36"/>
        <v>13000</v>
      </c>
      <c r="AJ81" s="55"/>
    </row>
    <row r="82" spans="3:36" x14ac:dyDescent="0.2">
      <c r="C82" t="s">
        <v>89</v>
      </c>
      <c r="D82" t="s">
        <v>90</v>
      </c>
      <c r="E82" s="64">
        <f>_xlfn.XLOOKUP($C82,'Corporate Roster - ''24'!$C$6:$C$60,'Corporate Roster - ''24'!$E$6:$E$60)</f>
        <v>40143</v>
      </c>
      <c r="F82" s="64" t="str">
        <f>_xlfn.XLOOKUP($C82,'Corporate Roster - ''24'!$C$6:$C$60,'Corporate Roster - ''24'!$F$6:$F$60)</f>
        <v>-</v>
      </c>
      <c r="G82" s="32">
        <f>(MROUND(H82*0.95,1000))</f>
        <v>12000</v>
      </c>
      <c r="H82" s="33">
        <f>_xlfn.XLOOKUP($C82,'Corporate Roster - ''24'!$C$6:$C$60,'Corporate Roster - ''24'!$H$6:$H$60)</f>
        <v>13000</v>
      </c>
      <c r="J82" s="32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33">
        <f t="shared" si="35"/>
        <v>12000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33">
        <f t="shared" si="36"/>
        <v>13000</v>
      </c>
      <c r="AJ82" s="55"/>
    </row>
    <row r="83" spans="3:36" x14ac:dyDescent="0.2">
      <c r="C83" t="s">
        <v>81</v>
      </c>
      <c r="D83" t="s">
        <v>91</v>
      </c>
      <c r="E83" s="64">
        <f>_xlfn.XLOOKUP($C83,'Corporate Roster - ''24'!$C$6:$C$60,'Corporate Roster - ''24'!$E$6:$E$60)</f>
        <v>40811</v>
      </c>
      <c r="F83" s="64" t="str">
        <f>_xlfn.XLOOKUP($C83,'Corporate Roster - ''24'!$C$6:$C$60,'Corporate Roster - ''24'!$F$6:$F$60)</f>
        <v>-</v>
      </c>
      <c r="G83" s="32">
        <f t="shared" si="37"/>
        <v>11000</v>
      </c>
      <c r="H83" s="33">
        <f>_xlfn.XLOOKUP($C83,'Corporate Roster - ''24'!$C$6:$C$60,'Corporate Roster - ''24'!$H$6:$H$60)</f>
        <v>11000</v>
      </c>
      <c r="J83" s="32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33">
        <f t="shared" si="35"/>
        <v>11000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33">
        <f t="shared" si="36"/>
        <v>11000</v>
      </c>
      <c r="AJ83" s="55"/>
    </row>
    <row r="84" spans="3:36" x14ac:dyDescent="0.2">
      <c r="C84" t="s">
        <v>92</v>
      </c>
      <c r="D84" t="s">
        <v>93</v>
      </c>
      <c r="E84" s="64">
        <f>_xlfn.XLOOKUP($C84,'Corporate Roster - ''24'!$C$6:$C$60,'Corporate Roster - ''24'!$E$6:$E$60)</f>
        <v>43400</v>
      </c>
      <c r="F84" s="64" t="str">
        <f>_xlfn.XLOOKUP($C84,'Corporate Roster - ''24'!$C$6:$C$60,'Corporate Roster - ''24'!$F$6:$F$60)</f>
        <v>-</v>
      </c>
      <c r="G84" s="32">
        <f>(MROUND(H84*0.8,1000))</f>
        <v>10000</v>
      </c>
      <c r="H84" s="33">
        <f>_xlfn.XLOOKUP($C84,'Corporate Roster - ''24'!$C$6:$C$60,'Corporate Roster - ''24'!$H$6:$H$60)</f>
        <v>12000</v>
      </c>
      <c r="J84" s="32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33">
        <f t="shared" si="35"/>
        <v>10000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33">
        <f t="shared" si="36"/>
        <v>12000</v>
      </c>
      <c r="AJ84" s="55"/>
    </row>
    <row r="85" spans="3:36" x14ac:dyDescent="0.2">
      <c r="C85" t="s">
        <v>94</v>
      </c>
      <c r="D85" t="s">
        <v>95</v>
      </c>
      <c r="E85" s="64">
        <f>_xlfn.XLOOKUP($C85,'Corporate Roster - ''24'!$C$6:$C$60,'Corporate Roster - ''24'!$E$6:$E$60)</f>
        <v>40031</v>
      </c>
      <c r="F85" s="64" t="str">
        <f>_xlfn.XLOOKUP($C85,'Corporate Roster - ''24'!$C$6:$C$60,'Corporate Roster - ''24'!$F$6:$F$60)</f>
        <v>-</v>
      </c>
      <c r="G85" s="32">
        <f t="shared" si="37"/>
        <v>14000</v>
      </c>
      <c r="H85" s="33">
        <f>_xlfn.XLOOKUP($C85,'Corporate Roster - ''24'!$C$6:$C$60,'Corporate Roster - ''24'!$H$6:$H$60)</f>
        <v>14000</v>
      </c>
      <c r="J85" s="32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33">
        <f t="shared" si="35"/>
        <v>14000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33">
        <f t="shared" si="36"/>
        <v>14000</v>
      </c>
      <c r="AJ85" s="55"/>
    </row>
    <row r="86" spans="3:36" x14ac:dyDescent="0.2">
      <c r="C86" t="s">
        <v>96</v>
      </c>
      <c r="D86" t="s">
        <v>97</v>
      </c>
      <c r="E86" s="64">
        <f>_xlfn.XLOOKUP($C86,'Corporate Roster - ''24'!$C$6:$C$60,'Corporate Roster - ''24'!$E$6:$E$60)</f>
        <v>44978</v>
      </c>
      <c r="F86" s="64" t="str">
        <f>_xlfn.XLOOKUP($C86,'Corporate Roster - ''24'!$C$6:$C$60,'Corporate Roster - ''24'!$F$6:$F$60)</f>
        <v>-</v>
      </c>
      <c r="G86" s="32">
        <f t="shared" si="37"/>
        <v>10000</v>
      </c>
      <c r="H86" s="33">
        <f>_xlfn.XLOOKUP($C86,'Corporate Roster - ''24'!$C$6:$C$60,'Corporate Roster - ''24'!$H$6:$H$60)</f>
        <v>10000</v>
      </c>
      <c r="J86" s="32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33">
        <f t="shared" si="35"/>
        <v>8611.1111111111113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33">
        <f t="shared" si="36"/>
        <v>10000</v>
      </c>
      <c r="AJ86" s="55"/>
    </row>
    <row r="87" spans="3:36" x14ac:dyDescent="0.2">
      <c r="C87" t="s">
        <v>98</v>
      </c>
      <c r="D87" t="s">
        <v>99</v>
      </c>
      <c r="E87" s="64">
        <f>_xlfn.XLOOKUP($C87,'Corporate Roster - ''24'!$C$6:$C$60,'Corporate Roster - ''24'!$E$6:$E$60)</f>
        <v>41398</v>
      </c>
      <c r="F87" s="64" t="str">
        <f>_xlfn.XLOOKUP($C87,'Corporate Roster - ''24'!$C$6:$C$60,'Corporate Roster - ''24'!$F$6:$F$60)</f>
        <v>-</v>
      </c>
      <c r="G87" s="32">
        <f>(MROUND(H87*0.95,1000))</f>
        <v>4000</v>
      </c>
      <c r="H87" s="33">
        <f>_xlfn.XLOOKUP($C87,'Corporate Roster - ''24'!$C$6:$C$60,'Corporate Roster - ''24'!$H$6:$H$60)</f>
        <v>4000</v>
      </c>
      <c r="J87" s="32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33">
        <f t="shared" si="35"/>
        <v>4000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33">
        <f t="shared" si="36"/>
        <v>4000</v>
      </c>
      <c r="AJ87" s="55"/>
    </row>
    <row r="88" spans="3:36" x14ac:dyDescent="0.2">
      <c r="C88" t="s">
        <v>100</v>
      </c>
      <c r="D88" t="s">
        <v>101</v>
      </c>
      <c r="E88" s="64">
        <f>_xlfn.XLOOKUP($C88,'Corporate Roster - ''24'!$C$6:$C$60,'Corporate Roster - ''24'!$E$6:$E$60)</f>
        <v>40362</v>
      </c>
      <c r="F88" s="64" t="str">
        <f>_xlfn.XLOOKUP($C88,'Corporate Roster - ''24'!$C$6:$C$60,'Corporate Roster - ''24'!$F$6:$F$60)</f>
        <v>-</v>
      </c>
      <c r="G88" s="32">
        <f t="shared" si="37"/>
        <v>3750</v>
      </c>
      <c r="H88" s="33">
        <f>_xlfn.XLOOKUP($C88,'Corporate Roster - ''24'!$C$6:$C$60,'Corporate Roster - ''24'!$H$6:$H$60)</f>
        <v>3750</v>
      </c>
      <c r="J88" s="32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33">
        <f t="shared" si="35"/>
        <v>3750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33">
        <f t="shared" si="36"/>
        <v>3750</v>
      </c>
      <c r="AJ88" s="55"/>
    </row>
    <row r="89" spans="3:36" x14ac:dyDescent="0.2">
      <c r="C89" t="s">
        <v>102</v>
      </c>
      <c r="D89" t="s">
        <v>103</v>
      </c>
      <c r="E89" s="64">
        <f>_xlfn.XLOOKUP($C89,'Corporate Roster - ''24'!$C$6:$C$60,'Corporate Roster - ''24'!$E$6:$E$60)</f>
        <v>45063</v>
      </c>
      <c r="F89" s="64" t="str">
        <f>_xlfn.XLOOKUP($C89,'Corporate Roster - ''24'!$C$6:$C$60,'Corporate Roster - ''24'!$F$6:$F$60)</f>
        <v>-</v>
      </c>
      <c r="G89" s="32">
        <f t="shared" si="37"/>
        <v>4250</v>
      </c>
      <c r="H89" s="33">
        <f>_xlfn.XLOOKUP($C89,'Corporate Roster - ''24'!$C$6:$C$60,'Corporate Roster - ''24'!$H$6:$H$60)</f>
        <v>4250</v>
      </c>
      <c r="J89" s="32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33">
        <f t="shared" si="35"/>
        <v>2644.4444444444443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33">
        <f t="shared" si="36"/>
        <v>4250</v>
      </c>
      <c r="AJ89" s="55"/>
    </row>
    <row r="90" spans="3:36" x14ac:dyDescent="0.2">
      <c r="C90" t="s">
        <v>104</v>
      </c>
      <c r="D90" t="s">
        <v>105</v>
      </c>
      <c r="E90" s="64">
        <f>_xlfn.XLOOKUP($C90,'Corporate Roster - ''24'!$C$6:$C$60,'Corporate Roster - ''24'!$E$6:$E$60)</f>
        <v>44169</v>
      </c>
      <c r="F90" s="64" t="str">
        <f>_xlfn.XLOOKUP($C90,'Corporate Roster - ''24'!$C$6:$C$60,'Corporate Roster - ''24'!$F$6:$F$60)</f>
        <v>-</v>
      </c>
      <c r="G90" s="32">
        <f t="shared" si="37"/>
        <v>3000</v>
      </c>
      <c r="H90" s="33">
        <f>_xlfn.XLOOKUP($C90,'Corporate Roster - ''24'!$C$6:$C$60,'Corporate Roster - ''24'!$H$6:$H$60)</f>
        <v>3000</v>
      </c>
      <c r="J90" s="32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33">
        <f t="shared" si="35"/>
        <v>3000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33">
        <f t="shared" si="36"/>
        <v>3000</v>
      </c>
      <c r="AJ90" s="55"/>
    </row>
    <row r="91" spans="3:36" x14ac:dyDescent="0.2">
      <c r="C91" t="s">
        <v>148</v>
      </c>
      <c r="D91" t="s">
        <v>107</v>
      </c>
      <c r="E91" s="64">
        <f>_xlfn.XLOOKUP($C91,'Corporate Roster - ''24'!$C$6:$C$60,'Corporate Roster - ''24'!$E$6:$E$60)</f>
        <v>45017</v>
      </c>
      <c r="F91" s="64" t="str">
        <f>_xlfn.XLOOKUP($C91,'Corporate Roster - ''24'!$C$6:$C$60,'Corporate Roster - ''24'!$F$6:$F$60)</f>
        <v>-</v>
      </c>
      <c r="G91" s="32">
        <f>(MROUND(H91*0.95,1000))</f>
        <v>3000</v>
      </c>
      <c r="H91" s="33">
        <f>_xlfn.XLOOKUP($C91,'Corporate Roster - ''24'!$C$6:$C$60,'Corporate Roster - ''24'!$H$6:$H$60)</f>
        <v>3500</v>
      </c>
      <c r="J91" s="32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33">
        <f t="shared" si="35"/>
        <v>2250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33">
        <f t="shared" si="36"/>
        <v>3500</v>
      </c>
      <c r="AJ91" s="55"/>
    </row>
    <row r="92" spans="3:36" x14ac:dyDescent="0.2">
      <c r="C92" t="s">
        <v>108</v>
      </c>
      <c r="D92" t="s">
        <v>109</v>
      </c>
      <c r="E92" s="64">
        <f>_xlfn.XLOOKUP($C92,'Corporate Roster - ''24'!$C$6:$C$60,'Corporate Roster - ''24'!$E$6:$E$60)</f>
        <v>40157</v>
      </c>
      <c r="F92" s="64" t="str">
        <f>_xlfn.XLOOKUP($C92,'Corporate Roster - ''24'!$C$6:$C$60,'Corporate Roster - ''24'!$F$6:$F$60)</f>
        <v>-</v>
      </c>
      <c r="G92" s="32">
        <f t="shared" si="37"/>
        <v>3750</v>
      </c>
      <c r="H92" s="33">
        <f>_xlfn.XLOOKUP($C92,'Corporate Roster - ''24'!$C$6:$C$60,'Corporate Roster - ''24'!$H$6:$H$60)</f>
        <v>3750</v>
      </c>
      <c r="J92" s="32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33">
        <f t="shared" si="35"/>
        <v>3750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33">
        <f t="shared" si="36"/>
        <v>3750</v>
      </c>
      <c r="AJ92" s="55"/>
    </row>
    <row r="93" spans="3:36" x14ac:dyDescent="0.2">
      <c r="C93" t="s">
        <v>73</v>
      </c>
      <c r="D93" t="s">
        <v>110</v>
      </c>
      <c r="E93" s="64">
        <f>_xlfn.XLOOKUP($C93,'Corporate Roster - ''24'!$C$6:$C$60,'Corporate Roster - ''24'!$E$6:$E$60)</f>
        <v>45335</v>
      </c>
      <c r="F93" s="64" t="str">
        <f>_xlfn.XLOOKUP($C93,'Corporate Roster - ''24'!$C$6:$C$60,'Corporate Roster - ''24'!$F$6:$F$60)</f>
        <v>-</v>
      </c>
      <c r="G93" s="32">
        <f>(MROUND(H93*0.8,1000))</f>
        <v>3000</v>
      </c>
      <c r="H93" s="33">
        <f>_xlfn.XLOOKUP($C93,'Corporate Roster - ''24'!$C$6:$C$60,'Corporate Roster - ''24'!$H$6:$H$60)</f>
        <v>4250</v>
      </c>
      <c r="J93" s="32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33">
        <f t="shared" si="35"/>
        <v>358.33333333333337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33">
        <f t="shared" si="36"/>
        <v>3754.1666666666665</v>
      </c>
      <c r="AJ93" s="55"/>
    </row>
    <row r="94" spans="3:36" x14ac:dyDescent="0.2">
      <c r="C94" t="s">
        <v>111</v>
      </c>
      <c r="D94" t="s">
        <v>112</v>
      </c>
      <c r="E94" s="64">
        <f>_xlfn.XLOOKUP($C94,'Corporate Roster - ''24'!$C$6:$C$60,'Corporate Roster - ''24'!$E$6:$E$60)</f>
        <v>44694</v>
      </c>
      <c r="F94" s="64" t="str">
        <f>_xlfn.XLOOKUP($C94,'Corporate Roster - ''24'!$C$6:$C$60,'Corporate Roster - ''24'!$F$6:$F$60)</f>
        <v>-</v>
      </c>
      <c r="G94" s="32">
        <f>(MROUND(H94*0.95,1000))</f>
        <v>5000</v>
      </c>
      <c r="H94" s="33">
        <f>_xlfn.XLOOKUP($C94,'Corporate Roster - ''24'!$C$6:$C$60,'Corporate Roster - ''24'!$H$6:$H$60)</f>
        <v>4750</v>
      </c>
      <c r="J94" s="32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33">
        <f t="shared" si="35"/>
        <v>5000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33">
        <f t="shared" si="36"/>
        <v>4750</v>
      </c>
      <c r="AJ94" s="55"/>
    </row>
    <row r="95" spans="3:36" x14ac:dyDescent="0.2">
      <c r="C95" t="s">
        <v>149</v>
      </c>
      <c r="D95" t="s">
        <v>110</v>
      </c>
      <c r="E95" s="64">
        <f>_xlfn.XLOOKUP($C95,'Corporate Roster - ''24'!$C$6:$C$60,'Corporate Roster - ''24'!$E$6:$E$60)</f>
        <v>45368</v>
      </c>
      <c r="F95" s="64" t="str">
        <f>_xlfn.XLOOKUP($C95,'Corporate Roster - ''24'!$C$6:$C$60,'Corporate Roster - ''24'!$F$6:$F$60)</f>
        <v>-</v>
      </c>
      <c r="G95" s="32">
        <f t="shared" si="37"/>
        <v>4250</v>
      </c>
      <c r="H95" s="33">
        <f>_xlfn.XLOOKUP($C95,'Corporate Roster - ''24'!$C$6:$C$60,'Corporate Roster - ''24'!$H$6:$H$60)</f>
        <v>4250</v>
      </c>
      <c r="J95" s="32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33">
        <f t="shared" si="35"/>
        <v>909.02777777777771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33">
        <f t="shared" si="36"/>
        <v>3352.7777777777778</v>
      </c>
      <c r="AJ95" s="55"/>
    </row>
    <row r="96" spans="3:36" x14ac:dyDescent="0.2">
      <c r="C96" t="s">
        <v>150</v>
      </c>
      <c r="D96" t="s">
        <v>95</v>
      </c>
      <c r="E96" s="64">
        <f>_xlfn.XLOOKUP($C96,'Corporate Roster - ''24'!$C$6:$C$60,'Corporate Roster - ''24'!$E$6:$E$60)</f>
        <v>40489</v>
      </c>
      <c r="F96" s="64" t="str">
        <f>_xlfn.XLOOKUP($C96,'Corporate Roster - ''24'!$C$6:$C$60,'Corporate Roster - ''24'!$F$6:$F$60)</f>
        <v>-</v>
      </c>
      <c r="G96" s="32">
        <f>(MROUND(H96*0.8,1000))</f>
        <v>11000</v>
      </c>
      <c r="H96" s="33">
        <f>_xlfn.XLOOKUP($C96,'Corporate Roster - ''24'!$C$6:$C$60,'Corporate Roster - ''24'!$H$6:$H$60)</f>
        <v>14000</v>
      </c>
      <c r="J96" s="32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33">
        <f t="shared" si="35"/>
        <v>11000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33">
        <f t="shared" si="36"/>
        <v>14000</v>
      </c>
      <c r="AJ96" s="55"/>
    </row>
    <row r="97" spans="3:36" x14ac:dyDescent="0.2">
      <c r="C97" t="s">
        <v>115</v>
      </c>
      <c r="D97" t="s">
        <v>112</v>
      </c>
      <c r="E97" s="64">
        <f>_xlfn.XLOOKUP($C97,'Corporate Roster - ''24'!$C$6:$C$60,'Corporate Roster - ''24'!$E$6:$E$60)</f>
        <v>45236</v>
      </c>
      <c r="F97" s="64" t="str">
        <f>_xlfn.XLOOKUP($C97,'Corporate Roster - ''24'!$C$6:$C$60,'Corporate Roster - ''24'!$F$6:$F$60)</f>
        <v>-</v>
      </c>
      <c r="G97" s="32">
        <f t="shared" si="37"/>
        <v>4750</v>
      </c>
      <c r="H97" s="33">
        <f>_xlfn.XLOOKUP($C97,'Corporate Roster - ''24'!$C$6:$C$60,'Corporate Roster - ''24'!$H$6:$H$60)</f>
        <v>4750</v>
      </c>
      <c r="J97" s="32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33">
        <f t="shared" si="35"/>
        <v>725.69444444444446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33">
        <f t="shared" si="36"/>
        <v>4750</v>
      </c>
      <c r="AJ97" s="55"/>
    </row>
    <row r="98" spans="3:36" x14ac:dyDescent="0.2">
      <c r="C98" t="s">
        <v>116</v>
      </c>
      <c r="D98" t="s">
        <v>110</v>
      </c>
      <c r="E98" s="64">
        <f>_xlfn.XLOOKUP($C98,'Corporate Roster - ''24'!$C$6:$C$60,'Corporate Roster - ''24'!$E$6:$E$60)</f>
        <v>40015</v>
      </c>
      <c r="F98" s="64" t="str">
        <f>_xlfn.XLOOKUP($C98,'Corporate Roster - ''24'!$C$6:$C$60,'Corporate Roster - ''24'!$F$6:$F$60)</f>
        <v>-</v>
      </c>
      <c r="G98" s="32">
        <f t="shared" si="37"/>
        <v>4250</v>
      </c>
      <c r="H98" s="33">
        <f>_xlfn.XLOOKUP($C98,'Corporate Roster - ''24'!$C$6:$C$60,'Corporate Roster - ''24'!$H$6:$H$60)</f>
        <v>4250</v>
      </c>
      <c r="J98" s="32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33">
        <f t="shared" si="35"/>
        <v>4250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33">
        <f t="shared" si="36"/>
        <v>4250</v>
      </c>
      <c r="AJ98" s="55"/>
    </row>
    <row r="99" spans="3:36" x14ac:dyDescent="0.2">
      <c r="C99" t="s">
        <v>106</v>
      </c>
      <c r="D99" t="s">
        <v>90</v>
      </c>
      <c r="E99" s="64">
        <f>_xlfn.XLOOKUP($C99,'Corporate Roster - ''24'!$C$6:$C$60,'Corporate Roster - ''24'!$E$6:$E$60)</f>
        <v>40345</v>
      </c>
      <c r="F99" s="64" t="str">
        <f>_xlfn.XLOOKUP($C99,'Corporate Roster - ''24'!$C$6:$C$60,'Corporate Roster - ''24'!$F$6:$F$60)</f>
        <v>-</v>
      </c>
      <c r="G99" s="32">
        <f t="shared" si="37"/>
        <v>13000</v>
      </c>
      <c r="H99" s="33">
        <f>_xlfn.XLOOKUP($C99,'Corporate Roster - ''24'!$C$6:$C$60,'Corporate Roster - ''24'!$H$6:$H$60)</f>
        <v>13000</v>
      </c>
      <c r="J99" s="32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33">
        <f t="shared" si="35"/>
        <v>13000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33">
        <f t="shared" si="36"/>
        <v>13000</v>
      </c>
      <c r="AJ99" s="55"/>
    </row>
    <row r="100" spans="3:36" x14ac:dyDescent="0.2">
      <c r="C100" t="s">
        <v>117</v>
      </c>
      <c r="D100" t="s">
        <v>110</v>
      </c>
      <c r="E100" s="64">
        <f>_xlfn.XLOOKUP($C100,'Corporate Roster - ''24'!$C$6:$C$60,'Corporate Roster - ''24'!$E$6:$E$60)</f>
        <v>44824</v>
      </c>
      <c r="F100" s="64" t="str">
        <f>_xlfn.XLOOKUP($C100,'Corporate Roster - ''24'!$C$6:$C$60,'Corporate Roster - ''24'!$F$6:$F$60)</f>
        <v>-</v>
      </c>
      <c r="G100" s="32">
        <f t="shared" si="37"/>
        <v>4250</v>
      </c>
      <c r="H100" s="33">
        <f>_xlfn.XLOOKUP($C100,'Corporate Roster - ''24'!$C$6:$C$60,'Corporate Roster - ''24'!$H$6:$H$60)</f>
        <v>4250</v>
      </c>
      <c r="J100" s="32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33">
        <f t="shared" si="35"/>
        <v>4250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33">
        <f t="shared" si="36"/>
        <v>4250</v>
      </c>
      <c r="AJ100" s="55"/>
    </row>
    <row r="101" spans="3:36" x14ac:dyDescent="0.2">
      <c r="C101" t="s">
        <v>118</v>
      </c>
      <c r="D101" t="s">
        <v>86</v>
      </c>
      <c r="E101" s="64">
        <f>_xlfn.XLOOKUP($C101,'Corporate Roster - ''24'!$C$6:$C$60,'Corporate Roster - ''24'!$E$6:$E$60)</f>
        <v>38939</v>
      </c>
      <c r="F101" s="64" t="str">
        <f>_xlfn.XLOOKUP($C101,'Corporate Roster - ''24'!$C$6:$C$60,'Corporate Roster - ''24'!$F$6:$F$60)</f>
        <v>-</v>
      </c>
      <c r="G101" s="32">
        <f>(MROUND(H101*0.95,1000))</f>
        <v>11000</v>
      </c>
      <c r="H101" s="33">
        <f>_xlfn.XLOOKUP($C101,'Corporate Roster - ''24'!$C$6:$C$60,'Corporate Roster - ''24'!$H$6:$H$60)</f>
        <v>12000</v>
      </c>
      <c r="J101" s="32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33">
        <f t="shared" si="35"/>
        <v>11000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33">
        <f t="shared" si="36"/>
        <v>12000</v>
      </c>
      <c r="AJ101" s="55"/>
    </row>
    <row r="102" spans="3:36" x14ac:dyDescent="0.2">
      <c r="C102" t="s">
        <v>65</v>
      </c>
      <c r="D102" t="s">
        <v>86</v>
      </c>
      <c r="E102" s="64">
        <f>_xlfn.XLOOKUP($C102,'Corporate Roster - ''24'!$C$6:$C$60,'Corporate Roster - ''24'!$E$6:$E$60)</f>
        <v>42100</v>
      </c>
      <c r="F102" s="64" t="str">
        <f>_xlfn.XLOOKUP($C102,'Corporate Roster - ''24'!$C$6:$C$60,'Corporate Roster - ''24'!$F$6:$F$60)</f>
        <v>-</v>
      </c>
      <c r="G102" s="32">
        <f t="shared" si="37"/>
        <v>12000</v>
      </c>
      <c r="H102" s="33">
        <f>_xlfn.XLOOKUP($C102,'Corporate Roster - ''24'!$C$6:$C$60,'Corporate Roster - ''24'!$H$6:$H$60)</f>
        <v>12000</v>
      </c>
      <c r="J102" s="32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33">
        <f t="shared" si="35"/>
        <v>12000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33">
        <f t="shared" si="36"/>
        <v>12000</v>
      </c>
      <c r="AJ102" s="55"/>
    </row>
    <row r="103" spans="3:36" x14ac:dyDescent="0.2">
      <c r="C103" t="s">
        <v>119</v>
      </c>
      <c r="D103" t="s">
        <v>110</v>
      </c>
      <c r="E103" s="64">
        <f>_xlfn.XLOOKUP($C103,'Corporate Roster - ''24'!$C$6:$C$60,'Corporate Roster - ''24'!$E$6:$E$60)</f>
        <v>42772</v>
      </c>
      <c r="F103" s="64" t="str">
        <f>_xlfn.XLOOKUP($C103,'Corporate Roster - ''24'!$C$6:$C$60,'Corporate Roster - ''24'!$F$6:$F$60)</f>
        <v>-</v>
      </c>
      <c r="G103" s="32">
        <f>(MROUND(H103*0.95,1000))</f>
        <v>4000</v>
      </c>
      <c r="H103" s="33">
        <f>_xlfn.XLOOKUP($C103,'Corporate Roster - ''24'!$C$6:$C$60,'Corporate Roster - ''24'!$H$6:$H$60)</f>
        <v>4250</v>
      </c>
      <c r="J103" s="32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33">
        <f t="shared" si="35"/>
        <v>4000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33">
        <f t="shared" si="36"/>
        <v>4250</v>
      </c>
      <c r="AJ103" s="55"/>
    </row>
    <row r="104" spans="3:36" x14ac:dyDescent="0.2">
      <c r="C104" t="s">
        <v>120</v>
      </c>
      <c r="D104" t="s">
        <v>110</v>
      </c>
      <c r="E104" s="64">
        <f>_xlfn.XLOOKUP($C104,'Corporate Roster - ''24'!$C$6:$C$60,'Corporate Roster - ''24'!$E$6:$E$60)</f>
        <v>41160</v>
      </c>
      <c r="F104" s="64" t="str">
        <f>_xlfn.XLOOKUP($C104,'Corporate Roster - ''24'!$C$6:$C$60,'Corporate Roster - ''24'!$F$6:$F$60)</f>
        <v>-</v>
      </c>
      <c r="G104" s="32">
        <f t="shared" si="37"/>
        <v>4250</v>
      </c>
      <c r="H104" s="33">
        <f>_xlfn.XLOOKUP($C104,'Corporate Roster - ''24'!$C$6:$C$60,'Corporate Roster - ''24'!$H$6:$H$60)</f>
        <v>4250</v>
      </c>
      <c r="J104" s="32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33">
        <f t="shared" si="35"/>
        <v>4250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33">
        <f t="shared" si="36"/>
        <v>4250</v>
      </c>
      <c r="AJ104" s="55"/>
    </row>
    <row r="105" spans="3:36" x14ac:dyDescent="0.2">
      <c r="C105" t="s">
        <v>121</v>
      </c>
      <c r="D105" t="s">
        <v>99</v>
      </c>
      <c r="E105" s="64">
        <f>_xlfn.XLOOKUP($C105,'Corporate Roster - ''24'!$C$6:$C$60,'Corporate Roster - ''24'!$E$6:$E$60)</f>
        <v>44972</v>
      </c>
      <c r="F105" s="64" t="str">
        <f>_xlfn.XLOOKUP($C105,'Corporate Roster - ''24'!$C$6:$C$60,'Corporate Roster - ''24'!$F$6:$F$60)</f>
        <v>-</v>
      </c>
      <c r="G105" s="32">
        <f t="shared" si="37"/>
        <v>4000</v>
      </c>
      <c r="H105" s="33">
        <f>_xlfn.XLOOKUP($C105,'Corporate Roster - ''24'!$C$6:$C$60,'Corporate Roster - ''24'!$H$6:$H$60)</f>
        <v>4000</v>
      </c>
      <c r="J105" s="32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33">
        <f t="shared" si="35"/>
        <v>3511.1111111111109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33">
        <f t="shared" si="36"/>
        <v>4000</v>
      </c>
      <c r="AJ105" s="55"/>
    </row>
    <row r="106" spans="3:36" x14ac:dyDescent="0.2">
      <c r="C106" t="s">
        <v>151</v>
      </c>
      <c r="D106" t="s">
        <v>90</v>
      </c>
      <c r="E106" s="64">
        <f>_xlfn.XLOOKUP($C106,'Corporate Roster - ''24'!$C$6:$C$60,'Corporate Roster - ''24'!$E$6:$E$60)</f>
        <v>42189</v>
      </c>
      <c r="F106" s="64" t="str">
        <f>_xlfn.XLOOKUP($C106,'Corporate Roster - ''24'!$C$6:$C$60,'Corporate Roster - ''24'!$F$6:$F$60)</f>
        <v>-</v>
      </c>
      <c r="G106" s="32">
        <f t="shared" si="37"/>
        <v>13000</v>
      </c>
      <c r="H106" s="33">
        <f>_xlfn.XLOOKUP($C106,'Corporate Roster - ''24'!$C$6:$C$60,'Corporate Roster - ''24'!$H$6:$H$60)</f>
        <v>13000</v>
      </c>
      <c r="J106" s="32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33">
        <f t="shared" si="35"/>
        <v>13000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33">
        <f t="shared" si="36"/>
        <v>13000</v>
      </c>
      <c r="AJ106" s="55"/>
    </row>
    <row r="107" spans="3:36" x14ac:dyDescent="0.2">
      <c r="C107" t="s">
        <v>123</v>
      </c>
      <c r="D107" t="s">
        <v>99</v>
      </c>
      <c r="E107" s="64">
        <f>_xlfn.XLOOKUP($C107,'Corporate Roster - ''24'!$C$6:$C$60,'Corporate Roster - ''24'!$E$6:$E$60)</f>
        <v>44716</v>
      </c>
      <c r="F107" s="64" t="str">
        <f>_xlfn.XLOOKUP($C107,'Corporate Roster - ''24'!$C$6:$C$60,'Corporate Roster - ''24'!$F$6:$F$60)</f>
        <v>-</v>
      </c>
      <c r="G107" s="32">
        <f t="shared" si="37"/>
        <v>4000</v>
      </c>
      <c r="H107" s="33">
        <f>_xlfn.XLOOKUP($C107,'Corporate Roster - ''24'!$C$6:$C$60,'Corporate Roster - ''24'!$H$6:$H$60)</f>
        <v>4000</v>
      </c>
      <c r="J107" s="32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33">
        <f t="shared" si="35"/>
        <v>4000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33">
        <f t="shared" si="36"/>
        <v>4000</v>
      </c>
      <c r="AJ107" s="55"/>
    </row>
    <row r="108" spans="3:36" x14ac:dyDescent="0.2">
      <c r="C108" t="s">
        <v>124</v>
      </c>
      <c r="D108" t="s">
        <v>99</v>
      </c>
      <c r="E108" s="64">
        <f>_xlfn.XLOOKUP($C108,'Corporate Roster - ''24'!$C$6:$C$60,'Corporate Roster - ''24'!$E$6:$E$60)</f>
        <v>38697</v>
      </c>
      <c r="F108" s="64" t="str">
        <f>_xlfn.XLOOKUP($C108,'Corporate Roster - ''24'!$C$6:$C$60,'Corporate Roster - ''24'!$F$6:$F$60)</f>
        <v>-</v>
      </c>
      <c r="G108" s="32">
        <f t="shared" si="37"/>
        <v>4000</v>
      </c>
      <c r="H108" s="33">
        <f>_xlfn.XLOOKUP($C108,'Corporate Roster - ''24'!$C$6:$C$60,'Corporate Roster - ''24'!$H$6:$H$60)</f>
        <v>4000</v>
      </c>
      <c r="J108" s="32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33">
        <f t="shared" si="35"/>
        <v>4000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33">
        <f t="shared" si="36"/>
        <v>4000</v>
      </c>
      <c r="AJ108" s="55"/>
    </row>
    <row r="109" spans="3:36" x14ac:dyDescent="0.2">
      <c r="C109" t="s">
        <v>125</v>
      </c>
      <c r="D109" t="s">
        <v>99</v>
      </c>
      <c r="E109" s="64">
        <f>_xlfn.XLOOKUP($C109,'Corporate Roster - ''24'!$C$6:$C$60,'Corporate Roster - ''24'!$E$6:$E$60)</f>
        <v>43863</v>
      </c>
      <c r="F109" s="64" t="str">
        <f>_xlfn.XLOOKUP($C109,'Corporate Roster - ''24'!$C$6:$C$60,'Corporate Roster - ''24'!$F$6:$F$60)</f>
        <v>-</v>
      </c>
      <c r="G109" s="32">
        <f t="shared" si="37"/>
        <v>4000</v>
      </c>
      <c r="H109" s="33">
        <f>_xlfn.XLOOKUP($C109,'Corporate Roster - ''24'!$C$6:$C$60,'Corporate Roster - ''24'!$H$6:$H$60)</f>
        <v>4000</v>
      </c>
      <c r="J109" s="32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33">
        <f t="shared" si="35"/>
        <v>4000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33">
        <f t="shared" si="36"/>
        <v>4000</v>
      </c>
      <c r="AJ109" s="55"/>
    </row>
    <row r="110" spans="3:36" x14ac:dyDescent="0.2">
      <c r="C110" t="s">
        <v>126</v>
      </c>
      <c r="D110" t="s">
        <v>110</v>
      </c>
      <c r="E110" s="64">
        <f>_xlfn.XLOOKUP($C110,'Corporate Roster - ''24'!$C$6:$C$60,'Corporate Roster - ''24'!$E$6:$E$60)</f>
        <v>40847</v>
      </c>
      <c r="F110" s="64" t="str">
        <f>_xlfn.XLOOKUP($C110,'Corporate Roster - ''24'!$C$6:$C$60,'Corporate Roster - ''24'!$F$6:$F$60)</f>
        <v>-</v>
      </c>
      <c r="G110" s="32">
        <f t="shared" si="37"/>
        <v>4250</v>
      </c>
      <c r="H110" s="33">
        <f>_xlfn.XLOOKUP($C110,'Corporate Roster - ''24'!$C$6:$C$60,'Corporate Roster - ''24'!$H$6:$H$60)</f>
        <v>4250</v>
      </c>
      <c r="J110" s="32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33">
        <f t="shared" si="35"/>
        <v>4250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33">
        <f t="shared" si="36"/>
        <v>4250</v>
      </c>
      <c r="AJ110" s="55"/>
    </row>
    <row r="111" spans="3:36" x14ac:dyDescent="0.2">
      <c r="C111" t="s">
        <v>127</v>
      </c>
      <c r="D111" t="s">
        <v>110</v>
      </c>
      <c r="E111" s="64">
        <f>_xlfn.XLOOKUP($C111,'Corporate Roster - ''24'!$C$6:$C$60,'Corporate Roster - ''24'!$E$6:$E$60)</f>
        <v>39385</v>
      </c>
      <c r="F111" s="64" t="str">
        <f>_xlfn.XLOOKUP($C111,'Corporate Roster - ''24'!$C$6:$C$60,'Corporate Roster - ''24'!$F$6:$F$60)</f>
        <v>-</v>
      </c>
      <c r="G111" s="32">
        <f t="shared" si="37"/>
        <v>4250</v>
      </c>
      <c r="H111" s="33">
        <f>_xlfn.XLOOKUP($C111,'Corporate Roster - ''24'!$C$6:$C$60,'Corporate Roster - ''24'!$H$6:$H$60)</f>
        <v>4250</v>
      </c>
      <c r="J111" s="32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33">
        <f t="shared" si="35"/>
        <v>4250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33">
        <f t="shared" si="36"/>
        <v>4250</v>
      </c>
      <c r="AJ111" s="55"/>
    </row>
    <row r="112" spans="3:36" x14ac:dyDescent="0.2">
      <c r="C112" t="s">
        <v>128</v>
      </c>
      <c r="D112" t="s">
        <v>90</v>
      </c>
      <c r="E112" s="64">
        <f>_xlfn.XLOOKUP($C112,'Corporate Roster - ''24'!$C$6:$C$60,'Corporate Roster - ''24'!$E$6:$E$60)</f>
        <v>39936</v>
      </c>
      <c r="F112" s="64" t="str">
        <f>_xlfn.XLOOKUP($C112,'Corporate Roster - ''24'!$C$6:$C$60,'Corporate Roster - ''24'!$F$6:$F$60)</f>
        <v>-</v>
      </c>
      <c r="G112" s="32">
        <f>(MROUND(H112*0.95,1000))</f>
        <v>12000</v>
      </c>
      <c r="H112" s="33">
        <f>_xlfn.XLOOKUP($C112,'Corporate Roster - ''24'!$C$6:$C$60,'Corporate Roster - ''24'!$H$6:$H$60)</f>
        <v>13000</v>
      </c>
      <c r="J112" s="32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33">
        <f t="shared" si="35"/>
        <v>12000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33">
        <f t="shared" si="36"/>
        <v>13000</v>
      </c>
      <c r="AJ112" s="55"/>
    </row>
    <row r="113" spans="2:36" x14ac:dyDescent="0.2">
      <c r="C113" t="s">
        <v>129</v>
      </c>
      <c r="D113" t="s">
        <v>99</v>
      </c>
      <c r="E113" s="64">
        <f>_xlfn.XLOOKUP($C113,'Corporate Roster - ''24'!$C$6:$C$60,'Corporate Roster - ''24'!$E$6:$E$60)</f>
        <v>43887</v>
      </c>
      <c r="F113" s="64" t="str">
        <f>_xlfn.XLOOKUP($C113,'Corporate Roster - ''24'!$C$6:$C$60,'Corporate Roster - ''24'!$F$6:$F$60)</f>
        <v>-</v>
      </c>
      <c r="G113" s="32">
        <f t="shared" si="37"/>
        <v>4000</v>
      </c>
      <c r="H113" s="33">
        <f>_xlfn.XLOOKUP($C113,'Corporate Roster - ''24'!$C$6:$C$60,'Corporate Roster - ''24'!$H$6:$H$60)</f>
        <v>4000</v>
      </c>
      <c r="J113" s="32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33">
        <f t="shared" si="35"/>
        <v>4000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33">
        <f t="shared" si="36"/>
        <v>4000</v>
      </c>
      <c r="AJ113" s="55"/>
    </row>
    <row r="114" spans="2:36" x14ac:dyDescent="0.2">
      <c r="C114" t="s">
        <v>122</v>
      </c>
      <c r="D114" t="s">
        <v>99</v>
      </c>
      <c r="E114" s="64">
        <f>_xlfn.XLOOKUP($C114,'Corporate Roster - ''24'!$C$6:$C$60,'Corporate Roster - ''24'!$E$6:$E$60)</f>
        <v>44041</v>
      </c>
      <c r="F114" s="64" t="str">
        <f>_xlfn.XLOOKUP($C114,'Corporate Roster - ''24'!$C$6:$C$60,'Corporate Roster - ''24'!$F$6:$F$60)</f>
        <v>-</v>
      </c>
      <c r="G114" s="32">
        <f t="shared" si="37"/>
        <v>4000</v>
      </c>
      <c r="H114" s="33">
        <f>_xlfn.XLOOKUP($C114,'Corporate Roster - ''24'!$C$6:$C$60,'Corporate Roster - ''24'!$H$6:$H$60)</f>
        <v>4000</v>
      </c>
      <c r="J114" s="32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33">
        <f t="shared" si="35"/>
        <v>4000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33">
        <f t="shared" si="36"/>
        <v>4000</v>
      </c>
      <c r="AJ114" s="55"/>
    </row>
    <row r="115" spans="2:36" x14ac:dyDescent="0.2">
      <c r="C115" t="s">
        <v>130</v>
      </c>
      <c r="D115" t="s">
        <v>74</v>
      </c>
      <c r="E115" s="64">
        <f>_xlfn.XLOOKUP($C115,'Corporate Roster - ''24'!$C$6:$C$60,'Corporate Roster - ''24'!$E$6:$E$60)</f>
        <v>38591</v>
      </c>
      <c r="F115" s="64">
        <f>_xlfn.XLOOKUP($C115,'Corporate Roster - ''24'!$C$6:$C$60,'Corporate Roster - ''24'!$F$6:$F$60)</f>
        <v>45101</v>
      </c>
      <c r="G115" s="32">
        <f t="shared" si="37"/>
        <v>60000</v>
      </c>
      <c r="H115" s="33">
        <f>_xlfn.XLOOKUP($C115,'Corporate Roster - ''24'!$C$6:$C$60,'Corporate Roster - ''24'!$H$6:$H$60)</f>
        <v>60000</v>
      </c>
      <c r="J115" s="32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f>H115/2</f>
        <v>30000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33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33">
        <v>0</v>
      </c>
      <c r="AJ115" s="55"/>
    </row>
    <row r="116" spans="2:36" x14ac:dyDescent="0.2">
      <c r="C116" t="s">
        <v>132</v>
      </c>
      <c r="D116" t="s">
        <v>90</v>
      </c>
      <c r="E116" s="64">
        <f>_xlfn.XLOOKUP($C116,'Corporate Roster - ''24'!$C$6:$C$60,'Corporate Roster - ''24'!$E$6:$E$60)</f>
        <v>43026</v>
      </c>
      <c r="F116" s="64">
        <f>_xlfn.XLOOKUP($C116,'Corporate Roster - ''24'!$C$6:$C$60,'Corporate Roster - ''24'!$F$6:$F$60)</f>
        <v>45110</v>
      </c>
      <c r="G116" s="32">
        <f t="shared" si="37"/>
        <v>13000</v>
      </c>
      <c r="H116" s="33">
        <f>_xlfn.XLOOKUP($C116,'Corporate Roster - ''24'!$C$6:$C$60,'Corporate Roster - ''24'!$H$6:$H$60)</f>
        <v>13000</v>
      </c>
      <c r="J116" s="32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33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33">
        <v>0</v>
      </c>
      <c r="AJ116" s="55"/>
    </row>
    <row r="117" spans="2:36" x14ac:dyDescent="0.2">
      <c r="C117" t="s">
        <v>131</v>
      </c>
      <c r="D117" t="s">
        <v>103</v>
      </c>
      <c r="E117" s="64">
        <f>_xlfn.XLOOKUP($C117,'Corporate Roster - ''24'!$C$6:$C$60,'Corporate Roster - ''24'!$E$6:$E$60)</f>
        <v>42388</v>
      </c>
      <c r="F117" s="64">
        <f>_xlfn.XLOOKUP($C117,'Corporate Roster - ''24'!$C$6:$C$60,'Corporate Roster - ''24'!$F$6:$F$60)</f>
        <v>45231</v>
      </c>
      <c r="G117" s="32">
        <f>(MROUND(H117*0.95,1000))</f>
        <v>4000</v>
      </c>
      <c r="H117" s="33">
        <f>_xlfn.XLOOKUP($C117,'Corporate Roster - ''24'!$C$6:$C$60,'Corporate Roster - ''24'!$H$6:$H$60)</f>
        <v>4250</v>
      </c>
      <c r="J117" s="32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33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33">
        <v>0</v>
      </c>
      <c r="AJ117" s="55"/>
    </row>
    <row r="118" spans="2:36" x14ac:dyDescent="0.2">
      <c r="C118" t="s">
        <v>133</v>
      </c>
      <c r="D118" t="s">
        <v>93</v>
      </c>
      <c r="E118" s="64">
        <f>_xlfn.XLOOKUP($C118,'Corporate Roster - ''24'!$C$6:$C$60,'Corporate Roster - ''24'!$E$6:$E$60)</f>
        <v>38928</v>
      </c>
      <c r="F118" s="64">
        <f>_xlfn.XLOOKUP($C118,'Corporate Roster - ''24'!$C$6:$C$60,'Corporate Roster - ''24'!$F$6:$F$60)</f>
        <v>45398</v>
      </c>
      <c r="G118" s="32">
        <f t="shared" si="37"/>
        <v>12000</v>
      </c>
      <c r="H118" s="33">
        <f>_xlfn.XLOOKUP($C118,'Corporate Roster - ''24'!$C$6:$C$60,'Corporate Roster - ''24'!$H$6:$H$60)</f>
        <v>12000</v>
      </c>
      <c r="J118" s="32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33">
        <f t="shared" si="35"/>
        <v>12000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33">
        <v>0</v>
      </c>
      <c r="AJ118" s="55"/>
    </row>
    <row r="119" spans="2:36" x14ac:dyDescent="0.2">
      <c r="C119" t="s">
        <v>114</v>
      </c>
      <c r="D119" t="s">
        <v>86</v>
      </c>
      <c r="E119" s="64">
        <f>_xlfn.XLOOKUP($C119,'Corporate Roster - ''24'!$C$6:$C$60,'Corporate Roster - ''24'!$E$6:$E$60)</f>
        <v>43340</v>
      </c>
      <c r="F119" s="64">
        <f>_xlfn.XLOOKUP($C119,'Corporate Roster - ''24'!$C$6:$C$60,'Corporate Roster - ''24'!$F$6:$F$60)</f>
        <v>45437</v>
      </c>
      <c r="G119" s="32">
        <f t="shared" si="37"/>
        <v>12000</v>
      </c>
      <c r="H119" s="33">
        <f>_xlfn.XLOOKUP($C119,'Corporate Roster - ''24'!$C$6:$C$60,'Corporate Roster - ''24'!$H$6:$H$60)</f>
        <v>12000</v>
      </c>
      <c r="J119" s="32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33">
        <f t="shared" si="35"/>
        <v>12000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33">
        <v>0</v>
      </c>
      <c r="AJ119" s="55"/>
    </row>
    <row r="120" spans="2:36" x14ac:dyDescent="0.2">
      <c r="C120" t="s">
        <v>135</v>
      </c>
      <c r="D120" t="s">
        <v>82</v>
      </c>
      <c r="E120" s="64">
        <f>_xlfn.XLOOKUP($C120,'Corporate Roster - ''24'!$C$6:$C$60,'Corporate Roster - ''24'!$E$6:$E$60)</f>
        <v>44954</v>
      </c>
      <c r="F120" s="64">
        <f>_xlfn.XLOOKUP($C120,'Corporate Roster - ''24'!$C$6:$C$60,'Corporate Roster - ''24'!$F$6:$F$60)</f>
        <v>45489</v>
      </c>
      <c r="G120" s="32">
        <f t="shared" si="37"/>
        <v>32000</v>
      </c>
      <c r="H120" s="33">
        <f>_xlfn.XLOOKUP($C120,'Corporate Roster - ''24'!$C$6:$C$60,'Corporate Roster - ''24'!$H$6:$H$60)</f>
        <v>32000</v>
      </c>
      <c r="J120" s="32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33">
        <f t="shared" si="35"/>
        <v>29600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f>H120/2</f>
        <v>16000</v>
      </c>
      <c r="AC120" s="10">
        <v>0</v>
      </c>
      <c r="AD120" s="10">
        <v>0</v>
      </c>
      <c r="AE120" s="10">
        <v>0</v>
      </c>
      <c r="AF120" s="10">
        <v>0</v>
      </c>
      <c r="AG120" s="33">
        <v>0</v>
      </c>
      <c r="AJ120" s="55"/>
    </row>
    <row r="121" spans="2:36" x14ac:dyDescent="0.2">
      <c r="C121" t="s">
        <v>113</v>
      </c>
      <c r="D121" t="s">
        <v>88</v>
      </c>
      <c r="E121" s="64">
        <f>_xlfn.XLOOKUP($C121,'Corporate Roster - ''24'!$C$6:$C$60,'Corporate Roster - ''24'!$E$6:$E$60)</f>
        <v>43244</v>
      </c>
      <c r="F121" s="64">
        <f>_xlfn.XLOOKUP($C121,'Corporate Roster - ''24'!$C$6:$C$60,'Corporate Roster - ''24'!$F$6:$F$60)</f>
        <v>45499</v>
      </c>
      <c r="G121" s="32">
        <f>(MROUND(H121*0.95,1000))</f>
        <v>12000</v>
      </c>
      <c r="H121" s="33">
        <f>_xlfn.XLOOKUP($C121,'Corporate Roster - ''24'!$C$6:$C$60,'Corporate Roster - ''24'!$H$6:$H$60)</f>
        <v>13000</v>
      </c>
      <c r="J121" s="32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33">
        <f t="shared" si="35"/>
        <v>12000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33">
        <v>0</v>
      </c>
      <c r="AJ121" s="55"/>
    </row>
    <row r="122" spans="2:36" x14ac:dyDescent="0.2">
      <c r="C122" t="s">
        <v>75</v>
      </c>
      <c r="D122" t="s">
        <v>90</v>
      </c>
      <c r="E122" s="64">
        <f>_xlfn.XLOOKUP($C122,'Corporate Roster - ''24'!$C$6:$C$60,'Corporate Roster - ''24'!$E$6:$E$60)</f>
        <v>42099</v>
      </c>
      <c r="F122" s="64">
        <f>_xlfn.XLOOKUP($C122,'Corporate Roster - ''24'!$C$6:$C$60,'Corporate Roster - ''24'!$F$6:$F$60)</f>
        <v>45554</v>
      </c>
      <c r="G122" s="32">
        <f>(MROUND(H122*0.95,1000))</f>
        <v>12000</v>
      </c>
      <c r="H122" s="33">
        <f>_xlfn.XLOOKUP($C122,'Corporate Roster - ''24'!$C$6:$C$60,'Corporate Roster - ''24'!$H$6:$H$60)</f>
        <v>13000</v>
      </c>
      <c r="J122" s="32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33">
        <f t="shared" si="35"/>
        <v>12000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33">
        <v>0</v>
      </c>
      <c r="AJ122" s="55"/>
    </row>
    <row r="123" spans="2:36" x14ac:dyDescent="0.2">
      <c r="C123" t="s">
        <v>134</v>
      </c>
      <c r="D123" t="s">
        <v>110</v>
      </c>
      <c r="E123" s="64">
        <f>_xlfn.XLOOKUP($C123,'Corporate Roster - ''24'!$C$6:$C$60,'Corporate Roster - ''24'!$E$6:$E$60)</f>
        <v>45193</v>
      </c>
      <c r="F123" s="64">
        <f>_xlfn.XLOOKUP($C123,'Corporate Roster - ''24'!$C$6:$C$60,'Corporate Roster - ''24'!$F$6:$F$60)</f>
        <v>45609</v>
      </c>
      <c r="G123" s="32">
        <f>(MROUND(H123*0.95,1000))</f>
        <v>4000</v>
      </c>
      <c r="H123" s="33">
        <f>_xlfn.XLOOKUP($C123,'Corporate Roster - ''24'!$C$6:$C$60,'Corporate Roster - ''24'!$H$6:$H$60)</f>
        <v>4250</v>
      </c>
      <c r="J123" s="32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33">
        <f t="shared" si="35"/>
        <v>1077.7777777777778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33">
        <v>0</v>
      </c>
      <c r="AJ123" s="55"/>
    </row>
    <row r="124" spans="2:36" x14ac:dyDescent="0.2">
      <c r="C124" s="23" t="s">
        <v>152</v>
      </c>
      <c r="D124" s="23" t="s">
        <v>99</v>
      </c>
      <c r="E124" s="65">
        <f>_xlfn.XLOOKUP($C124,'Corporate Roster - ''24'!$C$6:$C$60,'Corporate Roster - ''24'!$E$6:$E$60)</f>
        <v>42869</v>
      </c>
      <c r="F124" s="78">
        <f>_xlfn.XLOOKUP($C124,'Corporate Roster - ''24'!$C$6:$C$60,'Corporate Roster - ''24'!$F$6:$F$60)</f>
        <v>45626</v>
      </c>
      <c r="G124" s="54">
        <f t="shared" si="37"/>
        <v>4000</v>
      </c>
      <c r="H124" s="62">
        <f>_xlfn.XLOOKUP($C124,'Corporate Roster - ''24'!$C$6:$C$60,'Corporate Roster - ''24'!$H$6:$H$60)</f>
        <v>4000</v>
      </c>
      <c r="J124" s="57">
        <v>0</v>
      </c>
      <c r="K124" s="54">
        <v>0</v>
      </c>
      <c r="L124" s="54">
        <v>0</v>
      </c>
      <c r="M124" s="54">
        <v>0</v>
      </c>
      <c r="N124" s="54">
        <v>0</v>
      </c>
      <c r="O124" s="54">
        <v>0</v>
      </c>
      <c r="P124" s="54">
        <v>0</v>
      </c>
      <c r="Q124" s="54">
        <v>0</v>
      </c>
      <c r="R124" s="54">
        <v>0</v>
      </c>
      <c r="S124" s="54">
        <v>0</v>
      </c>
      <c r="T124" s="54">
        <v>0</v>
      </c>
      <c r="U124" s="62">
        <f t="shared" si="35"/>
        <v>4000</v>
      </c>
      <c r="V124" s="54">
        <v>0</v>
      </c>
      <c r="W124" s="54">
        <v>0</v>
      </c>
      <c r="X124" s="54">
        <v>0</v>
      </c>
      <c r="Y124" s="54">
        <v>0</v>
      </c>
      <c r="Z124" s="54">
        <v>0</v>
      </c>
      <c r="AA124" s="54">
        <v>0</v>
      </c>
      <c r="AB124" s="54">
        <v>0</v>
      </c>
      <c r="AC124" s="54">
        <v>0</v>
      </c>
      <c r="AD124" s="54">
        <v>0</v>
      </c>
      <c r="AE124" s="54">
        <v>0</v>
      </c>
      <c r="AF124" s="54">
        <v>0</v>
      </c>
      <c r="AG124" s="62">
        <v>0</v>
      </c>
      <c r="AJ124" s="55"/>
    </row>
    <row r="125" spans="2:36" x14ac:dyDescent="0.2">
      <c r="G125" s="34">
        <f>SUM(G70:G124)</f>
        <v>1014500</v>
      </c>
      <c r="H125" s="34">
        <f>SUM(H70:H124)</f>
        <v>1104750</v>
      </c>
      <c r="J125" s="34">
        <f>SUM(J70:J124)</f>
        <v>0</v>
      </c>
      <c r="K125" s="34">
        <f t="shared" ref="K125" si="38">SUM(K70:K124)</f>
        <v>0</v>
      </c>
      <c r="L125" s="34">
        <f t="shared" ref="L125" si="39">SUM(L70:L124)</f>
        <v>0</v>
      </c>
      <c r="M125" s="34">
        <f t="shared" ref="M125" si="40">SUM(M70:M124)</f>
        <v>0</v>
      </c>
      <c r="N125" s="34">
        <f t="shared" ref="N125" si="41">SUM(N70:N124)</f>
        <v>0</v>
      </c>
      <c r="O125" s="34">
        <f t="shared" ref="O125" si="42">SUM(O70:O124)</f>
        <v>30000</v>
      </c>
      <c r="P125" s="34">
        <f t="shared" ref="P125" si="43">SUM(P70:P124)</f>
        <v>0</v>
      </c>
      <c r="Q125" s="34">
        <f t="shared" ref="Q125" si="44">SUM(Q70:Q124)</f>
        <v>0</v>
      </c>
      <c r="R125" s="34">
        <f t="shared" ref="R125" si="45">SUM(R70:R124)</f>
        <v>0</v>
      </c>
      <c r="S125" s="34">
        <f t="shared" ref="S125" si="46">SUM(S70:S124)</f>
        <v>0</v>
      </c>
      <c r="T125" s="34">
        <f t="shared" ref="T125" si="47">SUM(T70:T124)</f>
        <v>0</v>
      </c>
      <c r="U125" s="34">
        <f t="shared" ref="U125" si="48">SUM(U70:U124)</f>
        <v>898125.00000000012</v>
      </c>
      <c r="V125" s="34">
        <f t="shared" ref="V125" si="49">SUM(V70:V124)</f>
        <v>0</v>
      </c>
      <c r="W125" s="34">
        <f t="shared" ref="W125" si="50">SUM(W70:W124)</f>
        <v>0</v>
      </c>
      <c r="X125" s="34">
        <f t="shared" ref="X125" si="51">SUM(X70:X124)</f>
        <v>0</v>
      </c>
      <c r="Y125" s="34">
        <f t="shared" ref="Y125" si="52">SUM(Y70:Y124)</f>
        <v>0</v>
      </c>
      <c r="Z125" s="34">
        <f t="shared" ref="Z125" si="53">SUM(Z70:Z124)</f>
        <v>0</v>
      </c>
      <c r="AA125" s="34">
        <f t="shared" ref="AA125" si="54">SUM(AA70:AA124)</f>
        <v>0</v>
      </c>
      <c r="AB125" s="34">
        <f t="shared" ref="AB125" si="55">SUM(AB70:AB124)</f>
        <v>16000</v>
      </c>
      <c r="AC125" s="34">
        <f t="shared" ref="AC125" si="56">SUM(AC70:AC124)</f>
        <v>0</v>
      </c>
      <c r="AD125" s="34">
        <f t="shared" ref="AD125" si="57">SUM(AD70:AD124)</f>
        <v>0</v>
      </c>
      <c r="AE125" s="34">
        <f t="shared" ref="AE125" si="58">SUM(AE70:AE124)</f>
        <v>0</v>
      </c>
      <c r="AF125" s="34">
        <f t="shared" ref="AF125:AG125" si="59">SUM(AF70:AF124)</f>
        <v>0</v>
      </c>
      <c r="AG125" s="34">
        <f t="shared" si="59"/>
        <v>935856.94444444438</v>
      </c>
    </row>
    <row r="127" spans="2:36" x14ac:dyDescent="0.2">
      <c r="U127" s="55"/>
      <c r="AG127" s="55"/>
    </row>
    <row r="128" spans="2:36" ht="13.5" thickBot="1" x14ac:dyDescent="0.25">
      <c r="B128" s="48" t="s">
        <v>0</v>
      </c>
      <c r="C128" s="1"/>
      <c r="D128" s="1"/>
      <c r="E128" s="1"/>
      <c r="F128" s="1"/>
      <c r="G128" s="1"/>
      <c r="H128" s="3"/>
      <c r="I128" s="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3">
        <f ca="1">TODAY()</f>
        <v>45999</v>
      </c>
      <c r="AH128" s="1"/>
    </row>
    <row r="129" spans="2:33" x14ac:dyDescent="0.2">
      <c r="B129" s="47"/>
      <c r="C129" t="s">
        <v>153</v>
      </c>
      <c r="H129" s="6"/>
      <c r="I129" s="6"/>
      <c r="AG129" s="53" t="s">
        <v>228</v>
      </c>
    </row>
    <row r="130" spans="2:33" x14ac:dyDescent="0.2">
      <c r="B130" s="47"/>
      <c r="H130" s="6"/>
      <c r="I130" s="6"/>
    </row>
    <row r="131" spans="2:33" ht="15" customHeight="1" x14ac:dyDescent="0.2">
      <c r="B131" s="47"/>
      <c r="E131" s="77" t="s">
        <v>143</v>
      </c>
      <c r="F131" s="77" t="s">
        <v>144</v>
      </c>
      <c r="G131" s="17" t="s">
        <v>154</v>
      </c>
      <c r="H131" s="50"/>
      <c r="I131" s="52" t="s">
        <v>56</v>
      </c>
      <c r="J131" s="20">
        <v>2023</v>
      </c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2"/>
      <c r="V131" s="20">
        <v>2024</v>
      </c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2"/>
    </row>
    <row r="132" spans="2:33" ht="15" x14ac:dyDescent="0.35">
      <c r="C132" s="59" t="s">
        <v>57</v>
      </c>
      <c r="D132" s="59" t="s">
        <v>58</v>
      </c>
      <c r="E132" s="59" t="s">
        <v>142</v>
      </c>
      <c r="F132" s="59" t="s">
        <v>142</v>
      </c>
      <c r="G132" s="13">
        <v>45291</v>
      </c>
      <c r="H132" s="14">
        <v>45657</v>
      </c>
      <c r="I132" s="51"/>
      <c r="J132" s="4">
        <v>44957</v>
      </c>
      <c r="K132" s="19">
        <f>EOMONTH(J132,1)</f>
        <v>44985</v>
      </c>
      <c r="L132" s="19">
        <f t="shared" ref="L132" si="60">EOMONTH(K132,1)</f>
        <v>45016</v>
      </c>
      <c r="M132" s="19">
        <f t="shared" ref="M132" si="61">EOMONTH(L132,1)</f>
        <v>45046</v>
      </c>
      <c r="N132" s="19">
        <f t="shared" ref="N132" si="62">EOMONTH(M132,1)</f>
        <v>45077</v>
      </c>
      <c r="O132" s="19">
        <f t="shared" ref="O132" si="63">EOMONTH(N132,1)</f>
        <v>45107</v>
      </c>
      <c r="P132" s="19">
        <f t="shared" ref="P132" si="64">EOMONTH(O132,1)</f>
        <v>45138</v>
      </c>
      <c r="Q132" s="19">
        <f t="shared" ref="Q132" si="65">EOMONTH(P132,1)</f>
        <v>45169</v>
      </c>
      <c r="R132" s="19">
        <f t="shared" ref="R132" si="66">EOMONTH(Q132,1)</f>
        <v>45199</v>
      </c>
      <c r="S132" s="19">
        <f t="shared" ref="S132" si="67">EOMONTH(R132,1)</f>
        <v>45230</v>
      </c>
      <c r="T132" s="19">
        <f t="shared" ref="T132" si="68">EOMONTH(S132,1)</f>
        <v>45260</v>
      </c>
      <c r="U132" s="5">
        <f t="shared" ref="U132" si="69">EOMONTH(T132,1)</f>
        <v>45291</v>
      </c>
      <c r="V132" s="4">
        <f t="shared" ref="V132" si="70">EOMONTH(U132,1)</f>
        <v>45322</v>
      </c>
      <c r="W132" s="19">
        <f t="shared" ref="W132" si="71">EOMONTH(V132,1)</f>
        <v>45351</v>
      </c>
      <c r="X132" s="19">
        <f t="shared" ref="X132" si="72">EOMONTH(W132,1)</f>
        <v>45382</v>
      </c>
      <c r="Y132" s="19">
        <f t="shared" ref="Y132" si="73">EOMONTH(X132,1)</f>
        <v>45412</v>
      </c>
      <c r="Z132" s="19">
        <f t="shared" ref="Z132" si="74">EOMONTH(Y132,1)</f>
        <v>45443</v>
      </c>
      <c r="AA132" s="19">
        <f t="shared" ref="AA132" si="75">EOMONTH(Z132,1)</f>
        <v>45473</v>
      </c>
      <c r="AB132" s="19">
        <f t="shared" ref="AB132" si="76">EOMONTH(AA132,1)</f>
        <v>45504</v>
      </c>
      <c r="AC132" s="19">
        <f t="shared" ref="AC132" si="77">EOMONTH(AB132,1)</f>
        <v>45535</v>
      </c>
      <c r="AD132" s="19">
        <f t="shared" ref="AD132" si="78">EOMONTH(AC132,1)</f>
        <v>45565</v>
      </c>
      <c r="AE132" s="19">
        <f t="shared" ref="AE132" si="79">EOMONTH(AD132,1)</f>
        <v>45596</v>
      </c>
      <c r="AF132" s="19">
        <f t="shared" ref="AF132" si="80">EOMONTH(AE132,1)</f>
        <v>45626</v>
      </c>
      <c r="AG132" s="5">
        <f t="shared" ref="AG132" si="81">EOMONTH(AF132,1)</f>
        <v>45657</v>
      </c>
    </row>
    <row r="133" spans="2:33" x14ac:dyDescent="0.2">
      <c r="C133" t="s">
        <v>137</v>
      </c>
      <c r="D133" t="s">
        <v>66</v>
      </c>
      <c r="E133" s="64">
        <f>_xlfn.XLOOKUP($C133,'Corporate Roster - ''24'!$C$6:$C$60,'Corporate Roster - ''24'!$E$6:$E$60)</f>
        <v>40848</v>
      </c>
      <c r="F133" s="64" t="str">
        <f>_xlfn.XLOOKUP($C133,'Corporate Roster - ''24'!$C$6:$C$60,'Corporate Roster - ''24'!$F$6:$F$60)</f>
        <v>-</v>
      </c>
      <c r="G133" s="56">
        <f>(MROUND(H133*0.9,1000))</f>
        <v>81000</v>
      </c>
      <c r="H133" s="61">
        <f>_xlfn.XLOOKUP($C133,'Corporate Roster - ''24'!$C$6:$C$60,'Corporate Roster - ''24'!$J$6:$J$60)</f>
        <v>90000</v>
      </c>
      <c r="J133" s="56">
        <f t="shared" ref="J133:U133" si="82">J7/$G7*$G133</f>
        <v>6750</v>
      </c>
      <c r="K133" s="55">
        <f t="shared" si="82"/>
        <v>6750</v>
      </c>
      <c r="L133" s="55">
        <f t="shared" si="82"/>
        <v>6750</v>
      </c>
      <c r="M133" s="55">
        <f t="shared" si="82"/>
        <v>6750</v>
      </c>
      <c r="N133" s="55">
        <f t="shared" si="82"/>
        <v>6750</v>
      </c>
      <c r="O133" s="55">
        <f t="shared" si="82"/>
        <v>6750</v>
      </c>
      <c r="P133" s="55">
        <f t="shared" si="82"/>
        <v>6750</v>
      </c>
      <c r="Q133" s="55">
        <f t="shared" si="82"/>
        <v>6750</v>
      </c>
      <c r="R133" s="55">
        <f t="shared" si="82"/>
        <v>6750</v>
      </c>
      <c r="S133" s="55">
        <f t="shared" si="82"/>
        <v>6750</v>
      </c>
      <c r="T133" s="55">
        <f t="shared" si="82"/>
        <v>6750</v>
      </c>
      <c r="U133" s="61">
        <f t="shared" si="82"/>
        <v>6750</v>
      </c>
      <c r="V133" s="55">
        <f t="shared" ref="V133:AG133" si="83">V7/$H7*$H133</f>
        <v>7500.0000000000009</v>
      </c>
      <c r="W133" s="55">
        <f t="shared" si="83"/>
        <v>7500.0000000000009</v>
      </c>
      <c r="X133" s="55">
        <f t="shared" si="83"/>
        <v>7500.0000000000009</v>
      </c>
      <c r="Y133" s="55">
        <f t="shared" si="83"/>
        <v>7500.0000000000009</v>
      </c>
      <c r="Z133" s="55">
        <f t="shared" si="83"/>
        <v>7500.0000000000009</v>
      </c>
      <c r="AA133" s="55">
        <f t="shared" si="83"/>
        <v>7500.0000000000009</v>
      </c>
      <c r="AB133" s="55">
        <f t="shared" si="83"/>
        <v>7500.0000000000009</v>
      </c>
      <c r="AC133" s="55">
        <f t="shared" si="83"/>
        <v>7500.0000000000009</v>
      </c>
      <c r="AD133" s="55">
        <f t="shared" si="83"/>
        <v>7500.0000000000009</v>
      </c>
      <c r="AE133" s="55">
        <f t="shared" si="83"/>
        <v>7500.0000000000009</v>
      </c>
      <c r="AF133" s="55">
        <f t="shared" si="83"/>
        <v>7500.0000000000009</v>
      </c>
      <c r="AG133" s="61">
        <f t="shared" si="83"/>
        <v>7500.0000000000009</v>
      </c>
    </row>
    <row r="134" spans="2:33" x14ac:dyDescent="0.2">
      <c r="C134" t="s">
        <v>67</v>
      </c>
      <c r="D134" t="s">
        <v>68</v>
      </c>
      <c r="E134" s="64">
        <f>_xlfn.XLOOKUP($C134,'Corporate Roster - ''24'!$C$6:$C$60,'Corporate Roster - ''24'!$E$6:$E$60)</f>
        <v>41718</v>
      </c>
      <c r="F134" s="64" t="str">
        <f>_xlfn.XLOOKUP($C134,'Corporate Roster - ''24'!$C$6:$C$60,'Corporate Roster - ''24'!$F$6:$F$60)</f>
        <v>-</v>
      </c>
      <c r="G134" s="32">
        <f>(MROUND(H134*0.8,1000))</f>
        <v>60000</v>
      </c>
      <c r="H134" s="33">
        <f>_xlfn.XLOOKUP($C134,'Corporate Roster - ''24'!$C$6:$C$60,'Corporate Roster - ''24'!$J$6:$J$60)</f>
        <v>75000</v>
      </c>
      <c r="J134" s="32">
        <f t="shared" ref="J134:U134" si="84">J8/$G8*$G134</f>
        <v>5000</v>
      </c>
      <c r="K134" s="10">
        <f t="shared" si="84"/>
        <v>5000</v>
      </c>
      <c r="L134" s="10">
        <f t="shared" si="84"/>
        <v>5000</v>
      </c>
      <c r="M134" s="10">
        <f t="shared" si="84"/>
        <v>5000</v>
      </c>
      <c r="N134" s="10">
        <f t="shared" si="84"/>
        <v>5000</v>
      </c>
      <c r="O134" s="10">
        <f t="shared" si="84"/>
        <v>5000</v>
      </c>
      <c r="P134" s="10">
        <f t="shared" si="84"/>
        <v>5000</v>
      </c>
      <c r="Q134" s="10">
        <f t="shared" si="84"/>
        <v>5000</v>
      </c>
      <c r="R134" s="10">
        <f t="shared" si="84"/>
        <v>5000</v>
      </c>
      <c r="S134" s="10">
        <f t="shared" si="84"/>
        <v>5000</v>
      </c>
      <c r="T134" s="10">
        <f t="shared" si="84"/>
        <v>5000</v>
      </c>
      <c r="U134" s="33">
        <f t="shared" si="84"/>
        <v>5000</v>
      </c>
      <c r="V134" s="10">
        <f t="shared" ref="V134:AG134" si="85">V8/$H8*$H134</f>
        <v>6250</v>
      </c>
      <c r="W134" s="10">
        <f t="shared" si="85"/>
        <v>6250</v>
      </c>
      <c r="X134" s="10">
        <f t="shared" si="85"/>
        <v>6250</v>
      </c>
      <c r="Y134" s="10">
        <f t="shared" si="85"/>
        <v>6250</v>
      </c>
      <c r="Z134" s="10">
        <f t="shared" si="85"/>
        <v>6250</v>
      </c>
      <c r="AA134" s="10">
        <f t="shared" si="85"/>
        <v>6250</v>
      </c>
      <c r="AB134" s="10">
        <f t="shared" si="85"/>
        <v>6250</v>
      </c>
      <c r="AC134" s="10">
        <f t="shared" si="85"/>
        <v>6250</v>
      </c>
      <c r="AD134" s="10">
        <f t="shared" si="85"/>
        <v>6250</v>
      </c>
      <c r="AE134" s="10">
        <f t="shared" si="85"/>
        <v>6250</v>
      </c>
      <c r="AF134" s="10">
        <f t="shared" si="85"/>
        <v>6250</v>
      </c>
      <c r="AG134" s="33">
        <f t="shared" si="85"/>
        <v>6250</v>
      </c>
    </row>
    <row r="135" spans="2:33" x14ac:dyDescent="0.2">
      <c r="C135" t="s">
        <v>69</v>
      </c>
      <c r="D135" t="s">
        <v>70</v>
      </c>
      <c r="E135" s="64">
        <f>_xlfn.XLOOKUP($C135,'Corporate Roster - ''24'!$C$6:$C$60,'Corporate Roster - ''24'!$E$6:$E$60)</f>
        <v>39601</v>
      </c>
      <c r="F135" s="64" t="str">
        <f>_xlfn.XLOOKUP($C135,'Corporate Roster - ''24'!$C$6:$C$60,'Corporate Roster - ''24'!$F$6:$F$60)</f>
        <v>-</v>
      </c>
      <c r="G135" s="32">
        <f>(MROUND(H135*0.8,1000))</f>
        <v>60000</v>
      </c>
      <c r="H135" s="33">
        <f>_xlfn.XLOOKUP($C135,'Corporate Roster - ''24'!$C$6:$C$60,'Corporate Roster - ''24'!$J$6:$J$60)</f>
        <v>75000</v>
      </c>
      <c r="J135" s="32">
        <f t="shared" ref="J135:U135" si="86">J9/$G9*$G135</f>
        <v>5000</v>
      </c>
      <c r="K135" s="10">
        <f t="shared" si="86"/>
        <v>5000</v>
      </c>
      <c r="L135" s="10">
        <f t="shared" si="86"/>
        <v>5000</v>
      </c>
      <c r="M135" s="10">
        <f t="shared" si="86"/>
        <v>5000</v>
      </c>
      <c r="N135" s="10">
        <f t="shared" si="86"/>
        <v>5000</v>
      </c>
      <c r="O135" s="10">
        <f t="shared" si="86"/>
        <v>5000</v>
      </c>
      <c r="P135" s="10">
        <f t="shared" si="86"/>
        <v>5000</v>
      </c>
      <c r="Q135" s="10">
        <f t="shared" si="86"/>
        <v>5000</v>
      </c>
      <c r="R135" s="10">
        <f t="shared" si="86"/>
        <v>5000</v>
      </c>
      <c r="S135" s="10">
        <f t="shared" si="86"/>
        <v>5000</v>
      </c>
      <c r="T135" s="10">
        <f t="shared" si="86"/>
        <v>5000</v>
      </c>
      <c r="U135" s="33">
        <f t="shared" si="86"/>
        <v>5000</v>
      </c>
      <c r="V135" s="10">
        <f t="shared" ref="V135:AG135" si="87">V9/$H9*$H135</f>
        <v>6250</v>
      </c>
      <c r="W135" s="10">
        <f t="shared" si="87"/>
        <v>6250</v>
      </c>
      <c r="X135" s="10">
        <f t="shared" si="87"/>
        <v>6250</v>
      </c>
      <c r="Y135" s="10">
        <f t="shared" si="87"/>
        <v>6250</v>
      </c>
      <c r="Z135" s="10">
        <f t="shared" si="87"/>
        <v>6250</v>
      </c>
      <c r="AA135" s="10">
        <f t="shared" si="87"/>
        <v>6250</v>
      </c>
      <c r="AB135" s="10">
        <f t="shared" si="87"/>
        <v>6250</v>
      </c>
      <c r="AC135" s="10">
        <f t="shared" si="87"/>
        <v>6250</v>
      </c>
      <c r="AD135" s="10">
        <f t="shared" si="87"/>
        <v>6250</v>
      </c>
      <c r="AE135" s="10">
        <f t="shared" si="87"/>
        <v>6250</v>
      </c>
      <c r="AF135" s="10">
        <f t="shared" si="87"/>
        <v>6250</v>
      </c>
      <c r="AG135" s="33">
        <f t="shared" si="87"/>
        <v>6250</v>
      </c>
    </row>
    <row r="136" spans="2:33" x14ac:dyDescent="0.2">
      <c r="C136" t="s">
        <v>71</v>
      </c>
      <c r="D136" t="s">
        <v>72</v>
      </c>
      <c r="E136" s="64">
        <f>_xlfn.XLOOKUP($C136,'Corporate Roster - ''24'!$C$6:$C$60,'Corporate Roster - ''24'!$E$6:$E$60)</f>
        <v>44453</v>
      </c>
      <c r="F136" s="64" t="str">
        <f>_xlfn.XLOOKUP($C136,'Corporate Roster - ''24'!$C$6:$C$60,'Corporate Roster - ''24'!$F$6:$F$60)</f>
        <v>-</v>
      </c>
      <c r="G136" s="32">
        <f>(MROUND(H136*0.8,1000))</f>
        <v>58000</v>
      </c>
      <c r="H136" s="33">
        <f>_xlfn.XLOOKUP($C136,'Corporate Roster - ''24'!$C$6:$C$60,'Corporate Roster - ''24'!$J$6:$J$60)</f>
        <v>72000</v>
      </c>
      <c r="J136" s="32">
        <f t="shared" ref="J136:U136" si="88">J10/$G10*$G136</f>
        <v>4833.333333333333</v>
      </c>
      <c r="K136" s="10">
        <f t="shared" si="88"/>
        <v>4833.333333333333</v>
      </c>
      <c r="L136" s="10">
        <f t="shared" si="88"/>
        <v>4833.333333333333</v>
      </c>
      <c r="M136" s="10">
        <f t="shared" si="88"/>
        <v>4833.333333333333</v>
      </c>
      <c r="N136" s="10">
        <f t="shared" si="88"/>
        <v>4833.333333333333</v>
      </c>
      <c r="O136" s="10">
        <f t="shared" si="88"/>
        <v>4833.333333333333</v>
      </c>
      <c r="P136" s="10">
        <f t="shared" si="88"/>
        <v>4833.333333333333</v>
      </c>
      <c r="Q136" s="10">
        <f t="shared" si="88"/>
        <v>4833.333333333333</v>
      </c>
      <c r="R136" s="10">
        <f t="shared" si="88"/>
        <v>4833.333333333333</v>
      </c>
      <c r="S136" s="10">
        <f t="shared" si="88"/>
        <v>4833.333333333333</v>
      </c>
      <c r="T136" s="10">
        <f t="shared" si="88"/>
        <v>4833.333333333333</v>
      </c>
      <c r="U136" s="33">
        <f t="shared" si="88"/>
        <v>4833.333333333333</v>
      </c>
      <c r="V136" s="10">
        <f t="shared" ref="V136:AG136" si="89">V10/$H10*$H136</f>
        <v>6000</v>
      </c>
      <c r="W136" s="10">
        <f t="shared" si="89"/>
        <v>6000</v>
      </c>
      <c r="X136" s="10">
        <f t="shared" si="89"/>
        <v>6000</v>
      </c>
      <c r="Y136" s="10">
        <f t="shared" si="89"/>
        <v>6000</v>
      </c>
      <c r="Z136" s="10">
        <f t="shared" si="89"/>
        <v>6000</v>
      </c>
      <c r="AA136" s="10">
        <f t="shared" si="89"/>
        <v>6000</v>
      </c>
      <c r="AB136" s="10">
        <f t="shared" si="89"/>
        <v>6000</v>
      </c>
      <c r="AC136" s="10">
        <f t="shared" si="89"/>
        <v>6000</v>
      </c>
      <c r="AD136" s="10">
        <f t="shared" si="89"/>
        <v>6000</v>
      </c>
      <c r="AE136" s="10">
        <f t="shared" si="89"/>
        <v>6000</v>
      </c>
      <c r="AF136" s="10">
        <f t="shared" si="89"/>
        <v>6000</v>
      </c>
      <c r="AG136" s="33">
        <f t="shared" si="89"/>
        <v>6000</v>
      </c>
    </row>
    <row r="137" spans="2:33" x14ac:dyDescent="0.2">
      <c r="C137" t="s">
        <v>145</v>
      </c>
      <c r="D137" t="s">
        <v>74</v>
      </c>
      <c r="E137" s="64">
        <f>_xlfn.XLOOKUP($C137,'Corporate Roster - ''24'!$C$6:$C$60,'Corporate Roster - ''24'!$E$6:$E$60)</f>
        <v>39783</v>
      </c>
      <c r="F137" s="64" t="str">
        <f>_xlfn.XLOOKUP($C137,'Corporate Roster - ''24'!$C$6:$C$60,'Corporate Roster - ''24'!$F$6:$F$60)</f>
        <v>-</v>
      </c>
      <c r="G137" s="32">
        <f>(MROUND(H137*0.95,1000))</f>
        <v>57000</v>
      </c>
      <c r="H137" s="33">
        <f>_xlfn.XLOOKUP($C137,'Corporate Roster - ''24'!$C$6:$C$60,'Corporate Roster - ''24'!$J$6:$J$60)</f>
        <v>60000</v>
      </c>
      <c r="J137" s="32">
        <f t="shared" ref="J137:U137" si="90">J11/$G11*$G137</f>
        <v>4750.0000000000009</v>
      </c>
      <c r="K137" s="10">
        <f t="shared" si="90"/>
        <v>4750.0000000000009</v>
      </c>
      <c r="L137" s="10">
        <f t="shared" si="90"/>
        <v>4750.0000000000009</v>
      </c>
      <c r="M137" s="10">
        <f t="shared" si="90"/>
        <v>4750.0000000000009</v>
      </c>
      <c r="N137" s="10">
        <f t="shared" si="90"/>
        <v>4750.0000000000009</v>
      </c>
      <c r="O137" s="10">
        <f t="shared" si="90"/>
        <v>4750.0000000000009</v>
      </c>
      <c r="P137" s="10">
        <f t="shared" si="90"/>
        <v>4750.0000000000009</v>
      </c>
      <c r="Q137" s="10">
        <f t="shared" si="90"/>
        <v>4750.0000000000009</v>
      </c>
      <c r="R137" s="10">
        <f t="shared" si="90"/>
        <v>4750.0000000000009</v>
      </c>
      <c r="S137" s="10">
        <f t="shared" si="90"/>
        <v>4750.0000000000009</v>
      </c>
      <c r="T137" s="10">
        <f t="shared" si="90"/>
        <v>4750.0000000000009</v>
      </c>
      <c r="U137" s="33">
        <f t="shared" si="90"/>
        <v>4750.0000000000009</v>
      </c>
      <c r="V137" s="10">
        <f t="shared" ref="V137:AG137" si="91">V11/$H11*$H137</f>
        <v>5000.0000000000009</v>
      </c>
      <c r="W137" s="10">
        <f t="shared" si="91"/>
        <v>5000.0000000000009</v>
      </c>
      <c r="X137" s="10">
        <f t="shared" si="91"/>
        <v>5000.0000000000009</v>
      </c>
      <c r="Y137" s="10">
        <f t="shared" si="91"/>
        <v>5000.0000000000009</v>
      </c>
      <c r="Z137" s="10">
        <f t="shared" si="91"/>
        <v>5000.0000000000009</v>
      </c>
      <c r="AA137" s="10">
        <f t="shared" si="91"/>
        <v>5000.0000000000009</v>
      </c>
      <c r="AB137" s="10">
        <f t="shared" si="91"/>
        <v>5000.0000000000009</v>
      </c>
      <c r="AC137" s="10">
        <f t="shared" si="91"/>
        <v>5000.0000000000009</v>
      </c>
      <c r="AD137" s="10">
        <f t="shared" si="91"/>
        <v>5000.0000000000009</v>
      </c>
      <c r="AE137" s="10">
        <f t="shared" si="91"/>
        <v>5000.0000000000009</v>
      </c>
      <c r="AF137" s="10">
        <f t="shared" si="91"/>
        <v>5000.0000000000009</v>
      </c>
      <c r="AG137" s="33">
        <f t="shared" si="91"/>
        <v>5000.0000000000009</v>
      </c>
    </row>
    <row r="138" spans="2:33" x14ac:dyDescent="0.2">
      <c r="C138" t="s">
        <v>146</v>
      </c>
      <c r="D138" t="s">
        <v>76</v>
      </c>
      <c r="E138" s="64">
        <f>_xlfn.XLOOKUP($C138,'Corporate Roster - ''24'!$C$6:$C$60,'Corporate Roster - ''24'!$E$6:$E$60)</f>
        <v>42573</v>
      </c>
      <c r="F138" s="64" t="str">
        <f>_xlfn.XLOOKUP($C138,'Corporate Roster - ''24'!$C$6:$C$60,'Corporate Roster - ''24'!$F$6:$F$60)</f>
        <v>-</v>
      </c>
      <c r="G138" s="32">
        <f t="shared" ref="G138:G187" si="92">H138</f>
        <v>60000</v>
      </c>
      <c r="H138" s="33">
        <f>_xlfn.XLOOKUP($C138,'Corporate Roster - ''24'!$C$6:$C$60,'Corporate Roster - ''24'!$J$6:$J$60)</f>
        <v>60000</v>
      </c>
      <c r="J138" s="32">
        <f t="shared" ref="J138:U138" si="93">J12/$G12*$G138</f>
        <v>5000.0000000000009</v>
      </c>
      <c r="K138" s="10">
        <f t="shared" si="93"/>
        <v>5000.0000000000009</v>
      </c>
      <c r="L138" s="10">
        <f t="shared" si="93"/>
        <v>5000.0000000000009</v>
      </c>
      <c r="M138" s="10">
        <f t="shared" si="93"/>
        <v>5000.0000000000009</v>
      </c>
      <c r="N138" s="10">
        <f t="shared" si="93"/>
        <v>5000.0000000000009</v>
      </c>
      <c r="O138" s="10">
        <f t="shared" si="93"/>
        <v>5000.0000000000009</v>
      </c>
      <c r="P138" s="10">
        <f t="shared" si="93"/>
        <v>5000.0000000000009</v>
      </c>
      <c r="Q138" s="10">
        <f t="shared" si="93"/>
        <v>5000.0000000000009</v>
      </c>
      <c r="R138" s="10">
        <f t="shared" si="93"/>
        <v>5000.0000000000009</v>
      </c>
      <c r="S138" s="10">
        <f t="shared" si="93"/>
        <v>5000.0000000000009</v>
      </c>
      <c r="T138" s="10">
        <f t="shared" si="93"/>
        <v>5000.0000000000009</v>
      </c>
      <c r="U138" s="33">
        <f t="shared" si="93"/>
        <v>5000.0000000000009</v>
      </c>
      <c r="V138" s="10">
        <f t="shared" ref="V138:AG138" si="94">V12/$H12*$H138</f>
        <v>5000.0000000000009</v>
      </c>
      <c r="W138" s="10">
        <f t="shared" si="94"/>
        <v>5000.0000000000009</v>
      </c>
      <c r="X138" s="10">
        <f t="shared" si="94"/>
        <v>5000.0000000000009</v>
      </c>
      <c r="Y138" s="10">
        <f t="shared" si="94"/>
        <v>5000.0000000000009</v>
      </c>
      <c r="Z138" s="10">
        <f t="shared" si="94"/>
        <v>5000.0000000000009</v>
      </c>
      <c r="AA138" s="10">
        <f t="shared" si="94"/>
        <v>5000.0000000000009</v>
      </c>
      <c r="AB138" s="10">
        <f t="shared" si="94"/>
        <v>5000.0000000000009</v>
      </c>
      <c r="AC138" s="10">
        <f t="shared" si="94"/>
        <v>5000.0000000000009</v>
      </c>
      <c r="AD138" s="10">
        <f t="shared" si="94"/>
        <v>5000.0000000000009</v>
      </c>
      <c r="AE138" s="10">
        <f t="shared" si="94"/>
        <v>5000.0000000000009</v>
      </c>
      <c r="AF138" s="10">
        <f t="shared" si="94"/>
        <v>5000.0000000000009</v>
      </c>
      <c r="AG138" s="33">
        <f t="shared" si="94"/>
        <v>5000.0000000000009</v>
      </c>
    </row>
    <row r="139" spans="2:33" x14ac:dyDescent="0.2">
      <c r="C139" t="s">
        <v>77</v>
      </c>
      <c r="D139" t="s">
        <v>78</v>
      </c>
      <c r="E139" s="64">
        <f>_xlfn.XLOOKUP($C139,'Corporate Roster - ''24'!$C$6:$C$60,'Corporate Roster - ''24'!$E$6:$E$60)</f>
        <v>38481</v>
      </c>
      <c r="F139" s="64" t="str">
        <f>_xlfn.XLOOKUP($C139,'Corporate Roster - ''24'!$C$6:$C$60,'Corporate Roster - ''24'!$F$6:$F$60)</f>
        <v>-</v>
      </c>
      <c r="G139" s="32">
        <f t="shared" si="92"/>
        <v>54000</v>
      </c>
      <c r="H139" s="33">
        <f>_xlfn.XLOOKUP($C139,'Corporate Roster - ''24'!$C$6:$C$60,'Corporate Roster - ''24'!$J$6:$J$60)</f>
        <v>54000</v>
      </c>
      <c r="J139" s="32">
        <f t="shared" ref="J139:U139" si="95">J13/$G13*$G139</f>
        <v>4500</v>
      </c>
      <c r="K139" s="10">
        <f t="shared" si="95"/>
        <v>4500</v>
      </c>
      <c r="L139" s="10">
        <f t="shared" si="95"/>
        <v>4500</v>
      </c>
      <c r="M139" s="10">
        <f t="shared" si="95"/>
        <v>4500</v>
      </c>
      <c r="N139" s="10">
        <f t="shared" si="95"/>
        <v>4500</v>
      </c>
      <c r="O139" s="10">
        <f t="shared" si="95"/>
        <v>4500</v>
      </c>
      <c r="P139" s="10">
        <f t="shared" si="95"/>
        <v>4500</v>
      </c>
      <c r="Q139" s="10">
        <f t="shared" si="95"/>
        <v>4500</v>
      </c>
      <c r="R139" s="10">
        <f t="shared" si="95"/>
        <v>4500</v>
      </c>
      <c r="S139" s="10">
        <f t="shared" si="95"/>
        <v>4500</v>
      </c>
      <c r="T139" s="10">
        <f t="shared" si="95"/>
        <v>4500</v>
      </c>
      <c r="U139" s="33">
        <f t="shared" si="95"/>
        <v>4500</v>
      </c>
      <c r="V139" s="10">
        <f t="shared" ref="V139:AG139" si="96">V13/$H13*$H139</f>
        <v>4500</v>
      </c>
      <c r="W139" s="10">
        <f t="shared" si="96"/>
        <v>4500</v>
      </c>
      <c r="X139" s="10">
        <f t="shared" si="96"/>
        <v>4500</v>
      </c>
      <c r="Y139" s="10">
        <f t="shared" si="96"/>
        <v>4500</v>
      </c>
      <c r="Z139" s="10">
        <f t="shared" si="96"/>
        <v>4500</v>
      </c>
      <c r="AA139" s="10">
        <f t="shared" si="96"/>
        <v>4500</v>
      </c>
      <c r="AB139" s="10">
        <f t="shared" si="96"/>
        <v>4500</v>
      </c>
      <c r="AC139" s="10">
        <f t="shared" si="96"/>
        <v>4500</v>
      </c>
      <c r="AD139" s="10">
        <f t="shared" si="96"/>
        <v>4500</v>
      </c>
      <c r="AE139" s="10">
        <f t="shared" si="96"/>
        <v>4500</v>
      </c>
      <c r="AF139" s="10">
        <f t="shared" si="96"/>
        <v>4500</v>
      </c>
      <c r="AG139" s="33">
        <f t="shared" si="96"/>
        <v>4500</v>
      </c>
    </row>
    <row r="140" spans="2:33" x14ac:dyDescent="0.2">
      <c r="C140" t="s">
        <v>79</v>
      </c>
      <c r="D140" t="s">
        <v>80</v>
      </c>
      <c r="E140" s="64">
        <f>_xlfn.XLOOKUP($C140,'Corporate Roster - ''24'!$C$6:$C$60,'Corporate Roster - ''24'!$E$6:$E$60)</f>
        <v>38427</v>
      </c>
      <c r="F140" s="64" t="str">
        <f>_xlfn.XLOOKUP($C140,'Corporate Roster - ''24'!$C$6:$C$60,'Corporate Roster - ''24'!$F$6:$F$60)</f>
        <v>-</v>
      </c>
      <c r="G140" s="32">
        <f t="shared" si="92"/>
        <v>48000</v>
      </c>
      <c r="H140" s="33">
        <f>_xlfn.XLOOKUP($C140,'Corporate Roster - ''24'!$C$6:$C$60,'Corporate Roster - ''24'!$J$6:$J$60)</f>
        <v>48000</v>
      </c>
      <c r="J140" s="32">
        <f t="shared" ref="J140:U140" si="97">J14/$G14*$G140</f>
        <v>4000.0000000000005</v>
      </c>
      <c r="K140" s="10">
        <f t="shared" si="97"/>
        <v>4000.0000000000005</v>
      </c>
      <c r="L140" s="10">
        <f t="shared" si="97"/>
        <v>4000.0000000000005</v>
      </c>
      <c r="M140" s="10">
        <f t="shared" si="97"/>
        <v>4000.0000000000005</v>
      </c>
      <c r="N140" s="10">
        <f t="shared" si="97"/>
        <v>4000.0000000000005</v>
      </c>
      <c r="O140" s="10">
        <f t="shared" si="97"/>
        <v>4000.0000000000005</v>
      </c>
      <c r="P140" s="10">
        <f t="shared" si="97"/>
        <v>4000.0000000000005</v>
      </c>
      <c r="Q140" s="10">
        <f t="shared" si="97"/>
        <v>4000.0000000000005</v>
      </c>
      <c r="R140" s="10">
        <f t="shared" si="97"/>
        <v>4000.0000000000005</v>
      </c>
      <c r="S140" s="10">
        <f t="shared" si="97"/>
        <v>4000.0000000000005</v>
      </c>
      <c r="T140" s="10">
        <f t="shared" si="97"/>
        <v>4000.0000000000005</v>
      </c>
      <c r="U140" s="33">
        <f t="shared" si="97"/>
        <v>4000.0000000000005</v>
      </c>
      <c r="V140" s="10">
        <f t="shared" ref="V140:AG140" si="98">V14/$H14*$H140</f>
        <v>4000.0000000000005</v>
      </c>
      <c r="W140" s="10">
        <f t="shared" si="98"/>
        <v>4000.0000000000005</v>
      </c>
      <c r="X140" s="10">
        <f t="shared" si="98"/>
        <v>4000.0000000000005</v>
      </c>
      <c r="Y140" s="10">
        <f t="shared" si="98"/>
        <v>4000.0000000000005</v>
      </c>
      <c r="Z140" s="10">
        <f t="shared" si="98"/>
        <v>4000.0000000000005</v>
      </c>
      <c r="AA140" s="10">
        <f t="shared" si="98"/>
        <v>4000.0000000000005</v>
      </c>
      <c r="AB140" s="10">
        <f t="shared" si="98"/>
        <v>4000.0000000000005</v>
      </c>
      <c r="AC140" s="10">
        <f t="shared" si="98"/>
        <v>4000.0000000000005</v>
      </c>
      <c r="AD140" s="10">
        <f t="shared" si="98"/>
        <v>4000.0000000000005</v>
      </c>
      <c r="AE140" s="10">
        <f t="shared" si="98"/>
        <v>4000.0000000000005</v>
      </c>
      <c r="AF140" s="10">
        <f t="shared" si="98"/>
        <v>4000.0000000000005</v>
      </c>
      <c r="AG140" s="33">
        <f t="shared" si="98"/>
        <v>4000.0000000000005</v>
      </c>
    </row>
    <row r="141" spans="2:33" x14ac:dyDescent="0.2">
      <c r="C141" t="s">
        <v>147</v>
      </c>
      <c r="D141" t="s">
        <v>82</v>
      </c>
      <c r="E141" s="64">
        <f>_xlfn.XLOOKUP($C141,'Corporate Roster - ''24'!$C$6:$C$60,'Corporate Roster - ''24'!$E$6:$E$60)</f>
        <v>42696</v>
      </c>
      <c r="F141" s="64" t="str">
        <f>_xlfn.XLOOKUP($C141,'Corporate Roster - ''24'!$C$6:$C$60,'Corporate Roster - ''24'!$F$6:$F$60)</f>
        <v>-</v>
      </c>
      <c r="G141" s="32">
        <f>(MROUND(H141*0.95,1000))</f>
        <v>46000</v>
      </c>
      <c r="H141" s="33">
        <f>_xlfn.XLOOKUP($C141,'Corporate Roster - ''24'!$C$6:$C$60,'Corporate Roster - ''24'!$J$6:$J$60)</f>
        <v>48000</v>
      </c>
      <c r="J141" s="32">
        <f t="shared" ref="J141:U141" si="99">J15/$G15*$G141</f>
        <v>3833.333333333333</v>
      </c>
      <c r="K141" s="10">
        <f t="shared" si="99"/>
        <v>3833.333333333333</v>
      </c>
      <c r="L141" s="10">
        <f t="shared" si="99"/>
        <v>3833.333333333333</v>
      </c>
      <c r="M141" s="10">
        <f t="shared" si="99"/>
        <v>3833.333333333333</v>
      </c>
      <c r="N141" s="10">
        <f t="shared" si="99"/>
        <v>3833.333333333333</v>
      </c>
      <c r="O141" s="10">
        <f t="shared" si="99"/>
        <v>3833.333333333333</v>
      </c>
      <c r="P141" s="10">
        <f t="shared" si="99"/>
        <v>3833.333333333333</v>
      </c>
      <c r="Q141" s="10">
        <f t="shared" si="99"/>
        <v>3833.333333333333</v>
      </c>
      <c r="R141" s="10">
        <f t="shared" si="99"/>
        <v>3833.333333333333</v>
      </c>
      <c r="S141" s="10">
        <f t="shared" si="99"/>
        <v>3833.333333333333</v>
      </c>
      <c r="T141" s="10">
        <f t="shared" si="99"/>
        <v>3833.333333333333</v>
      </c>
      <c r="U141" s="33">
        <f t="shared" si="99"/>
        <v>3833.333333333333</v>
      </c>
      <c r="V141" s="10">
        <f t="shared" ref="V141:AG141" si="100">V15/$H15*$H141</f>
        <v>4000.0000000000005</v>
      </c>
      <c r="W141" s="10">
        <f t="shared" si="100"/>
        <v>4000.0000000000005</v>
      </c>
      <c r="X141" s="10">
        <f t="shared" si="100"/>
        <v>4000.0000000000005</v>
      </c>
      <c r="Y141" s="10">
        <f t="shared" si="100"/>
        <v>4000.0000000000005</v>
      </c>
      <c r="Z141" s="10">
        <f t="shared" si="100"/>
        <v>4000.0000000000005</v>
      </c>
      <c r="AA141" s="10">
        <f t="shared" si="100"/>
        <v>4000.0000000000005</v>
      </c>
      <c r="AB141" s="10">
        <f t="shared" si="100"/>
        <v>4000.0000000000005</v>
      </c>
      <c r="AC141" s="10">
        <f t="shared" si="100"/>
        <v>4000.0000000000005</v>
      </c>
      <c r="AD141" s="10">
        <f t="shared" si="100"/>
        <v>4000.0000000000005</v>
      </c>
      <c r="AE141" s="10">
        <f t="shared" si="100"/>
        <v>4000.0000000000005</v>
      </c>
      <c r="AF141" s="10">
        <f t="shared" si="100"/>
        <v>4000.0000000000005</v>
      </c>
      <c r="AG141" s="33">
        <f t="shared" si="100"/>
        <v>4000.0000000000005</v>
      </c>
    </row>
    <row r="142" spans="2:33" x14ac:dyDescent="0.2">
      <c r="C142" t="s">
        <v>83</v>
      </c>
      <c r="D142" t="s">
        <v>84</v>
      </c>
      <c r="E142" s="64">
        <f>_xlfn.XLOOKUP($C142,'Corporate Roster - ''24'!$C$6:$C$60,'Corporate Roster - ''24'!$E$6:$E$60)</f>
        <v>45248</v>
      </c>
      <c r="F142" s="64" t="str">
        <f>_xlfn.XLOOKUP($C142,'Corporate Roster - ''24'!$C$6:$C$60,'Corporate Roster - ''24'!$F$6:$F$60)</f>
        <v>-</v>
      </c>
      <c r="G142" s="32">
        <f t="shared" si="92"/>
        <v>45000</v>
      </c>
      <c r="H142" s="33">
        <f>_xlfn.XLOOKUP($C142,'Corporate Roster - ''24'!$C$6:$C$60,'Corporate Roster - ''24'!$J$6:$J$60)</f>
        <v>45000</v>
      </c>
      <c r="J142" s="32">
        <f t="shared" ref="J142:U142" si="101">J16/$G16*$G142</f>
        <v>0</v>
      </c>
      <c r="K142" s="10">
        <f t="shared" si="101"/>
        <v>0</v>
      </c>
      <c r="L142" s="10">
        <f t="shared" si="101"/>
        <v>0</v>
      </c>
      <c r="M142" s="10">
        <f t="shared" si="101"/>
        <v>0</v>
      </c>
      <c r="N142" s="10">
        <f t="shared" si="101"/>
        <v>0</v>
      </c>
      <c r="O142" s="10">
        <f t="shared" si="101"/>
        <v>0</v>
      </c>
      <c r="P142" s="10">
        <f t="shared" si="101"/>
        <v>0</v>
      </c>
      <c r="Q142" s="10">
        <f t="shared" si="101"/>
        <v>0</v>
      </c>
      <c r="R142" s="10">
        <f t="shared" si="101"/>
        <v>0</v>
      </c>
      <c r="S142" s="10">
        <f t="shared" si="101"/>
        <v>0</v>
      </c>
      <c r="T142" s="10">
        <f t="shared" si="101"/>
        <v>3750</v>
      </c>
      <c r="U142" s="33">
        <f t="shared" si="101"/>
        <v>3750</v>
      </c>
      <c r="V142" s="10">
        <f t="shared" ref="V142:AG142" si="102">V16/$H16*$H142</f>
        <v>3750</v>
      </c>
      <c r="W142" s="10">
        <f t="shared" si="102"/>
        <v>3750</v>
      </c>
      <c r="X142" s="10">
        <f t="shared" si="102"/>
        <v>3750</v>
      </c>
      <c r="Y142" s="10">
        <f t="shared" si="102"/>
        <v>3750</v>
      </c>
      <c r="Z142" s="10">
        <f t="shared" si="102"/>
        <v>3750</v>
      </c>
      <c r="AA142" s="10">
        <f t="shared" si="102"/>
        <v>3750</v>
      </c>
      <c r="AB142" s="10">
        <f t="shared" si="102"/>
        <v>3750</v>
      </c>
      <c r="AC142" s="10">
        <f t="shared" si="102"/>
        <v>3750</v>
      </c>
      <c r="AD142" s="10">
        <f t="shared" si="102"/>
        <v>3750</v>
      </c>
      <c r="AE142" s="10">
        <f t="shared" si="102"/>
        <v>3750</v>
      </c>
      <c r="AF142" s="10">
        <f t="shared" si="102"/>
        <v>3750</v>
      </c>
      <c r="AG142" s="33">
        <f t="shared" si="102"/>
        <v>3750</v>
      </c>
    </row>
    <row r="143" spans="2:33" x14ac:dyDescent="0.2">
      <c r="C143" t="s">
        <v>85</v>
      </c>
      <c r="D143" t="s">
        <v>86</v>
      </c>
      <c r="E143" s="64">
        <f>_xlfn.XLOOKUP($C143,'Corporate Roster - ''24'!$C$6:$C$60,'Corporate Roster - ''24'!$E$6:$E$60)</f>
        <v>42458</v>
      </c>
      <c r="F143" s="64" t="str">
        <f>_xlfn.XLOOKUP($C143,'Corporate Roster - ''24'!$C$6:$C$60,'Corporate Roster - ''24'!$F$6:$F$60)</f>
        <v>-</v>
      </c>
      <c r="G143" s="32">
        <f>(MROUND(H143*0.95,1000))</f>
        <v>34000</v>
      </c>
      <c r="H143" s="33">
        <f>_xlfn.XLOOKUP($C143,'Corporate Roster - ''24'!$C$6:$C$60,'Corporate Roster - ''24'!$J$6:$J$60)</f>
        <v>36000</v>
      </c>
      <c r="J143" s="32">
        <f t="shared" ref="J143:U143" si="103">J17/$G17*$G143</f>
        <v>2833.333333333333</v>
      </c>
      <c r="K143" s="10">
        <f t="shared" si="103"/>
        <v>2833.333333333333</v>
      </c>
      <c r="L143" s="10">
        <f t="shared" si="103"/>
        <v>2833.333333333333</v>
      </c>
      <c r="M143" s="10">
        <f t="shared" si="103"/>
        <v>2833.333333333333</v>
      </c>
      <c r="N143" s="10">
        <f t="shared" si="103"/>
        <v>2833.333333333333</v>
      </c>
      <c r="O143" s="10">
        <f t="shared" si="103"/>
        <v>2833.333333333333</v>
      </c>
      <c r="P143" s="10">
        <f t="shared" si="103"/>
        <v>2833.333333333333</v>
      </c>
      <c r="Q143" s="10">
        <f t="shared" si="103"/>
        <v>2833.333333333333</v>
      </c>
      <c r="R143" s="10">
        <f t="shared" si="103"/>
        <v>2833.333333333333</v>
      </c>
      <c r="S143" s="10">
        <f t="shared" si="103"/>
        <v>2833.333333333333</v>
      </c>
      <c r="T143" s="10">
        <f t="shared" si="103"/>
        <v>2833.333333333333</v>
      </c>
      <c r="U143" s="33">
        <f t="shared" si="103"/>
        <v>2833.333333333333</v>
      </c>
      <c r="V143" s="10">
        <f t="shared" ref="V143:AG143" si="104">V17/$H17*$H143</f>
        <v>3000</v>
      </c>
      <c r="W143" s="10">
        <f t="shared" si="104"/>
        <v>3000</v>
      </c>
      <c r="X143" s="10">
        <f t="shared" si="104"/>
        <v>3000</v>
      </c>
      <c r="Y143" s="10">
        <f t="shared" si="104"/>
        <v>3000</v>
      </c>
      <c r="Z143" s="10">
        <f t="shared" si="104"/>
        <v>3000</v>
      </c>
      <c r="AA143" s="10">
        <f t="shared" si="104"/>
        <v>3000</v>
      </c>
      <c r="AB143" s="10">
        <f t="shared" si="104"/>
        <v>3000</v>
      </c>
      <c r="AC143" s="10">
        <f t="shared" si="104"/>
        <v>3000</v>
      </c>
      <c r="AD143" s="10">
        <f t="shared" si="104"/>
        <v>3000</v>
      </c>
      <c r="AE143" s="10">
        <f t="shared" si="104"/>
        <v>3000</v>
      </c>
      <c r="AF143" s="10">
        <f t="shared" si="104"/>
        <v>3000</v>
      </c>
      <c r="AG143" s="33">
        <f t="shared" si="104"/>
        <v>3000</v>
      </c>
    </row>
    <row r="144" spans="2:33" x14ac:dyDescent="0.2">
      <c r="C144" t="s">
        <v>87</v>
      </c>
      <c r="D144" t="s">
        <v>88</v>
      </c>
      <c r="E144" s="64">
        <f>_xlfn.XLOOKUP($C144,'Corporate Roster - ''24'!$C$6:$C$60,'Corporate Roster - ''24'!$E$6:$E$60)</f>
        <v>41921</v>
      </c>
      <c r="F144" s="64" t="str">
        <f>_xlfn.XLOOKUP($C144,'Corporate Roster - ''24'!$C$6:$C$60,'Corporate Roster - ''24'!$F$6:$F$60)</f>
        <v>-</v>
      </c>
      <c r="G144" s="32">
        <f t="shared" si="92"/>
        <v>39000</v>
      </c>
      <c r="H144" s="33">
        <f>_xlfn.XLOOKUP($C144,'Corporate Roster - ''24'!$C$6:$C$60,'Corporate Roster - ''24'!$J$6:$J$60)</f>
        <v>39000</v>
      </c>
      <c r="J144" s="32">
        <f t="shared" ref="J144:U144" si="105">J18/$G18*$G144</f>
        <v>3250.0000000000005</v>
      </c>
      <c r="K144" s="10">
        <f t="shared" si="105"/>
        <v>3250.0000000000005</v>
      </c>
      <c r="L144" s="10">
        <f t="shared" si="105"/>
        <v>3250.0000000000005</v>
      </c>
      <c r="M144" s="10">
        <f t="shared" si="105"/>
        <v>3250.0000000000005</v>
      </c>
      <c r="N144" s="10">
        <f t="shared" si="105"/>
        <v>3250.0000000000005</v>
      </c>
      <c r="O144" s="10">
        <f t="shared" si="105"/>
        <v>3250.0000000000005</v>
      </c>
      <c r="P144" s="10">
        <f t="shared" si="105"/>
        <v>3250.0000000000005</v>
      </c>
      <c r="Q144" s="10">
        <f t="shared" si="105"/>
        <v>3250.0000000000005</v>
      </c>
      <c r="R144" s="10">
        <f t="shared" si="105"/>
        <v>3250.0000000000005</v>
      </c>
      <c r="S144" s="10">
        <f t="shared" si="105"/>
        <v>3250.0000000000005</v>
      </c>
      <c r="T144" s="10">
        <f t="shared" si="105"/>
        <v>3250.0000000000005</v>
      </c>
      <c r="U144" s="33">
        <f t="shared" si="105"/>
        <v>3250.0000000000005</v>
      </c>
      <c r="V144" s="10">
        <f t="shared" ref="V144:AG144" si="106">V18/$H18*$H144</f>
        <v>3250.0000000000005</v>
      </c>
      <c r="W144" s="10">
        <f t="shared" si="106"/>
        <v>3250.0000000000005</v>
      </c>
      <c r="X144" s="10">
        <f t="shared" si="106"/>
        <v>3250.0000000000005</v>
      </c>
      <c r="Y144" s="10">
        <f t="shared" si="106"/>
        <v>3250.0000000000005</v>
      </c>
      <c r="Z144" s="10">
        <f t="shared" si="106"/>
        <v>3250.0000000000005</v>
      </c>
      <c r="AA144" s="10">
        <f t="shared" si="106"/>
        <v>3250.0000000000005</v>
      </c>
      <c r="AB144" s="10">
        <f t="shared" si="106"/>
        <v>3250.0000000000005</v>
      </c>
      <c r="AC144" s="10">
        <f t="shared" si="106"/>
        <v>3250.0000000000005</v>
      </c>
      <c r="AD144" s="10">
        <f t="shared" si="106"/>
        <v>3250.0000000000005</v>
      </c>
      <c r="AE144" s="10">
        <f t="shared" si="106"/>
        <v>3250.0000000000005</v>
      </c>
      <c r="AF144" s="10">
        <f t="shared" si="106"/>
        <v>3250.0000000000005</v>
      </c>
      <c r="AG144" s="33">
        <f t="shared" si="106"/>
        <v>3250.0000000000005</v>
      </c>
    </row>
    <row r="145" spans="3:33" x14ac:dyDescent="0.2">
      <c r="C145" t="s">
        <v>89</v>
      </c>
      <c r="D145" t="s">
        <v>90</v>
      </c>
      <c r="E145" s="64">
        <f>_xlfn.XLOOKUP($C145,'Corporate Roster - ''24'!$C$6:$C$60,'Corporate Roster - ''24'!$E$6:$E$60)</f>
        <v>40143</v>
      </c>
      <c r="F145" s="64" t="str">
        <f>_xlfn.XLOOKUP($C145,'Corporate Roster - ''24'!$C$6:$C$60,'Corporate Roster - ''24'!$F$6:$F$60)</f>
        <v>-</v>
      </c>
      <c r="G145" s="32">
        <f>(MROUND(H145*0.95,1000))</f>
        <v>37000</v>
      </c>
      <c r="H145" s="33">
        <f>_xlfn.XLOOKUP($C145,'Corporate Roster - ''24'!$C$6:$C$60,'Corporate Roster - ''24'!$J$6:$J$60)</f>
        <v>39000</v>
      </c>
      <c r="J145" s="32">
        <f t="shared" ref="J145:U145" si="107">J19/$G19*$G145</f>
        <v>3083.333333333333</v>
      </c>
      <c r="K145" s="10">
        <f t="shared" si="107"/>
        <v>3083.333333333333</v>
      </c>
      <c r="L145" s="10">
        <f t="shared" si="107"/>
        <v>3083.333333333333</v>
      </c>
      <c r="M145" s="10">
        <f t="shared" si="107"/>
        <v>3083.333333333333</v>
      </c>
      <c r="N145" s="10">
        <f t="shared" si="107"/>
        <v>3083.333333333333</v>
      </c>
      <c r="O145" s="10">
        <f t="shared" si="107"/>
        <v>3083.333333333333</v>
      </c>
      <c r="P145" s="10">
        <f t="shared" si="107"/>
        <v>3083.333333333333</v>
      </c>
      <c r="Q145" s="10">
        <f t="shared" si="107"/>
        <v>3083.333333333333</v>
      </c>
      <c r="R145" s="10">
        <f t="shared" si="107"/>
        <v>3083.333333333333</v>
      </c>
      <c r="S145" s="10">
        <f t="shared" si="107"/>
        <v>3083.333333333333</v>
      </c>
      <c r="T145" s="10">
        <f t="shared" si="107"/>
        <v>3083.333333333333</v>
      </c>
      <c r="U145" s="33">
        <f t="shared" si="107"/>
        <v>3083.333333333333</v>
      </c>
      <c r="V145" s="10">
        <f t="shared" ref="V145:AG145" si="108">V19/$H19*$H145</f>
        <v>3250.0000000000005</v>
      </c>
      <c r="W145" s="10">
        <f t="shared" si="108"/>
        <v>3250.0000000000005</v>
      </c>
      <c r="X145" s="10">
        <f t="shared" si="108"/>
        <v>3250.0000000000005</v>
      </c>
      <c r="Y145" s="10">
        <f t="shared" si="108"/>
        <v>3250.0000000000005</v>
      </c>
      <c r="Z145" s="10">
        <f t="shared" si="108"/>
        <v>3250.0000000000005</v>
      </c>
      <c r="AA145" s="10">
        <f t="shared" si="108"/>
        <v>3250.0000000000005</v>
      </c>
      <c r="AB145" s="10">
        <f t="shared" si="108"/>
        <v>3250.0000000000005</v>
      </c>
      <c r="AC145" s="10">
        <f t="shared" si="108"/>
        <v>3250.0000000000005</v>
      </c>
      <c r="AD145" s="10">
        <f t="shared" si="108"/>
        <v>3250.0000000000005</v>
      </c>
      <c r="AE145" s="10">
        <f t="shared" si="108"/>
        <v>3250.0000000000005</v>
      </c>
      <c r="AF145" s="10">
        <f t="shared" si="108"/>
        <v>3250.0000000000005</v>
      </c>
      <c r="AG145" s="33">
        <f t="shared" si="108"/>
        <v>3250.0000000000005</v>
      </c>
    </row>
    <row r="146" spans="3:33" x14ac:dyDescent="0.2">
      <c r="C146" t="s">
        <v>81</v>
      </c>
      <c r="D146" t="s">
        <v>91</v>
      </c>
      <c r="E146" s="64">
        <f>_xlfn.XLOOKUP($C146,'Corporate Roster - ''24'!$C$6:$C$60,'Corporate Roster - ''24'!$E$6:$E$60)</f>
        <v>40811</v>
      </c>
      <c r="F146" s="64" t="str">
        <f>_xlfn.XLOOKUP($C146,'Corporate Roster - ''24'!$C$6:$C$60,'Corporate Roster - ''24'!$F$6:$F$60)</f>
        <v>-</v>
      </c>
      <c r="G146" s="32">
        <f t="shared" si="92"/>
        <v>33000</v>
      </c>
      <c r="H146" s="33">
        <f>_xlfn.XLOOKUP($C146,'Corporate Roster - ''24'!$C$6:$C$60,'Corporate Roster - ''24'!$J$6:$J$60)</f>
        <v>33000</v>
      </c>
      <c r="J146" s="32">
        <f t="shared" ref="J146:U146" si="109">J20/$G20*$G146</f>
        <v>2750</v>
      </c>
      <c r="K146" s="10">
        <f t="shared" si="109"/>
        <v>2750</v>
      </c>
      <c r="L146" s="10">
        <f t="shared" si="109"/>
        <v>2750</v>
      </c>
      <c r="M146" s="10">
        <f t="shared" si="109"/>
        <v>2750</v>
      </c>
      <c r="N146" s="10">
        <f t="shared" si="109"/>
        <v>2750</v>
      </c>
      <c r="O146" s="10">
        <f t="shared" si="109"/>
        <v>2750</v>
      </c>
      <c r="P146" s="10">
        <f t="shared" si="109"/>
        <v>2750</v>
      </c>
      <c r="Q146" s="10">
        <f t="shared" si="109"/>
        <v>2750</v>
      </c>
      <c r="R146" s="10">
        <f t="shared" si="109"/>
        <v>2750</v>
      </c>
      <c r="S146" s="10">
        <f t="shared" si="109"/>
        <v>2750</v>
      </c>
      <c r="T146" s="10">
        <f t="shared" si="109"/>
        <v>2750</v>
      </c>
      <c r="U146" s="33">
        <f t="shared" si="109"/>
        <v>2750</v>
      </c>
      <c r="V146" s="10">
        <f t="shared" ref="V146:AG146" si="110">V20/$H20*$H146</f>
        <v>2750</v>
      </c>
      <c r="W146" s="10">
        <f t="shared" si="110"/>
        <v>2750</v>
      </c>
      <c r="X146" s="10">
        <f t="shared" si="110"/>
        <v>2750</v>
      </c>
      <c r="Y146" s="10">
        <f t="shared" si="110"/>
        <v>2750</v>
      </c>
      <c r="Z146" s="10">
        <f t="shared" si="110"/>
        <v>2750</v>
      </c>
      <c r="AA146" s="10">
        <f t="shared" si="110"/>
        <v>2750</v>
      </c>
      <c r="AB146" s="10">
        <f t="shared" si="110"/>
        <v>2750</v>
      </c>
      <c r="AC146" s="10">
        <f t="shared" si="110"/>
        <v>2750</v>
      </c>
      <c r="AD146" s="10">
        <f t="shared" si="110"/>
        <v>2750</v>
      </c>
      <c r="AE146" s="10">
        <f t="shared" si="110"/>
        <v>2750</v>
      </c>
      <c r="AF146" s="10">
        <f t="shared" si="110"/>
        <v>2750</v>
      </c>
      <c r="AG146" s="33">
        <f t="shared" si="110"/>
        <v>2750</v>
      </c>
    </row>
    <row r="147" spans="3:33" x14ac:dyDescent="0.2">
      <c r="C147" t="s">
        <v>92</v>
      </c>
      <c r="D147" t="s">
        <v>93</v>
      </c>
      <c r="E147" s="64">
        <f>_xlfn.XLOOKUP($C147,'Corporate Roster - ''24'!$C$6:$C$60,'Corporate Roster - ''24'!$E$6:$E$60)</f>
        <v>43400</v>
      </c>
      <c r="F147" s="64" t="str">
        <f>_xlfn.XLOOKUP($C147,'Corporate Roster - ''24'!$C$6:$C$60,'Corporate Roster - ''24'!$F$6:$F$60)</f>
        <v>-</v>
      </c>
      <c r="G147" s="32">
        <f>(MROUND(H147*0.8,1000))</f>
        <v>29000</v>
      </c>
      <c r="H147" s="33">
        <f>_xlfn.XLOOKUP($C147,'Corporate Roster - ''24'!$C$6:$C$60,'Corporate Roster - ''24'!$J$6:$J$60)</f>
        <v>36000</v>
      </c>
      <c r="J147" s="32">
        <f t="shared" ref="J147:U147" si="111">J21/$G21*$G147</f>
        <v>2416.6666666666665</v>
      </c>
      <c r="K147" s="10">
        <f t="shared" si="111"/>
        <v>2416.6666666666665</v>
      </c>
      <c r="L147" s="10">
        <f t="shared" si="111"/>
        <v>2416.6666666666665</v>
      </c>
      <c r="M147" s="10">
        <f t="shared" si="111"/>
        <v>2416.6666666666665</v>
      </c>
      <c r="N147" s="10">
        <f t="shared" si="111"/>
        <v>2416.6666666666665</v>
      </c>
      <c r="O147" s="10">
        <f t="shared" si="111"/>
        <v>2416.6666666666665</v>
      </c>
      <c r="P147" s="10">
        <f t="shared" si="111"/>
        <v>2416.6666666666665</v>
      </c>
      <c r="Q147" s="10">
        <f t="shared" si="111"/>
        <v>2416.6666666666665</v>
      </c>
      <c r="R147" s="10">
        <f t="shared" si="111"/>
        <v>2416.6666666666665</v>
      </c>
      <c r="S147" s="10">
        <f t="shared" si="111"/>
        <v>2416.6666666666665</v>
      </c>
      <c r="T147" s="10">
        <f t="shared" si="111"/>
        <v>2416.6666666666665</v>
      </c>
      <c r="U147" s="33">
        <f t="shared" si="111"/>
        <v>2416.6666666666665</v>
      </c>
      <c r="V147" s="10">
        <f t="shared" ref="V147:AG147" si="112">V21/$H21*$H147</f>
        <v>3000</v>
      </c>
      <c r="W147" s="10">
        <f t="shared" si="112"/>
        <v>3000</v>
      </c>
      <c r="X147" s="10">
        <f t="shared" si="112"/>
        <v>3000</v>
      </c>
      <c r="Y147" s="10">
        <f t="shared" si="112"/>
        <v>3000</v>
      </c>
      <c r="Z147" s="10">
        <f t="shared" si="112"/>
        <v>3000</v>
      </c>
      <c r="AA147" s="10">
        <f t="shared" si="112"/>
        <v>3000</v>
      </c>
      <c r="AB147" s="10">
        <f t="shared" si="112"/>
        <v>3000</v>
      </c>
      <c r="AC147" s="10">
        <f t="shared" si="112"/>
        <v>3000</v>
      </c>
      <c r="AD147" s="10">
        <f t="shared" si="112"/>
        <v>3000</v>
      </c>
      <c r="AE147" s="10">
        <f t="shared" si="112"/>
        <v>3000</v>
      </c>
      <c r="AF147" s="10">
        <f t="shared" si="112"/>
        <v>3000</v>
      </c>
      <c r="AG147" s="33">
        <f t="shared" si="112"/>
        <v>3000</v>
      </c>
    </row>
    <row r="148" spans="3:33" x14ac:dyDescent="0.2">
      <c r="C148" t="s">
        <v>94</v>
      </c>
      <c r="D148" t="s">
        <v>95</v>
      </c>
      <c r="E148" s="64">
        <f>_xlfn.XLOOKUP($C148,'Corporate Roster - ''24'!$C$6:$C$60,'Corporate Roster - ''24'!$E$6:$E$60)</f>
        <v>40031</v>
      </c>
      <c r="F148" s="64" t="str">
        <f>_xlfn.XLOOKUP($C148,'Corporate Roster - ''24'!$C$6:$C$60,'Corporate Roster - ''24'!$F$6:$F$60)</f>
        <v>-</v>
      </c>
      <c r="G148" s="32">
        <f t="shared" si="92"/>
        <v>42000</v>
      </c>
      <c r="H148" s="33">
        <f>_xlfn.XLOOKUP($C148,'Corporate Roster - ''24'!$C$6:$C$60,'Corporate Roster - ''24'!$J$6:$J$60)</f>
        <v>42000</v>
      </c>
      <c r="J148" s="32">
        <f t="shared" ref="J148:U148" si="113">J22/$G22*$G148</f>
        <v>3500.0000000000005</v>
      </c>
      <c r="K148" s="10">
        <f t="shared" si="113"/>
        <v>3500.0000000000005</v>
      </c>
      <c r="L148" s="10">
        <f t="shared" si="113"/>
        <v>3500.0000000000005</v>
      </c>
      <c r="M148" s="10">
        <f t="shared" si="113"/>
        <v>3500.0000000000005</v>
      </c>
      <c r="N148" s="10">
        <f t="shared" si="113"/>
        <v>3500.0000000000005</v>
      </c>
      <c r="O148" s="10">
        <f t="shared" si="113"/>
        <v>3500.0000000000005</v>
      </c>
      <c r="P148" s="10">
        <f t="shared" si="113"/>
        <v>3500.0000000000005</v>
      </c>
      <c r="Q148" s="10">
        <f t="shared" si="113"/>
        <v>3500.0000000000005</v>
      </c>
      <c r="R148" s="10">
        <f t="shared" si="113"/>
        <v>3500.0000000000005</v>
      </c>
      <c r="S148" s="10">
        <f t="shared" si="113"/>
        <v>3500.0000000000005</v>
      </c>
      <c r="T148" s="10">
        <f t="shared" si="113"/>
        <v>3500.0000000000005</v>
      </c>
      <c r="U148" s="33">
        <f t="shared" si="113"/>
        <v>3500.0000000000005</v>
      </c>
      <c r="V148" s="10">
        <f t="shared" ref="V148:AG148" si="114">V22/$H22*$H148</f>
        <v>3500</v>
      </c>
      <c r="W148" s="10">
        <f t="shared" si="114"/>
        <v>3500</v>
      </c>
      <c r="X148" s="10">
        <f t="shared" si="114"/>
        <v>3500</v>
      </c>
      <c r="Y148" s="10">
        <f t="shared" si="114"/>
        <v>3500</v>
      </c>
      <c r="Z148" s="10">
        <f t="shared" si="114"/>
        <v>3500</v>
      </c>
      <c r="AA148" s="10">
        <f t="shared" si="114"/>
        <v>3500</v>
      </c>
      <c r="AB148" s="10">
        <f t="shared" si="114"/>
        <v>3500</v>
      </c>
      <c r="AC148" s="10">
        <f t="shared" si="114"/>
        <v>3500</v>
      </c>
      <c r="AD148" s="10">
        <f t="shared" si="114"/>
        <v>3500</v>
      </c>
      <c r="AE148" s="10">
        <f t="shared" si="114"/>
        <v>3500</v>
      </c>
      <c r="AF148" s="10">
        <f t="shared" si="114"/>
        <v>3500</v>
      </c>
      <c r="AG148" s="33">
        <f t="shared" si="114"/>
        <v>3500</v>
      </c>
    </row>
    <row r="149" spans="3:33" x14ac:dyDescent="0.2">
      <c r="C149" t="s">
        <v>96</v>
      </c>
      <c r="D149" t="s">
        <v>97</v>
      </c>
      <c r="E149" s="64">
        <f>_xlfn.XLOOKUP($C149,'Corporate Roster - ''24'!$C$6:$C$60,'Corporate Roster - ''24'!$E$6:$E$60)</f>
        <v>44978</v>
      </c>
      <c r="F149" s="64" t="str">
        <f>_xlfn.XLOOKUP($C149,'Corporate Roster - ''24'!$C$6:$C$60,'Corporate Roster - ''24'!$F$6:$F$60)</f>
        <v>-</v>
      </c>
      <c r="G149" s="32">
        <f t="shared" si="92"/>
        <v>30000</v>
      </c>
      <c r="H149" s="33">
        <f>_xlfn.XLOOKUP($C149,'Corporate Roster - ''24'!$C$6:$C$60,'Corporate Roster - ''24'!$J$6:$J$60)</f>
        <v>30000</v>
      </c>
      <c r="J149" s="32">
        <f t="shared" ref="J149:U149" si="115">J23/$G23*$G149</f>
        <v>0</v>
      </c>
      <c r="K149" s="10">
        <f t="shared" si="115"/>
        <v>2500.0000000000005</v>
      </c>
      <c r="L149" s="10">
        <f t="shared" si="115"/>
        <v>2500.0000000000005</v>
      </c>
      <c r="M149" s="10">
        <f t="shared" si="115"/>
        <v>2500.0000000000005</v>
      </c>
      <c r="N149" s="10">
        <f t="shared" si="115"/>
        <v>2500.0000000000005</v>
      </c>
      <c r="O149" s="10">
        <f t="shared" si="115"/>
        <v>2500.0000000000005</v>
      </c>
      <c r="P149" s="10">
        <f t="shared" si="115"/>
        <v>2500.0000000000005</v>
      </c>
      <c r="Q149" s="10">
        <f t="shared" si="115"/>
        <v>2500.0000000000005</v>
      </c>
      <c r="R149" s="10">
        <f t="shared" si="115"/>
        <v>2500.0000000000005</v>
      </c>
      <c r="S149" s="10">
        <f t="shared" si="115"/>
        <v>2500.0000000000005</v>
      </c>
      <c r="T149" s="10">
        <f t="shared" si="115"/>
        <v>2500.0000000000005</v>
      </c>
      <c r="U149" s="33">
        <f t="shared" si="115"/>
        <v>2500.0000000000005</v>
      </c>
      <c r="V149" s="10">
        <f t="shared" ref="V149:AG149" si="116">V23/$H23*$H149</f>
        <v>2500.0000000000005</v>
      </c>
      <c r="W149" s="10">
        <f t="shared" si="116"/>
        <v>2500.0000000000005</v>
      </c>
      <c r="X149" s="10">
        <f t="shared" si="116"/>
        <v>2500.0000000000005</v>
      </c>
      <c r="Y149" s="10">
        <f t="shared" si="116"/>
        <v>2500.0000000000005</v>
      </c>
      <c r="Z149" s="10">
        <f t="shared" si="116"/>
        <v>2500.0000000000005</v>
      </c>
      <c r="AA149" s="10">
        <f t="shared" si="116"/>
        <v>2500.0000000000005</v>
      </c>
      <c r="AB149" s="10">
        <f t="shared" si="116"/>
        <v>2500.0000000000005</v>
      </c>
      <c r="AC149" s="10">
        <f t="shared" si="116"/>
        <v>2500.0000000000005</v>
      </c>
      <c r="AD149" s="10">
        <f t="shared" si="116"/>
        <v>2500.0000000000005</v>
      </c>
      <c r="AE149" s="10">
        <f t="shared" si="116"/>
        <v>2500.0000000000005</v>
      </c>
      <c r="AF149" s="10">
        <f t="shared" si="116"/>
        <v>2500.0000000000005</v>
      </c>
      <c r="AG149" s="33">
        <f t="shared" si="116"/>
        <v>2500.0000000000005</v>
      </c>
    </row>
    <row r="150" spans="3:33" x14ac:dyDescent="0.2">
      <c r="C150" t="s">
        <v>98</v>
      </c>
      <c r="D150" t="s">
        <v>99</v>
      </c>
      <c r="E150" s="64">
        <f>_xlfn.XLOOKUP($C150,'Corporate Roster - ''24'!$C$6:$C$60,'Corporate Roster - ''24'!$E$6:$E$60)</f>
        <v>41398</v>
      </c>
      <c r="F150" s="64" t="str">
        <f>_xlfn.XLOOKUP($C150,'Corporate Roster - ''24'!$C$6:$C$60,'Corporate Roster - ''24'!$F$6:$F$60)</f>
        <v>-</v>
      </c>
      <c r="G150" s="32">
        <f>(MROUND(H150*0.95,1000))</f>
        <v>23000</v>
      </c>
      <c r="H150" s="33">
        <f>_xlfn.XLOOKUP($C150,'Corporate Roster - ''24'!$C$6:$C$60,'Corporate Roster - ''24'!$J$6:$J$60)</f>
        <v>24000</v>
      </c>
      <c r="J150" s="32">
        <f t="shared" ref="J150:U150" si="117">J24/$G24*$G150</f>
        <v>1916.6666666666665</v>
      </c>
      <c r="K150" s="10">
        <f t="shared" si="117"/>
        <v>1916.6666666666665</v>
      </c>
      <c r="L150" s="10">
        <f t="shared" si="117"/>
        <v>1916.6666666666665</v>
      </c>
      <c r="M150" s="10">
        <f t="shared" si="117"/>
        <v>1916.6666666666665</v>
      </c>
      <c r="N150" s="10">
        <f t="shared" si="117"/>
        <v>1916.6666666666665</v>
      </c>
      <c r="O150" s="10">
        <f t="shared" si="117"/>
        <v>1916.6666666666665</v>
      </c>
      <c r="P150" s="10">
        <f t="shared" si="117"/>
        <v>1916.6666666666665</v>
      </c>
      <c r="Q150" s="10">
        <f t="shared" si="117"/>
        <v>1916.6666666666665</v>
      </c>
      <c r="R150" s="10">
        <f t="shared" si="117"/>
        <v>1916.6666666666665</v>
      </c>
      <c r="S150" s="10">
        <f t="shared" si="117"/>
        <v>1916.6666666666665</v>
      </c>
      <c r="T150" s="10">
        <f t="shared" si="117"/>
        <v>1916.6666666666665</v>
      </c>
      <c r="U150" s="33">
        <f t="shared" si="117"/>
        <v>1916.6666666666665</v>
      </c>
      <c r="V150" s="10">
        <f t="shared" ref="V150:AG150" si="118">V24/$H24*$H150</f>
        <v>2000.0000000000002</v>
      </c>
      <c r="W150" s="10">
        <f t="shared" si="118"/>
        <v>2000.0000000000002</v>
      </c>
      <c r="X150" s="10">
        <f t="shared" si="118"/>
        <v>2000.0000000000002</v>
      </c>
      <c r="Y150" s="10">
        <f t="shared" si="118"/>
        <v>2000.0000000000002</v>
      </c>
      <c r="Z150" s="10">
        <f t="shared" si="118"/>
        <v>2000.0000000000002</v>
      </c>
      <c r="AA150" s="10">
        <f t="shared" si="118"/>
        <v>2000.0000000000002</v>
      </c>
      <c r="AB150" s="10">
        <f t="shared" si="118"/>
        <v>2000.0000000000002</v>
      </c>
      <c r="AC150" s="10">
        <f t="shared" si="118"/>
        <v>2000.0000000000002</v>
      </c>
      <c r="AD150" s="10">
        <f t="shared" si="118"/>
        <v>2000.0000000000002</v>
      </c>
      <c r="AE150" s="10">
        <f t="shared" si="118"/>
        <v>2000.0000000000002</v>
      </c>
      <c r="AF150" s="10">
        <f t="shared" si="118"/>
        <v>2000.0000000000002</v>
      </c>
      <c r="AG150" s="33">
        <f t="shared" si="118"/>
        <v>2000.0000000000002</v>
      </c>
    </row>
    <row r="151" spans="3:33" x14ac:dyDescent="0.2">
      <c r="C151" t="s">
        <v>100</v>
      </c>
      <c r="D151" t="s">
        <v>101</v>
      </c>
      <c r="E151" s="64">
        <f>_xlfn.XLOOKUP($C151,'Corporate Roster - ''24'!$C$6:$C$60,'Corporate Roster - ''24'!$E$6:$E$60)</f>
        <v>40362</v>
      </c>
      <c r="F151" s="64" t="str">
        <f>_xlfn.XLOOKUP($C151,'Corporate Roster - ''24'!$C$6:$C$60,'Corporate Roster - ''24'!$F$6:$F$60)</f>
        <v>-</v>
      </c>
      <c r="G151" s="32">
        <f t="shared" si="92"/>
        <v>22500</v>
      </c>
      <c r="H151" s="33">
        <f>_xlfn.XLOOKUP($C151,'Corporate Roster - ''24'!$C$6:$C$60,'Corporate Roster - ''24'!$J$6:$J$60)</f>
        <v>22500</v>
      </c>
      <c r="J151" s="32">
        <f t="shared" ref="J151:U151" si="119">J25/$G25*$G151</f>
        <v>1875</v>
      </c>
      <c r="K151" s="10">
        <f t="shared" si="119"/>
        <v>1875</v>
      </c>
      <c r="L151" s="10">
        <f t="shared" si="119"/>
        <v>1875</v>
      </c>
      <c r="M151" s="10">
        <f t="shared" si="119"/>
        <v>1875</v>
      </c>
      <c r="N151" s="10">
        <f t="shared" si="119"/>
        <v>1875</v>
      </c>
      <c r="O151" s="10">
        <f t="shared" si="119"/>
        <v>1875</v>
      </c>
      <c r="P151" s="10">
        <f t="shared" si="119"/>
        <v>1875</v>
      </c>
      <c r="Q151" s="10">
        <f t="shared" si="119"/>
        <v>1875</v>
      </c>
      <c r="R151" s="10">
        <f t="shared" si="119"/>
        <v>1875</v>
      </c>
      <c r="S151" s="10">
        <f t="shared" si="119"/>
        <v>1875</v>
      </c>
      <c r="T151" s="10">
        <f t="shared" si="119"/>
        <v>1875</v>
      </c>
      <c r="U151" s="33">
        <f t="shared" si="119"/>
        <v>1875</v>
      </c>
      <c r="V151" s="10">
        <f t="shared" ref="V151:AG151" si="120">V25/$H25*$H151</f>
        <v>1875</v>
      </c>
      <c r="W151" s="10">
        <f t="shared" si="120"/>
        <v>1875</v>
      </c>
      <c r="X151" s="10">
        <f t="shared" si="120"/>
        <v>1875</v>
      </c>
      <c r="Y151" s="10">
        <f t="shared" si="120"/>
        <v>1875</v>
      </c>
      <c r="Z151" s="10">
        <f t="shared" si="120"/>
        <v>1875</v>
      </c>
      <c r="AA151" s="10">
        <f t="shared" si="120"/>
        <v>1875</v>
      </c>
      <c r="AB151" s="10">
        <f t="shared" si="120"/>
        <v>1875</v>
      </c>
      <c r="AC151" s="10">
        <f t="shared" si="120"/>
        <v>1875</v>
      </c>
      <c r="AD151" s="10">
        <f t="shared" si="120"/>
        <v>1875</v>
      </c>
      <c r="AE151" s="10">
        <f t="shared" si="120"/>
        <v>1875</v>
      </c>
      <c r="AF151" s="10">
        <f t="shared" si="120"/>
        <v>1875</v>
      </c>
      <c r="AG151" s="33">
        <f t="shared" si="120"/>
        <v>1875</v>
      </c>
    </row>
    <row r="152" spans="3:33" x14ac:dyDescent="0.2">
      <c r="C152" t="s">
        <v>102</v>
      </c>
      <c r="D152" t="s">
        <v>103</v>
      </c>
      <c r="E152" s="64">
        <f>_xlfn.XLOOKUP($C152,'Corporate Roster - ''24'!$C$6:$C$60,'Corporate Roster - ''24'!$E$6:$E$60)</f>
        <v>45063</v>
      </c>
      <c r="F152" s="64" t="str">
        <f>_xlfn.XLOOKUP($C152,'Corporate Roster - ''24'!$C$6:$C$60,'Corporate Roster - ''24'!$F$6:$F$60)</f>
        <v>-</v>
      </c>
      <c r="G152" s="32">
        <f t="shared" si="92"/>
        <v>25500</v>
      </c>
      <c r="H152" s="33">
        <f>_xlfn.XLOOKUP($C152,'Corporate Roster - ''24'!$C$6:$C$60,'Corporate Roster - ''24'!$J$6:$J$60)</f>
        <v>25500</v>
      </c>
      <c r="J152" s="32">
        <f t="shared" ref="J152:U152" si="121">J26/$G26*$G152</f>
        <v>0</v>
      </c>
      <c r="K152" s="10">
        <f t="shared" si="121"/>
        <v>0</v>
      </c>
      <c r="L152" s="10">
        <f t="shared" si="121"/>
        <v>0</v>
      </c>
      <c r="M152" s="10">
        <f t="shared" si="121"/>
        <v>0</v>
      </c>
      <c r="N152" s="10">
        <f t="shared" si="121"/>
        <v>2125</v>
      </c>
      <c r="O152" s="10">
        <f t="shared" si="121"/>
        <v>2125</v>
      </c>
      <c r="P152" s="10">
        <f t="shared" si="121"/>
        <v>2125</v>
      </c>
      <c r="Q152" s="10">
        <f t="shared" si="121"/>
        <v>2125</v>
      </c>
      <c r="R152" s="10">
        <f t="shared" si="121"/>
        <v>2125</v>
      </c>
      <c r="S152" s="10">
        <f t="shared" si="121"/>
        <v>2125</v>
      </c>
      <c r="T152" s="10">
        <f t="shared" si="121"/>
        <v>2125</v>
      </c>
      <c r="U152" s="33">
        <f t="shared" si="121"/>
        <v>2125</v>
      </c>
      <c r="V152" s="10">
        <f t="shared" ref="V152:AG152" si="122">V26/$H26*$H152</f>
        <v>2125</v>
      </c>
      <c r="W152" s="10">
        <f t="shared" si="122"/>
        <v>2125</v>
      </c>
      <c r="X152" s="10">
        <f t="shared" si="122"/>
        <v>2125</v>
      </c>
      <c r="Y152" s="10">
        <f t="shared" si="122"/>
        <v>2125</v>
      </c>
      <c r="Z152" s="10">
        <f t="shared" si="122"/>
        <v>2125</v>
      </c>
      <c r="AA152" s="10">
        <f t="shared" si="122"/>
        <v>2125</v>
      </c>
      <c r="AB152" s="10">
        <f t="shared" si="122"/>
        <v>2125</v>
      </c>
      <c r="AC152" s="10">
        <f t="shared" si="122"/>
        <v>2125</v>
      </c>
      <c r="AD152" s="10">
        <f t="shared" si="122"/>
        <v>2125</v>
      </c>
      <c r="AE152" s="10">
        <f t="shared" si="122"/>
        <v>2125</v>
      </c>
      <c r="AF152" s="10">
        <f t="shared" si="122"/>
        <v>2125</v>
      </c>
      <c r="AG152" s="33">
        <f t="shared" si="122"/>
        <v>2125</v>
      </c>
    </row>
    <row r="153" spans="3:33" x14ac:dyDescent="0.2">
      <c r="C153" t="s">
        <v>104</v>
      </c>
      <c r="D153" t="s">
        <v>105</v>
      </c>
      <c r="E153" s="64">
        <f>_xlfn.XLOOKUP($C153,'Corporate Roster - ''24'!$C$6:$C$60,'Corporate Roster - ''24'!$E$6:$E$60)</f>
        <v>44169</v>
      </c>
      <c r="F153" s="64" t="str">
        <f>_xlfn.XLOOKUP($C153,'Corporate Roster - ''24'!$C$6:$C$60,'Corporate Roster - ''24'!$F$6:$F$60)</f>
        <v>-</v>
      </c>
      <c r="G153" s="32">
        <f t="shared" si="92"/>
        <v>18000</v>
      </c>
      <c r="H153" s="33">
        <f>_xlfn.XLOOKUP($C153,'Corporate Roster - ''24'!$C$6:$C$60,'Corporate Roster - ''24'!$J$6:$J$60)</f>
        <v>18000</v>
      </c>
      <c r="J153" s="32">
        <f t="shared" ref="J153:U153" si="123">J27/$G27*$G153</f>
        <v>1500</v>
      </c>
      <c r="K153" s="10">
        <f t="shared" si="123"/>
        <v>1500</v>
      </c>
      <c r="L153" s="10">
        <f t="shared" si="123"/>
        <v>1500</v>
      </c>
      <c r="M153" s="10">
        <f t="shared" si="123"/>
        <v>1500</v>
      </c>
      <c r="N153" s="10">
        <f t="shared" si="123"/>
        <v>1500</v>
      </c>
      <c r="O153" s="10">
        <f t="shared" si="123"/>
        <v>1500</v>
      </c>
      <c r="P153" s="10">
        <f t="shared" si="123"/>
        <v>1500</v>
      </c>
      <c r="Q153" s="10">
        <f t="shared" si="123"/>
        <v>1500</v>
      </c>
      <c r="R153" s="10">
        <f t="shared" si="123"/>
        <v>1500</v>
      </c>
      <c r="S153" s="10">
        <f t="shared" si="123"/>
        <v>1500</v>
      </c>
      <c r="T153" s="10">
        <f t="shared" si="123"/>
        <v>1500</v>
      </c>
      <c r="U153" s="33">
        <f t="shared" si="123"/>
        <v>1500</v>
      </c>
      <c r="V153" s="10">
        <f t="shared" ref="V153:AG153" si="124">V27/$H27*$H153</f>
        <v>1500</v>
      </c>
      <c r="W153" s="10">
        <f t="shared" si="124"/>
        <v>1500</v>
      </c>
      <c r="X153" s="10">
        <f t="shared" si="124"/>
        <v>1500</v>
      </c>
      <c r="Y153" s="10">
        <f t="shared" si="124"/>
        <v>1500</v>
      </c>
      <c r="Z153" s="10">
        <f t="shared" si="124"/>
        <v>1500</v>
      </c>
      <c r="AA153" s="10">
        <f t="shared" si="124"/>
        <v>1500</v>
      </c>
      <c r="AB153" s="10">
        <f t="shared" si="124"/>
        <v>1500</v>
      </c>
      <c r="AC153" s="10">
        <f t="shared" si="124"/>
        <v>1500</v>
      </c>
      <c r="AD153" s="10">
        <f t="shared" si="124"/>
        <v>1500</v>
      </c>
      <c r="AE153" s="10">
        <f t="shared" si="124"/>
        <v>1500</v>
      </c>
      <c r="AF153" s="10">
        <f t="shared" si="124"/>
        <v>1500</v>
      </c>
      <c r="AG153" s="33">
        <f t="shared" si="124"/>
        <v>1500</v>
      </c>
    </row>
    <row r="154" spans="3:33" x14ac:dyDescent="0.2">
      <c r="C154" t="s">
        <v>148</v>
      </c>
      <c r="D154" t="s">
        <v>107</v>
      </c>
      <c r="E154" s="64">
        <f>_xlfn.XLOOKUP($C154,'Corporate Roster - ''24'!$C$6:$C$60,'Corporate Roster - ''24'!$E$6:$E$60)</f>
        <v>45017</v>
      </c>
      <c r="F154" s="64" t="str">
        <f>_xlfn.XLOOKUP($C154,'Corporate Roster - ''24'!$C$6:$C$60,'Corporate Roster - ''24'!$F$6:$F$60)</f>
        <v>-</v>
      </c>
      <c r="G154" s="32">
        <f>(MROUND(H154*0.95,1000))</f>
        <v>20000</v>
      </c>
      <c r="H154" s="33">
        <f>_xlfn.XLOOKUP($C154,'Corporate Roster - ''24'!$C$6:$C$60,'Corporate Roster - ''24'!$J$6:$J$60)</f>
        <v>21000</v>
      </c>
      <c r="J154" s="32">
        <f t="shared" ref="J154:U154" si="125">J28/$G28*$G154</f>
        <v>0</v>
      </c>
      <c r="K154" s="10">
        <f t="shared" si="125"/>
        <v>0</v>
      </c>
      <c r="L154" s="10">
        <f t="shared" si="125"/>
        <v>0</v>
      </c>
      <c r="M154" s="10">
        <f t="shared" si="125"/>
        <v>1666.6666666666665</v>
      </c>
      <c r="N154" s="10">
        <f t="shared" si="125"/>
        <v>1666.6666666666665</v>
      </c>
      <c r="O154" s="10">
        <f t="shared" si="125"/>
        <v>1666.6666666666665</v>
      </c>
      <c r="P154" s="10">
        <f t="shared" si="125"/>
        <v>1666.6666666666665</v>
      </c>
      <c r="Q154" s="10">
        <f t="shared" si="125"/>
        <v>1666.6666666666665</v>
      </c>
      <c r="R154" s="10">
        <f t="shared" si="125"/>
        <v>1666.6666666666665</v>
      </c>
      <c r="S154" s="10">
        <f t="shared" si="125"/>
        <v>1666.6666666666665</v>
      </c>
      <c r="T154" s="10">
        <f t="shared" si="125"/>
        <v>1666.6666666666665</v>
      </c>
      <c r="U154" s="33">
        <f t="shared" si="125"/>
        <v>1666.6666666666665</v>
      </c>
      <c r="V154" s="10">
        <f t="shared" ref="V154:AG154" si="126">V28/$H28*$H154</f>
        <v>1750</v>
      </c>
      <c r="W154" s="10">
        <f t="shared" si="126"/>
        <v>1750</v>
      </c>
      <c r="X154" s="10">
        <f t="shared" si="126"/>
        <v>1750</v>
      </c>
      <c r="Y154" s="10">
        <f t="shared" si="126"/>
        <v>1750</v>
      </c>
      <c r="Z154" s="10">
        <f t="shared" si="126"/>
        <v>1750</v>
      </c>
      <c r="AA154" s="10">
        <f t="shared" si="126"/>
        <v>1750</v>
      </c>
      <c r="AB154" s="10">
        <f t="shared" si="126"/>
        <v>1750</v>
      </c>
      <c r="AC154" s="10">
        <f t="shared" si="126"/>
        <v>1750</v>
      </c>
      <c r="AD154" s="10">
        <f t="shared" si="126"/>
        <v>1750</v>
      </c>
      <c r="AE154" s="10">
        <f t="shared" si="126"/>
        <v>1750</v>
      </c>
      <c r="AF154" s="10">
        <f t="shared" si="126"/>
        <v>1750</v>
      </c>
      <c r="AG154" s="33">
        <f t="shared" si="126"/>
        <v>1750</v>
      </c>
    </row>
    <row r="155" spans="3:33" x14ac:dyDescent="0.2">
      <c r="C155" t="s">
        <v>108</v>
      </c>
      <c r="D155" t="s">
        <v>109</v>
      </c>
      <c r="E155" s="64">
        <f>_xlfn.XLOOKUP($C155,'Corporate Roster - ''24'!$C$6:$C$60,'Corporate Roster - ''24'!$E$6:$E$60)</f>
        <v>40157</v>
      </c>
      <c r="F155" s="64" t="str">
        <f>_xlfn.XLOOKUP($C155,'Corporate Roster - ''24'!$C$6:$C$60,'Corporate Roster - ''24'!$F$6:$F$60)</f>
        <v>-</v>
      </c>
      <c r="G155" s="32">
        <f t="shared" si="92"/>
        <v>22500</v>
      </c>
      <c r="H155" s="33">
        <f>_xlfn.XLOOKUP($C155,'Corporate Roster - ''24'!$C$6:$C$60,'Corporate Roster - ''24'!$J$6:$J$60)</f>
        <v>22500</v>
      </c>
      <c r="J155" s="32">
        <f t="shared" ref="J155:U155" si="127">J29/$G29*$G155</f>
        <v>1875</v>
      </c>
      <c r="K155" s="10">
        <f t="shared" si="127"/>
        <v>1875</v>
      </c>
      <c r="L155" s="10">
        <f t="shared" si="127"/>
        <v>1875</v>
      </c>
      <c r="M155" s="10">
        <f t="shared" si="127"/>
        <v>1875</v>
      </c>
      <c r="N155" s="10">
        <f t="shared" si="127"/>
        <v>1875</v>
      </c>
      <c r="O155" s="10">
        <f t="shared" si="127"/>
        <v>1875</v>
      </c>
      <c r="P155" s="10">
        <f t="shared" si="127"/>
        <v>1875</v>
      </c>
      <c r="Q155" s="10">
        <f t="shared" si="127"/>
        <v>1875</v>
      </c>
      <c r="R155" s="10">
        <f t="shared" si="127"/>
        <v>1875</v>
      </c>
      <c r="S155" s="10">
        <f t="shared" si="127"/>
        <v>1875</v>
      </c>
      <c r="T155" s="10">
        <f t="shared" si="127"/>
        <v>1875</v>
      </c>
      <c r="U155" s="33">
        <f t="shared" si="127"/>
        <v>1875</v>
      </c>
      <c r="V155" s="10">
        <f t="shared" ref="V155:AG155" si="128">V29/$H29*$H155</f>
        <v>1875</v>
      </c>
      <c r="W155" s="10">
        <f t="shared" si="128"/>
        <v>1875</v>
      </c>
      <c r="X155" s="10">
        <f t="shared" si="128"/>
        <v>1875</v>
      </c>
      <c r="Y155" s="10">
        <f t="shared" si="128"/>
        <v>1875</v>
      </c>
      <c r="Z155" s="10">
        <f t="shared" si="128"/>
        <v>1875</v>
      </c>
      <c r="AA155" s="10">
        <f t="shared" si="128"/>
        <v>1875</v>
      </c>
      <c r="AB155" s="10">
        <f t="shared" si="128"/>
        <v>1875</v>
      </c>
      <c r="AC155" s="10">
        <f t="shared" si="128"/>
        <v>1875</v>
      </c>
      <c r="AD155" s="10">
        <f t="shared" si="128"/>
        <v>1875</v>
      </c>
      <c r="AE155" s="10">
        <f t="shared" si="128"/>
        <v>1875</v>
      </c>
      <c r="AF155" s="10">
        <f t="shared" si="128"/>
        <v>1875</v>
      </c>
      <c r="AG155" s="33">
        <f t="shared" si="128"/>
        <v>1875</v>
      </c>
    </row>
    <row r="156" spans="3:33" x14ac:dyDescent="0.2">
      <c r="C156" t="s">
        <v>73</v>
      </c>
      <c r="D156" t="s">
        <v>110</v>
      </c>
      <c r="E156" s="64">
        <f>_xlfn.XLOOKUP($C156,'Corporate Roster - ''24'!$C$6:$C$60,'Corporate Roster - ''24'!$E$6:$E$60)</f>
        <v>45335</v>
      </c>
      <c r="F156" s="64" t="str">
        <f>_xlfn.XLOOKUP($C156,'Corporate Roster - ''24'!$C$6:$C$60,'Corporate Roster - ''24'!$F$6:$F$60)</f>
        <v>-</v>
      </c>
      <c r="G156" s="32">
        <f>(MROUND(H156*0.8,1000))</f>
        <v>20000</v>
      </c>
      <c r="H156" s="33">
        <f>_xlfn.XLOOKUP($C156,'Corporate Roster - ''24'!$C$6:$C$60,'Corporate Roster - ''24'!$J$6:$J$60)</f>
        <v>25500</v>
      </c>
      <c r="J156" s="32">
        <f t="shared" ref="J156:U156" si="129">J30/$G30*$G156</f>
        <v>0</v>
      </c>
      <c r="K156" s="10">
        <f t="shared" si="129"/>
        <v>0</v>
      </c>
      <c r="L156" s="10">
        <f t="shared" si="129"/>
        <v>0</v>
      </c>
      <c r="M156" s="10">
        <f t="shared" si="129"/>
        <v>0</v>
      </c>
      <c r="N156" s="10">
        <f t="shared" si="129"/>
        <v>0</v>
      </c>
      <c r="O156" s="10">
        <f t="shared" si="129"/>
        <v>0</v>
      </c>
      <c r="P156" s="10">
        <f t="shared" si="129"/>
        <v>0</v>
      </c>
      <c r="Q156" s="10">
        <f t="shared" si="129"/>
        <v>0</v>
      </c>
      <c r="R156" s="10">
        <f t="shared" si="129"/>
        <v>0</v>
      </c>
      <c r="S156" s="10">
        <f t="shared" si="129"/>
        <v>0</v>
      </c>
      <c r="T156" s="10">
        <f t="shared" si="129"/>
        <v>0</v>
      </c>
      <c r="U156" s="33">
        <f t="shared" si="129"/>
        <v>0</v>
      </c>
      <c r="V156" s="10">
        <f t="shared" ref="V156:AG156" si="130">V30/$H30*$H156</f>
        <v>0</v>
      </c>
      <c r="W156" s="10">
        <f t="shared" si="130"/>
        <v>2125</v>
      </c>
      <c r="X156" s="10">
        <f t="shared" si="130"/>
        <v>2125</v>
      </c>
      <c r="Y156" s="10">
        <f t="shared" si="130"/>
        <v>2125</v>
      </c>
      <c r="Z156" s="10">
        <f t="shared" si="130"/>
        <v>2125</v>
      </c>
      <c r="AA156" s="10">
        <f t="shared" si="130"/>
        <v>2125</v>
      </c>
      <c r="AB156" s="10">
        <f t="shared" si="130"/>
        <v>2125</v>
      </c>
      <c r="AC156" s="10">
        <f t="shared" si="130"/>
        <v>2125</v>
      </c>
      <c r="AD156" s="10">
        <f t="shared" si="130"/>
        <v>2125</v>
      </c>
      <c r="AE156" s="10">
        <f t="shared" si="130"/>
        <v>2125</v>
      </c>
      <c r="AF156" s="10">
        <f t="shared" si="130"/>
        <v>2125</v>
      </c>
      <c r="AG156" s="33">
        <f t="shared" si="130"/>
        <v>2125</v>
      </c>
    </row>
    <row r="157" spans="3:33" x14ac:dyDescent="0.2">
      <c r="C157" t="s">
        <v>111</v>
      </c>
      <c r="D157" t="s">
        <v>112</v>
      </c>
      <c r="E157" s="64">
        <f>_xlfn.XLOOKUP($C157,'Corporate Roster - ''24'!$C$6:$C$60,'Corporate Roster - ''24'!$E$6:$E$60)</f>
        <v>44694</v>
      </c>
      <c r="F157" s="64" t="str">
        <f>_xlfn.XLOOKUP($C157,'Corporate Roster - ''24'!$C$6:$C$60,'Corporate Roster - ''24'!$F$6:$F$60)</f>
        <v>-</v>
      </c>
      <c r="G157" s="32">
        <f>(MROUND(H157*0.95,1000))</f>
        <v>27000</v>
      </c>
      <c r="H157" s="33">
        <f>_xlfn.XLOOKUP($C157,'Corporate Roster - ''24'!$C$6:$C$60,'Corporate Roster - ''24'!$J$6:$J$60)</f>
        <v>28500</v>
      </c>
      <c r="J157" s="32">
        <f t="shared" ref="J157:U157" si="131">J31/$G31*$G157</f>
        <v>2250</v>
      </c>
      <c r="K157" s="10">
        <f t="shared" si="131"/>
        <v>2250</v>
      </c>
      <c r="L157" s="10">
        <f t="shared" si="131"/>
        <v>2250</v>
      </c>
      <c r="M157" s="10">
        <f t="shared" si="131"/>
        <v>2250</v>
      </c>
      <c r="N157" s="10">
        <f t="shared" si="131"/>
        <v>2250</v>
      </c>
      <c r="O157" s="10">
        <f t="shared" si="131"/>
        <v>2250</v>
      </c>
      <c r="P157" s="10">
        <f t="shared" si="131"/>
        <v>2250</v>
      </c>
      <c r="Q157" s="10">
        <f t="shared" si="131"/>
        <v>2250</v>
      </c>
      <c r="R157" s="10">
        <f t="shared" si="131"/>
        <v>2250</v>
      </c>
      <c r="S157" s="10">
        <f t="shared" si="131"/>
        <v>2250</v>
      </c>
      <c r="T157" s="10">
        <f t="shared" si="131"/>
        <v>2250</v>
      </c>
      <c r="U157" s="33">
        <f t="shared" si="131"/>
        <v>2250</v>
      </c>
      <c r="V157" s="10">
        <f t="shared" ref="V157:AG157" si="132">V31/$H31*$H157</f>
        <v>2375.0000000000005</v>
      </c>
      <c r="W157" s="10">
        <f t="shared" si="132"/>
        <v>2375.0000000000005</v>
      </c>
      <c r="X157" s="10">
        <f t="shared" si="132"/>
        <v>2375.0000000000005</v>
      </c>
      <c r="Y157" s="10">
        <f t="shared" si="132"/>
        <v>2375.0000000000005</v>
      </c>
      <c r="Z157" s="10">
        <f t="shared" si="132"/>
        <v>2375.0000000000005</v>
      </c>
      <c r="AA157" s="10">
        <f t="shared" si="132"/>
        <v>2375.0000000000005</v>
      </c>
      <c r="AB157" s="10">
        <f t="shared" si="132"/>
        <v>2375.0000000000005</v>
      </c>
      <c r="AC157" s="10">
        <f t="shared" si="132"/>
        <v>2375.0000000000005</v>
      </c>
      <c r="AD157" s="10">
        <f t="shared" si="132"/>
        <v>2375.0000000000005</v>
      </c>
      <c r="AE157" s="10">
        <f t="shared" si="132"/>
        <v>2375.0000000000005</v>
      </c>
      <c r="AF157" s="10">
        <f t="shared" si="132"/>
        <v>2375.0000000000005</v>
      </c>
      <c r="AG157" s="33">
        <f t="shared" si="132"/>
        <v>2375.0000000000005</v>
      </c>
    </row>
    <row r="158" spans="3:33" x14ac:dyDescent="0.2">
      <c r="C158" t="s">
        <v>149</v>
      </c>
      <c r="D158" t="s">
        <v>110</v>
      </c>
      <c r="E158" s="64">
        <f>_xlfn.XLOOKUP($C158,'Corporate Roster - ''24'!$C$6:$C$60,'Corporate Roster - ''24'!$E$6:$E$60)</f>
        <v>45368</v>
      </c>
      <c r="F158" s="64" t="str">
        <f>_xlfn.XLOOKUP($C158,'Corporate Roster - ''24'!$C$6:$C$60,'Corporate Roster - ''24'!$F$6:$F$60)</f>
        <v>-</v>
      </c>
      <c r="G158" s="32">
        <f t="shared" si="92"/>
        <v>25500</v>
      </c>
      <c r="H158" s="33">
        <f>_xlfn.XLOOKUP($C158,'Corporate Roster - ''24'!$C$6:$C$60,'Corporate Roster - ''24'!$J$6:$J$60)</f>
        <v>25500</v>
      </c>
      <c r="J158" s="32">
        <f t="shared" ref="J158:U158" si="133">J32/$G32*$G158</f>
        <v>0</v>
      </c>
      <c r="K158" s="10">
        <f t="shared" si="133"/>
        <v>0</v>
      </c>
      <c r="L158" s="10">
        <f t="shared" si="133"/>
        <v>0</v>
      </c>
      <c r="M158" s="10">
        <f t="shared" si="133"/>
        <v>0</v>
      </c>
      <c r="N158" s="10">
        <f t="shared" si="133"/>
        <v>0</v>
      </c>
      <c r="O158" s="10">
        <f t="shared" si="133"/>
        <v>0</v>
      </c>
      <c r="P158" s="10">
        <f t="shared" si="133"/>
        <v>0</v>
      </c>
      <c r="Q158" s="10">
        <f t="shared" si="133"/>
        <v>0</v>
      </c>
      <c r="R158" s="10">
        <f t="shared" si="133"/>
        <v>0</v>
      </c>
      <c r="S158" s="10">
        <f t="shared" si="133"/>
        <v>0</v>
      </c>
      <c r="T158" s="10">
        <f t="shared" si="133"/>
        <v>0</v>
      </c>
      <c r="U158" s="33">
        <f t="shared" si="133"/>
        <v>0</v>
      </c>
      <c r="V158" s="10">
        <f t="shared" ref="V158:AG158" si="134">V32/$H32*$H158</f>
        <v>0</v>
      </c>
      <c r="W158" s="10">
        <f t="shared" si="134"/>
        <v>0</v>
      </c>
      <c r="X158" s="10">
        <f t="shared" si="134"/>
        <v>2125</v>
      </c>
      <c r="Y158" s="10">
        <f t="shared" si="134"/>
        <v>2125</v>
      </c>
      <c r="Z158" s="10">
        <f t="shared" si="134"/>
        <v>2125</v>
      </c>
      <c r="AA158" s="10">
        <f t="shared" si="134"/>
        <v>2125</v>
      </c>
      <c r="AB158" s="10">
        <f t="shared" si="134"/>
        <v>2125</v>
      </c>
      <c r="AC158" s="10">
        <f t="shared" si="134"/>
        <v>2125</v>
      </c>
      <c r="AD158" s="10">
        <f t="shared" si="134"/>
        <v>2125</v>
      </c>
      <c r="AE158" s="10">
        <f t="shared" si="134"/>
        <v>2125</v>
      </c>
      <c r="AF158" s="10">
        <f t="shared" si="134"/>
        <v>2125</v>
      </c>
      <c r="AG158" s="33">
        <f t="shared" si="134"/>
        <v>2125</v>
      </c>
    </row>
    <row r="159" spans="3:33" x14ac:dyDescent="0.2">
      <c r="C159" t="s">
        <v>150</v>
      </c>
      <c r="D159" t="s">
        <v>95</v>
      </c>
      <c r="E159" s="64">
        <f>_xlfn.XLOOKUP($C159,'Corporate Roster - ''24'!$C$6:$C$60,'Corporate Roster - ''24'!$E$6:$E$60)</f>
        <v>40489</v>
      </c>
      <c r="F159" s="64" t="str">
        <f>_xlfn.XLOOKUP($C159,'Corporate Roster - ''24'!$C$6:$C$60,'Corporate Roster - ''24'!$F$6:$F$60)</f>
        <v>-</v>
      </c>
      <c r="G159" s="32">
        <f>(MROUND(H159*0.8,1000))</f>
        <v>34000</v>
      </c>
      <c r="H159" s="33">
        <f>_xlfn.XLOOKUP($C159,'Corporate Roster - ''24'!$C$6:$C$60,'Corporate Roster - ''24'!$J$6:$J$60)</f>
        <v>42000</v>
      </c>
      <c r="J159" s="32">
        <f t="shared" ref="J159:U159" si="135">J33/$G33*$G159</f>
        <v>2833.3333333333335</v>
      </c>
      <c r="K159" s="10">
        <f t="shared" si="135"/>
        <v>2833.3333333333335</v>
      </c>
      <c r="L159" s="10">
        <f t="shared" si="135"/>
        <v>2833.3333333333335</v>
      </c>
      <c r="M159" s="10">
        <f t="shared" si="135"/>
        <v>2833.3333333333335</v>
      </c>
      <c r="N159" s="10">
        <f t="shared" si="135"/>
        <v>2833.3333333333335</v>
      </c>
      <c r="O159" s="10">
        <f t="shared" si="135"/>
        <v>2833.3333333333335</v>
      </c>
      <c r="P159" s="10">
        <f t="shared" si="135"/>
        <v>2833.3333333333335</v>
      </c>
      <c r="Q159" s="10">
        <f t="shared" si="135"/>
        <v>2833.3333333333335</v>
      </c>
      <c r="R159" s="10">
        <f t="shared" si="135"/>
        <v>2833.3333333333335</v>
      </c>
      <c r="S159" s="10">
        <f t="shared" si="135"/>
        <v>2833.3333333333335</v>
      </c>
      <c r="T159" s="10">
        <f t="shared" si="135"/>
        <v>2833.3333333333335</v>
      </c>
      <c r="U159" s="33">
        <f t="shared" si="135"/>
        <v>2833.3333333333335</v>
      </c>
      <c r="V159" s="10">
        <f t="shared" ref="V159:AG159" si="136">V33/$H33*$H159</f>
        <v>3500</v>
      </c>
      <c r="W159" s="10">
        <f t="shared" si="136"/>
        <v>3500</v>
      </c>
      <c r="X159" s="10">
        <f t="shared" si="136"/>
        <v>3500</v>
      </c>
      <c r="Y159" s="10">
        <f t="shared" si="136"/>
        <v>3500</v>
      </c>
      <c r="Z159" s="10">
        <f t="shared" si="136"/>
        <v>3500</v>
      </c>
      <c r="AA159" s="10">
        <f t="shared" si="136"/>
        <v>3500</v>
      </c>
      <c r="AB159" s="10">
        <f t="shared" si="136"/>
        <v>3500</v>
      </c>
      <c r="AC159" s="10">
        <f t="shared" si="136"/>
        <v>3500</v>
      </c>
      <c r="AD159" s="10">
        <f t="shared" si="136"/>
        <v>3500</v>
      </c>
      <c r="AE159" s="10">
        <f t="shared" si="136"/>
        <v>3500</v>
      </c>
      <c r="AF159" s="10">
        <f t="shared" si="136"/>
        <v>3500</v>
      </c>
      <c r="AG159" s="33">
        <f t="shared" si="136"/>
        <v>3500</v>
      </c>
    </row>
    <row r="160" spans="3:33" x14ac:dyDescent="0.2">
      <c r="C160" t="s">
        <v>115</v>
      </c>
      <c r="D160" t="s">
        <v>112</v>
      </c>
      <c r="E160" s="64">
        <f>_xlfn.XLOOKUP($C160,'Corporate Roster - ''24'!$C$6:$C$60,'Corporate Roster - ''24'!$E$6:$E$60)</f>
        <v>45236</v>
      </c>
      <c r="F160" s="64" t="str">
        <f>_xlfn.XLOOKUP($C160,'Corporate Roster - ''24'!$C$6:$C$60,'Corporate Roster - ''24'!$F$6:$F$60)</f>
        <v>-</v>
      </c>
      <c r="G160" s="32">
        <f t="shared" si="92"/>
        <v>28500</v>
      </c>
      <c r="H160" s="33">
        <f>_xlfn.XLOOKUP($C160,'Corporate Roster - ''24'!$C$6:$C$60,'Corporate Roster - ''24'!$J$6:$J$60)</f>
        <v>28500</v>
      </c>
      <c r="J160" s="32">
        <f t="shared" ref="J160:U160" si="137">J34/$G34*$G160</f>
        <v>0</v>
      </c>
      <c r="K160" s="10">
        <f t="shared" si="137"/>
        <v>0</v>
      </c>
      <c r="L160" s="10">
        <f t="shared" si="137"/>
        <v>0</v>
      </c>
      <c r="M160" s="10">
        <f t="shared" si="137"/>
        <v>0</v>
      </c>
      <c r="N160" s="10">
        <f t="shared" si="137"/>
        <v>0</v>
      </c>
      <c r="O160" s="10">
        <f t="shared" si="137"/>
        <v>0</v>
      </c>
      <c r="P160" s="10">
        <f t="shared" si="137"/>
        <v>0</v>
      </c>
      <c r="Q160" s="10">
        <f t="shared" si="137"/>
        <v>0</v>
      </c>
      <c r="R160" s="10">
        <f t="shared" si="137"/>
        <v>0</v>
      </c>
      <c r="S160" s="10">
        <f t="shared" si="137"/>
        <v>0</v>
      </c>
      <c r="T160" s="10">
        <f t="shared" si="137"/>
        <v>2375.0000000000005</v>
      </c>
      <c r="U160" s="33">
        <f t="shared" si="137"/>
        <v>2375.0000000000005</v>
      </c>
      <c r="V160" s="10">
        <f t="shared" ref="V160:AG160" si="138">V34/$H34*$H160</f>
        <v>2375.0000000000005</v>
      </c>
      <c r="W160" s="10">
        <f t="shared" si="138"/>
        <v>2375.0000000000005</v>
      </c>
      <c r="X160" s="10">
        <f t="shared" si="138"/>
        <v>2375.0000000000005</v>
      </c>
      <c r="Y160" s="10">
        <f t="shared" si="138"/>
        <v>2375.0000000000005</v>
      </c>
      <c r="Z160" s="10">
        <f t="shared" si="138"/>
        <v>2375.0000000000005</v>
      </c>
      <c r="AA160" s="10">
        <f t="shared" si="138"/>
        <v>2375.0000000000005</v>
      </c>
      <c r="AB160" s="10">
        <f t="shared" si="138"/>
        <v>2375.0000000000005</v>
      </c>
      <c r="AC160" s="10">
        <f t="shared" si="138"/>
        <v>2375.0000000000005</v>
      </c>
      <c r="AD160" s="10">
        <f t="shared" si="138"/>
        <v>2375.0000000000005</v>
      </c>
      <c r="AE160" s="10">
        <f t="shared" si="138"/>
        <v>2375.0000000000005</v>
      </c>
      <c r="AF160" s="10">
        <f t="shared" si="138"/>
        <v>2375.0000000000005</v>
      </c>
      <c r="AG160" s="33">
        <f t="shared" si="138"/>
        <v>2375.0000000000005</v>
      </c>
    </row>
    <row r="161" spans="3:33" x14ac:dyDescent="0.2">
      <c r="C161" t="s">
        <v>116</v>
      </c>
      <c r="D161" t="s">
        <v>110</v>
      </c>
      <c r="E161" s="64">
        <f>_xlfn.XLOOKUP($C161,'Corporate Roster - ''24'!$C$6:$C$60,'Corporate Roster - ''24'!$E$6:$E$60)</f>
        <v>40015</v>
      </c>
      <c r="F161" s="64" t="str">
        <f>_xlfn.XLOOKUP($C161,'Corporate Roster - ''24'!$C$6:$C$60,'Corporate Roster - ''24'!$F$6:$F$60)</f>
        <v>-</v>
      </c>
      <c r="G161" s="32">
        <f t="shared" si="92"/>
        <v>25500</v>
      </c>
      <c r="H161" s="33">
        <f>_xlfn.XLOOKUP($C161,'Corporate Roster - ''24'!$C$6:$C$60,'Corporate Roster - ''24'!$J$6:$J$60)</f>
        <v>25500</v>
      </c>
      <c r="J161" s="32">
        <f t="shared" ref="J161:U161" si="139">J35/$G35*$G161</f>
        <v>2125</v>
      </c>
      <c r="K161" s="10">
        <f t="shared" si="139"/>
        <v>2125</v>
      </c>
      <c r="L161" s="10">
        <f t="shared" si="139"/>
        <v>2125</v>
      </c>
      <c r="M161" s="10">
        <f t="shared" si="139"/>
        <v>2125</v>
      </c>
      <c r="N161" s="10">
        <f t="shared" si="139"/>
        <v>2125</v>
      </c>
      <c r="O161" s="10">
        <f t="shared" si="139"/>
        <v>2125</v>
      </c>
      <c r="P161" s="10">
        <f t="shared" si="139"/>
        <v>2125</v>
      </c>
      <c r="Q161" s="10">
        <f t="shared" si="139"/>
        <v>2125</v>
      </c>
      <c r="R161" s="10">
        <f t="shared" si="139"/>
        <v>2125</v>
      </c>
      <c r="S161" s="10">
        <f t="shared" si="139"/>
        <v>2125</v>
      </c>
      <c r="T161" s="10">
        <f t="shared" si="139"/>
        <v>2125</v>
      </c>
      <c r="U161" s="33">
        <f t="shared" si="139"/>
        <v>2125</v>
      </c>
      <c r="V161" s="10">
        <f t="shared" ref="V161:AG161" si="140">V35/$H35*$H161</f>
        <v>2125</v>
      </c>
      <c r="W161" s="10">
        <f t="shared" si="140"/>
        <v>2125</v>
      </c>
      <c r="X161" s="10">
        <f t="shared" si="140"/>
        <v>2125</v>
      </c>
      <c r="Y161" s="10">
        <f t="shared" si="140"/>
        <v>2125</v>
      </c>
      <c r="Z161" s="10">
        <f t="shared" si="140"/>
        <v>2125</v>
      </c>
      <c r="AA161" s="10">
        <f t="shared" si="140"/>
        <v>2125</v>
      </c>
      <c r="AB161" s="10">
        <f t="shared" si="140"/>
        <v>2125</v>
      </c>
      <c r="AC161" s="10">
        <f t="shared" si="140"/>
        <v>2125</v>
      </c>
      <c r="AD161" s="10">
        <f t="shared" si="140"/>
        <v>2125</v>
      </c>
      <c r="AE161" s="10">
        <f t="shared" si="140"/>
        <v>2125</v>
      </c>
      <c r="AF161" s="10">
        <f t="shared" si="140"/>
        <v>2125</v>
      </c>
      <c r="AG161" s="33">
        <f t="shared" si="140"/>
        <v>2125</v>
      </c>
    </row>
    <row r="162" spans="3:33" x14ac:dyDescent="0.2">
      <c r="C162" t="s">
        <v>106</v>
      </c>
      <c r="D162" t="s">
        <v>90</v>
      </c>
      <c r="E162" s="64">
        <f>_xlfn.XLOOKUP($C162,'Corporate Roster - ''24'!$C$6:$C$60,'Corporate Roster - ''24'!$E$6:$E$60)</f>
        <v>40345</v>
      </c>
      <c r="F162" s="64" t="str">
        <f>_xlfn.XLOOKUP($C162,'Corporate Roster - ''24'!$C$6:$C$60,'Corporate Roster - ''24'!$F$6:$F$60)</f>
        <v>-</v>
      </c>
      <c r="G162" s="32">
        <f t="shared" si="92"/>
        <v>39000</v>
      </c>
      <c r="H162" s="33">
        <f>_xlfn.XLOOKUP($C162,'Corporate Roster - ''24'!$C$6:$C$60,'Corporate Roster - ''24'!$J$6:$J$60)</f>
        <v>39000</v>
      </c>
      <c r="J162" s="32">
        <f t="shared" ref="J162:U162" si="141">J36/$G36*$G162</f>
        <v>3250</v>
      </c>
      <c r="K162" s="10">
        <f t="shared" si="141"/>
        <v>3250</v>
      </c>
      <c r="L162" s="10">
        <f t="shared" si="141"/>
        <v>3250</v>
      </c>
      <c r="M162" s="10">
        <f t="shared" si="141"/>
        <v>3250</v>
      </c>
      <c r="N162" s="10">
        <f t="shared" si="141"/>
        <v>3250</v>
      </c>
      <c r="O162" s="10">
        <f t="shared" si="141"/>
        <v>3250</v>
      </c>
      <c r="P162" s="10">
        <f t="shared" si="141"/>
        <v>3250</v>
      </c>
      <c r="Q162" s="10">
        <f t="shared" si="141"/>
        <v>3250</v>
      </c>
      <c r="R162" s="10">
        <f t="shared" si="141"/>
        <v>3250</v>
      </c>
      <c r="S162" s="10">
        <f t="shared" si="141"/>
        <v>3250</v>
      </c>
      <c r="T162" s="10">
        <f t="shared" si="141"/>
        <v>3250</v>
      </c>
      <c r="U162" s="33">
        <f t="shared" si="141"/>
        <v>3250</v>
      </c>
      <c r="V162" s="10">
        <f t="shared" ref="V162:AG162" si="142">V36/$H36*$H162</f>
        <v>3250.0000000000005</v>
      </c>
      <c r="W162" s="10">
        <f t="shared" si="142"/>
        <v>3250.0000000000005</v>
      </c>
      <c r="X162" s="10">
        <f t="shared" si="142"/>
        <v>3250.0000000000005</v>
      </c>
      <c r="Y162" s="10">
        <f t="shared" si="142"/>
        <v>3250.0000000000005</v>
      </c>
      <c r="Z162" s="10">
        <f t="shared" si="142"/>
        <v>3250.0000000000005</v>
      </c>
      <c r="AA162" s="10">
        <f t="shared" si="142"/>
        <v>3250.0000000000005</v>
      </c>
      <c r="AB162" s="10">
        <f t="shared" si="142"/>
        <v>3250.0000000000005</v>
      </c>
      <c r="AC162" s="10">
        <f t="shared" si="142"/>
        <v>3250.0000000000005</v>
      </c>
      <c r="AD162" s="10">
        <f t="shared" si="142"/>
        <v>3250.0000000000005</v>
      </c>
      <c r="AE162" s="10">
        <f t="shared" si="142"/>
        <v>3250.0000000000005</v>
      </c>
      <c r="AF162" s="10">
        <f t="shared" si="142"/>
        <v>3250.0000000000005</v>
      </c>
      <c r="AG162" s="33">
        <f t="shared" si="142"/>
        <v>3250.0000000000005</v>
      </c>
    </row>
    <row r="163" spans="3:33" x14ac:dyDescent="0.2">
      <c r="C163" t="s">
        <v>117</v>
      </c>
      <c r="D163" t="s">
        <v>110</v>
      </c>
      <c r="E163" s="64">
        <f>_xlfn.XLOOKUP($C163,'Corporate Roster - ''24'!$C$6:$C$60,'Corporate Roster - ''24'!$E$6:$E$60)</f>
        <v>44824</v>
      </c>
      <c r="F163" s="64" t="str">
        <f>_xlfn.XLOOKUP($C163,'Corporate Roster - ''24'!$C$6:$C$60,'Corporate Roster - ''24'!$F$6:$F$60)</f>
        <v>-</v>
      </c>
      <c r="G163" s="32">
        <f t="shared" si="92"/>
        <v>25500</v>
      </c>
      <c r="H163" s="33">
        <f>_xlfn.XLOOKUP($C163,'Corporate Roster - ''24'!$C$6:$C$60,'Corporate Roster - ''24'!$J$6:$J$60)</f>
        <v>25500</v>
      </c>
      <c r="J163" s="32">
        <f t="shared" ref="J163:U163" si="143">J37/$G37*$G163</f>
        <v>2125</v>
      </c>
      <c r="K163" s="10">
        <f t="shared" si="143"/>
        <v>2125</v>
      </c>
      <c r="L163" s="10">
        <f t="shared" si="143"/>
        <v>2125</v>
      </c>
      <c r="M163" s="10">
        <f t="shared" si="143"/>
        <v>2125</v>
      </c>
      <c r="N163" s="10">
        <f t="shared" si="143"/>
        <v>2125</v>
      </c>
      <c r="O163" s="10">
        <f t="shared" si="143"/>
        <v>2125</v>
      </c>
      <c r="P163" s="10">
        <f t="shared" si="143"/>
        <v>2125</v>
      </c>
      <c r="Q163" s="10">
        <f t="shared" si="143"/>
        <v>2125</v>
      </c>
      <c r="R163" s="10">
        <f t="shared" si="143"/>
        <v>2125</v>
      </c>
      <c r="S163" s="10">
        <f t="shared" si="143"/>
        <v>2125</v>
      </c>
      <c r="T163" s="10">
        <f t="shared" si="143"/>
        <v>2125</v>
      </c>
      <c r="U163" s="33">
        <f t="shared" si="143"/>
        <v>2125</v>
      </c>
      <c r="V163" s="10">
        <f t="shared" ref="V163:AG163" si="144">V37/$H37*$H163</f>
        <v>2125</v>
      </c>
      <c r="W163" s="10">
        <f t="shared" si="144"/>
        <v>2125</v>
      </c>
      <c r="X163" s="10">
        <f t="shared" si="144"/>
        <v>2125</v>
      </c>
      <c r="Y163" s="10">
        <f t="shared" si="144"/>
        <v>2125</v>
      </c>
      <c r="Z163" s="10">
        <f t="shared" si="144"/>
        <v>2125</v>
      </c>
      <c r="AA163" s="10">
        <f t="shared" si="144"/>
        <v>2125</v>
      </c>
      <c r="AB163" s="10">
        <f t="shared" si="144"/>
        <v>2125</v>
      </c>
      <c r="AC163" s="10">
        <f t="shared" si="144"/>
        <v>2125</v>
      </c>
      <c r="AD163" s="10">
        <f t="shared" si="144"/>
        <v>2125</v>
      </c>
      <c r="AE163" s="10">
        <f t="shared" si="144"/>
        <v>2125</v>
      </c>
      <c r="AF163" s="10">
        <f t="shared" si="144"/>
        <v>2125</v>
      </c>
      <c r="AG163" s="33">
        <f t="shared" si="144"/>
        <v>2125</v>
      </c>
    </row>
    <row r="164" spans="3:33" x14ac:dyDescent="0.2">
      <c r="C164" t="s">
        <v>118</v>
      </c>
      <c r="D164" t="s">
        <v>86</v>
      </c>
      <c r="E164" s="64">
        <f>_xlfn.XLOOKUP($C164,'Corporate Roster - ''24'!$C$6:$C$60,'Corporate Roster - ''24'!$E$6:$E$60)</f>
        <v>38939</v>
      </c>
      <c r="F164" s="64" t="str">
        <f>_xlfn.XLOOKUP($C164,'Corporate Roster - ''24'!$C$6:$C$60,'Corporate Roster - ''24'!$F$6:$F$60)</f>
        <v>-</v>
      </c>
      <c r="G164" s="32">
        <f>(MROUND(H164*0.95,1000))</f>
        <v>34000</v>
      </c>
      <c r="H164" s="33">
        <f>_xlfn.XLOOKUP($C164,'Corporate Roster - ''24'!$C$6:$C$60,'Corporate Roster - ''24'!$J$6:$J$60)</f>
        <v>36000</v>
      </c>
      <c r="J164" s="32">
        <f t="shared" ref="J164:U164" si="145">J38/$G38*$G164</f>
        <v>2833.333333333333</v>
      </c>
      <c r="K164" s="10">
        <f t="shared" si="145"/>
        <v>2833.333333333333</v>
      </c>
      <c r="L164" s="10">
        <f t="shared" si="145"/>
        <v>2833.333333333333</v>
      </c>
      <c r="M164" s="10">
        <f t="shared" si="145"/>
        <v>2833.333333333333</v>
      </c>
      <c r="N164" s="10">
        <f t="shared" si="145"/>
        <v>2833.333333333333</v>
      </c>
      <c r="O164" s="10">
        <f t="shared" si="145"/>
        <v>2833.333333333333</v>
      </c>
      <c r="P164" s="10">
        <f t="shared" si="145"/>
        <v>2833.333333333333</v>
      </c>
      <c r="Q164" s="10">
        <f t="shared" si="145"/>
        <v>2833.333333333333</v>
      </c>
      <c r="R164" s="10">
        <f t="shared" si="145"/>
        <v>2833.333333333333</v>
      </c>
      <c r="S164" s="10">
        <f t="shared" si="145"/>
        <v>2833.333333333333</v>
      </c>
      <c r="T164" s="10">
        <f t="shared" si="145"/>
        <v>2833.333333333333</v>
      </c>
      <c r="U164" s="33">
        <f t="shared" si="145"/>
        <v>2833.333333333333</v>
      </c>
      <c r="V164" s="10">
        <f t="shared" ref="V164:AG164" si="146">V38/$H38*$H164</f>
        <v>3000</v>
      </c>
      <c r="W164" s="10">
        <f t="shared" si="146"/>
        <v>3000</v>
      </c>
      <c r="X164" s="10">
        <f t="shared" si="146"/>
        <v>3000</v>
      </c>
      <c r="Y164" s="10">
        <f t="shared" si="146"/>
        <v>3000</v>
      </c>
      <c r="Z164" s="10">
        <f t="shared" si="146"/>
        <v>3000</v>
      </c>
      <c r="AA164" s="10">
        <f t="shared" si="146"/>
        <v>3000</v>
      </c>
      <c r="AB164" s="10">
        <f t="shared" si="146"/>
        <v>3000</v>
      </c>
      <c r="AC164" s="10">
        <f t="shared" si="146"/>
        <v>3000</v>
      </c>
      <c r="AD164" s="10">
        <f t="shared" si="146"/>
        <v>3000</v>
      </c>
      <c r="AE164" s="10">
        <f t="shared" si="146"/>
        <v>3000</v>
      </c>
      <c r="AF164" s="10">
        <f t="shared" si="146"/>
        <v>3000</v>
      </c>
      <c r="AG164" s="33">
        <f t="shared" si="146"/>
        <v>3000</v>
      </c>
    </row>
    <row r="165" spans="3:33" x14ac:dyDescent="0.2">
      <c r="C165" t="s">
        <v>65</v>
      </c>
      <c r="D165" t="s">
        <v>86</v>
      </c>
      <c r="E165" s="64">
        <f>_xlfn.XLOOKUP($C165,'Corporate Roster - ''24'!$C$6:$C$60,'Corporate Roster - ''24'!$E$6:$E$60)</f>
        <v>42100</v>
      </c>
      <c r="F165" s="64" t="str">
        <f>_xlfn.XLOOKUP($C165,'Corporate Roster - ''24'!$C$6:$C$60,'Corporate Roster - ''24'!$F$6:$F$60)</f>
        <v>-</v>
      </c>
      <c r="G165" s="32">
        <f t="shared" si="92"/>
        <v>36000</v>
      </c>
      <c r="H165" s="33">
        <f>_xlfn.XLOOKUP($C165,'Corporate Roster - ''24'!$C$6:$C$60,'Corporate Roster - ''24'!$J$6:$J$60)</f>
        <v>36000</v>
      </c>
      <c r="J165" s="32">
        <f t="shared" ref="J165:U165" si="147">J39/$G39*$G165</f>
        <v>3000</v>
      </c>
      <c r="K165" s="10">
        <f t="shared" si="147"/>
        <v>3000</v>
      </c>
      <c r="L165" s="10">
        <f t="shared" si="147"/>
        <v>3000</v>
      </c>
      <c r="M165" s="10">
        <f t="shared" si="147"/>
        <v>3000</v>
      </c>
      <c r="N165" s="10">
        <f t="shared" si="147"/>
        <v>3000</v>
      </c>
      <c r="O165" s="10">
        <f t="shared" si="147"/>
        <v>3000</v>
      </c>
      <c r="P165" s="10">
        <f t="shared" si="147"/>
        <v>3000</v>
      </c>
      <c r="Q165" s="10">
        <f t="shared" si="147"/>
        <v>3000</v>
      </c>
      <c r="R165" s="10">
        <f t="shared" si="147"/>
        <v>3000</v>
      </c>
      <c r="S165" s="10">
        <f t="shared" si="147"/>
        <v>3000</v>
      </c>
      <c r="T165" s="10">
        <f t="shared" si="147"/>
        <v>3000</v>
      </c>
      <c r="U165" s="33">
        <f t="shared" si="147"/>
        <v>3000</v>
      </c>
      <c r="V165" s="10">
        <f t="shared" ref="V165:AG165" si="148">V39/$H39*$H165</f>
        <v>3000</v>
      </c>
      <c r="W165" s="10">
        <f t="shared" si="148"/>
        <v>3000</v>
      </c>
      <c r="X165" s="10">
        <f t="shared" si="148"/>
        <v>3000</v>
      </c>
      <c r="Y165" s="10">
        <f t="shared" si="148"/>
        <v>3000</v>
      </c>
      <c r="Z165" s="10">
        <f t="shared" si="148"/>
        <v>3000</v>
      </c>
      <c r="AA165" s="10">
        <f t="shared" si="148"/>
        <v>3000</v>
      </c>
      <c r="AB165" s="10">
        <f t="shared" si="148"/>
        <v>3000</v>
      </c>
      <c r="AC165" s="10">
        <f t="shared" si="148"/>
        <v>3000</v>
      </c>
      <c r="AD165" s="10">
        <f t="shared" si="148"/>
        <v>3000</v>
      </c>
      <c r="AE165" s="10">
        <f t="shared" si="148"/>
        <v>3000</v>
      </c>
      <c r="AF165" s="10">
        <f t="shared" si="148"/>
        <v>3000</v>
      </c>
      <c r="AG165" s="33">
        <f t="shared" si="148"/>
        <v>3000</v>
      </c>
    </row>
    <row r="166" spans="3:33" x14ac:dyDescent="0.2">
      <c r="C166" t="s">
        <v>119</v>
      </c>
      <c r="D166" t="s">
        <v>110</v>
      </c>
      <c r="E166" s="64">
        <f>_xlfn.XLOOKUP($C166,'Corporate Roster - ''24'!$C$6:$C$60,'Corporate Roster - ''24'!$E$6:$E$60)</f>
        <v>42772</v>
      </c>
      <c r="F166" s="64" t="str">
        <f>_xlfn.XLOOKUP($C166,'Corporate Roster - ''24'!$C$6:$C$60,'Corporate Roster - ''24'!$F$6:$F$60)</f>
        <v>-</v>
      </c>
      <c r="G166" s="32">
        <f>(MROUND(H166*0.95,1000))</f>
        <v>24000</v>
      </c>
      <c r="H166" s="33">
        <f>_xlfn.XLOOKUP($C166,'Corporate Roster - ''24'!$C$6:$C$60,'Corporate Roster - ''24'!$J$6:$J$60)</f>
        <v>25500</v>
      </c>
      <c r="J166" s="32">
        <f t="shared" ref="J166:U166" si="149">J40/$G40*$G166</f>
        <v>2000</v>
      </c>
      <c r="K166" s="10">
        <f t="shared" si="149"/>
        <v>2000</v>
      </c>
      <c r="L166" s="10">
        <f t="shared" si="149"/>
        <v>2000</v>
      </c>
      <c r="M166" s="10">
        <f t="shared" si="149"/>
        <v>2000</v>
      </c>
      <c r="N166" s="10">
        <f t="shared" si="149"/>
        <v>2000</v>
      </c>
      <c r="O166" s="10">
        <f t="shared" si="149"/>
        <v>2000</v>
      </c>
      <c r="P166" s="10">
        <f t="shared" si="149"/>
        <v>2000</v>
      </c>
      <c r="Q166" s="10">
        <f t="shared" si="149"/>
        <v>2000</v>
      </c>
      <c r="R166" s="10">
        <f t="shared" si="149"/>
        <v>2000</v>
      </c>
      <c r="S166" s="10">
        <f t="shared" si="149"/>
        <v>2000</v>
      </c>
      <c r="T166" s="10">
        <f t="shared" si="149"/>
        <v>2000</v>
      </c>
      <c r="U166" s="33">
        <f t="shared" si="149"/>
        <v>2000</v>
      </c>
      <c r="V166" s="10">
        <f t="shared" ref="V166:AG166" si="150">V40/$H40*$H166</f>
        <v>2125</v>
      </c>
      <c r="W166" s="10">
        <f t="shared" si="150"/>
        <v>2125</v>
      </c>
      <c r="X166" s="10">
        <f t="shared" si="150"/>
        <v>2125</v>
      </c>
      <c r="Y166" s="10">
        <f t="shared" si="150"/>
        <v>2125</v>
      </c>
      <c r="Z166" s="10">
        <f t="shared" si="150"/>
        <v>2125</v>
      </c>
      <c r="AA166" s="10">
        <f t="shared" si="150"/>
        <v>2125</v>
      </c>
      <c r="AB166" s="10">
        <f t="shared" si="150"/>
        <v>2125</v>
      </c>
      <c r="AC166" s="10">
        <f t="shared" si="150"/>
        <v>2125</v>
      </c>
      <c r="AD166" s="10">
        <f t="shared" si="150"/>
        <v>2125</v>
      </c>
      <c r="AE166" s="10">
        <f t="shared" si="150"/>
        <v>2125</v>
      </c>
      <c r="AF166" s="10">
        <f t="shared" si="150"/>
        <v>2125</v>
      </c>
      <c r="AG166" s="33">
        <f t="shared" si="150"/>
        <v>2125</v>
      </c>
    </row>
    <row r="167" spans="3:33" x14ac:dyDescent="0.2">
      <c r="C167" t="s">
        <v>120</v>
      </c>
      <c r="D167" t="s">
        <v>110</v>
      </c>
      <c r="E167" s="64">
        <f>_xlfn.XLOOKUP($C167,'Corporate Roster - ''24'!$C$6:$C$60,'Corporate Roster - ''24'!$E$6:$E$60)</f>
        <v>41160</v>
      </c>
      <c r="F167" s="64" t="str">
        <f>_xlfn.XLOOKUP($C167,'Corporate Roster - ''24'!$C$6:$C$60,'Corporate Roster - ''24'!$F$6:$F$60)</f>
        <v>-</v>
      </c>
      <c r="G167" s="32">
        <f t="shared" si="92"/>
        <v>25500</v>
      </c>
      <c r="H167" s="33">
        <f>_xlfn.XLOOKUP($C167,'Corporate Roster - ''24'!$C$6:$C$60,'Corporate Roster - ''24'!$J$6:$J$60)</f>
        <v>25500</v>
      </c>
      <c r="J167" s="32">
        <f t="shared" ref="J167:U167" si="151">J41/$G41*$G167</f>
        <v>2125</v>
      </c>
      <c r="K167" s="10">
        <f t="shared" si="151"/>
        <v>2125</v>
      </c>
      <c r="L167" s="10">
        <f t="shared" si="151"/>
        <v>2125</v>
      </c>
      <c r="M167" s="10">
        <f t="shared" si="151"/>
        <v>2125</v>
      </c>
      <c r="N167" s="10">
        <f t="shared" si="151"/>
        <v>2125</v>
      </c>
      <c r="O167" s="10">
        <f t="shared" si="151"/>
        <v>2125</v>
      </c>
      <c r="P167" s="10">
        <f t="shared" si="151"/>
        <v>2125</v>
      </c>
      <c r="Q167" s="10">
        <f t="shared" si="151"/>
        <v>2125</v>
      </c>
      <c r="R167" s="10">
        <f t="shared" si="151"/>
        <v>2125</v>
      </c>
      <c r="S167" s="10">
        <f t="shared" si="151"/>
        <v>2125</v>
      </c>
      <c r="T167" s="10">
        <f t="shared" si="151"/>
        <v>2125</v>
      </c>
      <c r="U167" s="33">
        <f t="shared" si="151"/>
        <v>2125</v>
      </c>
      <c r="V167" s="10">
        <f t="shared" ref="V167:AG167" si="152">V41/$H41*$H167</f>
        <v>2125</v>
      </c>
      <c r="W167" s="10">
        <f t="shared" si="152"/>
        <v>2125</v>
      </c>
      <c r="X167" s="10">
        <f t="shared" si="152"/>
        <v>2125</v>
      </c>
      <c r="Y167" s="10">
        <f t="shared" si="152"/>
        <v>2125</v>
      </c>
      <c r="Z167" s="10">
        <f t="shared" si="152"/>
        <v>2125</v>
      </c>
      <c r="AA167" s="10">
        <f t="shared" si="152"/>
        <v>2125</v>
      </c>
      <c r="AB167" s="10">
        <f t="shared" si="152"/>
        <v>2125</v>
      </c>
      <c r="AC167" s="10">
        <f t="shared" si="152"/>
        <v>2125</v>
      </c>
      <c r="AD167" s="10">
        <f t="shared" si="152"/>
        <v>2125</v>
      </c>
      <c r="AE167" s="10">
        <f t="shared" si="152"/>
        <v>2125</v>
      </c>
      <c r="AF167" s="10">
        <f t="shared" si="152"/>
        <v>2125</v>
      </c>
      <c r="AG167" s="33">
        <f t="shared" si="152"/>
        <v>2125</v>
      </c>
    </row>
    <row r="168" spans="3:33" x14ac:dyDescent="0.2">
      <c r="C168" t="s">
        <v>121</v>
      </c>
      <c r="D168" t="s">
        <v>99</v>
      </c>
      <c r="E168" s="64">
        <f>_xlfn.XLOOKUP($C168,'Corporate Roster - ''24'!$C$6:$C$60,'Corporate Roster - ''24'!$E$6:$E$60)</f>
        <v>44972</v>
      </c>
      <c r="F168" s="64" t="str">
        <f>_xlfn.XLOOKUP($C168,'Corporate Roster - ''24'!$C$6:$C$60,'Corporate Roster - ''24'!$F$6:$F$60)</f>
        <v>-</v>
      </c>
      <c r="G168" s="32">
        <f t="shared" si="92"/>
        <v>24000</v>
      </c>
      <c r="H168" s="33">
        <f>_xlfn.XLOOKUP($C168,'Corporate Roster - ''24'!$C$6:$C$60,'Corporate Roster - ''24'!$J$6:$J$60)</f>
        <v>24000</v>
      </c>
      <c r="J168" s="32">
        <f t="shared" ref="J168:U168" si="153">J42/$G42*$G168</f>
        <v>0</v>
      </c>
      <c r="K168" s="10">
        <f t="shared" si="153"/>
        <v>2000.0000000000002</v>
      </c>
      <c r="L168" s="10">
        <f t="shared" si="153"/>
        <v>2000.0000000000002</v>
      </c>
      <c r="M168" s="10">
        <f t="shared" si="153"/>
        <v>2000.0000000000002</v>
      </c>
      <c r="N168" s="10">
        <f t="shared" si="153"/>
        <v>2000.0000000000002</v>
      </c>
      <c r="O168" s="10">
        <f t="shared" si="153"/>
        <v>2000.0000000000002</v>
      </c>
      <c r="P168" s="10">
        <f t="shared" si="153"/>
        <v>2000.0000000000002</v>
      </c>
      <c r="Q168" s="10">
        <f t="shared" si="153"/>
        <v>2000.0000000000002</v>
      </c>
      <c r="R168" s="10">
        <f t="shared" si="153"/>
        <v>2000.0000000000002</v>
      </c>
      <c r="S168" s="10">
        <f t="shared" si="153"/>
        <v>2000.0000000000002</v>
      </c>
      <c r="T168" s="10">
        <f t="shared" si="153"/>
        <v>2000.0000000000002</v>
      </c>
      <c r="U168" s="33">
        <f t="shared" si="153"/>
        <v>2000.0000000000002</v>
      </c>
      <c r="V168" s="10">
        <f t="shared" ref="V168:AG168" si="154">V42/$H42*$H168</f>
        <v>2000.0000000000002</v>
      </c>
      <c r="W168" s="10">
        <f t="shared" si="154"/>
        <v>2000.0000000000002</v>
      </c>
      <c r="X168" s="10">
        <f t="shared" si="154"/>
        <v>2000.0000000000002</v>
      </c>
      <c r="Y168" s="10">
        <f t="shared" si="154"/>
        <v>2000.0000000000002</v>
      </c>
      <c r="Z168" s="10">
        <f t="shared" si="154"/>
        <v>2000.0000000000002</v>
      </c>
      <c r="AA168" s="10">
        <f t="shared" si="154"/>
        <v>2000.0000000000002</v>
      </c>
      <c r="AB168" s="10">
        <f t="shared" si="154"/>
        <v>2000.0000000000002</v>
      </c>
      <c r="AC168" s="10">
        <f t="shared" si="154"/>
        <v>2000.0000000000002</v>
      </c>
      <c r="AD168" s="10">
        <f t="shared" si="154"/>
        <v>2000.0000000000002</v>
      </c>
      <c r="AE168" s="10">
        <f t="shared" si="154"/>
        <v>2000.0000000000002</v>
      </c>
      <c r="AF168" s="10">
        <f t="shared" si="154"/>
        <v>2000.0000000000002</v>
      </c>
      <c r="AG168" s="33">
        <f t="shared" si="154"/>
        <v>2000.0000000000002</v>
      </c>
    </row>
    <row r="169" spans="3:33" x14ac:dyDescent="0.2">
      <c r="C169" t="s">
        <v>151</v>
      </c>
      <c r="D169" t="s">
        <v>90</v>
      </c>
      <c r="E169" s="64">
        <f>_xlfn.XLOOKUP($C169,'Corporate Roster - ''24'!$C$6:$C$60,'Corporate Roster - ''24'!$E$6:$E$60)</f>
        <v>42189</v>
      </c>
      <c r="F169" s="64" t="str">
        <f>_xlfn.XLOOKUP($C169,'Corporate Roster - ''24'!$C$6:$C$60,'Corporate Roster - ''24'!$F$6:$F$60)</f>
        <v>-</v>
      </c>
      <c r="G169" s="32">
        <f t="shared" si="92"/>
        <v>39000</v>
      </c>
      <c r="H169" s="33">
        <f>_xlfn.XLOOKUP($C169,'Corporate Roster - ''24'!$C$6:$C$60,'Corporate Roster - ''24'!$J$6:$J$60)</f>
        <v>39000</v>
      </c>
      <c r="J169" s="32">
        <f t="shared" ref="J169:U169" si="155">J43/$G43*$G169</f>
        <v>3250</v>
      </c>
      <c r="K169" s="10">
        <f t="shared" si="155"/>
        <v>3250</v>
      </c>
      <c r="L169" s="10">
        <f t="shared" si="155"/>
        <v>3250</v>
      </c>
      <c r="M169" s="10">
        <f t="shared" si="155"/>
        <v>3250</v>
      </c>
      <c r="N169" s="10">
        <f t="shared" si="155"/>
        <v>3250</v>
      </c>
      <c r="O169" s="10">
        <f t="shared" si="155"/>
        <v>3250</v>
      </c>
      <c r="P169" s="10">
        <f t="shared" si="155"/>
        <v>3250</v>
      </c>
      <c r="Q169" s="10">
        <f t="shared" si="155"/>
        <v>3250</v>
      </c>
      <c r="R169" s="10">
        <f t="shared" si="155"/>
        <v>3250</v>
      </c>
      <c r="S169" s="10">
        <f t="shared" si="155"/>
        <v>3250</v>
      </c>
      <c r="T169" s="10">
        <f t="shared" si="155"/>
        <v>3250</v>
      </c>
      <c r="U169" s="33">
        <f t="shared" si="155"/>
        <v>3250</v>
      </c>
      <c r="V169" s="10">
        <f t="shared" ref="V169:AG169" si="156">V43/$H43*$H169</f>
        <v>3250.0000000000005</v>
      </c>
      <c r="W169" s="10">
        <f t="shared" si="156"/>
        <v>3250.0000000000005</v>
      </c>
      <c r="X169" s="10">
        <f t="shared" si="156"/>
        <v>3250.0000000000005</v>
      </c>
      <c r="Y169" s="10">
        <f t="shared" si="156"/>
        <v>3250.0000000000005</v>
      </c>
      <c r="Z169" s="10">
        <f t="shared" si="156"/>
        <v>3250.0000000000005</v>
      </c>
      <c r="AA169" s="10">
        <f t="shared" si="156"/>
        <v>3250.0000000000005</v>
      </c>
      <c r="AB169" s="10">
        <f t="shared" si="156"/>
        <v>3250.0000000000005</v>
      </c>
      <c r="AC169" s="10">
        <f t="shared" si="156"/>
        <v>3250.0000000000005</v>
      </c>
      <c r="AD169" s="10">
        <f t="shared" si="156"/>
        <v>3250.0000000000005</v>
      </c>
      <c r="AE169" s="10">
        <f t="shared" si="156"/>
        <v>3250.0000000000005</v>
      </c>
      <c r="AF169" s="10">
        <f t="shared" si="156"/>
        <v>3250.0000000000005</v>
      </c>
      <c r="AG169" s="33">
        <f t="shared" si="156"/>
        <v>3250.0000000000005</v>
      </c>
    </row>
    <row r="170" spans="3:33" x14ac:dyDescent="0.2">
      <c r="C170" t="s">
        <v>123</v>
      </c>
      <c r="D170" t="s">
        <v>99</v>
      </c>
      <c r="E170" s="64">
        <f>_xlfn.XLOOKUP($C170,'Corporate Roster - ''24'!$C$6:$C$60,'Corporate Roster - ''24'!$E$6:$E$60)</f>
        <v>44716</v>
      </c>
      <c r="F170" s="64" t="str">
        <f>_xlfn.XLOOKUP($C170,'Corporate Roster - ''24'!$C$6:$C$60,'Corporate Roster - ''24'!$F$6:$F$60)</f>
        <v>-</v>
      </c>
      <c r="G170" s="32">
        <f t="shared" si="92"/>
        <v>24000</v>
      </c>
      <c r="H170" s="33">
        <f>_xlfn.XLOOKUP($C170,'Corporate Roster - ''24'!$C$6:$C$60,'Corporate Roster - ''24'!$J$6:$J$60)</f>
        <v>24000</v>
      </c>
      <c r="J170" s="32">
        <f t="shared" ref="J170:U170" si="157">J44/$G44*$G170</f>
        <v>2000.0000000000002</v>
      </c>
      <c r="K170" s="10">
        <f t="shared" si="157"/>
        <v>2000.0000000000002</v>
      </c>
      <c r="L170" s="10">
        <f t="shared" si="157"/>
        <v>2000.0000000000002</v>
      </c>
      <c r="M170" s="10">
        <f t="shared" si="157"/>
        <v>2000.0000000000002</v>
      </c>
      <c r="N170" s="10">
        <f t="shared" si="157"/>
        <v>2000.0000000000002</v>
      </c>
      <c r="O170" s="10">
        <f t="shared" si="157"/>
        <v>2000.0000000000002</v>
      </c>
      <c r="P170" s="10">
        <f t="shared" si="157"/>
        <v>2000.0000000000002</v>
      </c>
      <c r="Q170" s="10">
        <f t="shared" si="157"/>
        <v>2000.0000000000002</v>
      </c>
      <c r="R170" s="10">
        <f t="shared" si="157"/>
        <v>2000.0000000000002</v>
      </c>
      <c r="S170" s="10">
        <f t="shared" si="157"/>
        <v>2000.0000000000002</v>
      </c>
      <c r="T170" s="10">
        <f t="shared" si="157"/>
        <v>2000.0000000000002</v>
      </c>
      <c r="U170" s="33">
        <f t="shared" si="157"/>
        <v>2000.0000000000002</v>
      </c>
      <c r="V170" s="10">
        <f t="shared" ref="V170:AG170" si="158">V44/$H44*$H170</f>
        <v>2000.0000000000002</v>
      </c>
      <c r="W170" s="10">
        <f t="shared" si="158"/>
        <v>2000.0000000000002</v>
      </c>
      <c r="X170" s="10">
        <f t="shared" si="158"/>
        <v>2000.0000000000002</v>
      </c>
      <c r="Y170" s="10">
        <f t="shared" si="158"/>
        <v>2000.0000000000002</v>
      </c>
      <c r="Z170" s="10">
        <f t="shared" si="158"/>
        <v>2000.0000000000002</v>
      </c>
      <c r="AA170" s="10">
        <f t="shared" si="158"/>
        <v>2000.0000000000002</v>
      </c>
      <c r="AB170" s="10">
        <f t="shared" si="158"/>
        <v>2000.0000000000002</v>
      </c>
      <c r="AC170" s="10">
        <f t="shared" si="158"/>
        <v>2000.0000000000002</v>
      </c>
      <c r="AD170" s="10">
        <f t="shared" si="158"/>
        <v>2000.0000000000002</v>
      </c>
      <c r="AE170" s="10">
        <f t="shared" si="158"/>
        <v>2000.0000000000002</v>
      </c>
      <c r="AF170" s="10">
        <f t="shared" si="158"/>
        <v>2000.0000000000002</v>
      </c>
      <c r="AG170" s="33">
        <f t="shared" si="158"/>
        <v>2000.0000000000002</v>
      </c>
    </row>
    <row r="171" spans="3:33" x14ac:dyDescent="0.2">
      <c r="C171" t="s">
        <v>124</v>
      </c>
      <c r="D171" t="s">
        <v>99</v>
      </c>
      <c r="E171" s="64">
        <f>_xlfn.XLOOKUP($C171,'Corporate Roster - ''24'!$C$6:$C$60,'Corporate Roster - ''24'!$E$6:$E$60)</f>
        <v>38697</v>
      </c>
      <c r="F171" s="64" t="str">
        <f>_xlfn.XLOOKUP($C171,'Corporate Roster - ''24'!$C$6:$C$60,'Corporate Roster - ''24'!$F$6:$F$60)</f>
        <v>-</v>
      </c>
      <c r="G171" s="32">
        <f t="shared" si="92"/>
        <v>24000</v>
      </c>
      <c r="H171" s="33">
        <f>_xlfn.XLOOKUP($C171,'Corporate Roster - ''24'!$C$6:$C$60,'Corporate Roster - ''24'!$J$6:$J$60)</f>
        <v>24000</v>
      </c>
      <c r="J171" s="32">
        <f t="shared" ref="J171:U171" si="159">J45/$G45*$G171</f>
        <v>2000.0000000000002</v>
      </c>
      <c r="K171" s="10">
        <f t="shared" si="159"/>
        <v>2000.0000000000002</v>
      </c>
      <c r="L171" s="10">
        <f t="shared" si="159"/>
        <v>2000.0000000000002</v>
      </c>
      <c r="M171" s="10">
        <f t="shared" si="159"/>
        <v>2000.0000000000002</v>
      </c>
      <c r="N171" s="10">
        <f t="shared" si="159"/>
        <v>2000.0000000000002</v>
      </c>
      <c r="O171" s="10">
        <f t="shared" si="159"/>
        <v>2000.0000000000002</v>
      </c>
      <c r="P171" s="10">
        <f t="shared" si="159"/>
        <v>2000.0000000000002</v>
      </c>
      <c r="Q171" s="10">
        <f t="shared" si="159"/>
        <v>2000.0000000000002</v>
      </c>
      <c r="R171" s="10">
        <f t="shared" si="159"/>
        <v>2000.0000000000002</v>
      </c>
      <c r="S171" s="10">
        <f t="shared" si="159"/>
        <v>2000.0000000000002</v>
      </c>
      <c r="T171" s="10">
        <f t="shared" si="159"/>
        <v>2000.0000000000002</v>
      </c>
      <c r="U171" s="33">
        <f t="shared" si="159"/>
        <v>2000.0000000000002</v>
      </c>
      <c r="V171" s="10">
        <f t="shared" ref="V171:AG171" si="160">V45/$H45*$H171</f>
        <v>2000.0000000000002</v>
      </c>
      <c r="W171" s="10">
        <f t="shared" si="160"/>
        <v>2000.0000000000002</v>
      </c>
      <c r="X171" s="10">
        <f t="shared" si="160"/>
        <v>2000.0000000000002</v>
      </c>
      <c r="Y171" s="10">
        <f t="shared" si="160"/>
        <v>2000.0000000000002</v>
      </c>
      <c r="Z171" s="10">
        <f t="shared" si="160"/>
        <v>2000.0000000000002</v>
      </c>
      <c r="AA171" s="10">
        <f t="shared" si="160"/>
        <v>2000.0000000000002</v>
      </c>
      <c r="AB171" s="10">
        <f t="shared" si="160"/>
        <v>2000.0000000000002</v>
      </c>
      <c r="AC171" s="10">
        <f t="shared" si="160"/>
        <v>2000.0000000000002</v>
      </c>
      <c r="AD171" s="10">
        <f t="shared" si="160"/>
        <v>2000.0000000000002</v>
      </c>
      <c r="AE171" s="10">
        <f t="shared" si="160"/>
        <v>2000.0000000000002</v>
      </c>
      <c r="AF171" s="10">
        <f t="shared" si="160"/>
        <v>2000.0000000000002</v>
      </c>
      <c r="AG171" s="33">
        <f t="shared" si="160"/>
        <v>2000.0000000000002</v>
      </c>
    </row>
    <row r="172" spans="3:33" x14ac:dyDescent="0.2">
      <c r="C172" t="s">
        <v>125</v>
      </c>
      <c r="D172" t="s">
        <v>99</v>
      </c>
      <c r="E172" s="64">
        <f>_xlfn.XLOOKUP($C172,'Corporate Roster - ''24'!$C$6:$C$60,'Corporate Roster - ''24'!$E$6:$E$60)</f>
        <v>43863</v>
      </c>
      <c r="F172" s="64" t="str">
        <f>_xlfn.XLOOKUP($C172,'Corporate Roster - ''24'!$C$6:$C$60,'Corporate Roster - ''24'!$F$6:$F$60)</f>
        <v>-</v>
      </c>
      <c r="G172" s="32">
        <f t="shared" si="92"/>
        <v>24000</v>
      </c>
      <c r="H172" s="33">
        <f>_xlfn.XLOOKUP($C172,'Corporate Roster - ''24'!$C$6:$C$60,'Corporate Roster - ''24'!$J$6:$J$60)</f>
        <v>24000</v>
      </c>
      <c r="J172" s="32">
        <f t="shared" ref="J172:U172" si="161">J46/$G46*$G172</f>
        <v>2000</v>
      </c>
      <c r="K172" s="10">
        <f t="shared" si="161"/>
        <v>2000</v>
      </c>
      <c r="L172" s="10">
        <f t="shared" si="161"/>
        <v>2000</v>
      </c>
      <c r="M172" s="10">
        <f t="shared" si="161"/>
        <v>2000</v>
      </c>
      <c r="N172" s="10">
        <f t="shared" si="161"/>
        <v>2000</v>
      </c>
      <c r="O172" s="10">
        <f t="shared" si="161"/>
        <v>2000</v>
      </c>
      <c r="P172" s="10">
        <f t="shared" si="161"/>
        <v>2000</v>
      </c>
      <c r="Q172" s="10">
        <f t="shared" si="161"/>
        <v>2000</v>
      </c>
      <c r="R172" s="10">
        <f t="shared" si="161"/>
        <v>2000</v>
      </c>
      <c r="S172" s="10">
        <f t="shared" si="161"/>
        <v>2000</v>
      </c>
      <c r="T172" s="10">
        <f t="shared" si="161"/>
        <v>2000</v>
      </c>
      <c r="U172" s="33">
        <f t="shared" si="161"/>
        <v>2000</v>
      </c>
      <c r="V172" s="10">
        <f t="shared" ref="V172:AG172" si="162">V46/$H46*$H172</f>
        <v>2000.0000000000002</v>
      </c>
      <c r="W172" s="10">
        <f t="shared" si="162"/>
        <v>2000.0000000000002</v>
      </c>
      <c r="X172" s="10">
        <f t="shared" si="162"/>
        <v>2000.0000000000002</v>
      </c>
      <c r="Y172" s="10">
        <f t="shared" si="162"/>
        <v>2000.0000000000002</v>
      </c>
      <c r="Z172" s="10">
        <f t="shared" si="162"/>
        <v>2000.0000000000002</v>
      </c>
      <c r="AA172" s="10">
        <f t="shared" si="162"/>
        <v>2000.0000000000002</v>
      </c>
      <c r="AB172" s="10">
        <f t="shared" si="162"/>
        <v>2000.0000000000002</v>
      </c>
      <c r="AC172" s="10">
        <f t="shared" si="162"/>
        <v>2000.0000000000002</v>
      </c>
      <c r="AD172" s="10">
        <f t="shared" si="162"/>
        <v>2000.0000000000002</v>
      </c>
      <c r="AE172" s="10">
        <f t="shared" si="162"/>
        <v>2000.0000000000002</v>
      </c>
      <c r="AF172" s="10">
        <f t="shared" si="162"/>
        <v>2000.0000000000002</v>
      </c>
      <c r="AG172" s="33">
        <f t="shared" si="162"/>
        <v>2000.0000000000002</v>
      </c>
    </row>
    <row r="173" spans="3:33" x14ac:dyDescent="0.2">
      <c r="C173" t="s">
        <v>126</v>
      </c>
      <c r="D173" t="s">
        <v>110</v>
      </c>
      <c r="E173" s="64">
        <f>_xlfn.XLOOKUP($C173,'Corporate Roster - ''24'!$C$6:$C$60,'Corporate Roster - ''24'!$E$6:$E$60)</f>
        <v>40847</v>
      </c>
      <c r="F173" s="64" t="str">
        <f>_xlfn.XLOOKUP($C173,'Corporate Roster - ''24'!$C$6:$C$60,'Corporate Roster - ''24'!$F$6:$F$60)</f>
        <v>-</v>
      </c>
      <c r="G173" s="32">
        <f t="shared" si="92"/>
        <v>25500</v>
      </c>
      <c r="H173" s="33">
        <f>_xlfn.XLOOKUP($C173,'Corporate Roster - ''24'!$C$6:$C$60,'Corporate Roster - ''24'!$J$6:$J$60)</f>
        <v>25500</v>
      </c>
      <c r="J173" s="32">
        <f t="shared" ref="J173:U173" si="163">J47/$G47*$G173</f>
        <v>2125</v>
      </c>
      <c r="K173" s="10">
        <f t="shared" si="163"/>
        <v>2125</v>
      </c>
      <c r="L173" s="10">
        <f t="shared" si="163"/>
        <v>2125</v>
      </c>
      <c r="M173" s="10">
        <f t="shared" si="163"/>
        <v>2125</v>
      </c>
      <c r="N173" s="10">
        <f t="shared" si="163"/>
        <v>2125</v>
      </c>
      <c r="O173" s="10">
        <f t="shared" si="163"/>
        <v>2125</v>
      </c>
      <c r="P173" s="10">
        <f t="shared" si="163"/>
        <v>2125</v>
      </c>
      <c r="Q173" s="10">
        <f t="shared" si="163"/>
        <v>2125</v>
      </c>
      <c r="R173" s="10">
        <f t="shared" si="163"/>
        <v>2125</v>
      </c>
      <c r="S173" s="10">
        <f t="shared" si="163"/>
        <v>2125</v>
      </c>
      <c r="T173" s="10">
        <f t="shared" si="163"/>
        <v>2125</v>
      </c>
      <c r="U173" s="33">
        <f t="shared" si="163"/>
        <v>2125</v>
      </c>
      <c r="V173" s="10">
        <f t="shared" ref="V173:AG173" si="164">V47/$H47*$H173</f>
        <v>2125</v>
      </c>
      <c r="W173" s="10">
        <f t="shared" si="164"/>
        <v>2125</v>
      </c>
      <c r="X173" s="10">
        <f t="shared" si="164"/>
        <v>2125</v>
      </c>
      <c r="Y173" s="10">
        <f t="shared" si="164"/>
        <v>2125</v>
      </c>
      <c r="Z173" s="10">
        <f t="shared" si="164"/>
        <v>2125</v>
      </c>
      <c r="AA173" s="10">
        <f t="shared" si="164"/>
        <v>2125</v>
      </c>
      <c r="AB173" s="10">
        <f t="shared" si="164"/>
        <v>2125</v>
      </c>
      <c r="AC173" s="10">
        <f t="shared" si="164"/>
        <v>2125</v>
      </c>
      <c r="AD173" s="10">
        <f t="shared" si="164"/>
        <v>2125</v>
      </c>
      <c r="AE173" s="10">
        <f t="shared" si="164"/>
        <v>2125</v>
      </c>
      <c r="AF173" s="10">
        <f t="shared" si="164"/>
        <v>2125</v>
      </c>
      <c r="AG173" s="33">
        <f t="shared" si="164"/>
        <v>2125</v>
      </c>
    </row>
    <row r="174" spans="3:33" x14ac:dyDescent="0.2">
      <c r="C174" t="s">
        <v>127</v>
      </c>
      <c r="D174" t="s">
        <v>110</v>
      </c>
      <c r="E174" s="64">
        <f>_xlfn.XLOOKUP($C174,'Corporate Roster - ''24'!$C$6:$C$60,'Corporate Roster - ''24'!$E$6:$E$60)</f>
        <v>39385</v>
      </c>
      <c r="F174" s="64" t="str">
        <f>_xlfn.XLOOKUP($C174,'Corporate Roster - ''24'!$C$6:$C$60,'Corporate Roster - ''24'!$F$6:$F$60)</f>
        <v>-</v>
      </c>
      <c r="G174" s="32">
        <f t="shared" si="92"/>
        <v>25500</v>
      </c>
      <c r="H174" s="33">
        <f>_xlfn.XLOOKUP($C174,'Corporate Roster - ''24'!$C$6:$C$60,'Corporate Roster - ''24'!$J$6:$J$60)</f>
        <v>25500</v>
      </c>
      <c r="J174" s="32">
        <f t="shared" ref="J174:U174" si="165">J48/$G48*$G174</f>
        <v>2125</v>
      </c>
      <c r="K174" s="10">
        <f t="shared" si="165"/>
        <v>2125</v>
      </c>
      <c r="L174" s="10">
        <f t="shared" si="165"/>
        <v>2125</v>
      </c>
      <c r="M174" s="10">
        <f t="shared" si="165"/>
        <v>2125</v>
      </c>
      <c r="N174" s="10">
        <f t="shared" si="165"/>
        <v>2125</v>
      </c>
      <c r="O174" s="10">
        <f t="shared" si="165"/>
        <v>2125</v>
      </c>
      <c r="P174" s="10">
        <f t="shared" si="165"/>
        <v>2125</v>
      </c>
      <c r="Q174" s="10">
        <f t="shared" si="165"/>
        <v>2125</v>
      </c>
      <c r="R174" s="10">
        <f t="shared" si="165"/>
        <v>2125</v>
      </c>
      <c r="S174" s="10">
        <f t="shared" si="165"/>
        <v>2125</v>
      </c>
      <c r="T174" s="10">
        <f t="shared" si="165"/>
        <v>2125</v>
      </c>
      <c r="U174" s="33">
        <f t="shared" si="165"/>
        <v>2125</v>
      </c>
      <c r="V174" s="10">
        <f t="shared" ref="V174:AG174" si="166">V48/$H48*$H174</f>
        <v>2125</v>
      </c>
      <c r="W174" s="10">
        <f t="shared" si="166"/>
        <v>2125</v>
      </c>
      <c r="X174" s="10">
        <f t="shared" si="166"/>
        <v>2125</v>
      </c>
      <c r="Y174" s="10">
        <f t="shared" si="166"/>
        <v>2125</v>
      </c>
      <c r="Z174" s="10">
        <f t="shared" si="166"/>
        <v>2125</v>
      </c>
      <c r="AA174" s="10">
        <f t="shared" si="166"/>
        <v>2125</v>
      </c>
      <c r="AB174" s="10">
        <f t="shared" si="166"/>
        <v>2125</v>
      </c>
      <c r="AC174" s="10">
        <f t="shared" si="166"/>
        <v>2125</v>
      </c>
      <c r="AD174" s="10">
        <f t="shared" si="166"/>
        <v>2125</v>
      </c>
      <c r="AE174" s="10">
        <f t="shared" si="166"/>
        <v>2125</v>
      </c>
      <c r="AF174" s="10">
        <f t="shared" si="166"/>
        <v>2125</v>
      </c>
      <c r="AG174" s="33">
        <f t="shared" si="166"/>
        <v>2125</v>
      </c>
    </row>
    <row r="175" spans="3:33" x14ac:dyDescent="0.2">
      <c r="C175" t="s">
        <v>128</v>
      </c>
      <c r="D175" t="s">
        <v>90</v>
      </c>
      <c r="E175" s="64">
        <f>_xlfn.XLOOKUP($C175,'Corporate Roster - ''24'!$C$6:$C$60,'Corporate Roster - ''24'!$E$6:$E$60)</f>
        <v>39936</v>
      </c>
      <c r="F175" s="64" t="str">
        <f>_xlfn.XLOOKUP($C175,'Corporate Roster - ''24'!$C$6:$C$60,'Corporate Roster - ''24'!$F$6:$F$60)</f>
        <v>-</v>
      </c>
      <c r="G175" s="32">
        <f>(MROUND(H175*0.95,1000))</f>
        <v>37000</v>
      </c>
      <c r="H175" s="33">
        <f>_xlfn.XLOOKUP($C175,'Corporate Roster - ''24'!$C$6:$C$60,'Corporate Roster - ''24'!$J$6:$J$60)</f>
        <v>39000</v>
      </c>
      <c r="J175" s="32">
        <f t="shared" ref="J175:U175" si="167">J49/$G49*$G175</f>
        <v>3083.3333333333335</v>
      </c>
      <c r="K175" s="10">
        <f t="shared" si="167"/>
        <v>3083.3333333333335</v>
      </c>
      <c r="L175" s="10">
        <f t="shared" si="167"/>
        <v>3083.3333333333335</v>
      </c>
      <c r="M175" s="10">
        <f t="shared" si="167"/>
        <v>3083.3333333333335</v>
      </c>
      <c r="N175" s="10">
        <f t="shared" si="167"/>
        <v>3083.3333333333335</v>
      </c>
      <c r="O175" s="10">
        <f t="shared" si="167"/>
        <v>3083.3333333333335</v>
      </c>
      <c r="P175" s="10">
        <f t="shared" si="167"/>
        <v>3083.3333333333335</v>
      </c>
      <c r="Q175" s="10">
        <f t="shared" si="167"/>
        <v>3083.3333333333335</v>
      </c>
      <c r="R175" s="10">
        <f t="shared" si="167"/>
        <v>3083.3333333333335</v>
      </c>
      <c r="S175" s="10">
        <f t="shared" si="167"/>
        <v>3083.3333333333335</v>
      </c>
      <c r="T175" s="10">
        <f t="shared" si="167"/>
        <v>3083.3333333333335</v>
      </c>
      <c r="U175" s="33">
        <f t="shared" si="167"/>
        <v>3083.3333333333335</v>
      </c>
      <c r="V175" s="10">
        <f t="shared" ref="V175:AG175" si="168">V49/$H49*$H175</f>
        <v>3250.0000000000005</v>
      </c>
      <c r="W175" s="10">
        <f t="shared" si="168"/>
        <v>3250.0000000000005</v>
      </c>
      <c r="X175" s="10">
        <f t="shared" si="168"/>
        <v>3250.0000000000005</v>
      </c>
      <c r="Y175" s="10">
        <f t="shared" si="168"/>
        <v>3250.0000000000005</v>
      </c>
      <c r="Z175" s="10">
        <f t="shared" si="168"/>
        <v>3250.0000000000005</v>
      </c>
      <c r="AA175" s="10">
        <f t="shared" si="168"/>
        <v>3250.0000000000005</v>
      </c>
      <c r="AB175" s="10">
        <f t="shared" si="168"/>
        <v>3250.0000000000005</v>
      </c>
      <c r="AC175" s="10">
        <f t="shared" si="168"/>
        <v>3250.0000000000005</v>
      </c>
      <c r="AD175" s="10">
        <f t="shared" si="168"/>
        <v>3250.0000000000005</v>
      </c>
      <c r="AE175" s="10">
        <f t="shared" si="168"/>
        <v>3250.0000000000005</v>
      </c>
      <c r="AF175" s="10">
        <f t="shared" si="168"/>
        <v>3250.0000000000005</v>
      </c>
      <c r="AG175" s="33">
        <f t="shared" si="168"/>
        <v>3250.0000000000005</v>
      </c>
    </row>
    <row r="176" spans="3:33" x14ac:dyDescent="0.2">
      <c r="C176" t="s">
        <v>129</v>
      </c>
      <c r="D176" t="s">
        <v>99</v>
      </c>
      <c r="E176" s="64">
        <f>_xlfn.XLOOKUP($C176,'Corporate Roster - ''24'!$C$6:$C$60,'Corporate Roster - ''24'!$E$6:$E$60)</f>
        <v>43887</v>
      </c>
      <c r="F176" s="64" t="str">
        <f>_xlfn.XLOOKUP($C176,'Corporate Roster - ''24'!$C$6:$C$60,'Corporate Roster - ''24'!$F$6:$F$60)</f>
        <v>-</v>
      </c>
      <c r="G176" s="32">
        <f t="shared" si="92"/>
        <v>24000</v>
      </c>
      <c r="H176" s="33">
        <f>_xlfn.XLOOKUP($C176,'Corporate Roster - ''24'!$C$6:$C$60,'Corporate Roster - ''24'!$J$6:$J$60)</f>
        <v>24000</v>
      </c>
      <c r="J176" s="32">
        <f t="shared" ref="J176:U176" si="169">J50/$G50*$G176</f>
        <v>2000.0000000000002</v>
      </c>
      <c r="K176" s="10">
        <f t="shared" si="169"/>
        <v>2000.0000000000002</v>
      </c>
      <c r="L176" s="10">
        <f t="shared" si="169"/>
        <v>2000.0000000000002</v>
      </c>
      <c r="M176" s="10">
        <f t="shared" si="169"/>
        <v>2000.0000000000002</v>
      </c>
      <c r="N176" s="10">
        <f t="shared" si="169"/>
        <v>2000.0000000000002</v>
      </c>
      <c r="O176" s="10">
        <f t="shared" si="169"/>
        <v>2000.0000000000002</v>
      </c>
      <c r="P176" s="10">
        <f t="shared" si="169"/>
        <v>2000.0000000000002</v>
      </c>
      <c r="Q176" s="10">
        <f t="shared" si="169"/>
        <v>2000.0000000000002</v>
      </c>
      <c r="R176" s="10">
        <f t="shared" si="169"/>
        <v>2000.0000000000002</v>
      </c>
      <c r="S176" s="10">
        <f t="shared" si="169"/>
        <v>2000.0000000000002</v>
      </c>
      <c r="T176" s="10">
        <f t="shared" si="169"/>
        <v>2000.0000000000002</v>
      </c>
      <c r="U176" s="33">
        <f t="shared" si="169"/>
        <v>2000.0000000000002</v>
      </c>
      <c r="V176" s="10">
        <f t="shared" ref="V176:AG176" si="170">V50/$H50*$H176</f>
        <v>2000.0000000000002</v>
      </c>
      <c r="W176" s="10">
        <f t="shared" si="170"/>
        <v>2000.0000000000002</v>
      </c>
      <c r="X176" s="10">
        <f t="shared" si="170"/>
        <v>2000.0000000000002</v>
      </c>
      <c r="Y176" s="10">
        <f t="shared" si="170"/>
        <v>2000.0000000000002</v>
      </c>
      <c r="Z176" s="10">
        <f t="shared" si="170"/>
        <v>2000.0000000000002</v>
      </c>
      <c r="AA176" s="10">
        <f t="shared" si="170"/>
        <v>2000.0000000000002</v>
      </c>
      <c r="AB176" s="10">
        <f t="shared" si="170"/>
        <v>2000.0000000000002</v>
      </c>
      <c r="AC176" s="10">
        <f t="shared" si="170"/>
        <v>2000.0000000000002</v>
      </c>
      <c r="AD176" s="10">
        <f t="shared" si="170"/>
        <v>2000.0000000000002</v>
      </c>
      <c r="AE176" s="10">
        <f t="shared" si="170"/>
        <v>2000.0000000000002</v>
      </c>
      <c r="AF176" s="10">
        <f t="shared" si="170"/>
        <v>2000.0000000000002</v>
      </c>
      <c r="AG176" s="33">
        <f t="shared" si="170"/>
        <v>2000.0000000000002</v>
      </c>
    </row>
    <row r="177" spans="2:34" x14ac:dyDescent="0.2">
      <c r="C177" t="s">
        <v>122</v>
      </c>
      <c r="D177" t="s">
        <v>99</v>
      </c>
      <c r="E177" s="64">
        <f>_xlfn.XLOOKUP($C177,'Corporate Roster - ''24'!$C$6:$C$60,'Corporate Roster - ''24'!$E$6:$E$60)</f>
        <v>44041</v>
      </c>
      <c r="F177" s="64" t="str">
        <f>_xlfn.XLOOKUP($C177,'Corporate Roster - ''24'!$C$6:$C$60,'Corporate Roster - ''24'!$F$6:$F$60)</f>
        <v>-</v>
      </c>
      <c r="G177" s="32">
        <f t="shared" si="92"/>
        <v>24000</v>
      </c>
      <c r="H177" s="33">
        <f>_xlfn.XLOOKUP($C177,'Corporate Roster - ''24'!$C$6:$C$60,'Corporate Roster - ''24'!$J$6:$J$60)</f>
        <v>24000</v>
      </c>
      <c r="J177" s="32">
        <f t="shared" ref="J177:U177" si="171">J51/$G51*$G177</f>
        <v>2000.0000000000002</v>
      </c>
      <c r="K177" s="10">
        <f t="shared" si="171"/>
        <v>2000.0000000000002</v>
      </c>
      <c r="L177" s="10">
        <f t="shared" si="171"/>
        <v>2000.0000000000002</v>
      </c>
      <c r="M177" s="10">
        <f t="shared" si="171"/>
        <v>2000.0000000000002</v>
      </c>
      <c r="N177" s="10">
        <f t="shared" si="171"/>
        <v>2000.0000000000002</v>
      </c>
      <c r="O177" s="10">
        <f t="shared" si="171"/>
        <v>2000.0000000000002</v>
      </c>
      <c r="P177" s="10">
        <f t="shared" si="171"/>
        <v>2000.0000000000002</v>
      </c>
      <c r="Q177" s="10">
        <f t="shared" si="171"/>
        <v>2000.0000000000002</v>
      </c>
      <c r="R177" s="10">
        <f t="shared" si="171"/>
        <v>2000.0000000000002</v>
      </c>
      <c r="S177" s="10">
        <f t="shared" si="171"/>
        <v>2000.0000000000002</v>
      </c>
      <c r="T177" s="10">
        <f t="shared" si="171"/>
        <v>2000.0000000000002</v>
      </c>
      <c r="U177" s="33">
        <f t="shared" si="171"/>
        <v>2000.0000000000002</v>
      </c>
      <c r="V177" s="10">
        <f t="shared" ref="V177:AG177" si="172">V51/$H51*$H177</f>
        <v>2000.0000000000002</v>
      </c>
      <c r="W177" s="10">
        <f t="shared" si="172"/>
        <v>2000.0000000000002</v>
      </c>
      <c r="X177" s="10">
        <f t="shared" si="172"/>
        <v>2000.0000000000002</v>
      </c>
      <c r="Y177" s="10">
        <f t="shared" si="172"/>
        <v>2000.0000000000002</v>
      </c>
      <c r="Z177" s="10">
        <f t="shared" si="172"/>
        <v>2000.0000000000002</v>
      </c>
      <c r="AA177" s="10">
        <f t="shared" si="172"/>
        <v>2000.0000000000002</v>
      </c>
      <c r="AB177" s="10">
        <f t="shared" si="172"/>
        <v>2000.0000000000002</v>
      </c>
      <c r="AC177" s="10">
        <f t="shared" si="172"/>
        <v>2000.0000000000002</v>
      </c>
      <c r="AD177" s="10">
        <f t="shared" si="172"/>
        <v>2000.0000000000002</v>
      </c>
      <c r="AE177" s="10">
        <f t="shared" si="172"/>
        <v>2000.0000000000002</v>
      </c>
      <c r="AF177" s="10">
        <f t="shared" si="172"/>
        <v>2000.0000000000002</v>
      </c>
      <c r="AG177" s="33">
        <f t="shared" si="172"/>
        <v>2000.0000000000002</v>
      </c>
    </row>
    <row r="178" spans="2:34" x14ac:dyDescent="0.2">
      <c r="C178" t="s">
        <v>130</v>
      </c>
      <c r="D178" t="s">
        <v>74</v>
      </c>
      <c r="E178" s="64">
        <f>_xlfn.XLOOKUP($C178,'Corporate Roster - ''24'!$C$6:$C$60,'Corporate Roster - ''24'!$E$6:$E$60)</f>
        <v>38591</v>
      </c>
      <c r="F178" s="64">
        <f>_xlfn.XLOOKUP($C178,'Corporate Roster - ''24'!$C$6:$C$60,'Corporate Roster - ''24'!$F$6:$F$60)</f>
        <v>45101</v>
      </c>
      <c r="G178" s="32">
        <f t="shared" si="92"/>
        <v>60000</v>
      </c>
      <c r="H178" s="33">
        <f>_xlfn.XLOOKUP($C178,'Corporate Roster - ''24'!$C$6:$C$60,'Corporate Roster - ''24'!$J$6:$J$60)</f>
        <v>60000</v>
      </c>
      <c r="J178" s="32">
        <f t="shared" ref="J178:U178" si="173">J52/$G52*$G178</f>
        <v>5000.0000000000009</v>
      </c>
      <c r="K178" s="10">
        <f t="shared" si="173"/>
        <v>5000.0000000000009</v>
      </c>
      <c r="L178" s="10">
        <f t="shared" si="173"/>
        <v>5000.0000000000009</v>
      </c>
      <c r="M178" s="10">
        <f t="shared" si="173"/>
        <v>5000.0000000000009</v>
      </c>
      <c r="N178" s="10">
        <f t="shared" si="173"/>
        <v>5000.0000000000009</v>
      </c>
      <c r="O178" s="10">
        <f t="shared" si="173"/>
        <v>0</v>
      </c>
      <c r="P178" s="10">
        <f t="shared" si="173"/>
        <v>0</v>
      </c>
      <c r="Q178" s="10">
        <f t="shared" si="173"/>
        <v>0</v>
      </c>
      <c r="R178" s="10">
        <f t="shared" si="173"/>
        <v>0</v>
      </c>
      <c r="S178" s="10">
        <f t="shared" si="173"/>
        <v>0</v>
      </c>
      <c r="T178" s="10">
        <f t="shared" si="173"/>
        <v>0</v>
      </c>
      <c r="U178" s="33">
        <f t="shared" si="173"/>
        <v>0</v>
      </c>
      <c r="V178" s="10">
        <f t="shared" ref="V178:AG178" si="174">V52/$H52*$H178</f>
        <v>0</v>
      </c>
      <c r="W178" s="10">
        <f t="shared" si="174"/>
        <v>0</v>
      </c>
      <c r="X178" s="10">
        <f t="shared" si="174"/>
        <v>0</v>
      </c>
      <c r="Y178" s="10">
        <f t="shared" si="174"/>
        <v>0</v>
      </c>
      <c r="Z178" s="10">
        <f t="shared" si="174"/>
        <v>0</v>
      </c>
      <c r="AA178" s="10">
        <f t="shared" si="174"/>
        <v>0</v>
      </c>
      <c r="AB178" s="10">
        <f t="shared" si="174"/>
        <v>0</v>
      </c>
      <c r="AC178" s="10">
        <f t="shared" si="174"/>
        <v>0</v>
      </c>
      <c r="AD178" s="10">
        <f t="shared" si="174"/>
        <v>0</v>
      </c>
      <c r="AE178" s="10">
        <f t="shared" si="174"/>
        <v>0</v>
      </c>
      <c r="AF178" s="10">
        <f t="shared" si="174"/>
        <v>0</v>
      </c>
      <c r="AG178" s="33">
        <f t="shared" si="174"/>
        <v>0</v>
      </c>
    </row>
    <row r="179" spans="2:34" x14ac:dyDescent="0.2">
      <c r="C179" t="s">
        <v>132</v>
      </c>
      <c r="D179" t="s">
        <v>90</v>
      </c>
      <c r="E179" s="64">
        <f>_xlfn.XLOOKUP($C179,'Corporate Roster - ''24'!$C$6:$C$60,'Corporate Roster - ''24'!$E$6:$E$60)</f>
        <v>43026</v>
      </c>
      <c r="F179" s="64">
        <f>_xlfn.XLOOKUP($C179,'Corporate Roster - ''24'!$C$6:$C$60,'Corporate Roster - ''24'!$F$6:$F$60)</f>
        <v>45110</v>
      </c>
      <c r="G179" s="32">
        <f t="shared" si="92"/>
        <v>39000</v>
      </c>
      <c r="H179" s="33">
        <f>_xlfn.XLOOKUP($C179,'Corporate Roster - ''24'!$C$6:$C$60,'Corporate Roster - ''24'!$J$6:$J$60)</f>
        <v>39000</v>
      </c>
      <c r="J179" s="32">
        <f t="shared" ref="J179:U179" si="175">J53/$G53*$G179</f>
        <v>3250.0000000000005</v>
      </c>
      <c r="K179" s="10">
        <f t="shared" si="175"/>
        <v>3250.0000000000005</v>
      </c>
      <c r="L179" s="10">
        <f t="shared" si="175"/>
        <v>3250.0000000000005</v>
      </c>
      <c r="M179" s="10">
        <f t="shared" si="175"/>
        <v>3250.0000000000005</v>
      </c>
      <c r="N179" s="10">
        <f t="shared" si="175"/>
        <v>3250.0000000000005</v>
      </c>
      <c r="O179" s="10">
        <f t="shared" si="175"/>
        <v>3250.0000000000005</v>
      </c>
      <c r="P179" s="10">
        <f t="shared" si="175"/>
        <v>0</v>
      </c>
      <c r="Q179" s="10">
        <f t="shared" si="175"/>
        <v>0</v>
      </c>
      <c r="R179" s="10">
        <f t="shared" si="175"/>
        <v>0</v>
      </c>
      <c r="S179" s="10">
        <f t="shared" si="175"/>
        <v>0</v>
      </c>
      <c r="T179" s="10">
        <f t="shared" si="175"/>
        <v>0</v>
      </c>
      <c r="U179" s="33">
        <f t="shared" si="175"/>
        <v>0</v>
      </c>
      <c r="V179" s="10">
        <f t="shared" ref="V179:AG179" si="176">V53/$H53*$H179</f>
        <v>0</v>
      </c>
      <c r="W179" s="10">
        <f t="shared" si="176"/>
        <v>0</v>
      </c>
      <c r="X179" s="10">
        <f t="shared" si="176"/>
        <v>0</v>
      </c>
      <c r="Y179" s="10">
        <f t="shared" si="176"/>
        <v>0</v>
      </c>
      <c r="Z179" s="10">
        <f t="shared" si="176"/>
        <v>0</v>
      </c>
      <c r="AA179" s="10">
        <f t="shared" si="176"/>
        <v>0</v>
      </c>
      <c r="AB179" s="10">
        <f t="shared" si="176"/>
        <v>0</v>
      </c>
      <c r="AC179" s="10">
        <f t="shared" si="176"/>
        <v>0</v>
      </c>
      <c r="AD179" s="10">
        <f t="shared" si="176"/>
        <v>0</v>
      </c>
      <c r="AE179" s="10">
        <f t="shared" si="176"/>
        <v>0</v>
      </c>
      <c r="AF179" s="10">
        <f t="shared" si="176"/>
        <v>0</v>
      </c>
      <c r="AG179" s="33">
        <f t="shared" si="176"/>
        <v>0</v>
      </c>
    </row>
    <row r="180" spans="2:34" x14ac:dyDescent="0.2">
      <c r="C180" t="s">
        <v>131</v>
      </c>
      <c r="D180" t="s">
        <v>103</v>
      </c>
      <c r="E180" s="64">
        <f>_xlfn.XLOOKUP($C180,'Corporate Roster - ''24'!$C$6:$C$60,'Corporate Roster - ''24'!$E$6:$E$60)</f>
        <v>42388</v>
      </c>
      <c r="F180" s="64">
        <f>_xlfn.XLOOKUP($C180,'Corporate Roster - ''24'!$C$6:$C$60,'Corporate Roster - ''24'!$F$6:$F$60)</f>
        <v>45231</v>
      </c>
      <c r="G180" s="32">
        <f>(MROUND(H180*0.95,1000))</f>
        <v>24000</v>
      </c>
      <c r="H180" s="33">
        <f>_xlfn.XLOOKUP($C180,'Corporate Roster - ''24'!$C$6:$C$60,'Corporate Roster - ''24'!$J$6:$J$60)</f>
        <v>25500</v>
      </c>
      <c r="J180" s="32">
        <f t="shared" ref="J180:U180" si="177">J54/$G54*$G180</f>
        <v>2000</v>
      </c>
      <c r="K180" s="10">
        <f t="shared" si="177"/>
        <v>2000</v>
      </c>
      <c r="L180" s="10">
        <f t="shared" si="177"/>
        <v>2000</v>
      </c>
      <c r="M180" s="10">
        <f t="shared" si="177"/>
        <v>2000</v>
      </c>
      <c r="N180" s="10">
        <f t="shared" si="177"/>
        <v>2000</v>
      </c>
      <c r="O180" s="10">
        <f t="shared" si="177"/>
        <v>2000</v>
      </c>
      <c r="P180" s="10">
        <f t="shared" si="177"/>
        <v>2000</v>
      </c>
      <c r="Q180" s="10">
        <f t="shared" si="177"/>
        <v>2000</v>
      </c>
      <c r="R180" s="10">
        <f t="shared" si="177"/>
        <v>2000</v>
      </c>
      <c r="S180" s="10">
        <f t="shared" si="177"/>
        <v>2000</v>
      </c>
      <c r="T180" s="10">
        <f t="shared" si="177"/>
        <v>0</v>
      </c>
      <c r="U180" s="33">
        <f t="shared" si="177"/>
        <v>0</v>
      </c>
      <c r="V180" s="10">
        <f t="shared" ref="V180:AG180" si="178">V54/$H54*$H180</f>
        <v>0</v>
      </c>
      <c r="W180" s="10">
        <f t="shared" si="178"/>
        <v>0</v>
      </c>
      <c r="X180" s="10">
        <f t="shared" si="178"/>
        <v>0</v>
      </c>
      <c r="Y180" s="10">
        <f t="shared" si="178"/>
        <v>0</v>
      </c>
      <c r="Z180" s="10">
        <f t="shared" si="178"/>
        <v>0</v>
      </c>
      <c r="AA180" s="10">
        <f t="shared" si="178"/>
        <v>0</v>
      </c>
      <c r="AB180" s="10">
        <f t="shared" si="178"/>
        <v>0</v>
      </c>
      <c r="AC180" s="10">
        <f t="shared" si="178"/>
        <v>0</v>
      </c>
      <c r="AD180" s="10">
        <f t="shared" si="178"/>
        <v>0</v>
      </c>
      <c r="AE180" s="10">
        <f t="shared" si="178"/>
        <v>0</v>
      </c>
      <c r="AF180" s="10">
        <f t="shared" si="178"/>
        <v>0</v>
      </c>
      <c r="AG180" s="33">
        <f t="shared" si="178"/>
        <v>0</v>
      </c>
    </row>
    <row r="181" spans="2:34" x14ac:dyDescent="0.2">
      <c r="C181" t="s">
        <v>133</v>
      </c>
      <c r="D181" t="s">
        <v>93</v>
      </c>
      <c r="E181" s="64">
        <f>_xlfn.XLOOKUP($C181,'Corporate Roster - ''24'!$C$6:$C$60,'Corporate Roster - ''24'!$E$6:$E$60)</f>
        <v>38928</v>
      </c>
      <c r="F181" s="64">
        <f>_xlfn.XLOOKUP($C181,'Corporate Roster - ''24'!$C$6:$C$60,'Corporate Roster - ''24'!$F$6:$F$60)</f>
        <v>45398</v>
      </c>
      <c r="G181" s="32">
        <f t="shared" si="92"/>
        <v>36000</v>
      </c>
      <c r="H181" s="33">
        <f>_xlfn.XLOOKUP($C181,'Corporate Roster - ''24'!$C$6:$C$60,'Corporate Roster - ''24'!$J$6:$J$60)</f>
        <v>36000</v>
      </c>
      <c r="J181" s="32">
        <f t="shared" ref="J181:U181" si="179">J55/$G55*$G181</f>
        <v>3000</v>
      </c>
      <c r="K181" s="10">
        <f t="shared" si="179"/>
        <v>3000</v>
      </c>
      <c r="L181" s="10">
        <f t="shared" si="179"/>
        <v>3000</v>
      </c>
      <c r="M181" s="10">
        <f t="shared" si="179"/>
        <v>3000</v>
      </c>
      <c r="N181" s="10">
        <f t="shared" si="179"/>
        <v>3000</v>
      </c>
      <c r="O181" s="10">
        <f t="shared" si="179"/>
        <v>3000</v>
      </c>
      <c r="P181" s="10">
        <f t="shared" si="179"/>
        <v>3000</v>
      </c>
      <c r="Q181" s="10">
        <f t="shared" si="179"/>
        <v>3000</v>
      </c>
      <c r="R181" s="10">
        <f t="shared" si="179"/>
        <v>3000</v>
      </c>
      <c r="S181" s="10">
        <f t="shared" si="179"/>
        <v>3000</v>
      </c>
      <c r="T181" s="10">
        <f t="shared" si="179"/>
        <v>3000</v>
      </c>
      <c r="U181" s="33">
        <f t="shared" si="179"/>
        <v>3000</v>
      </c>
      <c r="V181" s="10">
        <f t="shared" ref="V181:AG181" si="180">V55/$H55*$H181</f>
        <v>3000</v>
      </c>
      <c r="W181" s="10">
        <f t="shared" si="180"/>
        <v>3000</v>
      </c>
      <c r="X181" s="10">
        <f t="shared" si="180"/>
        <v>3000</v>
      </c>
      <c r="Y181" s="10">
        <f t="shared" si="180"/>
        <v>0</v>
      </c>
      <c r="Z181" s="10">
        <f t="shared" si="180"/>
        <v>0</v>
      </c>
      <c r="AA181" s="10">
        <f t="shared" si="180"/>
        <v>0</v>
      </c>
      <c r="AB181" s="10">
        <f t="shared" si="180"/>
        <v>0</v>
      </c>
      <c r="AC181" s="10">
        <f t="shared" si="180"/>
        <v>0</v>
      </c>
      <c r="AD181" s="10">
        <f t="shared" si="180"/>
        <v>0</v>
      </c>
      <c r="AE181" s="10">
        <f t="shared" si="180"/>
        <v>0</v>
      </c>
      <c r="AF181" s="10">
        <f t="shared" si="180"/>
        <v>0</v>
      </c>
      <c r="AG181" s="33">
        <f t="shared" si="180"/>
        <v>0</v>
      </c>
    </row>
    <row r="182" spans="2:34" x14ac:dyDescent="0.2">
      <c r="C182" t="s">
        <v>114</v>
      </c>
      <c r="D182" t="s">
        <v>86</v>
      </c>
      <c r="E182" s="64">
        <f>_xlfn.XLOOKUP($C182,'Corporate Roster - ''24'!$C$6:$C$60,'Corporate Roster - ''24'!$E$6:$E$60)</f>
        <v>43340</v>
      </c>
      <c r="F182" s="64">
        <f>_xlfn.XLOOKUP($C182,'Corporate Roster - ''24'!$C$6:$C$60,'Corporate Roster - ''24'!$F$6:$F$60)</f>
        <v>45437</v>
      </c>
      <c r="G182" s="32">
        <f t="shared" si="92"/>
        <v>36000</v>
      </c>
      <c r="H182" s="33">
        <f>_xlfn.XLOOKUP($C182,'Corporate Roster - ''24'!$C$6:$C$60,'Corporate Roster - ''24'!$J$6:$J$60)</f>
        <v>36000</v>
      </c>
      <c r="J182" s="32">
        <f t="shared" ref="J182:U182" si="181">J56/$G56*$G182</f>
        <v>3000</v>
      </c>
      <c r="K182" s="10">
        <f t="shared" si="181"/>
        <v>3000</v>
      </c>
      <c r="L182" s="10">
        <f t="shared" si="181"/>
        <v>3000</v>
      </c>
      <c r="M182" s="10">
        <f t="shared" si="181"/>
        <v>3000</v>
      </c>
      <c r="N182" s="10">
        <f t="shared" si="181"/>
        <v>3000</v>
      </c>
      <c r="O182" s="10">
        <f t="shared" si="181"/>
        <v>3000</v>
      </c>
      <c r="P182" s="10">
        <f t="shared" si="181"/>
        <v>3000</v>
      </c>
      <c r="Q182" s="10">
        <f t="shared" si="181"/>
        <v>3000</v>
      </c>
      <c r="R182" s="10">
        <f t="shared" si="181"/>
        <v>3000</v>
      </c>
      <c r="S182" s="10">
        <f t="shared" si="181"/>
        <v>3000</v>
      </c>
      <c r="T182" s="10">
        <f t="shared" si="181"/>
        <v>3000</v>
      </c>
      <c r="U182" s="33">
        <f t="shared" si="181"/>
        <v>3000</v>
      </c>
      <c r="V182" s="10">
        <f t="shared" ref="V182:AG182" si="182">V56/$H56*$H182</f>
        <v>3000</v>
      </c>
      <c r="W182" s="10">
        <f t="shared" si="182"/>
        <v>3000</v>
      </c>
      <c r="X182" s="10">
        <f t="shared" si="182"/>
        <v>3000</v>
      </c>
      <c r="Y182" s="10">
        <f t="shared" si="182"/>
        <v>3000</v>
      </c>
      <c r="Z182" s="10">
        <f t="shared" si="182"/>
        <v>0</v>
      </c>
      <c r="AA182" s="10">
        <f t="shared" si="182"/>
        <v>0</v>
      </c>
      <c r="AB182" s="10">
        <f t="shared" si="182"/>
        <v>0</v>
      </c>
      <c r="AC182" s="10">
        <f t="shared" si="182"/>
        <v>0</v>
      </c>
      <c r="AD182" s="10">
        <f t="shared" si="182"/>
        <v>0</v>
      </c>
      <c r="AE182" s="10">
        <f t="shared" si="182"/>
        <v>0</v>
      </c>
      <c r="AF182" s="10">
        <f t="shared" si="182"/>
        <v>0</v>
      </c>
      <c r="AG182" s="33">
        <f t="shared" si="182"/>
        <v>0</v>
      </c>
    </row>
    <row r="183" spans="2:34" x14ac:dyDescent="0.2">
      <c r="C183" t="s">
        <v>135</v>
      </c>
      <c r="D183" t="s">
        <v>82</v>
      </c>
      <c r="E183" s="64">
        <f>_xlfn.XLOOKUP($C183,'Corporate Roster - ''24'!$C$6:$C$60,'Corporate Roster - ''24'!$E$6:$E$60)</f>
        <v>44954</v>
      </c>
      <c r="F183" s="64">
        <f>_xlfn.XLOOKUP($C183,'Corporate Roster - ''24'!$C$6:$C$60,'Corporate Roster - ''24'!$F$6:$F$60)</f>
        <v>45489</v>
      </c>
      <c r="G183" s="32">
        <f t="shared" si="92"/>
        <v>48000</v>
      </c>
      <c r="H183" s="33">
        <f>_xlfn.XLOOKUP($C183,'Corporate Roster - ''24'!$C$6:$C$60,'Corporate Roster - ''24'!$J$6:$J$60)</f>
        <v>48000</v>
      </c>
      <c r="J183" s="32">
        <f t="shared" ref="J183:U183" si="183">J57/$G57*$G183</f>
        <v>4000.0000000000005</v>
      </c>
      <c r="K183" s="10">
        <f t="shared" si="183"/>
        <v>4000.0000000000005</v>
      </c>
      <c r="L183" s="10">
        <f t="shared" si="183"/>
        <v>4000.0000000000005</v>
      </c>
      <c r="M183" s="10">
        <f t="shared" si="183"/>
        <v>4000.0000000000005</v>
      </c>
      <c r="N183" s="10">
        <f t="shared" si="183"/>
        <v>4000.0000000000005</v>
      </c>
      <c r="O183" s="10">
        <f t="shared" si="183"/>
        <v>4000.0000000000005</v>
      </c>
      <c r="P183" s="10">
        <f t="shared" si="183"/>
        <v>4000.0000000000005</v>
      </c>
      <c r="Q183" s="10">
        <f t="shared" si="183"/>
        <v>4000.0000000000005</v>
      </c>
      <c r="R183" s="10">
        <f t="shared" si="183"/>
        <v>4000.0000000000005</v>
      </c>
      <c r="S183" s="10">
        <f t="shared" si="183"/>
        <v>4000.0000000000005</v>
      </c>
      <c r="T183" s="10">
        <f t="shared" si="183"/>
        <v>4000.0000000000005</v>
      </c>
      <c r="U183" s="33">
        <f t="shared" si="183"/>
        <v>4000.0000000000005</v>
      </c>
      <c r="V183" s="10">
        <f t="shared" ref="V183:AG183" si="184">V57/$H57*$H183</f>
        <v>4000.0000000000005</v>
      </c>
      <c r="W183" s="10">
        <f t="shared" si="184"/>
        <v>4000.0000000000005</v>
      </c>
      <c r="X183" s="10">
        <f t="shared" si="184"/>
        <v>4000.0000000000005</v>
      </c>
      <c r="Y183" s="10">
        <f t="shared" si="184"/>
        <v>4000.0000000000005</v>
      </c>
      <c r="Z183" s="10">
        <f t="shared" si="184"/>
        <v>4000.0000000000005</v>
      </c>
      <c r="AA183" s="10">
        <f t="shared" si="184"/>
        <v>4000.0000000000005</v>
      </c>
      <c r="AB183" s="10">
        <f t="shared" si="184"/>
        <v>0</v>
      </c>
      <c r="AC183" s="10">
        <f t="shared" si="184"/>
        <v>0</v>
      </c>
      <c r="AD183" s="10">
        <f t="shared" si="184"/>
        <v>0</v>
      </c>
      <c r="AE183" s="10">
        <f t="shared" si="184"/>
        <v>0</v>
      </c>
      <c r="AF183" s="10">
        <f t="shared" si="184"/>
        <v>0</v>
      </c>
      <c r="AG183" s="33">
        <f t="shared" si="184"/>
        <v>0</v>
      </c>
    </row>
    <row r="184" spans="2:34" x14ac:dyDescent="0.2">
      <c r="C184" t="s">
        <v>113</v>
      </c>
      <c r="D184" t="s">
        <v>88</v>
      </c>
      <c r="E184" s="64">
        <f>_xlfn.XLOOKUP($C184,'Corporate Roster - ''24'!$C$6:$C$60,'Corporate Roster - ''24'!$E$6:$E$60)</f>
        <v>43244</v>
      </c>
      <c r="F184" s="64">
        <f>_xlfn.XLOOKUP($C184,'Corporate Roster - ''24'!$C$6:$C$60,'Corporate Roster - ''24'!$F$6:$F$60)</f>
        <v>45499</v>
      </c>
      <c r="G184" s="32">
        <f>(MROUND(H184*0.95,1000))</f>
        <v>37000</v>
      </c>
      <c r="H184" s="33">
        <f>_xlfn.XLOOKUP($C184,'Corporate Roster - ''24'!$C$6:$C$60,'Corporate Roster - ''24'!$J$6:$J$60)</f>
        <v>39000</v>
      </c>
      <c r="J184" s="32">
        <f t="shared" ref="J184:U184" si="185">J58/$G58*$G184</f>
        <v>3083.3333333333335</v>
      </c>
      <c r="K184" s="10">
        <f t="shared" si="185"/>
        <v>3083.3333333333335</v>
      </c>
      <c r="L184" s="10">
        <f t="shared" si="185"/>
        <v>3083.3333333333335</v>
      </c>
      <c r="M184" s="10">
        <f t="shared" si="185"/>
        <v>3083.3333333333335</v>
      </c>
      <c r="N184" s="10">
        <f t="shared" si="185"/>
        <v>3083.3333333333335</v>
      </c>
      <c r="O184" s="10">
        <f t="shared" si="185"/>
        <v>3083.3333333333335</v>
      </c>
      <c r="P184" s="10">
        <f t="shared" si="185"/>
        <v>3083.3333333333335</v>
      </c>
      <c r="Q184" s="10">
        <f t="shared" si="185"/>
        <v>3083.3333333333335</v>
      </c>
      <c r="R184" s="10">
        <f t="shared" si="185"/>
        <v>3083.3333333333335</v>
      </c>
      <c r="S184" s="10">
        <f t="shared" si="185"/>
        <v>3083.3333333333335</v>
      </c>
      <c r="T184" s="10">
        <f t="shared" si="185"/>
        <v>3083.3333333333335</v>
      </c>
      <c r="U184" s="33">
        <f t="shared" si="185"/>
        <v>3083.3333333333335</v>
      </c>
      <c r="V184" s="10">
        <f t="shared" ref="V184:AG184" si="186">V58/$H58*$H184</f>
        <v>3250.0000000000005</v>
      </c>
      <c r="W184" s="10">
        <f t="shared" si="186"/>
        <v>3250.0000000000005</v>
      </c>
      <c r="X184" s="10">
        <f t="shared" si="186"/>
        <v>3250.0000000000005</v>
      </c>
      <c r="Y184" s="10">
        <f t="shared" si="186"/>
        <v>3250.0000000000005</v>
      </c>
      <c r="Z184" s="10">
        <f t="shared" si="186"/>
        <v>3250.0000000000005</v>
      </c>
      <c r="AA184" s="10">
        <f t="shared" si="186"/>
        <v>3250.0000000000005</v>
      </c>
      <c r="AB184" s="10">
        <f t="shared" si="186"/>
        <v>0</v>
      </c>
      <c r="AC184" s="10">
        <f t="shared" si="186"/>
        <v>0</v>
      </c>
      <c r="AD184" s="10">
        <f t="shared" si="186"/>
        <v>0</v>
      </c>
      <c r="AE184" s="10">
        <f t="shared" si="186"/>
        <v>0</v>
      </c>
      <c r="AF184" s="10">
        <f t="shared" si="186"/>
        <v>0</v>
      </c>
      <c r="AG184" s="33">
        <f t="shared" si="186"/>
        <v>0</v>
      </c>
    </row>
    <row r="185" spans="2:34" x14ac:dyDescent="0.2">
      <c r="C185" t="s">
        <v>75</v>
      </c>
      <c r="D185" t="s">
        <v>90</v>
      </c>
      <c r="E185" s="64">
        <f>_xlfn.XLOOKUP($C185,'Corporate Roster - ''24'!$C$6:$C$60,'Corporate Roster - ''24'!$E$6:$E$60)</f>
        <v>42099</v>
      </c>
      <c r="F185" s="64">
        <f>_xlfn.XLOOKUP($C185,'Corporate Roster - ''24'!$C$6:$C$60,'Corporate Roster - ''24'!$F$6:$F$60)</f>
        <v>45554</v>
      </c>
      <c r="G185" s="32">
        <f>(MROUND(H185*0.95,1000))</f>
        <v>37000</v>
      </c>
      <c r="H185" s="33">
        <f>_xlfn.XLOOKUP($C185,'Corporate Roster - ''24'!$C$6:$C$60,'Corporate Roster - ''24'!$J$6:$J$60)</f>
        <v>39000</v>
      </c>
      <c r="J185" s="32">
        <f t="shared" ref="J185:U185" si="187">J59/$G59*$G185</f>
        <v>3083.3333333333335</v>
      </c>
      <c r="K185" s="10">
        <f t="shared" si="187"/>
        <v>3083.3333333333335</v>
      </c>
      <c r="L185" s="10">
        <f t="shared" si="187"/>
        <v>3083.3333333333335</v>
      </c>
      <c r="M185" s="10">
        <f t="shared" si="187"/>
        <v>3083.3333333333335</v>
      </c>
      <c r="N185" s="10">
        <f t="shared" si="187"/>
        <v>3083.3333333333335</v>
      </c>
      <c r="O185" s="10">
        <f t="shared" si="187"/>
        <v>3083.3333333333335</v>
      </c>
      <c r="P185" s="10">
        <f t="shared" si="187"/>
        <v>3083.3333333333335</v>
      </c>
      <c r="Q185" s="10">
        <f t="shared" si="187"/>
        <v>3083.3333333333335</v>
      </c>
      <c r="R185" s="10">
        <f t="shared" si="187"/>
        <v>3083.3333333333335</v>
      </c>
      <c r="S185" s="10">
        <f t="shared" si="187"/>
        <v>3083.3333333333335</v>
      </c>
      <c r="T185" s="10">
        <f t="shared" si="187"/>
        <v>3083.3333333333335</v>
      </c>
      <c r="U185" s="33">
        <f t="shared" si="187"/>
        <v>3083.3333333333335</v>
      </c>
      <c r="V185" s="10">
        <f t="shared" ref="V185:AG185" si="188">V59/$H59*$H185</f>
        <v>3250.0000000000005</v>
      </c>
      <c r="W185" s="10">
        <f t="shared" si="188"/>
        <v>3250.0000000000005</v>
      </c>
      <c r="X185" s="10">
        <f t="shared" si="188"/>
        <v>3250.0000000000005</v>
      </c>
      <c r="Y185" s="10">
        <f t="shared" si="188"/>
        <v>3250.0000000000005</v>
      </c>
      <c r="Z185" s="10">
        <f t="shared" si="188"/>
        <v>3250.0000000000005</v>
      </c>
      <c r="AA185" s="10">
        <f t="shared" si="188"/>
        <v>3250.0000000000005</v>
      </c>
      <c r="AB185" s="10">
        <f t="shared" si="188"/>
        <v>3250.0000000000005</v>
      </c>
      <c r="AC185" s="10">
        <f t="shared" si="188"/>
        <v>3250.0000000000005</v>
      </c>
      <c r="AD185" s="10">
        <f t="shared" si="188"/>
        <v>0</v>
      </c>
      <c r="AE185" s="10">
        <f t="shared" si="188"/>
        <v>0</v>
      </c>
      <c r="AF185" s="10">
        <f t="shared" si="188"/>
        <v>0</v>
      </c>
      <c r="AG185" s="33">
        <f t="shared" si="188"/>
        <v>0</v>
      </c>
    </row>
    <row r="186" spans="2:34" x14ac:dyDescent="0.2">
      <c r="C186" t="s">
        <v>134</v>
      </c>
      <c r="D186" t="s">
        <v>110</v>
      </c>
      <c r="E186" s="64">
        <f>_xlfn.XLOOKUP($C186,'Corporate Roster - ''24'!$C$6:$C$60,'Corporate Roster - ''24'!$E$6:$E$60)</f>
        <v>45193</v>
      </c>
      <c r="F186" s="64">
        <f>_xlfn.XLOOKUP($C186,'Corporate Roster - ''24'!$C$6:$C$60,'Corporate Roster - ''24'!$F$6:$F$60)</f>
        <v>45609</v>
      </c>
      <c r="G186" s="32">
        <f>(MROUND(H186*0.95,1000))</f>
        <v>24000</v>
      </c>
      <c r="H186" s="33">
        <f>_xlfn.XLOOKUP($C186,'Corporate Roster - ''24'!$C$6:$C$60,'Corporate Roster - ''24'!$J$6:$J$60)</f>
        <v>25500</v>
      </c>
      <c r="J186" s="32">
        <f t="shared" ref="J186:U186" si="189">J60/$G60*$G186</f>
        <v>0</v>
      </c>
      <c r="K186" s="10">
        <f t="shared" si="189"/>
        <v>0</v>
      </c>
      <c r="L186" s="10">
        <f t="shared" si="189"/>
        <v>0</v>
      </c>
      <c r="M186" s="10">
        <f t="shared" si="189"/>
        <v>0</v>
      </c>
      <c r="N186" s="10">
        <f t="shared" si="189"/>
        <v>0</v>
      </c>
      <c r="O186" s="10">
        <f t="shared" si="189"/>
        <v>0</v>
      </c>
      <c r="P186" s="10">
        <f t="shared" si="189"/>
        <v>0</v>
      </c>
      <c r="Q186" s="10">
        <f t="shared" si="189"/>
        <v>0</v>
      </c>
      <c r="R186" s="10">
        <f t="shared" si="189"/>
        <v>2000</v>
      </c>
      <c r="S186" s="10">
        <f t="shared" si="189"/>
        <v>2000</v>
      </c>
      <c r="T186" s="10">
        <f t="shared" si="189"/>
        <v>2000</v>
      </c>
      <c r="U186" s="33">
        <f t="shared" si="189"/>
        <v>2000</v>
      </c>
      <c r="V186" s="10">
        <f t="shared" ref="V186:AG186" si="190">V60/$H60*$H186</f>
        <v>2125</v>
      </c>
      <c r="W186" s="10">
        <f t="shared" si="190"/>
        <v>2125</v>
      </c>
      <c r="X186" s="10">
        <f t="shared" si="190"/>
        <v>2125</v>
      </c>
      <c r="Y186" s="10">
        <f t="shared" si="190"/>
        <v>2125</v>
      </c>
      <c r="Z186" s="10">
        <f t="shared" si="190"/>
        <v>2125</v>
      </c>
      <c r="AA186" s="10">
        <f t="shared" si="190"/>
        <v>2125</v>
      </c>
      <c r="AB186" s="10">
        <f t="shared" si="190"/>
        <v>2125</v>
      </c>
      <c r="AC186" s="10">
        <f t="shared" si="190"/>
        <v>2125</v>
      </c>
      <c r="AD186" s="10">
        <f t="shared" si="190"/>
        <v>2125</v>
      </c>
      <c r="AE186" s="10">
        <f t="shared" si="190"/>
        <v>2125</v>
      </c>
      <c r="AF186" s="10">
        <f t="shared" si="190"/>
        <v>0</v>
      </c>
      <c r="AG186" s="33">
        <f t="shared" si="190"/>
        <v>0</v>
      </c>
    </row>
    <row r="187" spans="2:34" x14ac:dyDescent="0.2">
      <c r="C187" s="23" t="s">
        <v>152</v>
      </c>
      <c r="D187" s="23" t="s">
        <v>99</v>
      </c>
      <c r="E187" s="65">
        <f>_xlfn.XLOOKUP($C187,'Corporate Roster - ''24'!$C$6:$C$60,'Corporate Roster - ''24'!$E$6:$E$60)</f>
        <v>42869</v>
      </c>
      <c r="F187" s="78">
        <f>_xlfn.XLOOKUP($C187,'Corporate Roster - ''24'!$C$6:$C$60,'Corporate Roster - ''24'!$F$6:$F$60)</f>
        <v>45626</v>
      </c>
      <c r="G187" s="54">
        <f t="shared" si="92"/>
        <v>24000</v>
      </c>
      <c r="H187" s="62">
        <f>_xlfn.XLOOKUP($C187,'Corporate Roster - ''24'!$C$6:$C$60,'Corporate Roster - ''24'!$J$6:$J$60)</f>
        <v>24000</v>
      </c>
      <c r="J187" s="57">
        <f t="shared" ref="J187:U187" si="191">J61/$G61*$G187</f>
        <v>2000.0000000000002</v>
      </c>
      <c r="K187" s="54">
        <f t="shared" si="191"/>
        <v>2000.0000000000002</v>
      </c>
      <c r="L187" s="54">
        <f t="shared" si="191"/>
        <v>2000.0000000000002</v>
      </c>
      <c r="M187" s="54">
        <f t="shared" si="191"/>
        <v>2000.0000000000002</v>
      </c>
      <c r="N187" s="54">
        <f t="shared" si="191"/>
        <v>2000.0000000000002</v>
      </c>
      <c r="O187" s="54">
        <f t="shared" si="191"/>
        <v>2000.0000000000002</v>
      </c>
      <c r="P187" s="54">
        <f t="shared" si="191"/>
        <v>2000.0000000000002</v>
      </c>
      <c r="Q187" s="54">
        <f t="shared" si="191"/>
        <v>2000.0000000000002</v>
      </c>
      <c r="R187" s="54">
        <f t="shared" si="191"/>
        <v>2000.0000000000002</v>
      </c>
      <c r="S187" s="54">
        <f t="shared" si="191"/>
        <v>2000.0000000000002</v>
      </c>
      <c r="T187" s="54">
        <f t="shared" si="191"/>
        <v>2000.0000000000002</v>
      </c>
      <c r="U187" s="62">
        <f t="shared" si="191"/>
        <v>2000.0000000000002</v>
      </c>
      <c r="V187" s="54">
        <f t="shared" ref="V187:AG187" si="192">V61/$H61*$H187</f>
        <v>2000.0000000000002</v>
      </c>
      <c r="W187" s="54">
        <f t="shared" si="192"/>
        <v>2000.0000000000002</v>
      </c>
      <c r="X187" s="54">
        <f t="shared" si="192"/>
        <v>2000.0000000000002</v>
      </c>
      <c r="Y187" s="54">
        <f t="shared" si="192"/>
        <v>2000.0000000000002</v>
      </c>
      <c r="Z187" s="54">
        <f t="shared" si="192"/>
        <v>2000.0000000000002</v>
      </c>
      <c r="AA187" s="54">
        <f t="shared" si="192"/>
        <v>2000.0000000000002</v>
      </c>
      <c r="AB187" s="54">
        <f t="shared" si="192"/>
        <v>2000.0000000000002</v>
      </c>
      <c r="AC187" s="54">
        <f t="shared" si="192"/>
        <v>2000.0000000000002</v>
      </c>
      <c r="AD187" s="54">
        <f t="shared" si="192"/>
        <v>2000.0000000000002</v>
      </c>
      <c r="AE187" s="54">
        <f t="shared" si="192"/>
        <v>2000.0000000000002</v>
      </c>
      <c r="AF187" s="54">
        <f t="shared" si="192"/>
        <v>0</v>
      </c>
      <c r="AG187" s="62">
        <f t="shared" si="192"/>
        <v>0</v>
      </c>
    </row>
    <row r="188" spans="2:34" x14ac:dyDescent="0.2">
      <c r="G188" s="34">
        <f>SUM(G133:G187)</f>
        <v>1925000</v>
      </c>
      <c r="H188" s="34">
        <f>SUM(H133:H187)</f>
        <v>2023500</v>
      </c>
      <c r="J188" s="34">
        <f>SUM(J133:J187)</f>
        <v>140208.33333333334</v>
      </c>
      <c r="K188" s="34">
        <f t="shared" ref="K188" si="193">SUM(K133:K187)</f>
        <v>144708.33333333334</v>
      </c>
      <c r="L188" s="34">
        <f t="shared" ref="L188" si="194">SUM(L133:L187)</f>
        <v>144708.33333333334</v>
      </c>
      <c r="M188" s="34">
        <f t="shared" ref="M188" si="195">SUM(M133:M187)</f>
        <v>146375</v>
      </c>
      <c r="N188" s="34">
        <f t="shared" ref="N188" si="196">SUM(N133:N187)</f>
        <v>148500</v>
      </c>
      <c r="O188" s="34">
        <f t="shared" ref="O188" si="197">SUM(O133:O187)</f>
        <v>143500</v>
      </c>
      <c r="P188" s="34">
        <f t="shared" ref="P188" si="198">SUM(P133:P187)</f>
        <v>140250.00000000003</v>
      </c>
      <c r="Q188" s="34">
        <f t="shared" ref="Q188" si="199">SUM(Q133:Q187)</f>
        <v>140250.00000000003</v>
      </c>
      <c r="R188" s="34">
        <f t="shared" ref="R188" si="200">SUM(R133:R187)</f>
        <v>142250.00000000003</v>
      </c>
      <c r="S188" s="34">
        <f t="shared" ref="S188" si="201">SUM(S133:S187)</f>
        <v>142250.00000000003</v>
      </c>
      <c r="T188" s="34">
        <f t="shared" ref="T188" si="202">SUM(T133:T187)</f>
        <v>146375</v>
      </c>
      <c r="U188" s="34">
        <f t="shared" ref="U188" si="203">SUM(U133:U187)</f>
        <v>146375</v>
      </c>
      <c r="V188" s="34">
        <f t="shared" ref="V188" si="204">SUM(V133:V187)</f>
        <v>154000</v>
      </c>
      <c r="W188" s="34">
        <f t="shared" ref="W188" si="205">SUM(W133:W187)</f>
        <v>156125</v>
      </c>
      <c r="X188" s="34">
        <f t="shared" ref="X188" si="206">SUM(X133:X187)</f>
        <v>158250</v>
      </c>
      <c r="Y188" s="34">
        <f t="shared" ref="Y188" si="207">SUM(Y133:Y187)</f>
        <v>155250</v>
      </c>
      <c r="Z188" s="34">
        <f t="shared" ref="Z188" si="208">SUM(Z133:Z187)</f>
        <v>152250</v>
      </c>
      <c r="AA188" s="34">
        <f t="shared" ref="AA188" si="209">SUM(AA133:AA187)</f>
        <v>152250</v>
      </c>
      <c r="AB188" s="34">
        <f t="shared" ref="AB188" si="210">SUM(AB133:AB187)</f>
        <v>145000</v>
      </c>
      <c r="AC188" s="34">
        <f t="shared" ref="AC188" si="211">SUM(AC133:AC187)</f>
        <v>145000</v>
      </c>
      <c r="AD188" s="34">
        <f t="shared" ref="AD188" si="212">SUM(AD133:AD187)</f>
        <v>141750</v>
      </c>
      <c r="AE188" s="34">
        <f t="shared" ref="AE188" si="213">SUM(AE133:AE187)</f>
        <v>141750</v>
      </c>
      <c r="AF188" s="34">
        <f t="shared" ref="AF188" si="214">SUM(AF133:AF187)</f>
        <v>137625</v>
      </c>
      <c r="AG188" s="34">
        <f t="shared" ref="AG188" si="215">SUM(AG133:AG187)</f>
        <v>137625</v>
      </c>
    </row>
    <row r="191" spans="2:34" ht="13.5" thickBot="1" x14ac:dyDescent="0.25">
      <c r="B191" s="48" t="s">
        <v>0</v>
      </c>
      <c r="C191" s="1"/>
      <c r="D191" s="1"/>
      <c r="E191" s="1"/>
      <c r="F191" s="1"/>
      <c r="G191" s="1"/>
      <c r="H191" s="3"/>
      <c r="I191" s="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3">
        <f ca="1">TODAY()</f>
        <v>45999</v>
      </c>
      <c r="AH191" s="1"/>
    </row>
    <row r="192" spans="2:34" x14ac:dyDescent="0.2">
      <c r="B192" s="47"/>
      <c r="C192" s="24" t="s">
        <v>155</v>
      </c>
      <c r="H192" s="6"/>
      <c r="I192" s="6"/>
      <c r="AG192" s="53" t="s">
        <v>228</v>
      </c>
    </row>
    <row r="193" spans="2:33" x14ac:dyDescent="0.2">
      <c r="B193" s="47"/>
      <c r="H193" s="6"/>
      <c r="I193" s="6"/>
    </row>
    <row r="194" spans="2:33" ht="15" customHeight="1" x14ac:dyDescent="0.2">
      <c r="B194" s="47"/>
      <c r="E194" s="77" t="s">
        <v>143</v>
      </c>
      <c r="F194" s="77" t="s">
        <v>144</v>
      </c>
      <c r="G194" s="17" t="s">
        <v>14</v>
      </c>
      <c r="H194" s="50"/>
      <c r="I194" s="52" t="s">
        <v>56</v>
      </c>
      <c r="J194" s="20">
        <v>2023</v>
      </c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2"/>
      <c r="V194" s="20">
        <v>2024</v>
      </c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2"/>
    </row>
    <row r="195" spans="2:33" ht="15" x14ac:dyDescent="0.35">
      <c r="C195" s="59" t="s">
        <v>57</v>
      </c>
      <c r="D195" s="59" t="s">
        <v>58</v>
      </c>
      <c r="E195" s="59" t="s">
        <v>142</v>
      </c>
      <c r="F195" s="59" t="s">
        <v>142</v>
      </c>
      <c r="G195" s="13">
        <v>45291</v>
      </c>
      <c r="H195" s="14">
        <v>45657</v>
      </c>
      <c r="I195" s="51"/>
      <c r="J195" s="4">
        <v>44957</v>
      </c>
      <c r="K195" s="19">
        <f>EOMONTH(J195,1)</f>
        <v>44985</v>
      </c>
      <c r="L195" s="19">
        <f t="shared" ref="L195" si="216">EOMONTH(K195,1)</f>
        <v>45016</v>
      </c>
      <c r="M195" s="19">
        <f t="shared" ref="M195" si="217">EOMONTH(L195,1)</f>
        <v>45046</v>
      </c>
      <c r="N195" s="19">
        <f t="shared" ref="N195" si="218">EOMONTH(M195,1)</f>
        <v>45077</v>
      </c>
      <c r="O195" s="19">
        <f t="shared" ref="O195" si="219">EOMONTH(N195,1)</f>
        <v>45107</v>
      </c>
      <c r="P195" s="19">
        <f t="shared" ref="P195" si="220">EOMONTH(O195,1)</f>
        <v>45138</v>
      </c>
      <c r="Q195" s="19">
        <f t="shared" ref="Q195" si="221">EOMONTH(P195,1)</f>
        <v>45169</v>
      </c>
      <c r="R195" s="19">
        <f t="shared" ref="R195" si="222">EOMONTH(Q195,1)</f>
        <v>45199</v>
      </c>
      <c r="S195" s="19">
        <f t="shared" ref="S195" si="223">EOMONTH(R195,1)</f>
        <v>45230</v>
      </c>
      <c r="T195" s="19">
        <f t="shared" ref="T195" si="224">EOMONTH(S195,1)</f>
        <v>45260</v>
      </c>
      <c r="U195" s="5">
        <f t="shared" ref="U195" si="225">EOMONTH(T195,1)</f>
        <v>45291</v>
      </c>
      <c r="V195" s="4">
        <f t="shared" ref="V195" si="226">EOMONTH(U195,1)</f>
        <v>45322</v>
      </c>
      <c r="W195" s="19">
        <f t="shared" ref="W195" si="227">EOMONTH(V195,1)</f>
        <v>45351</v>
      </c>
      <c r="X195" s="19">
        <f t="shared" ref="X195" si="228">EOMONTH(W195,1)</f>
        <v>45382</v>
      </c>
      <c r="Y195" s="19">
        <f t="shared" ref="Y195" si="229">EOMONTH(X195,1)</f>
        <v>45412</v>
      </c>
      <c r="Z195" s="19">
        <f t="shared" ref="Z195" si="230">EOMONTH(Y195,1)</f>
        <v>45443</v>
      </c>
      <c r="AA195" s="19">
        <f t="shared" ref="AA195" si="231">EOMONTH(Z195,1)</f>
        <v>45473</v>
      </c>
      <c r="AB195" s="19">
        <f t="shared" ref="AB195" si="232">EOMONTH(AA195,1)</f>
        <v>45504</v>
      </c>
      <c r="AC195" s="19">
        <f t="shared" ref="AC195" si="233">EOMONTH(AB195,1)</f>
        <v>45535</v>
      </c>
      <c r="AD195" s="19">
        <f t="shared" ref="AD195" si="234">EOMONTH(AC195,1)</f>
        <v>45565</v>
      </c>
      <c r="AE195" s="19">
        <f t="shared" ref="AE195" si="235">EOMONTH(AD195,1)</f>
        <v>45596</v>
      </c>
      <c r="AF195" s="19">
        <f t="shared" ref="AF195" si="236">EOMONTH(AE195,1)</f>
        <v>45626</v>
      </c>
      <c r="AG195" s="5">
        <f t="shared" ref="AG195" si="237">EOMONTH(AF195,1)</f>
        <v>45657</v>
      </c>
    </row>
    <row r="196" spans="2:33" x14ac:dyDescent="0.2">
      <c r="C196" t="s">
        <v>137</v>
      </c>
      <c r="D196" t="s">
        <v>66</v>
      </c>
      <c r="E196" s="64">
        <f>_xlfn.XLOOKUP($C196,'Corporate Roster - ''24'!$C$6:$C$60,'Corporate Roster - ''24'!$E$6:$E$60)</f>
        <v>40848</v>
      </c>
      <c r="F196" s="64" t="str">
        <f>_xlfn.XLOOKUP($C196,'Corporate Roster - ''24'!$C$6:$C$60,'Corporate Roster - ''24'!$F$6:$F$60)</f>
        <v>-</v>
      </c>
      <c r="G196" s="56">
        <f>SUM(J196:U196)</f>
        <v>531000</v>
      </c>
      <c r="H196" s="61">
        <f>SUM(V196:AG196)</f>
        <v>590000.00000000012</v>
      </c>
      <c r="J196" s="56">
        <f t="shared" ref="J196:AG196" si="238">J7+J70+J133</f>
        <v>33000</v>
      </c>
      <c r="K196" s="55">
        <f t="shared" si="238"/>
        <v>33000</v>
      </c>
      <c r="L196" s="55">
        <f t="shared" si="238"/>
        <v>33000</v>
      </c>
      <c r="M196" s="55">
        <f t="shared" si="238"/>
        <v>33000</v>
      </c>
      <c r="N196" s="55">
        <f t="shared" si="238"/>
        <v>33000</v>
      </c>
      <c r="O196" s="55">
        <f t="shared" si="238"/>
        <v>33000</v>
      </c>
      <c r="P196" s="55">
        <f t="shared" si="238"/>
        <v>33000</v>
      </c>
      <c r="Q196" s="55">
        <f t="shared" si="238"/>
        <v>33000</v>
      </c>
      <c r="R196" s="55">
        <f t="shared" si="238"/>
        <v>33000</v>
      </c>
      <c r="S196" s="55">
        <f t="shared" si="238"/>
        <v>33000</v>
      </c>
      <c r="T196" s="55">
        <f t="shared" si="238"/>
        <v>33000</v>
      </c>
      <c r="U196" s="61">
        <f t="shared" si="238"/>
        <v>168000</v>
      </c>
      <c r="V196" s="55">
        <f t="shared" si="238"/>
        <v>36666.666666666672</v>
      </c>
      <c r="W196" s="55">
        <f t="shared" si="238"/>
        <v>36666.666666666672</v>
      </c>
      <c r="X196" s="55">
        <f t="shared" si="238"/>
        <v>36666.666666666672</v>
      </c>
      <c r="Y196" s="55">
        <f t="shared" si="238"/>
        <v>36666.666666666672</v>
      </c>
      <c r="Z196" s="55">
        <f t="shared" si="238"/>
        <v>36666.666666666672</v>
      </c>
      <c r="AA196" s="55">
        <f t="shared" si="238"/>
        <v>36666.666666666672</v>
      </c>
      <c r="AB196" s="55">
        <f t="shared" si="238"/>
        <v>36666.666666666672</v>
      </c>
      <c r="AC196" s="55">
        <f t="shared" si="238"/>
        <v>36666.666666666672</v>
      </c>
      <c r="AD196" s="55">
        <f t="shared" si="238"/>
        <v>36666.666666666672</v>
      </c>
      <c r="AE196" s="55">
        <f t="shared" si="238"/>
        <v>36666.666666666672</v>
      </c>
      <c r="AF196" s="55">
        <f t="shared" si="238"/>
        <v>36666.666666666672</v>
      </c>
      <c r="AG196" s="61">
        <f t="shared" si="238"/>
        <v>186666.66666666666</v>
      </c>
    </row>
    <row r="197" spans="2:33" x14ac:dyDescent="0.2">
      <c r="C197" t="s">
        <v>67</v>
      </c>
      <c r="D197" t="s">
        <v>68</v>
      </c>
      <c r="E197" s="64">
        <f>_xlfn.XLOOKUP($C197,'Corporate Roster - ''24'!$C$6:$C$60,'Corporate Roster - ''24'!$E$6:$E$60)</f>
        <v>41718</v>
      </c>
      <c r="F197" s="64" t="str">
        <f>_xlfn.XLOOKUP($C197,'Corporate Roster - ''24'!$C$6:$C$60,'Corporate Roster - ''24'!$F$6:$F$60)</f>
        <v>-</v>
      </c>
      <c r="G197" s="32">
        <f t="shared" ref="G197:G250" si="239">SUM(J197:U197)</f>
        <v>378000</v>
      </c>
      <c r="H197" s="33">
        <f t="shared" ref="H197:H250" si="240">SUM(V197:AG197)</f>
        <v>425000</v>
      </c>
      <c r="J197" s="32">
        <f t="shared" ref="J197:AG197" si="241">J8+J71+J134</f>
        <v>24833.333333333332</v>
      </c>
      <c r="K197" s="10">
        <f t="shared" si="241"/>
        <v>24833.333333333332</v>
      </c>
      <c r="L197" s="10">
        <f t="shared" si="241"/>
        <v>24833.333333333332</v>
      </c>
      <c r="M197" s="10">
        <f t="shared" si="241"/>
        <v>24833.333333333332</v>
      </c>
      <c r="N197" s="10">
        <f t="shared" si="241"/>
        <v>24833.333333333332</v>
      </c>
      <c r="O197" s="10">
        <f t="shared" si="241"/>
        <v>24833.333333333332</v>
      </c>
      <c r="P197" s="10">
        <f t="shared" si="241"/>
        <v>24833.333333333332</v>
      </c>
      <c r="Q197" s="10">
        <f t="shared" si="241"/>
        <v>24833.333333333332</v>
      </c>
      <c r="R197" s="10">
        <f t="shared" si="241"/>
        <v>24833.333333333332</v>
      </c>
      <c r="S197" s="10">
        <f t="shared" si="241"/>
        <v>24833.333333333332</v>
      </c>
      <c r="T197" s="10">
        <f t="shared" si="241"/>
        <v>24833.333333333332</v>
      </c>
      <c r="U197" s="33">
        <f t="shared" si="241"/>
        <v>104833.33333333333</v>
      </c>
      <c r="V197" s="10">
        <f t="shared" si="241"/>
        <v>27083.333333333332</v>
      </c>
      <c r="W197" s="10">
        <f t="shared" si="241"/>
        <v>27083.333333333332</v>
      </c>
      <c r="X197" s="10">
        <f t="shared" si="241"/>
        <v>27083.333333333332</v>
      </c>
      <c r="Y197" s="10">
        <f t="shared" si="241"/>
        <v>27083.333333333332</v>
      </c>
      <c r="Z197" s="10">
        <f t="shared" si="241"/>
        <v>27083.333333333332</v>
      </c>
      <c r="AA197" s="10">
        <f t="shared" si="241"/>
        <v>27083.333333333332</v>
      </c>
      <c r="AB197" s="10">
        <f t="shared" si="241"/>
        <v>27083.333333333332</v>
      </c>
      <c r="AC197" s="10">
        <f t="shared" si="241"/>
        <v>27083.333333333332</v>
      </c>
      <c r="AD197" s="10">
        <f t="shared" si="241"/>
        <v>27083.333333333332</v>
      </c>
      <c r="AE197" s="10">
        <f t="shared" si="241"/>
        <v>27083.333333333332</v>
      </c>
      <c r="AF197" s="10">
        <f t="shared" si="241"/>
        <v>27083.333333333332</v>
      </c>
      <c r="AG197" s="33">
        <f t="shared" si="241"/>
        <v>127083.33333333333</v>
      </c>
    </row>
    <row r="198" spans="2:33" x14ac:dyDescent="0.2">
      <c r="C198" t="s">
        <v>69</v>
      </c>
      <c r="D198" t="s">
        <v>70</v>
      </c>
      <c r="E198" s="64">
        <f>_xlfn.XLOOKUP($C198,'Corporate Roster - ''24'!$C$6:$C$60,'Corporate Roster - ''24'!$E$6:$E$60)</f>
        <v>39601</v>
      </c>
      <c r="F198" s="64" t="str">
        <f>_xlfn.XLOOKUP($C198,'Corporate Roster - ''24'!$C$6:$C$60,'Corporate Roster - ''24'!$F$6:$F$60)</f>
        <v>-</v>
      </c>
      <c r="G198" s="32">
        <f t="shared" si="239"/>
        <v>390000</v>
      </c>
      <c r="H198" s="33">
        <f t="shared" si="240"/>
        <v>425000</v>
      </c>
      <c r="J198" s="32">
        <f t="shared" ref="J198:AG198" si="242">J9+J72+J135</f>
        <v>25833.333333333332</v>
      </c>
      <c r="K198" s="10">
        <f t="shared" si="242"/>
        <v>25833.333333333332</v>
      </c>
      <c r="L198" s="10">
        <f t="shared" si="242"/>
        <v>25833.333333333332</v>
      </c>
      <c r="M198" s="10">
        <f t="shared" si="242"/>
        <v>25833.333333333332</v>
      </c>
      <c r="N198" s="10">
        <f t="shared" si="242"/>
        <v>25833.333333333332</v>
      </c>
      <c r="O198" s="10">
        <f t="shared" si="242"/>
        <v>25833.333333333332</v>
      </c>
      <c r="P198" s="10">
        <f t="shared" si="242"/>
        <v>25833.333333333332</v>
      </c>
      <c r="Q198" s="10">
        <f t="shared" si="242"/>
        <v>25833.333333333332</v>
      </c>
      <c r="R198" s="10">
        <f t="shared" si="242"/>
        <v>25833.333333333332</v>
      </c>
      <c r="S198" s="10">
        <f t="shared" si="242"/>
        <v>25833.333333333332</v>
      </c>
      <c r="T198" s="10">
        <f t="shared" si="242"/>
        <v>25833.333333333332</v>
      </c>
      <c r="U198" s="33">
        <f t="shared" si="242"/>
        <v>105833.33333333333</v>
      </c>
      <c r="V198" s="10">
        <f t="shared" si="242"/>
        <v>27083.333333333332</v>
      </c>
      <c r="W198" s="10">
        <f t="shared" si="242"/>
        <v>27083.333333333332</v>
      </c>
      <c r="X198" s="10">
        <f t="shared" si="242"/>
        <v>27083.333333333332</v>
      </c>
      <c r="Y198" s="10">
        <f t="shared" si="242"/>
        <v>27083.333333333332</v>
      </c>
      <c r="Z198" s="10">
        <f t="shared" si="242"/>
        <v>27083.333333333332</v>
      </c>
      <c r="AA198" s="10">
        <f t="shared" si="242"/>
        <v>27083.333333333332</v>
      </c>
      <c r="AB198" s="10">
        <f t="shared" si="242"/>
        <v>27083.333333333332</v>
      </c>
      <c r="AC198" s="10">
        <f t="shared" si="242"/>
        <v>27083.333333333332</v>
      </c>
      <c r="AD198" s="10">
        <f t="shared" si="242"/>
        <v>27083.333333333332</v>
      </c>
      <c r="AE198" s="10">
        <f t="shared" si="242"/>
        <v>27083.333333333332</v>
      </c>
      <c r="AF198" s="10">
        <f t="shared" si="242"/>
        <v>27083.333333333332</v>
      </c>
      <c r="AG198" s="33">
        <f t="shared" si="242"/>
        <v>127083.33333333333</v>
      </c>
    </row>
    <row r="199" spans="2:33" x14ac:dyDescent="0.2">
      <c r="C199" t="s">
        <v>71</v>
      </c>
      <c r="D199" t="s">
        <v>72</v>
      </c>
      <c r="E199" s="64">
        <f>_xlfn.XLOOKUP($C199,'Corporate Roster - ''24'!$C$6:$C$60,'Corporate Roster - ''24'!$E$6:$E$60)</f>
        <v>44453</v>
      </c>
      <c r="F199" s="64" t="str">
        <f>_xlfn.XLOOKUP($C199,'Corporate Roster - ''24'!$C$6:$C$60,'Corporate Roster - ''24'!$F$6:$F$60)</f>
        <v>-</v>
      </c>
      <c r="G199" s="32">
        <f t="shared" si="239"/>
        <v>365000</v>
      </c>
      <c r="H199" s="33">
        <f t="shared" si="240"/>
        <v>396000</v>
      </c>
      <c r="J199" s="32">
        <f t="shared" ref="J199:AG199" si="243">J10+J73+J136</f>
        <v>24833.333333333332</v>
      </c>
      <c r="K199" s="10">
        <f t="shared" si="243"/>
        <v>24833.333333333332</v>
      </c>
      <c r="L199" s="10">
        <f t="shared" si="243"/>
        <v>24833.333333333332</v>
      </c>
      <c r="M199" s="10">
        <f t="shared" si="243"/>
        <v>24833.333333333332</v>
      </c>
      <c r="N199" s="10">
        <f t="shared" si="243"/>
        <v>24833.333333333332</v>
      </c>
      <c r="O199" s="10">
        <f t="shared" si="243"/>
        <v>24833.333333333332</v>
      </c>
      <c r="P199" s="10">
        <f t="shared" si="243"/>
        <v>24833.333333333332</v>
      </c>
      <c r="Q199" s="10">
        <f t="shared" si="243"/>
        <v>24833.333333333332</v>
      </c>
      <c r="R199" s="10">
        <f t="shared" si="243"/>
        <v>24833.333333333332</v>
      </c>
      <c r="S199" s="10">
        <f t="shared" si="243"/>
        <v>24833.333333333332</v>
      </c>
      <c r="T199" s="10">
        <f t="shared" si="243"/>
        <v>24833.333333333332</v>
      </c>
      <c r="U199" s="33">
        <f t="shared" si="243"/>
        <v>91833.333333333328</v>
      </c>
      <c r="V199" s="10">
        <f t="shared" si="243"/>
        <v>26000</v>
      </c>
      <c r="W199" s="10">
        <f t="shared" si="243"/>
        <v>26000</v>
      </c>
      <c r="X199" s="10">
        <f t="shared" si="243"/>
        <v>26000</v>
      </c>
      <c r="Y199" s="10">
        <f t="shared" si="243"/>
        <v>26000</v>
      </c>
      <c r="Z199" s="10">
        <f t="shared" si="243"/>
        <v>26000</v>
      </c>
      <c r="AA199" s="10">
        <f t="shared" si="243"/>
        <v>26000</v>
      </c>
      <c r="AB199" s="10">
        <f t="shared" si="243"/>
        <v>26000</v>
      </c>
      <c r="AC199" s="10">
        <f t="shared" si="243"/>
        <v>26000</v>
      </c>
      <c r="AD199" s="10">
        <f t="shared" si="243"/>
        <v>26000</v>
      </c>
      <c r="AE199" s="10">
        <f t="shared" si="243"/>
        <v>26000</v>
      </c>
      <c r="AF199" s="10">
        <f t="shared" si="243"/>
        <v>26000</v>
      </c>
      <c r="AG199" s="33">
        <f t="shared" si="243"/>
        <v>110000</v>
      </c>
    </row>
    <row r="200" spans="2:33" x14ac:dyDescent="0.2">
      <c r="C200" t="s">
        <v>145</v>
      </c>
      <c r="D200" t="s">
        <v>74</v>
      </c>
      <c r="E200" s="64">
        <f>_xlfn.XLOOKUP($C200,'Corporate Roster - ''24'!$C$6:$C$60,'Corporate Roster - ''24'!$E$6:$E$60)</f>
        <v>39783</v>
      </c>
      <c r="F200" s="64" t="str">
        <f>_xlfn.XLOOKUP($C200,'Corporate Roster - ''24'!$C$6:$C$60,'Corporate Roster - ''24'!$F$6:$F$60)</f>
        <v>-</v>
      </c>
      <c r="G200" s="32">
        <f t="shared" si="239"/>
        <v>274000.00000000006</v>
      </c>
      <c r="H200" s="33">
        <f t="shared" si="240"/>
        <v>320000</v>
      </c>
      <c r="J200" s="32">
        <f t="shared" ref="J200:AG200" si="244">J11+J74+J137</f>
        <v>18083.333333333336</v>
      </c>
      <c r="K200" s="10">
        <f t="shared" si="244"/>
        <v>18083.333333333336</v>
      </c>
      <c r="L200" s="10">
        <f t="shared" si="244"/>
        <v>18083.333333333336</v>
      </c>
      <c r="M200" s="10">
        <f t="shared" si="244"/>
        <v>18083.333333333336</v>
      </c>
      <c r="N200" s="10">
        <f t="shared" si="244"/>
        <v>18083.333333333336</v>
      </c>
      <c r="O200" s="10">
        <f t="shared" si="244"/>
        <v>18083.333333333336</v>
      </c>
      <c r="P200" s="10">
        <f t="shared" si="244"/>
        <v>18083.333333333336</v>
      </c>
      <c r="Q200" s="10">
        <f t="shared" si="244"/>
        <v>18083.333333333336</v>
      </c>
      <c r="R200" s="10">
        <f t="shared" si="244"/>
        <v>18083.333333333336</v>
      </c>
      <c r="S200" s="10">
        <f t="shared" si="244"/>
        <v>18083.333333333336</v>
      </c>
      <c r="T200" s="10">
        <f t="shared" si="244"/>
        <v>18083.333333333336</v>
      </c>
      <c r="U200" s="33">
        <f t="shared" si="244"/>
        <v>75083.333333333328</v>
      </c>
      <c r="V200" s="10">
        <f t="shared" si="244"/>
        <v>21666.666666666668</v>
      </c>
      <c r="W200" s="10">
        <f t="shared" si="244"/>
        <v>21666.666666666668</v>
      </c>
      <c r="X200" s="10">
        <f t="shared" si="244"/>
        <v>21666.666666666668</v>
      </c>
      <c r="Y200" s="10">
        <f t="shared" si="244"/>
        <v>21666.666666666668</v>
      </c>
      <c r="Z200" s="10">
        <f t="shared" si="244"/>
        <v>21666.666666666668</v>
      </c>
      <c r="AA200" s="10">
        <f t="shared" si="244"/>
        <v>21666.666666666668</v>
      </c>
      <c r="AB200" s="10">
        <f t="shared" si="244"/>
        <v>21666.666666666668</v>
      </c>
      <c r="AC200" s="10">
        <f t="shared" si="244"/>
        <v>21666.666666666668</v>
      </c>
      <c r="AD200" s="10">
        <f t="shared" si="244"/>
        <v>21666.666666666668</v>
      </c>
      <c r="AE200" s="10">
        <f t="shared" si="244"/>
        <v>21666.666666666668</v>
      </c>
      <c r="AF200" s="10">
        <f t="shared" si="244"/>
        <v>21666.666666666668</v>
      </c>
      <c r="AG200" s="33">
        <f t="shared" si="244"/>
        <v>81666.666666666672</v>
      </c>
    </row>
    <row r="201" spans="2:33" x14ac:dyDescent="0.2">
      <c r="C201" t="s">
        <v>146</v>
      </c>
      <c r="D201" t="s">
        <v>76</v>
      </c>
      <c r="E201" s="64">
        <f>_xlfn.XLOOKUP($C201,'Corporate Roster - ''24'!$C$6:$C$60,'Corporate Roster - ''24'!$E$6:$E$60)</f>
        <v>42573</v>
      </c>
      <c r="F201" s="64" t="str">
        <f>_xlfn.XLOOKUP($C201,'Corporate Roster - ''24'!$C$6:$C$60,'Corporate Roster - ''24'!$F$6:$F$60)</f>
        <v>-</v>
      </c>
      <c r="G201" s="32">
        <f t="shared" si="239"/>
        <v>280000.00000000006</v>
      </c>
      <c r="H201" s="33">
        <f t="shared" si="240"/>
        <v>320000</v>
      </c>
      <c r="J201" s="32">
        <f t="shared" ref="J201:AG201" si="245">J12+J75+J138</f>
        <v>18333.333333333336</v>
      </c>
      <c r="K201" s="10">
        <f t="shared" si="245"/>
        <v>18333.333333333336</v>
      </c>
      <c r="L201" s="10">
        <f t="shared" si="245"/>
        <v>18333.333333333336</v>
      </c>
      <c r="M201" s="10">
        <f t="shared" si="245"/>
        <v>18333.333333333336</v>
      </c>
      <c r="N201" s="10">
        <f t="shared" si="245"/>
        <v>18333.333333333336</v>
      </c>
      <c r="O201" s="10">
        <f t="shared" si="245"/>
        <v>18333.333333333336</v>
      </c>
      <c r="P201" s="10">
        <f t="shared" si="245"/>
        <v>18333.333333333336</v>
      </c>
      <c r="Q201" s="10">
        <f t="shared" si="245"/>
        <v>18333.333333333336</v>
      </c>
      <c r="R201" s="10">
        <f t="shared" si="245"/>
        <v>18333.333333333336</v>
      </c>
      <c r="S201" s="10">
        <f t="shared" si="245"/>
        <v>18333.333333333336</v>
      </c>
      <c r="T201" s="10">
        <f t="shared" si="245"/>
        <v>18333.333333333336</v>
      </c>
      <c r="U201" s="33">
        <f t="shared" si="245"/>
        <v>78333.333333333328</v>
      </c>
      <c r="V201" s="10">
        <f t="shared" si="245"/>
        <v>21666.666666666668</v>
      </c>
      <c r="W201" s="10">
        <f t="shared" si="245"/>
        <v>21666.666666666668</v>
      </c>
      <c r="X201" s="10">
        <f t="shared" si="245"/>
        <v>21666.666666666668</v>
      </c>
      <c r="Y201" s="10">
        <f t="shared" si="245"/>
        <v>21666.666666666668</v>
      </c>
      <c r="Z201" s="10">
        <f t="shared" si="245"/>
        <v>21666.666666666668</v>
      </c>
      <c r="AA201" s="10">
        <f t="shared" si="245"/>
        <v>21666.666666666668</v>
      </c>
      <c r="AB201" s="10">
        <f t="shared" si="245"/>
        <v>21666.666666666668</v>
      </c>
      <c r="AC201" s="10">
        <f t="shared" si="245"/>
        <v>21666.666666666668</v>
      </c>
      <c r="AD201" s="10">
        <f t="shared" si="245"/>
        <v>21666.666666666668</v>
      </c>
      <c r="AE201" s="10">
        <f t="shared" si="245"/>
        <v>21666.666666666668</v>
      </c>
      <c r="AF201" s="10">
        <f t="shared" si="245"/>
        <v>21666.666666666668</v>
      </c>
      <c r="AG201" s="33">
        <f t="shared" si="245"/>
        <v>81666.666666666672</v>
      </c>
    </row>
    <row r="202" spans="2:33" x14ac:dyDescent="0.2">
      <c r="C202" t="s">
        <v>77</v>
      </c>
      <c r="D202" t="s">
        <v>78</v>
      </c>
      <c r="E202" s="64">
        <f>_xlfn.XLOOKUP($C202,'Corporate Roster - ''24'!$C$6:$C$60,'Corporate Roster - ''24'!$E$6:$E$60)</f>
        <v>38481</v>
      </c>
      <c r="F202" s="64" t="str">
        <f>_xlfn.XLOOKUP($C202,'Corporate Roster - ''24'!$C$6:$C$60,'Corporate Roster - ''24'!$F$6:$F$60)</f>
        <v>-</v>
      </c>
      <c r="G202" s="32">
        <f t="shared" si="239"/>
        <v>279000</v>
      </c>
      <c r="H202" s="33">
        <f t="shared" si="240"/>
        <v>279000</v>
      </c>
      <c r="J202" s="32">
        <f t="shared" ref="J202:AG202" si="246">J13+J76+J139</f>
        <v>19500</v>
      </c>
      <c r="K202" s="10">
        <f t="shared" si="246"/>
        <v>19500</v>
      </c>
      <c r="L202" s="10">
        <f t="shared" si="246"/>
        <v>19500</v>
      </c>
      <c r="M202" s="10">
        <f t="shared" si="246"/>
        <v>19500</v>
      </c>
      <c r="N202" s="10">
        <f t="shared" si="246"/>
        <v>19500</v>
      </c>
      <c r="O202" s="10">
        <f t="shared" si="246"/>
        <v>19500</v>
      </c>
      <c r="P202" s="10">
        <f t="shared" si="246"/>
        <v>19500</v>
      </c>
      <c r="Q202" s="10">
        <f t="shared" si="246"/>
        <v>19500</v>
      </c>
      <c r="R202" s="10">
        <f t="shared" si="246"/>
        <v>19500</v>
      </c>
      <c r="S202" s="10">
        <f t="shared" si="246"/>
        <v>19500</v>
      </c>
      <c r="T202" s="10">
        <f t="shared" si="246"/>
        <v>19500</v>
      </c>
      <c r="U202" s="33">
        <f t="shared" si="246"/>
        <v>64500</v>
      </c>
      <c r="V202" s="10">
        <f t="shared" si="246"/>
        <v>19500</v>
      </c>
      <c r="W202" s="10">
        <f t="shared" si="246"/>
        <v>19500</v>
      </c>
      <c r="X202" s="10">
        <f t="shared" si="246"/>
        <v>19500</v>
      </c>
      <c r="Y202" s="10">
        <f t="shared" si="246"/>
        <v>19500</v>
      </c>
      <c r="Z202" s="10">
        <f t="shared" si="246"/>
        <v>19500</v>
      </c>
      <c r="AA202" s="10">
        <f t="shared" si="246"/>
        <v>19500</v>
      </c>
      <c r="AB202" s="10">
        <f t="shared" si="246"/>
        <v>19500</v>
      </c>
      <c r="AC202" s="10">
        <f t="shared" si="246"/>
        <v>19500</v>
      </c>
      <c r="AD202" s="10">
        <f t="shared" si="246"/>
        <v>19500</v>
      </c>
      <c r="AE202" s="10">
        <f t="shared" si="246"/>
        <v>19500</v>
      </c>
      <c r="AF202" s="10">
        <f t="shared" si="246"/>
        <v>19500</v>
      </c>
      <c r="AG202" s="33">
        <f t="shared" si="246"/>
        <v>64500</v>
      </c>
    </row>
    <row r="203" spans="2:33" x14ac:dyDescent="0.2">
      <c r="C203" t="s">
        <v>79</v>
      </c>
      <c r="D203" t="s">
        <v>80</v>
      </c>
      <c r="E203" s="64">
        <f>_xlfn.XLOOKUP($C203,'Corporate Roster - ''24'!$C$6:$C$60,'Corporate Roster - ''24'!$E$6:$E$60)</f>
        <v>38427</v>
      </c>
      <c r="F203" s="64" t="str">
        <f>_xlfn.XLOOKUP($C203,'Corporate Roster - ''24'!$C$6:$C$60,'Corporate Roster - ''24'!$F$6:$F$60)</f>
        <v>-</v>
      </c>
      <c r="G203" s="32">
        <f t="shared" si="239"/>
        <v>240000.00000000009</v>
      </c>
      <c r="H203" s="33">
        <f t="shared" si="240"/>
        <v>240000.00000000009</v>
      </c>
      <c r="J203" s="32">
        <f t="shared" ref="J203:AG203" si="247">J14+J77+J140</f>
        <v>17333.333333333336</v>
      </c>
      <c r="K203" s="10">
        <f t="shared" si="247"/>
        <v>17333.333333333336</v>
      </c>
      <c r="L203" s="10">
        <f t="shared" si="247"/>
        <v>17333.333333333336</v>
      </c>
      <c r="M203" s="10">
        <f t="shared" si="247"/>
        <v>17333.333333333336</v>
      </c>
      <c r="N203" s="10">
        <f t="shared" si="247"/>
        <v>17333.333333333336</v>
      </c>
      <c r="O203" s="10">
        <f t="shared" si="247"/>
        <v>17333.333333333336</v>
      </c>
      <c r="P203" s="10">
        <f t="shared" si="247"/>
        <v>17333.333333333336</v>
      </c>
      <c r="Q203" s="10">
        <f t="shared" si="247"/>
        <v>17333.333333333336</v>
      </c>
      <c r="R203" s="10">
        <f t="shared" si="247"/>
        <v>17333.333333333336</v>
      </c>
      <c r="S203" s="10">
        <f t="shared" si="247"/>
        <v>17333.333333333336</v>
      </c>
      <c r="T203" s="10">
        <f t="shared" si="247"/>
        <v>17333.333333333336</v>
      </c>
      <c r="U203" s="33">
        <f t="shared" si="247"/>
        <v>49333.333333333336</v>
      </c>
      <c r="V203" s="10">
        <f t="shared" si="247"/>
        <v>17333.333333333336</v>
      </c>
      <c r="W203" s="10">
        <f t="shared" si="247"/>
        <v>17333.333333333336</v>
      </c>
      <c r="X203" s="10">
        <f t="shared" si="247"/>
        <v>17333.333333333336</v>
      </c>
      <c r="Y203" s="10">
        <f t="shared" si="247"/>
        <v>17333.333333333336</v>
      </c>
      <c r="Z203" s="10">
        <f t="shared" si="247"/>
        <v>17333.333333333336</v>
      </c>
      <c r="AA203" s="10">
        <f t="shared" si="247"/>
        <v>17333.333333333336</v>
      </c>
      <c r="AB203" s="10">
        <f t="shared" si="247"/>
        <v>17333.333333333336</v>
      </c>
      <c r="AC203" s="10">
        <f t="shared" si="247"/>
        <v>17333.333333333336</v>
      </c>
      <c r="AD203" s="10">
        <f t="shared" si="247"/>
        <v>17333.333333333336</v>
      </c>
      <c r="AE203" s="10">
        <f t="shared" si="247"/>
        <v>17333.333333333336</v>
      </c>
      <c r="AF203" s="10">
        <f t="shared" si="247"/>
        <v>17333.333333333336</v>
      </c>
      <c r="AG203" s="33">
        <f t="shared" si="247"/>
        <v>49333.333333333336</v>
      </c>
    </row>
    <row r="204" spans="2:33" x14ac:dyDescent="0.2">
      <c r="C204" t="s">
        <v>147</v>
      </c>
      <c r="D204" t="s">
        <v>82</v>
      </c>
      <c r="E204" s="64">
        <f>_xlfn.XLOOKUP($C204,'Corporate Roster - ''24'!$C$6:$C$60,'Corporate Roster - ''24'!$E$6:$E$60)</f>
        <v>42696</v>
      </c>
      <c r="F204" s="64" t="str">
        <f>_xlfn.XLOOKUP($C204,'Corporate Roster - ''24'!$C$6:$C$60,'Corporate Roster - ''24'!$F$6:$F$60)</f>
        <v>-</v>
      </c>
      <c r="G204" s="32">
        <f t="shared" si="239"/>
        <v>228000</v>
      </c>
      <c r="H204" s="33">
        <f t="shared" si="240"/>
        <v>240000.00000000009</v>
      </c>
      <c r="J204" s="32">
        <f t="shared" ref="J204:AG204" si="248">J15+J78+J141</f>
        <v>16500</v>
      </c>
      <c r="K204" s="10">
        <f t="shared" si="248"/>
        <v>16500</v>
      </c>
      <c r="L204" s="10">
        <f t="shared" si="248"/>
        <v>16500</v>
      </c>
      <c r="M204" s="10">
        <f t="shared" si="248"/>
        <v>16500</v>
      </c>
      <c r="N204" s="10">
        <f t="shared" si="248"/>
        <v>16500</v>
      </c>
      <c r="O204" s="10">
        <f t="shared" si="248"/>
        <v>16500</v>
      </c>
      <c r="P204" s="10">
        <f t="shared" si="248"/>
        <v>16500</v>
      </c>
      <c r="Q204" s="10">
        <f t="shared" si="248"/>
        <v>16500</v>
      </c>
      <c r="R204" s="10">
        <f t="shared" si="248"/>
        <v>16500</v>
      </c>
      <c r="S204" s="10">
        <f t="shared" si="248"/>
        <v>16500</v>
      </c>
      <c r="T204" s="10">
        <f t="shared" si="248"/>
        <v>16500</v>
      </c>
      <c r="U204" s="33">
        <f t="shared" si="248"/>
        <v>46500</v>
      </c>
      <c r="V204" s="10">
        <f t="shared" si="248"/>
        <v>17333.333333333336</v>
      </c>
      <c r="W204" s="10">
        <f t="shared" si="248"/>
        <v>17333.333333333336</v>
      </c>
      <c r="X204" s="10">
        <f t="shared" si="248"/>
        <v>17333.333333333336</v>
      </c>
      <c r="Y204" s="10">
        <f t="shared" si="248"/>
        <v>17333.333333333336</v>
      </c>
      <c r="Z204" s="10">
        <f t="shared" si="248"/>
        <v>17333.333333333336</v>
      </c>
      <c r="AA204" s="10">
        <f t="shared" si="248"/>
        <v>17333.333333333336</v>
      </c>
      <c r="AB204" s="10">
        <f t="shared" si="248"/>
        <v>17333.333333333336</v>
      </c>
      <c r="AC204" s="10">
        <f t="shared" si="248"/>
        <v>17333.333333333336</v>
      </c>
      <c r="AD204" s="10">
        <f t="shared" si="248"/>
        <v>17333.333333333336</v>
      </c>
      <c r="AE204" s="10">
        <f t="shared" si="248"/>
        <v>17333.333333333336</v>
      </c>
      <c r="AF204" s="10">
        <f t="shared" si="248"/>
        <v>17333.333333333336</v>
      </c>
      <c r="AG204" s="33">
        <f t="shared" si="248"/>
        <v>49333.333333333336</v>
      </c>
    </row>
    <row r="205" spans="2:33" x14ac:dyDescent="0.2">
      <c r="C205" t="s">
        <v>83</v>
      </c>
      <c r="D205" t="s">
        <v>84</v>
      </c>
      <c r="E205" s="64">
        <f>_xlfn.XLOOKUP($C205,'Corporate Roster - ''24'!$C$6:$C$60,'Corporate Roster - ''24'!$E$6:$E$60)</f>
        <v>45248</v>
      </c>
      <c r="F205" s="64" t="str">
        <f>_xlfn.XLOOKUP($C205,'Corporate Roster - ''24'!$C$6:$C$60,'Corporate Roster - ''24'!$F$6:$F$60)</f>
        <v>-</v>
      </c>
      <c r="G205" s="32">
        <f t="shared" si="239"/>
        <v>35187.5</v>
      </c>
      <c r="H205" s="33">
        <f t="shared" si="240"/>
        <v>217500</v>
      </c>
      <c r="J205" s="32">
        <f t="shared" ref="J205:AG205" si="249">J16+J79+J142</f>
        <v>0</v>
      </c>
      <c r="K205" s="10">
        <f t="shared" si="249"/>
        <v>0</v>
      </c>
      <c r="L205" s="10">
        <f t="shared" si="249"/>
        <v>0</v>
      </c>
      <c r="M205" s="10">
        <f t="shared" si="249"/>
        <v>0</v>
      </c>
      <c r="N205" s="10">
        <f t="shared" si="249"/>
        <v>0</v>
      </c>
      <c r="O205" s="10">
        <f t="shared" si="249"/>
        <v>0</v>
      </c>
      <c r="P205" s="10">
        <f t="shared" si="249"/>
        <v>0</v>
      </c>
      <c r="Q205" s="10">
        <f t="shared" si="249"/>
        <v>0</v>
      </c>
      <c r="R205" s="10">
        <f t="shared" si="249"/>
        <v>0</v>
      </c>
      <c r="S205" s="10">
        <f t="shared" si="249"/>
        <v>0</v>
      </c>
      <c r="T205" s="10">
        <f t="shared" si="249"/>
        <v>16250</v>
      </c>
      <c r="U205" s="33">
        <f t="shared" si="249"/>
        <v>18937.5</v>
      </c>
      <c r="V205" s="10">
        <f t="shared" si="249"/>
        <v>16250</v>
      </c>
      <c r="W205" s="10">
        <f t="shared" si="249"/>
        <v>16250</v>
      </c>
      <c r="X205" s="10">
        <f t="shared" si="249"/>
        <v>16250</v>
      </c>
      <c r="Y205" s="10">
        <f t="shared" si="249"/>
        <v>16250</v>
      </c>
      <c r="Z205" s="10">
        <f t="shared" si="249"/>
        <v>16250</v>
      </c>
      <c r="AA205" s="10">
        <f t="shared" si="249"/>
        <v>16250</v>
      </c>
      <c r="AB205" s="10">
        <f t="shared" si="249"/>
        <v>16250</v>
      </c>
      <c r="AC205" s="10">
        <f t="shared" si="249"/>
        <v>16250</v>
      </c>
      <c r="AD205" s="10">
        <f t="shared" si="249"/>
        <v>16250</v>
      </c>
      <c r="AE205" s="10">
        <f t="shared" si="249"/>
        <v>16250</v>
      </c>
      <c r="AF205" s="10">
        <f t="shared" si="249"/>
        <v>16250</v>
      </c>
      <c r="AG205" s="33">
        <f t="shared" si="249"/>
        <v>38750</v>
      </c>
    </row>
    <row r="206" spans="2:33" x14ac:dyDescent="0.2">
      <c r="C206" t="s">
        <v>85</v>
      </c>
      <c r="D206" t="s">
        <v>86</v>
      </c>
      <c r="E206" s="64">
        <f>_xlfn.XLOOKUP($C206,'Corporate Roster - ''24'!$C$6:$C$60,'Corporate Roster - ''24'!$E$6:$E$60)</f>
        <v>42458</v>
      </c>
      <c r="F206" s="64" t="str">
        <f>_xlfn.XLOOKUP($C206,'Corporate Roster - ''24'!$C$6:$C$60,'Corporate Roster - ''24'!$F$6:$F$60)</f>
        <v>-</v>
      </c>
      <c r="G206" s="32">
        <f t="shared" si="239"/>
        <v>140999.99999999997</v>
      </c>
      <c r="H206" s="33">
        <f t="shared" si="240"/>
        <v>168000</v>
      </c>
      <c r="J206" s="32">
        <f t="shared" ref="J206:AG206" si="250">J17+J80+J143</f>
        <v>10833.333333333332</v>
      </c>
      <c r="K206" s="10">
        <f t="shared" si="250"/>
        <v>10833.333333333332</v>
      </c>
      <c r="L206" s="10">
        <f t="shared" si="250"/>
        <v>10833.333333333332</v>
      </c>
      <c r="M206" s="10">
        <f t="shared" si="250"/>
        <v>10833.333333333332</v>
      </c>
      <c r="N206" s="10">
        <f t="shared" si="250"/>
        <v>10833.333333333332</v>
      </c>
      <c r="O206" s="10">
        <f t="shared" si="250"/>
        <v>10833.333333333332</v>
      </c>
      <c r="P206" s="10">
        <f t="shared" si="250"/>
        <v>10833.333333333332</v>
      </c>
      <c r="Q206" s="10">
        <f t="shared" si="250"/>
        <v>10833.333333333332</v>
      </c>
      <c r="R206" s="10">
        <f t="shared" si="250"/>
        <v>10833.333333333332</v>
      </c>
      <c r="S206" s="10">
        <f t="shared" si="250"/>
        <v>10833.333333333332</v>
      </c>
      <c r="T206" s="10">
        <f t="shared" si="250"/>
        <v>10833.333333333332</v>
      </c>
      <c r="U206" s="33">
        <f t="shared" si="250"/>
        <v>21833.333333333332</v>
      </c>
      <c r="V206" s="10">
        <f t="shared" si="250"/>
        <v>13000</v>
      </c>
      <c r="W206" s="10">
        <f t="shared" si="250"/>
        <v>13000</v>
      </c>
      <c r="X206" s="10">
        <f t="shared" si="250"/>
        <v>13000</v>
      </c>
      <c r="Y206" s="10">
        <f t="shared" si="250"/>
        <v>13000</v>
      </c>
      <c r="Z206" s="10">
        <f t="shared" si="250"/>
        <v>13000</v>
      </c>
      <c r="AA206" s="10">
        <f t="shared" si="250"/>
        <v>13000</v>
      </c>
      <c r="AB206" s="10">
        <f t="shared" si="250"/>
        <v>13000</v>
      </c>
      <c r="AC206" s="10">
        <f t="shared" si="250"/>
        <v>13000</v>
      </c>
      <c r="AD206" s="10">
        <f t="shared" si="250"/>
        <v>13000</v>
      </c>
      <c r="AE206" s="10">
        <f t="shared" si="250"/>
        <v>13000</v>
      </c>
      <c r="AF206" s="10">
        <f t="shared" si="250"/>
        <v>13000</v>
      </c>
      <c r="AG206" s="33">
        <f t="shared" si="250"/>
        <v>25000</v>
      </c>
    </row>
    <row r="207" spans="2:33" x14ac:dyDescent="0.2">
      <c r="C207" t="s">
        <v>87</v>
      </c>
      <c r="D207" t="s">
        <v>88</v>
      </c>
      <c r="E207" s="64">
        <f>_xlfn.XLOOKUP($C207,'Corporate Roster - ''24'!$C$6:$C$60,'Corporate Roster - ''24'!$E$6:$E$60)</f>
        <v>41921</v>
      </c>
      <c r="F207" s="64" t="str">
        <f>_xlfn.XLOOKUP($C207,'Corporate Roster - ''24'!$C$6:$C$60,'Corporate Roster - ''24'!$F$6:$F$60)</f>
        <v>-</v>
      </c>
      <c r="G207" s="32">
        <f t="shared" si="239"/>
        <v>182000</v>
      </c>
      <c r="H207" s="33">
        <f t="shared" si="240"/>
        <v>182000</v>
      </c>
      <c r="J207" s="32">
        <f t="shared" ref="J207:AG207" si="251">J18+J81+J144</f>
        <v>14083.333333333334</v>
      </c>
      <c r="K207" s="10">
        <f t="shared" si="251"/>
        <v>14083.333333333334</v>
      </c>
      <c r="L207" s="10">
        <f t="shared" si="251"/>
        <v>14083.333333333334</v>
      </c>
      <c r="M207" s="10">
        <f t="shared" si="251"/>
        <v>14083.333333333334</v>
      </c>
      <c r="N207" s="10">
        <f t="shared" si="251"/>
        <v>14083.333333333334</v>
      </c>
      <c r="O207" s="10">
        <f t="shared" si="251"/>
        <v>14083.333333333334</v>
      </c>
      <c r="P207" s="10">
        <f t="shared" si="251"/>
        <v>14083.333333333334</v>
      </c>
      <c r="Q207" s="10">
        <f t="shared" si="251"/>
        <v>14083.333333333334</v>
      </c>
      <c r="R207" s="10">
        <f t="shared" si="251"/>
        <v>14083.333333333334</v>
      </c>
      <c r="S207" s="10">
        <f t="shared" si="251"/>
        <v>14083.333333333334</v>
      </c>
      <c r="T207" s="10">
        <f t="shared" si="251"/>
        <v>14083.333333333334</v>
      </c>
      <c r="U207" s="33">
        <f t="shared" si="251"/>
        <v>27083.333333333336</v>
      </c>
      <c r="V207" s="10">
        <f t="shared" si="251"/>
        <v>14083.333333333334</v>
      </c>
      <c r="W207" s="10">
        <f t="shared" si="251"/>
        <v>14083.333333333334</v>
      </c>
      <c r="X207" s="10">
        <f t="shared" si="251"/>
        <v>14083.333333333334</v>
      </c>
      <c r="Y207" s="10">
        <f t="shared" si="251"/>
        <v>14083.333333333334</v>
      </c>
      <c r="Z207" s="10">
        <f t="shared" si="251"/>
        <v>14083.333333333334</v>
      </c>
      <c r="AA207" s="10">
        <f t="shared" si="251"/>
        <v>14083.333333333334</v>
      </c>
      <c r="AB207" s="10">
        <f t="shared" si="251"/>
        <v>14083.333333333334</v>
      </c>
      <c r="AC207" s="10">
        <f t="shared" si="251"/>
        <v>14083.333333333334</v>
      </c>
      <c r="AD207" s="10">
        <f t="shared" si="251"/>
        <v>14083.333333333334</v>
      </c>
      <c r="AE207" s="10">
        <f t="shared" si="251"/>
        <v>14083.333333333334</v>
      </c>
      <c r="AF207" s="10">
        <f t="shared" si="251"/>
        <v>14083.333333333334</v>
      </c>
      <c r="AG207" s="33">
        <f t="shared" si="251"/>
        <v>27083.333333333336</v>
      </c>
    </row>
    <row r="208" spans="2:33" x14ac:dyDescent="0.2">
      <c r="C208" t="s">
        <v>89</v>
      </c>
      <c r="D208" t="s">
        <v>90</v>
      </c>
      <c r="E208" s="64">
        <f>_xlfn.XLOOKUP($C208,'Corporate Roster - ''24'!$C$6:$C$60,'Corporate Roster - ''24'!$E$6:$E$60)</f>
        <v>40143</v>
      </c>
      <c r="F208" s="64" t="str">
        <f>_xlfn.XLOOKUP($C208,'Corporate Roster - ''24'!$C$6:$C$60,'Corporate Roster - ''24'!$F$6:$F$60)</f>
        <v>-</v>
      </c>
      <c r="G208" s="32">
        <f t="shared" si="239"/>
        <v>153000</v>
      </c>
      <c r="H208" s="33">
        <f t="shared" si="240"/>
        <v>182000</v>
      </c>
      <c r="J208" s="32">
        <f t="shared" ref="J208:AG208" si="252">J19+J82+J145</f>
        <v>11750</v>
      </c>
      <c r="K208" s="10">
        <f t="shared" si="252"/>
        <v>11750</v>
      </c>
      <c r="L208" s="10">
        <f t="shared" si="252"/>
        <v>11750</v>
      </c>
      <c r="M208" s="10">
        <f t="shared" si="252"/>
        <v>11750</v>
      </c>
      <c r="N208" s="10">
        <f t="shared" si="252"/>
        <v>11750</v>
      </c>
      <c r="O208" s="10">
        <f t="shared" si="252"/>
        <v>11750</v>
      </c>
      <c r="P208" s="10">
        <f t="shared" si="252"/>
        <v>11750</v>
      </c>
      <c r="Q208" s="10">
        <f t="shared" si="252"/>
        <v>11750</v>
      </c>
      <c r="R208" s="10">
        <f t="shared" si="252"/>
        <v>11750</v>
      </c>
      <c r="S208" s="10">
        <f t="shared" si="252"/>
        <v>11750</v>
      </c>
      <c r="T208" s="10">
        <f t="shared" si="252"/>
        <v>11750</v>
      </c>
      <c r="U208" s="33">
        <f t="shared" si="252"/>
        <v>23749.999999999996</v>
      </c>
      <c r="V208" s="10">
        <f t="shared" si="252"/>
        <v>14083.333333333334</v>
      </c>
      <c r="W208" s="10">
        <f t="shared" si="252"/>
        <v>14083.333333333334</v>
      </c>
      <c r="X208" s="10">
        <f t="shared" si="252"/>
        <v>14083.333333333334</v>
      </c>
      <c r="Y208" s="10">
        <f t="shared" si="252"/>
        <v>14083.333333333334</v>
      </c>
      <c r="Z208" s="10">
        <f t="shared" si="252"/>
        <v>14083.333333333334</v>
      </c>
      <c r="AA208" s="10">
        <f t="shared" si="252"/>
        <v>14083.333333333334</v>
      </c>
      <c r="AB208" s="10">
        <f t="shared" si="252"/>
        <v>14083.333333333334</v>
      </c>
      <c r="AC208" s="10">
        <f t="shared" si="252"/>
        <v>14083.333333333334</v>
      </c>
      <c r="AD208" s="10">
        <f t="shared" si="252"/>
        <v>14083.333333333334</v>
      </c>
      <c r="AE208" s="10">
        <f t="shared" si="252"/>
        <v>14083.333333333334</v>
      </c>
      <c r="AF208" s="10">
        <f t="shared" si="252"/>
        <v>14083.333333333334</v>
      </c>
      <c r="AG208" s="33">
        <f t="shared" si="252"/>
        <v>27083.333333333336</v>
      </c>
    </row>
    <row r="209" spans="3:33" x14ac:dyDescent="0.2">
      <c r="C209" t="s">
        <v>81</v>
      </c>
      <c r="D209" t="s">
        <v>91</v>
      </c>
      <c r="E209" s="64">
        <f>_xlfn.XLOOKUP($C209,'Corporate Roster - ''24'!$C$6:$C$60,'Corporate Roster - ''24'!$E$6:$E$60)</f>
        <v>40811</v>
      </c>
      <c r="F209" s="64" t="str">
        <f>_xlfn.XLOOKUP($C209,'Corporate Roster - ''24'!$C$6:$C$60,'Corporate Roster - ''24'!$F$6:$F$60)</f>
        <v>-</v>
      </c>
      <c r="G209" s="32">
        <f t="shared" si="239"/>
        <v>154000</v>
      </c>
      <c r="H209" s="33">
        <f t="shared" si="240"/>
        <v>154000</v>
      </c>
      <c r="J209" s="32">
        <f t="shared" ref="J209:AG209" si="253">J20+J83+J146</f>
        <v>11916.666666666666</v>
      </c>
      <c r="K209" s="10">
        <f t="shared" si="253"/>
        <v>11916.666666666666</v>
      </c>
      <c r="L209" s="10">
        <f t="shared" si="253"/>
        <v>11916.666666666666</v>
      </c>
      <c r="M209" s="10">
        <f t="shared" si="253"/>
        <v>11916.666666666666</v>
      </c>
      <c r="N209" s="10">
        <f t="shared" si="253"/>
        <v>11916.666666666666</v>
      </c>
      <c r="O209" s="10">
        <f t="shared" si="253"/>
        <v>11916.666666666666</v>
      </c>
      <c r="P209" s="10">
        <f t="shared" si="253"/>
        <v>11916.666666666666</v>
      </c>
      <c r="Q209" s="10">
        <f t="shared" si="253"/>
        <v>11916.666666666666</v>
      </c>
      <c r="R209" s="10">
        <f t="shared" si="253"/>
        <v>11916.666666666666</v>
      </c>
      <c r="S209" s="10">
        <f t="shared" si="253"/>
        <v>11916.666666666666</v>
      </c>
      <c r="T209" s="10">
        <f t="shared" si="253"/>
        <v>11916.666666666666</v>
      </c>
      <c r="U209" s="33">
        <f t="shared" si="253"/>
        <v>22916.666666666664</v>
      </c>
      <c r="V209" s="10">
        <f t="shared" si="253"/>
        <v>11916.666666666666</v>
      </c>
      <c r="W209" s="10">
        <f t="shared" si="253"/>
        <v>11916.666666666666</v>
      </c>
      <c r="X209" s="10">
        <f t="shared" si="253"/>
        <v>11916.666666666666</v>
      </c>
      <c r="Y209" s="10">
        <f t="shared" si="253"/>
        <v>11916.666666666666</v>
      </c>
      <c r="Z209" s="10">
        <f t="shared" si="253"/>
        <v>11916.666666666666</v>
      </c>
      <c r="AA209" s="10">
        <f t="shared" si="253"/>
        <v>11916.666666666666</v>
      </c>
      <c r="AB209" s="10">
        <f t="shared" si="253"/>
        <v>11916.666666666666</v>
      </c>
      <c r="AC209" s="10">
        <f t="shared" si="253"/>
        <v>11916.666666666666</v>
      </c>
      <c r="AD209" s="10">
        <f t="shared" si="253"/>
        <v>11916.666666666666</v>
      </c>
      <c r="AE209" s="10">
        <f t="shared" si="253"/>
        <v>11916.666666666666</v>
      </c>
      <c r="AF209" s="10">
        <f t="shared" si="253"/>
        <v>11916.666666666666</v>
      </c>
      <c r="AG209" s="33">
        <f t="shared" si="253"/>
        <v>22916.666666666664</v>
      </c>
    </row>
    <row r="210" spans="3:33" x14ac:dyDescent="0.2">
      <c r="C210" t="s">
        <v>92</v>
      </c>
      <c r="D210" t="s">
        <v>93</v>
      </c>
      <c r="E210" s="64">
        <f>_xlfn.XLOOKUP($C210,'Corporate Roster - ''24'!$C$6:$C$60,'Corporate Roster - ''24'!$E$6:$E$60)</f>
        <v>43400</v>
      </c>
      <c r="F210" s="64" t="str">
        <f>_xlfn.XLOOKUP($C210,'Corporate Roster - ''24'!$C$6:$C$60,'Corporate Roster - ''24'!$F$6:$F$60)</f>
        <v>-</v>
      </c>
      <c r="G210" s="32">
        <f t="shared" si="239"/>
        <v>153000</v>
      </c>
      <c r="H210" s="33">
        <f t="shared" si="240"/>
        <v>168000</v>
      </c>
      <c r="J210" s="32">
        <f t="shared" ref="J210:AG210" si="254">J21+J84+J147</f>
        <v>11916.666666666666</v>
      </c>
      <c r="K210" s="10">
        <f t="shared" si="254"/>
        <v>11916.666666666666</v>
      </c>
      <c r="L210" s="10">
        <f t="shared" si="254"/>
        <v>11916.666666666666</v>
      </c>
      <c r="M210" s="10">
        <f t="shared" si="254"/>
        <v>11916.666666666666</v>
      </c>
      <c r="N210" s="10">
        <f t="shared" si="254"/>
        <v>11916.666666666666</v>
      </c>
      <c r="O210" s="10">
        <f t="shared" si="254"/>
        <v>11916.666666666666</v>
      </c>
      <c r="P210" s="10">
        <f t="shared" si="254"/>
        <v>11916.666666666666</v>
      </c>
      <c r="Q210" s="10">
        <f t="shared" si="254"/>
        <v>11916.666666666666</v>
      </c>
      <c r="R210" s="10">
        <f t="shared" si="254"/>
        <v>11916.666666666666</v>
      </c>
      <c r="S210" s="10">
        <f t="shared" si="254"/>
        <v>11916.666666666666</v>
      </c>
      <c r="T210" s="10">
        <f t="shared" si="254"/>
        <v>11916.666666666666</v>
      </c>
      <c r="U210" s="33">
        <f t="shared" si="254"/>
        <v>21916.666666666668</v>
      </c>
      <c r="V210" s="10">
        <f t="shared" si="254"/>
        <v>13000</v>
      </c>
      <c r="W210" s="10">
        <f t="shared" si="254"/>
        <v>13000</v>
      </c>
      <c r="X210" s="10">
        <f t="shared" si="254"/>
        <v>13000</v>
      </c>
      <c r="Y210" s="10">
        <f t="shared" si="254"/>
        <v>13000</v>
      </c>
      <c r="Z210" s="10">
        <f t="shared" si="254"/>
        <v>13000</v>
      </c>
      <c r="AA210" s="10">
        <f t="shared" si="254"/>
        <v>13000</v>
      </c>
      <c r="AB210" s="10">
        <f t="shared" si="254"/>
        <v>13000</v>
      </c>
      <c r="AC210" s="10">
        <f t="shared" si="254"/>
        <v>13000</v>
      </c>
      <c r="AD210" s="10">
        <f t="shared" si="254"/>
        <v>13000</v>
      </c>
      <c r="AE210" s="10">
        <f t="shared" si="254"/>
        <v>13000</v>
      </c>
      <c r="AF210" s="10">
        <f t="shared" si="254"/>
        <v>13000</v>
      </c>
      <c r="AG210" s="33">
        <f t="shared" si="254"/>
        <v>25000</v>
      </c>
    </row>
    <row r="211" spans="3:33" x14ac:dyDescent="0.2">
      <c r="C211" t="s">
        <v>94</v>
      </c>
      <c r="D211" t="s">
        <v>95</v>
      </c>
      <c r="E211" s="64">
        <f>_xlfn.XLOOKUP($C211,'Corporate Roster - ''24'!$C$6:$C$60,'Corporate Roster - ''24'!$E$6:$E$60)</f>
        <v>40031</v>
      </c>
      <c r="F211" s="64" t="str">
        <f>_xlfn.XLOOKUP($C211,'Corporate Roster - ''24'!$C$6:$C$60,'Corporate Roster - ''24'!$F$6:$F$60)</f>
        <v>-</v>
      </c>
      <c r="G211" s="32">
        <f t="shared" si="239"/>
        <v>168000</v>
      </c>
      <c r="H211" s="33">
        <f t="shared" si="240"/>
        <v>195999.99999999997</v>
      </c>
      <c r="J211" s="32">
        <f t="shared" ref="J211:AG211" si="255">J22+J85+J148</f>
        <v>12833.333333333334</v>
      </c>
      <c r="K211" s="10">
        <f t="shared" si="255"/>
        <v>12833.333333333334</v>
      </c>
      <c r="L211" s="10">
        <f t="shared" si="255"/>
        <v>12833.333333333334</v>
      </c>
      <c r="M211" s="10">
        <f t="shared" si="255"/>
        <v>12833.333333333334</v>
      </c>
      <c r="N211" s="10">
        <f t="shared" si="255"/>
        <v>12833.333333333334</v>
      </c>
      <c r="O211" s="10">
        <f t="shared" si="255"/>
        <v>12833.333333333334</v>
      </c>
      <c r="P211" s="10">
        <f t="shared" si="255"/>
        <v>12833.333333333334</v>
      </c>
      <c r="Q211" s="10">
        <f t="shared" si="255"/>
        <v>12833.333333333334</v>
      </c>
      <c r="R211" s="10">
        <f t="shared" si="255"/>
        <v>12833.333333333334</v>
      </c>
      <c r="S211" s="10">
        <f t="shared" si="255"/>
        <v>12833.333333333334</v>
      </c>
      <c r="T211" s="10">
        <f t="shared" si="255"/>
        <v>12833.333333333334</v>
      </c>
      <c r="U211" s="33">
        <f t="shared" si="255"/>
        <v>26833.333333333336</v>
      </c>
      <c r="V211" s="10">
        <f t="shared" si="255"/>
        <v>15166.666666666666</v>
      </c>
      <c r="W211" s="10">
        <f t="shared" si="255"/>
        <v>15166.666666666666</v>
      </c>
      <c r="X211" s="10">
        <f t="shared" si="255"/>
        <v>15166.666666666666</v>
      </c>
      <c r="Y211" s="10">
        <f t="shared" si="255"/>
        <v>15166.666666666666</v>
      </c>
      <c r="Z211" s="10">
        <f t="shared" si="255"/>
        <v>15166.666666666666</v>
      </c>
      <c r="AA211" s="10">
        <f t="shared" si="255"/>
        <v>15166.666666666666</v>
      </c>
      <c r="AB211" s="10">
        <f t="shared" si="255"/>
        <v>15166.666666666666</v>
      </c>
      <c r="AC211" s="10">
        <f t="shared" si="255"/>
        <v>15166.666666666666</v>
      </c>
      <c r="AD211" s="10">
        <f t="shared" si="255"/>
        <v>15166.666666666666</v>
      </c>
      <c r="AE211" s="10">
        <f t="shared" si="255"/>
        <v>15166.666666666666</v>
      </c>
      <c r="AF211" s="10">
        <f t="shared" si="255"/>
        <v>15166.666666666666</v>
      </c>
      <c r="AG211" s="33">
        <f t="shared" si="255"/>
        <v>29166.666666666664</v>
      </c>
    </row>
    <row r="212" spans="3:33" x14ac:dyDescent="0.2">
      <c r="C212" t="s">
        <v>96</v>
      </c>
      <c r="D212" t="s">
        <v>97</v>
      </c>
      <c r="E212" s="64">
        <f>_xlfn.XLOOKUP($C212,'Corporate Roster - ''24'!$C$6:$C$60,'Corporate Roster - ''24'!$E$6:$E$60)</f>
        <v>44978</v>
      </c>
      <c r="F212" s="64" t="str">
        <f>_xlfn.XLOOKUP($C212,'Corporate Roster - ''24'!$C$6:$C$60,'Corporate Roster - ''24'!$F$6:$F$60)</f>
        <v>-</v>
      </c>
      <c r="G212" s="32">
        <f t="shared" si="239"/>
        <v>127777.77777777778</v>
      </c>
      <c r="H212" s="33">
        <f t="shared" si="240"/>
        <v>140000</v>
      </c>
      <c r="J212" s="32">
        <f t="shared" ref="J212:AG212" si="256">J23+J86+J149</f>
        <v>0</v>
      </c>
      <c r="K212" s="10">
        <f t="shared" si="256"/>
        <v>10833.333333333334</v>
      </c>
      <c r="L212" s="10">
        <f t="shared" si="256"/>
        <v>10833.333333333334</v>
      </c>
      <c r="M212" s="10">
        <f t="shared" si="256"/>
        <v>10833.333333333334</v>
      </c>
      <c r="N212" s="10">
        <f t="shared" si="256"/>
        <v>10833.333333333334</v>
      </c>
      <c r="O212" s="10">
        <f t="shared" si="256"/>
        <v>10833.333333333334</v>
      </c>
      <c r="P212" s="10">
        <f t="shared" si="256"/>
        <v>10833.333333333334</v>
      </c>
      <c r="Q212" s="10">
        <f t="shared" si="256"/>
        <v>10833.333333333334</v>
      </c>
      <c r="R212" s="10">
        <f t="shared" si="256"/>
        <v>10833.333333333334</v>
      </c>
      <c r="S212" s="10">
        <f t="shared" si="256"/>
        <v>10833.333333333334</v>
      </c>
      <c r="T212" s="10">
        <f t="shared" si="256"/>
        <v>10833.333333333334</v>
      </c>
      <c r="U212" s="33">
        <f t="shared" si="256"/>
        <v>19444.444444444445</v>
      </c>
      <c r="V212" s="10">
        <f t="shared" si="256"/>
        <v>10833.333333333334</v>
      </c>
      <c r="W212" s="10">
        <f t="shared" si="256"/>
        <v>10833.333333333334</v>
      </c>
      <c r="X212" s="10">
        <f t="shared" si="256"/>
        <v>10833.333333333334</v>
      </c>
      <c r="Y212" s="10">
        <f t="shared" si="256"/>
        <v>10833.333333333334</v>
      </c>
      <c r="Z212" s="10">
        <f t="shared" si="256"/>
        <v>10833.333333333334</v>
      </c>
      <c r="AA212" s="10">
        <f t="shared" si="256"/>
        <v>10833.333333333334</v>
      </c>
      <c r="AB212" s="10">
        <f t="shared" si="256"/>
        <v>10833.333333333334</v>
      </c>
      <c r="AC212" s="10">
        <f t="shared" si="256"/>
        <v>10833.333333333334</v>
      </c>
      <c r="AD212" s="10">
        <f t="shared" si="256"/>
        <v>10833.333333333334</v>
      </c>
      <c r="AE212" s="10">
        <f t="shared" si="256"/>
        <v>10833.333333333334</v>
      </c>
      <c r="AF212" s="10">
        <f t="shared" si="256"/>
        <v>10833.333333333334</v>
      </c>
      <c r="AG212" s="33">
        <f t="shared" si="256"/>
        <v>20833.333333333336</v>
      </c>
    </row>
    <row r="213" spans="3:33" x14ac:dyDescent="0.2">
      <c r="C213" t="s">
        <v>98</v>
      </c>
      <c r="D213" t="s">
        <v>99</v>
      </c>
      <c r="E213" s="64">
        <f>_xlfn.XLOOKUP($C213,'Corporate Roster - ''24'!$C$6:$C$60,'Corporate Roster - ''24'!$E$6:$E$60)</f>
        <v>41398</v>
      </c>
      <c r="F213" s="64" t="str">
        <f>_xlfn.XLOOKUP($C213,'Corporate Roster - ''24'!$C$6:$C$60,'Corporate Roster - ''24'!$F$6:$F$60)</f>
        <v>-</v>
      </c>
      <c r="G213" s="32">
        <f t="shared" si="239"/>
        <v>91000</v>
      </c>
      <c r="H213" s="33">
        <f t="shared" si="240"/>
        <v>108000.00000000004</v>
      </c>
      <c r="J213" s="32">
        <f t="shared" ref="J213:AG213" si="257">J24+J87+J150</f>
        <v>7250</v>
      </c>
      <c r="K213" s="10">
        <f t="shared" si="257"/>
        <v>7250</v>
      </c>
      <c r="L213" s="10">
        <f t="shared" si="257"/>
        <v>7250</v>
      </c>
      <c r="M213" s="10">
        <f t="shared" si="257"/>
        <v>7250</v>
      </c>
      <c r="N213" s="10">
        <f t="shared" si="257"/>
        <v>7250</v>
      </c>
      <c r="O213" s="10">
        <f t="shared" si="257"/>
        <v>7250</v>
      </c>
      <c r="P213" s="10">
        <f t="shared" si="257"/>
        <v>7250</v>
      </c>
      <c r="Q213" s="10">
        <f t="shared" si="257"/>
        <v>7250</v>
      </c>
      <c r="R213" s="10">
        <f t="shared" si="257"/>
        <v>7250</v>
      </c>
      <c r="S213" s="10">
        <f t="shared" si="257"/>
        <v>7250</v>
      </c>
      <c r="T213" s="10">
        <f t="shared" si="257"/>
        <v>7250</v>
      </c>
      <c r="U213" s="33">
        <f t="shared" si="257"/>
        <v>11249.999999999998</v>
      </c>
      <c r="V213" s="10">
        <f t="shared" si="257"/>
        <v>8666.6666666666679</v>
      </c>
      <c r="W213" s="10">
        <f t="shared" si="257"/>
        <v>8666.6666666666679</v>
      </c>
      <c r="X213" s="10">
        <f t="shared" si="257"/>
        <v>8666.6666666666679</v>
      </c>
      <c r="Y213" s="10">
        <f t="shared" si="257"/>
        <v>8666.6666666666679</v>
      </c>
      <c r="Z213" s="10">
        <f t="shared" si="257"/>
        <v>8666.6666666666679</v>
      </c>
      <c r="AA213" s="10">
        <f t="shared" si="257"/>
        <v>8666.6666666666679</v>
      </c>
      <c r="AB213" s="10">
        <f t="shared" si="257"/>
        <v>8666.6666666666679</v>
      </c>
      <c r="AC213" s="10">
        <f t="shared" si="257"/>
        <v>8666.6666666666679</v>
      </c>
      <c r="AD213" s="10">
        <f t="shared" si="257"/>
        <v>8666.6666666666679</v>
      </c>
      <c r="AE213" s="10">
        <f t="shared" si="257"/>
        <v>8666.6666666666679</v>
      </c>
      <c r="AF213" s="10">
        <f t="shared" si="257"/>
        <v>8666.6666666666679</v>
      </c>
      <c r="AG213" s="33">
        <f t="shared" si="257"/>
        <v>12666.666666666668</v>
      </c>
    </row>
    <row r="214" spans="3:33" x14ac:dyDescent="0.2">
      <c r="C214" t="s">
        <v>100</v>
      </c>
      <c r="D214" t="s">
        <v>101</v>
      </c>
      <c r="E214" s="64">
        <f>_xlfn.XLOOKUP($C214,'Corporate Roster - ''24'!$C$6:$C$60,'Corporate Roster - ''24'!$E$6:$E$60)</f>
        <v>40362</v>
      </c>
      <c r="F214" s="64" t="str">
        <f>_xlfn.XLOOKUP($C214,'Corporate Roster - ''24'!$C$6:$C$60,'Corporate Roster - ''24'!$F$6:$F$60)</f>
        <v>-</v>
      </c>
      <c r="G214" s="32">
        <f t="shared" si="239"/>
        <v>101250</v>
      </c>
      <c r="H214" s="33">
        <f t="shared" si="240"/>
        <v>101250</v>
      </c>
      <c r="J214" s="32">
        <f t="shared" ref="J214:AG214" si="258">J25+J88+J151</f>
        <v>8125</v>
      </c>
      <c r="K214" s="10">
        <f t="shared" si="258"/>
        <v>8125</v>
      </c>
      <c r="L214" s="10">
        <f t="shared" si="258"/>
        <v>8125</v>
      </c>
      <c r="M214" s="10">
        <f t="shared" si="258"/>
        <v>8125</v>
      </c>
      <c r="N214" s="10">
        <f t="shared" si="258"/>
        <v>8125</v>
      </c>
      <c r="O214" s="10">
        <f t="shared" si="258"/>
        <v>8125</v>
      </c>
      <c r="P214" s="10">
        <f t="shared" si="258"/>
        <v>8125</v>
      </c>
      <c r="Q214" s="10">
        <f t="shared" si="258"/>
        <v>8125</v>
      </c>
      <c r="R214" s="10">
        <f t="shared" si="258"/>
        <v>8125</v>
      </c>
      <c r="S214" s="10">
        <f t="shared" si="258"/>
        <v>8125</v>
      </c>
      <c r="T214" s="10">
        <f t="shared" si="258"/>
        <v>8125</v>
      </c>
      <c r="U214" s="33">
        <f t="shared" si="258"/>
        <v>11875</v>
      </c>
      <c r="V214" s="10">
        <f t="shared" si="258"/>
        <v>8125</v>
      </c>
      <c r="W214" s="10">
        <f t="shared" si="258"/>
        <v>8125</v>
      </c>
      <c r="X214" s="10">
        <f t="shared" si="258"/>
        <v>8125</v>
      </c>
      <c r="Y214" s="10">
        <f t="shared" si="258"/>
        <v>8125</v>
      </c>
      <c r="Z214" s="10">
        <f t="shared" si="258"/>
        <v>8125</v>
      </c>
      <c r="AA214" s="10">
        <f t="shared" si="258"/>
        <v>8125</v>
      </c>
      <c r="AB214" s="10">
        <f t="shared" si="258"/>
        <v>8125</v>
      </c>
      <c r="AC214" s="10">
        <f t="shared" si="258"/>
        <v>8125</v>
      </c>
      <c r="AD214" s="10">
        <f t="shared" si="258"/>
        <v>8125</v>
      </c>
      <c r="AE214" s="10">
        <f t="shared" si="258"/>
        <v>8125</v>
      </c>
      <c r="AF214" s="10">
        <f t="shared" si="258"/>
        <v>8125</v>
      </c>
      <c r="AG214" s="33">
        <f t="shared" si="258"/>
        <v>11875</v>
      </c>
    </row>
    <row r="215" spans="3:33" x14ac:dyDescent="0.2">
      <c r="C215" t="s">
        <v>102</v>
      </c>
      <c r="D215" t="s">
        <v>103</v>
      </c>
      <c r="E215" s="64">
        <f>_xlfn.XLOOKUP($C215,'Corporate Roster - ''24'!$C$6:$C$60,'Corporate Roster - ''24'!$E$6:$E$60)</f>
        <v>45063</v>
      </c>
      <c r="F215" s="64" t="str">
        <f>_xlfn.XLOOKUP($C215,'Corporate Roster - ''24'!$C$6:$C$60,'Corporate Roster - ''24'!$F$6:$F$60)</f>
        <v>-</v>
      </c>
      <c r="G215" s="32">
        <f t="shared" si="239"/>
        <v>76311.111111111095</v>
      </c>
      <c r="H215" s="33">
        <f t="shared" si="240"/>
        <v>114749.99999999996</v>
      </c>
      <c r="J215" s="32">
        <f t="shared" ref="J215:AG215" si="259">J26+J89+J152</f>
        <v>0</v>
      </c>
      <c r="K215" s="10">
        <f t="shared" si="259"/>
        <v>0</v>
      </c>
      <c r="L215" s="10">
        <f t="shared" si="259"/>
        <v>0</v>
      </c>
      <c r="M215" s="10">
        <f t="shared" si="259"/>
        <v>0</v>
      </c>
      <c r="N215" s="10">
        <f t="shared" si="259"/>
        <v>9208.3333333333321</v>
      </c>
      <c r="O215" s="10">
        <f t="shared" si="259"/>
        <v>9208.3333333333321</v>
      </c>
      <c r="P215" s="10">
        <f t="shared" si="259"/>
        <v>9208.3333333333321</v>
      </c>
      <c r="Q215" s="10">
        <f t="shared" si="259"/>
        <v>9208.3333333333321</v>
      </c>
      <c r="R215" s="10">
        <f t="shared" si="259"/>
        <v>9208.3333333333321</v>
      </c>
      <c r="S215" s="10">
        <f t="shared" si="259"/>
        <v>9208.3333333333321</v>
      </c>
      <c r="T215" s="10">
        <f t="shared" si="259"/>
        <v>9208.3333333333321</v>
      </c>
      <c r="U215" s="33">
        <f t="shared" si="259"/>
        <v>11852.777777777777</v>
      </c>
      <c r="V215" s="10">
        <f t="shared" si="259"/>
        <v>9208.3333333333321</v>
      </c>
      <c r="W215" s="10">
        <f t="shared" si="259"/>
        <v>9208.3333333333321</v>
      </c>
      <c r="X215" s="10">
        <f t="shared" si="259"/>
        <v>9208.3333333333321</v>
      </c>
      <c r="Y215" s="10">
        <f t="shared" si="259"/>
        <v>9208.3333333333321</v>
      </c>
      <c r="Z215" s="10">
        <f t="shared" si="259"/>
        <v>9208.3333333333321</v>
      </c>
      <c r="AA215" s="10">
        <f t="shared" si="259"/>
        <v>9208.3333333333321</v>
      </c>
      <c r="AB215" s="10">
        <f t="shared" si="259"/>
        <v>9208.3333333333321</v>
      </c>
      <c r="AC215" s="10">
        <f t="shared" si="259"/>
        <v>9208.3333333333321</v>
      </c>
      <c r="AD215" s="10">
        <f t="shared" si="259"/>
        <v>9208.3333333333321</v>
      </c>
      <c r="AE215" s="10">
        <f t="shared" si="259"/>
        <v>9208.3333333333321</v>
      </c>
      <c r="AF215" s="10">
        <f t="shared" si="259"/>
        <v>9208.3333333333321</v>
      </c>
      <c r="AG215" s="33">
        <f t="shared" si="259"/>
        <v>13458.333333333332</v>
      </c>
    </row>
    <row r="216" spans="3:33" x14ac:dyDescent="0.2">
      <c r="C216" t="s">
        <v>104</v>
      </c>
      <c r="D216" t="s">
        <v>105</v>
      </c>
      <c r="E216" s="64">
        <f>_xlfn.XLOOKUP($C216,'Corporate Roster - ''24'!$C$6:$C$60,'Corporate Roster - ''24'!$E$6:$E$60)</f>
        <v>44169</v>
      </c>
      <c r="F216" s="64" t="str">
        <f>_xlfn.XLOOKUP($C216,'Corporate Roster - ''24'!$C$6:$C$60,'Corporate Roster - ''24'!$F$6:$F$60)</f>
        <v>-</v>
      </c>
      <c r="G216" s="32">
        <f t="shared" si="239"/>
        <v>69000</v>
      </c>
      <c r="H216" s="33">
        <f t="shared" si="240"/>
        <v>81000</v>
      </c>
      <c r="J216" s="32">
        <f t="shared" ref="J216:AG216" si="260">J27+J90+J153</f>
        <v>5500</v>
      </c>
      <c r="K216" s="10">
        <f t="shared" si="260"/>
        <v>5500</v>
      </c>
      <c r="L216" s="10">
        <f t="shared" si="260"/>
        <v>5500</v>
      </c>
      <c r="M216" s="10">
        <f t="shared" si="260"/>
        <v>5500</v>
      </c>
      <c r="N216" s="10">
        <f t="shared" si="260"/>
        <v>5500</v>
      </c>
      <c r="O216" s="10">
        <f t="shared" si="260"/>
        <v>5500</v>
      </c>
      <c r="P216" s="10">
        <f t="shared" si="260"/>
        <v>5500</v>
      </c>
      <c r="Q216" s="10">
        <f t="shared" si="260"/>
        <v>5500</v>
      </c>
      <c r="R216" s="10">
        <f t="shared" si="260"/>
        <v>5500</v>
      </c>
      <c r="S216" s="10">
        <f t="shared" si="260"/>
        <v>5500</v>
      </c>
      <c r="T216" s="10">
        <f t="shared" si="260"/>
        <v>5500</v>
      </c>
      <c r="U216" s="33">
        <f t="shared" si="260"/>
        <v>8500</v>
      </c>
      <c r="V216" s="10">
        <f t="shared" si="260"/>
        <v>6500</v>
      </c>
      <c r="W216" s="10">
        <f t="shared" si="260"/>
        <v>6500</v>
      </c>
      <c r="X216" s="10">
        <f t="shared" si="260"/>
        <v>6500</v>
      </c>
      <c r="Y216" s="10">
        <f t="shared" si="260"/>
        <v>6500</v>
      </c>
      <c r="Z216" s="10">
        <f t="shared" si="260"/>
        <v>6500</v>
      </c>
      <c r="AA216" s="10">
        <f t="shared" si="260"/>
        <v>6500</v>
      </c>
      <c r="AB216" s="10">
        <f t="shared" si="260"/>
        <v>6500</v>
      </c>
      <c r="AC216" s="10">
        <f t="shared" si="260"/>
        <v>6500</v>
      </c>
      <c r="AD216" s="10">
        <f t="shared" si="260"/>
        <v>6500</v>
      </c>
      <c r="AE216" s="10">
        <f t="shared" si="260"/>
        <v>6500</v>
      </c>
      <c r="AF216" s="10">
        <f t="shared" si="260"/>
        <v>6500</v>
      </c>
      <c r="AG216" s="33">
        <f t="shared" si="260"/>
        <v>9500</v>
      </c>
    </row>
    <row r="217" spans="3:33" x14ac:dyDescent="0.2">
      <c r="C217" t="s">
        <v>148</v>
      </c>
      <c r="D217" t="s">
        <v>107</v>
      </c>
      <c r="E217" s="64">
        <f>_xlfn.XLOOKUP($C217,'Corporate Roster - ''24'!$C$6:$C$60,'Corporate Roster - ''24'!$E$6:$E$60)</f>
        <v>45017</v>
      </c>
      <c r="F217" s="64" t="str">
        <f>_xlfn.XLOOKUP($C217,'Corporate Roster - ''24'!$C$6:$C$60,'Corporate Roster - ''24'!$F$6:$F$60)</f>
        <v>-</v>
      </c>
      <c r="G217" s="32">
        <f t="shared" si="239"/>
        <v>67500</v>
      </c>
      <c r="H217" s="33">
        <f t="shared" si="240"/>
        <v>94499.999999999985</v>
      </c>
      <c r="J217" s="32">
        <f t="shared" ref="J217:AG217" si="261">J28+J91+J154</f>
        <v>0</v>
      </c>
      <c r="K217" s="10">
        <f t="shared" si="261"/>
        <v>0</v>
      </c>
      <c r="L217" s="10">
        <f t="shared" si="261"/>
        <v>0</v>
      </c>
      <c r="M217" s="10">
        <f t="shared" si="261"/>
        <v>7250</v>
      </c>
      <c r="N217" s="10">
        <f t="shared" si="261"/>
        <v>7250</v>
      </c>
      <c r="O217" s="10">
        <f t="shared" si="261"/>
        <v>7250</v>
      </c>
      <c r="P217" s="10">
        <f t="shared" si="261"/>
        <v>7250</v>
      </c>
      <c r="Q217" s="10">
        <f t="shared" si="261"/>
        <v>7250</v>
      </c>
      <c r="R217" s="10">
        <f t="shared" si="261"/>
        <v>7250</v>
      </c>
      <c r="S217" s="10">
        <f t="shared" si="261"/>
        <v>7250</v>
      </c>
      <c r="T217" s="10">
        <f t="shared" si="261"/>
        <v>7250</v>
      </c>
      <c r="U217" s="33">
        <f t="shared" si="261"/>
        <v>9500</v>
      </c>
      <c r="V217" s="10">
        <f t="shared" si="261"/>
        <v>7583.333333333333</v>
      </c>
      <c r="W217" s="10">
        <f t="shared" si="261"/>
        <v>7583.333333333333</v>
      </c>
      <c r="X217" s="10">
        <f t="shared" si="261"/>
        <v>7583.333333333333</v>
      </c>
      <c r="Y217" s="10">
        <f t="shared" si="261"/>
        <v>7583.333333333333</v>
      </c>
      <c r="Z217" s="10">
        <f t="shared" si="261"/>
        <v>7583.333333333333</v>
      </c>
      <c r="AA217" s="10">
        <f t="shared" si="261"/>
        <v>7583.333333333333</v>
      </c>
      <c r="AB217" s="10">
        <f t="shared" si="261"/>
        <v>7583.333333333333</v>
      </c>
      <c r="AC217" s="10">
        <f t="shared" si="261"/>
        <v>7583.333333333333</v>
      </c>
      <c r="AD217" s="10">
        <f t="shared" si="261"/>
        <v>7583.333333333333</v>
      </c>
      <c r="AE217" s="10">
        <f t="shared" si="261"/>
        <v>7583.333333333333</v>
      </c>
      <c r="AF217" s="10">
        <f t="shared" si="261"/>
        <v>7583.333333333333</v>
      </c>
      <c r="AG217" s="33">
        <f t="shared" si="261"/>
        <v>11083.333333333332</v>
      </c>
    </row>
    <row r="218" spans="3:33" x14ac:dyDescent="0.2">
      <c r="C218" t="s">
        <v>108</v>
      </c>
      <c r="D218" t="s">
        <v>109</v>
      </c>
      <c r="E218" s="64">
        <f>_xlfn.XLOOKUP($C218,'Corporate Roster - ''24'!$C$6:$C$60,'Corporate Roster - ''24'!$E$6:$E$60)</f>
        <v>40157</v>
      </c>
      <c r="F218" s="64" t="str">
        <f>_xlfn.XLOOKUP($C218,'Corporate Roster - ''24'!$C$6:$C$60,'Corporate Roster - ''24'!$F$6:$F$60)</f>
        <v>-</v>
      </c>
      <c r="G218" s="32">
        <f t="shared" si="239"/>
        <v>101250</v>
      </c>
      <c r="H218" s="33">
        <f t="shared" si="240"/>
        <v>101250</v>
      </c>
      <c r="J218" s="32">
        <f t="shared" ref="J218:AG218" si="262">J29+J92+J155</f>
        <v>8125</v>
      </c>
      <c r="K218" s="10">
        <f t="shared" si="262"/>
        <v>8125</v>
      </c>
      <c r="L218" s="10">
        <f t="shared" si="262"/>
        <v>8125</v>
      </c>
      <c r="M218" s="10">
        <f t="shared" si="262"/>
        <v>8125</v>
      </c>
      <c r="N218" s="10">
        <f t="shared" si="262"/>
        <v>8125</v>
      </c>
      <c r="O218" s="10">
        <f t="shared" si="262"/>
        <v>8125</v>
      </c>
      <c r="P218" s="10">
        <f t="shared" si="262"/>
        <v>8125</v>
      </c>
      <c r="Q218" s="10">
        <f t="shared" si="262"/>
        <v>8125</v>
      </c>
      <c r="R218" s="10">
        <f t="shared" si="262"/>
        <v>8125</v>
      </c>
      <c r="S218" s="10">
        <f t="shared" si="262"/>
        <v>8125</v>
      </c>
      <c r="T218" s="10">
        <f t="shared" si="262"/>
        <v>8125</v>
      </c>
      <c r="U218" s="33">
        <f t="shared" si="262"/>
        <v>11875</v>
      </c>
      <c r="V218" s="10">
        <f t="shared" si="262"/>
        <v>8125</v>
      </c>
      <c r="W218" s="10">
        <f t="shared" si="262"/>
        <v>8125</v>
      </c>
      <c r="X218" s="10">
        <f t="shared" si="262"/>
        <v>8125</v>
      </c>
      <c r="Y218" s="10">
        <f t="shared" si="262"/>
        <v>8125</v>
      </c>
      <c r="Z218" s="10">
        <f t="shared" si="262"/>
        <v>8125</v>
      </c>
      <c r="AA218" s="10">
        <f t="shared" si="262"/>
        <v>8125</v>
      </c>
      <c r="AB218" s="10">
        <f t="shared" si="262"/>
        <v>8125</v>
      </c>
      <c r="AC218" s="10">
        <f t="shared" si="262"/>
        <v>8125</v>
      </c>
      <c r="AD218" s="10">
        <f t="shared" si="262"/>
        <v>8125</v>
      </c>
      <c r="AE218" s="10">
        <f t="shared" si="262"/>
        <v>8125</v>
      </c>
      <c r="AF218" s="10">
        <f t="shared" si="262"/>
        <v>8125</v>
      </c>
      <c r="AG218" s="33">
        <f t="shared" si="262"/>
        <v>11875</v>
      </c>
    </row>
    <row r="219" spans="3:33" x14ac:dyDescent="0.2">
      <c r="C219" t="s">
        <v>73</v>
      </c>
      <c r="D219" t="s">
        <v>110</v>
      </c>
      <c r="E219" s="64">
        <f>_xlfn.XLOOKUP($C219,'Corporate Roster - ''24'!$C$6:$C$60,'Corporate Roster - ''24'!$E$6:$E$60)</f>
        <v>45335</v>
      </c>
      <c r="F219" s="64" t="str">
        <f>_xlfn.XLOOKUP($C219,'Corporate Roster - ''24'!$C$6:$C$60,'Corporate Roster - ''24'!$F$6:$F$60)</f>
        <v>-</v>
      </c>
      <c r="G219" s="32">
        <f t="shared" si="239"/>
        <v>358.33333333333337</v>
      </c>
      <c r="H219" s="33">
        <f t="shared" si="240"/>
        <v>105045.8333333333</v>
      </c>
      <c r="J219" s="32">
        <f t="shared" ref="J219:AG219" si="263">J30+J93+J156</f>
        <v>0</v>
      </c>
      <c r="K219" s="10">
        <f t="shared" si="263"/>
        <v>0</v>
      </c>
      <c r="L219" s="10">
        <f t="shared" si="263"/>
        <v>0</v>
      </c>
      <c r="M219" s="10">
        <f t="shared" si="263"/>
        <v>0</v>
      </c>
      <c r="N219" s="10">
        <f t="shared" si="263"/>
        <v>0</v>
      </c>
      <c r="O219" s="10">
        <f t="shared" si="263"/>
        <v>0</v>
      </c>
      <c r="P219" s="10">
        <f t="shared" si="263"/>
        <v>0</v>
      </c>
      <c r="Q219" s="10">
        <f t="shared" si="263"/>
        <v>0</v>
      </c>
      <c r="R219" s="10">
        <f t="shared" si="263"/>
        <v>0</v>
      </c>
      <c r="S219" s="10">
        <f t="shared" si="263"/>
        <v>0</v>
      </c>
      <c r="T219" s="10">
        <f t="shared" si="263"/>
        <v>0</v>
      </c>
      <c r="U219" s="33">
        <f t="shared" si="263"/>
        <v>358.33333333333337</v>
      </c>
      <c r="V219" s="10">
        <f t="shared" si="263"/>
        <v>0</v>
      </c>
      <c r="W219" s="10">
        <f t="shared" si="263"/>
        <v>9208.3333333333321</v>
      </c>
      <c r="X219" s="10">
        <f t="shared" si="263"/>
        <v>9208.3333333333321</v>
      </c>
      <c r="Y219" s="10">
        <f t="shared" si="263"/>
        <v>9208.3333333333321</v>
      </c>
      <c r="Z219" s="10">
        <f t="shared" si="263"/>
        <v>9208.3333333333321</v>
      </c>
      <c r="AA219" s="10">
        <f t="shared" si="263"/>
        <v>9208.3333333333321</v>
      </c>
      <c r="AB219" s="10">
        <f t="shared" si="263"/>
        <v>9208.3333333333321</v>
      </c>
      <c r="AC219" s="10">
        <f t="shared" si="263"/>
        <v>9208.3333333333321</v>
      </c>
      <c r="AD219" s="10">
        <f t="shared" si="263"/>
        <v>9208.3333333333321</v>
      </c>
      <c r="AE219" s="10">
        <f t="shared" si="263"/>
        <v>9208.3333333333321</v>
      </c>
      <c r="AF219" s="10">
        <f t="shared" si="263"/>
        <v>9208.3333333333321</v>
      </c>
      <c r="AG219" s="33">
        <f t="shared" si="263"/>
        <v>12962.5</v>
      </c>
    </row>
    <row r="220" spans="3:33" x14ac:dyDescent="0.2">
      <c r="C220" t="s">
        <v>111</v>
      </c>
      <c r="D220" t="s">
        <v>112</v>
      </c>
      <c r="E220" s="64">
        <f>_xlfn.XLOOKUP($C220,'Corporate Roster - ''24'!$C$6:$C$60,'Corporate Roster - ''24'!$E$6:$E$60)</f>
        <v>44694</v>
      </c>
      <c r="F220" s="64" t="str">
        <f>_xlfn.XLOOKUP($C220,'Corporate Roster - ''24'!$C$6:$C$60,'Corporate Roster - ''24'!$F$6:$F$60)</f>
        <v>-</v>
      </c>
      <c r="G220" s="32">
        <f t="shared" si="239"/>
        <v>122000</v>
      </c>
      <c r="H220" s="33">
        <f t="shared" si="240"/>
        <v>128250.00000000004</v>
      </c>
      <c r="J220" s="32">
        <f t="shared" ref="J220:AG220" si="264">J31+J94+J157</f>
        <v>9750</v>
      </c>
      <c r="K220" s="10">
        <f t="shared" si="264"/>
        <v>9750</v>
      </c>
      <c r="L220" s="10">
        <f t="shared" si="264"/>
        <v>9750</v>
      </c>
      <c r="M220" s="10">
        <f t="shared" si="264"/>
        <v>9750</v>
      </c>
      <c r="N220" s="10">
        <f t="shared" si="264"/>
        <v>9750</v>
      </c>
      <c r="O220" s="10">
        <f t="shared" si="264"/>
        <v>9750</v>
      </c>
      <c r="P220" s="10">
        <f t="shared" si="264"/>
        <v>9750</v>
      </c>
      <c r="Q220" s="10">
        <f t="shared" si="264"/>
        <v>9750</v>
      </c>
      <c r="R220" s="10">
        <f t="shared" si="264"/>
        <v>9750</v>
      </c>
      <c r="S220" s="10">
        <f t="shared" si="264"/>
        <v>9750</v>
      </c>
      <c r="T220" s="10">
        <f t="shared" si="264"/>
        <v>9750</v>
      </c>
      <c r="U220" s="33">
        <f t="shared" si="264"/>
        <v>14750</v>
      </c>
      <c r="V220" s="10">
        <f t="shared" si="264"/>
        <v>10291.666666666668</v>
      </c>
      <c r="W220" s="10">
        <f t="shared" si="264"/>
        <v>10291.666666666668</v>
      </c>
      <c r="X220" s="10">
        <f t="shared" si="264"/>
        <v>10291.666666666668</v>
      </c>
      <c r="Y220" s="10">
        <f t="shared" si="264"/>
        <v>10291.666666666668</v>
      </c>
      <c r="Z220" s="10">
        <f t="shared" si="264"/>
        <v>10291.666666666668</v>
      </c>
      <c r="AA220" s="10">
        <f t="shared" si="264"/>
        <v>10291.666666666668</v>
      </c>
      <c r="AB220" s="10">
        <f t="shared" si="264"/>
        <v>10291.666666666668</v>
      </c>
      <c r="AC220" s="10">
        <f t="shared" si="264"/>
        <v>10291.666666666668</v>
      </c>
      <c r="AD220" s="10">
        <f t="shared" si="264"/>
        <v>10291.666666666668</v>
      </c>
      <c r="AE220" s="10">
        <f t="shared" si="264"/>
        <v>10291.666666666668</v>
      </c>
      <c r="AF220" s="10">
        <f t="shared" si="264"/>
        <v>10291.666666666668</v>
      </c>
      <c r="AG220" s="33">
        <f t="shared" si="264"/>
        <v>15041.666666666668</v>
      </c>
    </row>
    <row r="221" spans="3:33" x14ac:dyDescent="0.2">
      <c r="C221" t="s">
        <v>149</v>
      </c>
      <c r="D221" t="s">
        <v>110</v>
      </c>
      <c r="E221" s="64">
        <f>_xlfn.XLOOKUP($C221,'Corporate Roster - ''24'!$C$6:$C$60,'Corporate Roster - ''24'!$E$6:$E$60)</f>
        <v>45368</v>
      </c>
      <c r="F221" s="64" t="str">
        <f>_xlfn.XLOOKUP($C221,'Corporate Roster - ''24'!$C$6:$C$60,'Corporate Roster - ''24'!$F$6:$F$60)</f>
        <v>-</v>
      </c>
      <c r="G221" s="32">
        <f t="shared" si="239"/>
        <v>909.02777777777771</v>
      </c>
      <c r="H221" s="33">
        <f t="shared" si="240"/>
        <v>95436.11111111108</v>
      </c>
      <c r="J221" s="32">
        <f t="shared" ref="J221:AG221" si="265">J32+J95+J158</f>
        <v>0</v>
      </c>
      <c r="K221" s="10">
        <f t="shared" si="265"/>
        <v>0</v>
      </c>
      <c r="L221" s="10">
        <f t="shared" si="265"/>
        <v>0</v>
      </c>
      <c r="M221" s="10">
        <f t="shared" si="265"/>
        <v>0</v>
      </c>
      <c r="N221" s="10">
        <f t="shared" si="265"/>
        <v>0</v>
      </c>
      <c r="O221" s="10">
        <f t="shared" si="265"/>
        <v>0</v>
      </c>
      <c r="P221" s="10">
        <f t="shared" si="265"/>
        <v>0</v>
      </c>
      <c r="Q221" s="10">
        <f t="shared" si="265"/>
        <v>0</v>
      </c>
      <c r="R221" s="10">
        <f t="shared" si="265"/>
        <v>0</v>
      </c>
      <c r="S221" s="10">
        <f t="shared" si="265"/>
        <v>0</v>
      </c>
      <c r="T221" s="10">
        <f t="shared" si="265"/>
        <v>0</v>
      </c>
      <c r="U221" s="33">
        <f t="shared" si="265"/>
        <v>909.02777777777771</v>
      </c>
      <c r="V221" s="10">
        <f t="shared" si="265"/>
        <v>0</v>
      </c>
      <c r="W221" s="10">
        <f t="shared" si="265"/>
        <v>0</v>
      </c>
      <c r="X221" s="10">
        <f t="shared" si="265"/>
        <v>9208.3333333333321</v>
      </c>
      <c r="Y221" s="10">
        <f t="shared" si="265"/>
        <v>9208.3333333333321</v>
      </c>
      <c r="Z221" s="10">
        <f t="shared" si="265"/>
        <v>9208.3333333333321</v>
      </c>
      <c r="AA221" s="10">
        <f t="shared" si="265"/>
        <v>9208.3333333333321</v>
      </c>
      <c r="AB221" s="10">
        <f t="shared" si="265"/>
        <v>9208.3333333333321</v>
      </c>
      <c r="AC221" s="10">
        <f t="shared" si="265"/>
        <v>9208.3333333333321</v>
      </c>
      <c r="AD221" s="10">
        <f t="shared" si="265"/>
        <v>9208.3333333333321</v>
      </c>
      <c r="AE221" s="10">
        <f t="shared" si="265"/>
        <v>9208.3333333333321</v>
      </c>
      <c r="AF221" s="10">
        <f t="shared" si="265"/>
        <v>9208.3333333333321</v>
      </c>
      <c r="AG221" s="33">
        <f t="shared" si="265"/>
        <v>12561.111111111111</v>
      </c>
    </row>
    <row r="222" spans="3:33" x14ac:dyDescent="0.2">
      <c r="C222" t="s">
        <v>150</v>
      </c>
      <c r="D222" t="s">
        <v>95</v>
      </c>
      <c r="E222" s="64">
        <f>_xlfn.XLOOKUP($C222,'Corporate Roster - ''24'!$C$6:$C$60,'Corporate Roster - ''24'!$E$6:$E$60)</f>
        <v>40489</v>
      </c>
      <c r="F222" s="64" t="str">
        <f>_xlfn.XLOOKUP($C222,'Corporate Roster - ''24'!$C$6:$C$60,'Corporate Roster - ''24'!$F$6:$F$60)</f>
        <v>-</v>
      </c>
      <c r="G222" s="32">
        <f t="shared" si="239"/>
        <v>157000.00000000003</v>
      </c>
      <c r="H222" s="33">
        <f t="shared" si="240"/>
        <v>195999.99999999997</v>
      </c>
      <c r="J222" s="32">
        <f t="shared" ref="J222:AG222" si="266">J33+J96+J159</f>
        <v>12166.666666666668</v>
      </c>
      <c r="K222" s="10">
        <f t="shared" si="266"/>
        <v>12166.666666666668</v>
      </c>
      <c r="L222" s="10">
        <f t="shared" si="266"/>
        <v>12166.666666666668</v>
      </c>
      <c r="M222" s="10">
        <f t="shared" si="266"/>
        <v>12166.666666666668</v>
      </c>
      <c r="N222" s="10">
        <f t="shared" si="266"/>
        <v>12166.666666666668</v>
      </c>
      <c r="O222" s="10">
        <f t="shared" si="266"/>
        <v>12166.666666666668</v>
      </c>
      <c r="P222" s="10">
        <f t="shared" si="266"/>
        <v>12166.666666666668</v>
      </c>
      <c r="Q222" s="10">
        <f t="shared" si="266"/>
        <v>12166.666666666668</v>
      </c>
      <c r="R222" s="10">
        <f t="shared" si="266"/>
        <v>12166.666666666668</v>
      </c>
      <c r="S222" s="10">
        <f t="shared" si="266"/>
        <v>12166.666666666668</v>
      </c>
      <c r="T222" s="10">
        <f t="shared" si="266"/>
        <v>12166.666666666668</v>
      </c>
      <c r="U222" s="33">
        <f t="shared" si="266"/>
        <v>23166.666666666668</v>
      </c>
      <c r="V222" s="10">
        <f t="shared" si="266"/>
        <v>15166.666666666666</v>
      </c>
      <c r="W222" s="10">
        <f t="shared" si="266"/>
        <v>15166.666666666666</v>
      </c>
      <c r="X222" s="10">
        <f t="shared" si="266"/>
        <v>15166.666666666666</v>
      </c>
      <c r="Y222" s="10">
        <f t="shared" si="266"/>
        <v>15166.666666666666</v>
      </c>
      <c r="Z222" s="10">
        <f t="shared" si="266"/>
        <v>15166.666666666666</v>
      </c>
      <c r="AA222" s="10">
        <f t="shared" si="266"/>
        <v>15166.666666666666</v>
      </c>
      <c r="AB222" s="10">
        <f t="shared" si="266"/>
        <v>15166.666666666666</v>
      </c>
      <c r="AC222" s="10">
        <f t="shared" si="266"/>
        <v>15166.666666666666</v>
      </c>
      <c r="AD222" s="10">
        <f t="shared" si="266"/>
        <v>15166.666666666666</v>
      </c>
      <c r="AE222" s="10">
        <f t="shared" si="266"/>
        <v>15166.666666666666</v>
      </c>
      <c r="AF222" s="10">
        <f t="shared" si="266"/>
        <v>15166.666666666666</v>
      </c>
      <c r="AG222" s="33">
        <f t="shared" si="266"/>
        <v>29166.666666666664</v>
      </c>
    </row>
    <row r="223" spans="3:33" x14ac:dyDescent="0.2">
      <c r="C223" t="s">
        <v>115</v>
      </c>
      <c r="D223" t="s">
        <v>112</v>
      </c>
      <c r="E223" s="64">
        <f>_xlfn.XLOOKUP($C223,'Corporate Roster - ''24'!$C$6:$C$60,'Corporate Roster - ''24'!$E$6:$E$60)</f>
        <v>45236</v>
      </c>
      <c r="F223" s="64" t="str">
        <f>_xlfn.XLOOKUP($C223,'Corporate Roster - ''24'!$C$6:$C$60,'Corporate Roster - ''24'!$F$6:$F$60)</f>
        <v>-</v>
      </c>
      <c r="G223" s="32">
        <f t="shared" si="239"/>
        <v>21309.027777777781</v>
      </c>
      <c r="H223" s="33">
        <f t="shared" si="240"/>
        <v>128250.00000000004</v>
      </c>
      <c r="J223" s="32">
        <f t="shared" ref="J223:AG223" si="267">J34+J97+J160</f>
        <v>0</v>
      </c>
      <c r="K223" s="10">
        <f t="shared" si="267"/>
        <v>0</v>
      </c>
      <c r="L223" s="10">
        <f t="shared" si="267"/>
        <v>0</v>
      </c>
      <c r="M223" s="10">
        <f t="shared" si="267"/>
        <v>0</v>
      </c>
      <c r="N223" s="10">
        <f t="shared" si="267"/>
        <v>0</v>
      </c>
      <c r="O223" s="10">
        <f t="shared" si="267"/>
        <v>0</v>
      </c>
      <c r="P223" s="10">
        <f t="shared" si="267"/>
        <v>0</v>
      </c>
      <c r="Q223" s="10">
        <f t="shared" si="267"/>
        <v>0</v>
      </c>
      <c r="R223" s="10">
        <f t="shared" si="267"/>
        <v>0</v>
      </c>
      <c r="S223" s="10">
        <f t="shared" si="267"/>
        <v>0</v>
      </c>
      <c r="T223" s="10">
        <f t="shared" si="267"/>
        <v>10291.666666666668</v>
      </c>
      <c r="U223" s="33">
        <f t="shared" si="267"/>
        <v>11017.361111111111</v>
      </c>
      <c r="V223" s="10">
        <f t="shared" si="267"/>
        <v>10291.666666666668</v>
      </c>
      <c r="W223" s="10">
        <f t="shared" si="267"/>
        <v>10291.666666666668</v>
      </c>
      <c r="X223" s="10">
        <f t="shared" si="267"/>
        <v>10291.666666666668</v>
      </c>
      <c r="Y223" s="10">
        <f t="shared" si="267"/>
        <v>10291.666666666668</v>
      </c>
      <c r="Z223" s="10">
        <f t="shared" si="267"/>
        <v>10291.666666666668</v>
      </c>
      <c r="AA223" s="10">
        <f t="shared" si="267"/>
        <v>10291.666666666668</v>
      </c>
      <c r="AB223" s="10">
        <f t="shared" si="267"/>
        <v>10291.666666666668</v>
      </c>
      <c r="AC223" s="10">
        <f t="shared" si="267"/>
        <v>10291.666666666668</v>
      </c>
      <c r="AD223" s="10">
        <f t="shared" si="267"/>
        <v>10291.666666666668</v>
      </c>
      <c r="AE223" s="10">
        <f t="shared" si="267"/>
        <v>10291.666666666668</v>
      </c>
      <c r="AF223" s="10">
        <f t="shared" si="267"/>
        <v>10291.666666666668</v>
      </c>
      <c r="AG223" s="33">
        <f t="shared" si="267"/>
        <v>15041.666666666668</v>
      </c>
    </row>
    <row r="224" spans="3:33" x14ac:dyDescent="0.2">
      <c r="C224" t="s">
        <v>116</v>
      </c>
      <c r="D224" t="s">
        <v>110</v>
      </c>
      <c r="E224" s="64">
        <f>_xlfn.XLOOKUP($C224,'Corporate Roster - ''24'!$C$6:$C$60,'Corporate Roster - ''24'!$E$6:$E$60)</f>
        <v>40015</v>
      </c>
      <c r="F224" s="64" t="str">
        <f>_xlfn.XLOOKUP($C224,'Corporate Roster - ''24'!$C$6:$C$60,'Corporate Roster - ''24'!$F$6:$F$60)</f>
        <v>-</v>
      </c>
      <c r="G224" s="32">
        <f t="shared" si="239"/>
        <v>114749.99999999996</v>
      </c>
      <c r="H224" s="33">
        <f t="shared" si="240"/>
        <v>114749.99999999996</v>
      </c>
      <c r="J224" s="32">
        <f t="shared" ref="J224:AG224" si="268">J35+J98+J161</f>
        <v>9208.3333333333321</v>
      </c>
      <c r="K224" s="10">
        <f t="shared" si="268"/>
        <v>9208.3333333333321</v>
      </c>
      <c r="L224" s="10">
        <f t="shared" si="268"/>
        <v>9208.3333333333321</v>
      </c>
      <c r="M224" s="10">
        <f t="shared" si="268"/>
        <v>9208.3333333333321</v>
      </c>
      <c r="N224" s="10">
        <f t="shared" si="268"/>
        <v>9208.3333333333321</v>
      </c>
      <c r="O224" s="10">
        <f t="shared" si="268"/>
        <v>9208.3333333333321</v>
      </c>
      <c r="P224" s="10">
        <f t="shared" si="268"/>
        <v>9208.3333333333321</v>
      </c>
      <c r="Q224" s="10">
        <f t="shared" si="268"/>
        <v>9208.3333333333321</v>
      </c>
      <c r="R224" s="10">
        <f t="shared" si="268"/>
        <v>9208.3333333333321</v>
      </c>
      <c r="S224" s="10">
        <f t="shared" si="268"/>
        <v>9208.3333333333321</v>
      </c>
      <c r="T224" s="10">
        <f t="shared" si="268"/>
        <v>9208.3333333333321</v>
      </c>
      <c r="U224" s="33">
        <f t="shared" si="268"/>
        <v>13458.333333333332</v>
      </c>
      <c r="V224" s="10">
        <f t="shared" si="268"/>
        <v>9208.3333333333321</v>
      </c>
      <c r="W224" s="10">
        <f t="shared" si="268"/>
        <v>9208.3333333333321</v>
      </c>
      <c r="X224" s="10">
        <f t="shared" si="268"/>
        <v>9208.3333333333321</v>
      </c>
      <c r="Y224" s="10">
        <f t="shared" si="268"/>
        <v>9208.3333333333321</v>
      </c>
      <c r="Z224" s="10">
        <f t="shared" si="268"/>
        <v>9208.3333333333321</v>
      </c>
      <c r="AA224" s="10">
        <f t="shared" si="268"/>
        <v>9208.3333333333321</v>
      </c>
      <c r="AB224" s="10">
        <f t="shared" si="268"/>
        <v>9208.3333333333321</v>
      </c>
      <c r="AC224" s="10">
        <f t="shared" si="268"/>
        <v>9208.3333333333321</v>
      </c>
      <c r="AD224" s="10">
        <f t="shared" si="268"/>
        <v>9208.3333333333321</v>
      </c>
      <c r="AE224" s="10">
        <f t="shared" si="268"/>
        <v>9208.3333333333321</v>
      </c>
      <c r="AF224" s="10">
        <f t="shared" si="268"/>
        <v>9208.3333333333321</v>
      </c>
      <c r="AG224" s="33">
        <f t="shared" si="268"/>
        <v>13458.333333333332</v>
      </c>
    </row>
    <row r="225" spans="3:33" x14ac:dyDescent="0.2">
      <c r="C225" t="s">
        <v>106</v>
      </c>
      <c r="D225" t="s">
        <v>90</v>
      </c>
      <c r="E225" s="64">
        <f>_xlfn.XLOOKUP($C225,'Corporate Roster - ''24'!$C$6:$C$60,'Corporate Roster - ''24'!$E$6:$E$60)</f>
        <v>40345</v>
      </c>
      <c r="F225" s="64" t="str">
        <f>_xlfn.XLOOKUP($C225,'Corporate Roster - ''24'!$C$6:$C$60,'Corporate Roster - ''24'!$F$6:$F$60)</f>
        <v>-</v>
      </c>
      <c r="G225" s="32">
        <f t="shared" si="239"/>
        <v>156000</v>
      </c>
      <c r="H225" s="33">
        <f t="shared" si="240"/>
        <v>182000</v>
      </c>
      <c r="J225" s="32">
        <f t="shared" ref="J225:AG225" si="269">J36+J99+J162</f>
        <v>11916.666666666666</v>
      </c>
      <c r="K225" s="10">
        <f t="shared" si="269"/>
        <v>11916.666666666666</v>
      </c>
      <c r="L225" s="10">
        <f t="shared" si="269"/>
        <v>11916.666666666666</v>
      </c>
      <c r="M225" s="10">
        <f t="shared" si="269"/>
        <v>11916.666666666666</v>
      </c>
      <c r="N225" s="10">
        <f t="shared" si="269"/>
        <v>11916.666666666666</v>
      </c>
      <c r="O225" s="10">
        <f t="shared" si="269"/>
        <v>11916.666666666666</v>
      </c>
      <c r="P225" s="10">
        <f t="shared" si="269"/>
        <v>11916.666666666666</v>
      </c>
      <c r="Q225" s="10">
        <f t="shared" si="269"/>
        <v>11916.666666666666</v>
      </c>
      <c r="R225" s="10">
        <f t="shared" si="269"/>
        <v>11916.666666666666</v>
      </c>
      <c r="S225" s="10">
        <f t="shared" si="269"/>
        <v>11916.666666666666</v>
      </c>
      <c r="T225" s="10">
        <f t="shared" si="269"/>
        <v>11916.666666666666</v>
      </c>
      <c r="U225" s="33">
        <f t="shared" si="269"/>
        <v>24916.666666666664</v>
      </c>
      <c r="V225" s="10">
        <f t="shared" si="269"/>
        <v>14083.333333333334</v>
      </c>
      <c r="W225" s="10">
        <f t="shared" si="269"/>
        <v>14083.333333333334</v>
      </c>
      <c r="X225" s="10">
        <f t="shared" si="269"/>
        <v>14083.333333333334</v>
      </c>
      <c r="Y225" s="10">
        <f t="shared" si="269"/>
        <v>14083.333333333334</v>
      </c>
      <c r="Z225" s="10">
        <f t="shared" si="269"/>
        <v>14083.333333333334</v>
      </c>
      <c r="AA225" s="10">
        <f t="shared" si="269"/>
        <v>14083.333333333334</v>
      </c>
      <c r="AB225" s="10">
        <f t="shared" si="269"/>
        <v>14083.333333333334</v>
      </c>
      <c r="AC225" s="10">
        <f t="shared" si="269"/>
        <v>14083.333333333334</v>
      </c>
      <c r="AD225" s="10">
        <f t="shared" si="269"/>
        <v>14083.333333333334</v>
      </c>
      <c r="AE225" s="10">
        <f t="shared" si="269"/>
        <v>14083.333333333334</v>
      </c>
      <c r="AF225" s="10">
        <f t="shared" si="269"/>
        <v>14083.333333333334</v>
      </c>
      <c r="AG225" s="33">
        <f t="shared" si="269"/>
        <v>27083.333333333336</v>
      </c>
    </row>
    <row r="226" spans="3:33" x14ac:dyDescent="0.2">
      <c r="C226" t="s">
        <v>117</v>
      </c>
      <c r="D226" t="s">
        <v>110</v>
      </c>
      <c r="E226" s="64">
        <f>_xlfn.XLOOKUP($C226,'Corporate Roster - ''24'!$C$6:$C$60,'Corporate Roster - ''24'!$E$6:$E$60)</f>
        <v>44824</v>
      </c>
      <c r="F226" s="64" t="str">
        <f>_xlfn.XLOOKUP($C226,'Corporate Roster - ''24'!$C$6:$C$60,'Corporate Roster - ''24'!$F$6:$F$60)</f>
        <v>-</v>
      </c>
      <c r="G226" s="32">
        <f t="shared" si="239"/>
        <v>114749.99999999996</v>
      </c>
      <c r="H226" s="33">
        <f t="shared" si="240"/>
        <v>114749.99999999996</v>
      </c>
      <c r="J226" s="32">
        <f t="shared" ref="J226:AG226" si="270">J37+J100+J163</f>
        <v>9208.3333333333321</v>
      </c>
      <c r="K226" s="10">
        <f t="shared" si="270"/>
        <v>9208.3333333333321</v>
      </c>
      <c r="L226" s="10">
        <f t="shared" si="270"/>
        <v>9208.3333333333321</v>
      </c>
      <c r="M226" s="10">
        <f t="shared" si="270"/>
        <v>9208.3333333333321</v>
      </c>
      <c r="N226" s="10">
        <f t="shared" si="270"/>
        <v>9208.3333333333321</v>
      </c>
      <c r="O226" s="10">
        <f t="shared" si="270"/>
        <v>9208.3333333333321</v>
      </c>
      <c r="P226" s="10">
        <f t="shared" si="270"/>
        <v>9208.3333333333321</v>
      </c>
      <c r="Q226" s="10">
        <f t="shared" si="270"/>
        <v>9208.3333333333321</v>
      </c>
      <c r="R226" s="10">
        <f t="shared" si="270"/>
        <v>9208.3333333333321</v>
      </c>
      <c r="S226" s="10">
        <f t="shared" si="270"/>
        <v>9208.3333333333321</v>
      </c>
      <c r="T226" s="10">
        <f t="shared" si="270"/>
        <v>9208.3333333333321</v>
      </c>
      <c r="U226" s="33">
        <f t="shared" si="270"/>
        <v>13458.333333333332</v>
      </c>
      <c r="V226" s="10">
        <f t="shared" si="270"/>
        <v>9208.3333333333321</v>
      </c>
      <c r="W226" s="10">
        <f t="shared" si="270"/>
        <v>9208.3333333333321</v>
      </c>
      <c r="X226" s="10">
        <f t="shared" si="270"/>
        <v>9208.3333333333321</v>
      </c>
      <c r="Y226" s="10">
        <f t="shared" si="270"/>
        <v>9208.3333333333321</v>
      </c>
      <c r="Z226" s="10">
        <f t="shared" si="270"/>
        <v>9208.3333333333321</v>
      </c>
      <c r="AA226" s="10">
        <f t="shared" si="270"/>
        <v>9208.3333333333321</v>
      </c>
      <c r="AB226" s="10">
        <f t="shared" si="270"/>
        <v>9208.3333333333321</v>
      </c>
      <c r="AC226" s="10">
        <f t="shared" si="270"/>
        <v>9208.3333333333321</v>
      </c>
      <c r="AD226" s="10">
        <f t="shared" si="270"/>
        <v>9208.3333333333321</v>
      </c>
      <c r="AE226" s="10">
        <f t="shared" si="270"/>
        <v>9208.3333333333321</v>
      </c>
      <c r="AF226" s="10">
        <f t="shared" si="270"/>
        <v>9208.3333333333321</v>
      </c>
      <c r="AG226" s="33">
        <f t="shared" si="270"/>
        <v>13458.333333333332</v>
      </c>
    </row>
    <row r="227" spans="3:33" x14ac:dyDescent="0.2">
      <c r="C227" t="s">
        <v>118</v>
      </c>
      <c r="D227" t="s">
        <v>86</v>
      </c>
      <c r="E227" s="64">
        <f>_xlfn.XLOOKUP($C227,'Corporate Roster - ''24'!$C$6:$C$60,'Corporate Roster - ''24'!$E$6:$E$60)</f>
        <v>38939</v>
      </c>
      <c r="F227" s="64" t="str">
        <f>_xlfn.XLOOKUP($C227,'Corporate Roster - ''24'!$C$6:$C$60,'Corporate Roster - ''24'!$F$6:$F$60)</f>
        <v>-</v>
      </c>
      <c r="G227" s="32">
        <f t="shared" si="239"/>
        <v>158999.99999999997</v>
      </c>
      <c r="H227" s="33">
        <f t="shared" si="240"/>
        <v>168000</v>
      </c>
      <c r="J227" s="32">
        <f t="shared" ref="J227:AG227" si="271">J38+J101+J164</f>
        <v>12333.333333333332</v>
      </c>
      <c r="K227" s="10">
        <f t="shared" si="271"/>
        <v>12333.333333333332</v>
      </c>
      <c r="L227" s="10">
        <f t="shared" si="271"/>
        <v>12333.333333333332</v>
      </c>
      <c r="M227" s="10">
        <f t="shared" si="271"/>
        <v>12333.333333333332</v>
      </c>
      <c r="N227" s="10">
        <f t="shared" si="271"/>
        <v>12333.333333333332</v>
      </c>
      <c r="O227" s="10">
        <f t="shared" si="271"/>
        <v>12333.333333333332</v>
      </c>
      <c r="P227" s="10">
        <f t="shared" si="271"/>
        <v>12333.333333333332</v>
      </c>
      <c r="Q227" s="10">
        <f t="shared" si="271"/>
        <v>12333.333333333332</v>
      </c>
      <c r="R227" s="10">
        <f t="shared" si="271"/>
        <v>12333.333333333332</v>
      </c>
      <c r="S227" s="10">
        <f t="shared" si="271"/>
        <v>12333.333333333332</v>
      </c>
      <c r="T227" s="10">
        <f t="shared" si="271"/>
        <v>12333.333333333332</v>
      </c>
      <c r="U227" s="33">
        <f t="shared" si="271"/>
        <v>23333.333333333332</v>
      </c>
      <c r="V227" s="10">
        <f t="shared" si="271"/>
        <v>13000</v>
      </c>
      <c r="W227" s="10">
        <f t="shared" si="271"/>
        <v>13000</v>
      </c>
      <c r="X227" s="10">
        <f t="shared" si="271"/>
        <v>13000</v>
      </c>
      <c r="Y227" s="10">
        <f t="shared" si="271"/>
        <v>13000</v>
      </c>
      <c r="Z227" s="10">
        <f t="shared" si="271"/>
        <v>13000</v>
      </c>
      <c r="AA227" s="10">
        <f t="shared" si="271"/>
        <v>13000</v>
      </c>
      <c r="AB227" s="10">
        <f t="shared" si="271"/>
        <v>13000</v>
      </c>
      <c r="AC227" s="10">
        <f t="shared" si="271"/>
        <v>13000</v>
      </c>
      <c r="AD227" s="10">
        <f t="shared" si="271"/>
        <v>13000</v>
      </c>
      <c r="AE227" s="10">
        <f t="shared" si="271"/>
        <v>13000</v>
      </c>
      <c r="AF227" s="10">
        <f t="shared" si="271"/>
        <v>13000</v>
      </c>
      <c r="AG227" s="33">
        <f t="shared" si="271"/>
        <v>25000</v>
      </c>
    </row>
    <row r="228" spans="3:33" x14ac:dyDescent="0.2">
      <c r="C228" t="s">
        <v>65</v>
      </c>
      <c r="D228" t="s">
        <v>86</v>
      </c>
      <c r="E228" s="64">
        <f>_xlfn.XLOOKUP($C228,'Corporate Roster - ''24'!$C$6:$C$60,'Corporate Roster - ''24'!$E$6:$E$60)</f>
        <v>42100</v>
      </c>
      <c r="F228" s="64" t="str">
        <f>_xlfn.XLOOKUP($C228,'Corporate Roster - ''24'!$C$6:$C$60,'Corporate Roster - ''24'!$F$6:$F$60)</f>
        <v>-</v>
      </c>
      <c r="G228" s="32">
        <f t="shared" si="239"/>
        <v>168000</v>
      </c>
      <c r="H228" s="33">
        <f t="shared" si="240"/>
        <v>168000</v>
      </c>
      <c r="J228" s="32">
        <f t="shared" ref="J228:AG228" si="272">J39+J102+J165</f>
        <v>13000</v>
      </c>
      <c r="K228" s="10">
        <f t="shared" si="272"/>
        <v>13000</v>
      </c>
      <c r="L228" s="10">
        <f t="shared" si="272"/>
        <v>13000</v>
      </c>
      <c r="M228" s="10">
        <f t="shared" si="272"/>
        <v>13000</v>
      </c>
      <c r="N228" s="10">
        <f t="shared" si="272"/>
        <v>13000</v>
      </c>
      <c r="O228" s="10">
        <f t="shared" si="272"/>
        <v>13000</v>
      </c>
      <c r="P228" s="10">
        <f t="shared" si="272"/>
        <v>13000</v>
      </c>
      <c r="Q228" s="10">
        <f t="shared" si="272"/>
        <v>13000</v>
      </c>
      <c r="R228" s="10">
        <f t="shared" si="272"/>
        <v>13000</v>
      </c>
      <c r="S228" s="10">
        <f t="shared" si="272"/>
        <v>13000</v>
      </c>
      <c r="T228" s="10">
        <f t="shared" si="272"/>
        <v>13000</v>
      </c>
      <c r="U228" s="33">
        <f t="shared" si="272"/>
        <v>25000</v>
      </c>
      <c r="V228" s="10">
        <f t="shared" si="272"/>
        <v>13000</v>
      </c>
      <c r="W228" s="10">
        <f t="shared" si="272"/>
        <v>13000</v>
      </c>
      <c r="X228" s="10">
        <f t="shared" si="272"/>
        <v>13000</v>
      </c>
      <c r="Y228" s="10">
        <f t="shared" si="272"/>
        <v>13000</v>
      </c>
      <c r="Z228" s="10">
        <f t="shared" si="272"/>
        <v>13000</v>
      </c>
      <c r="AA228" s="10">
        <f t="shared" si="272"/>
        <v>13000</v>
      </c>
      <c r="AB228" s="10">
        <f t="shared" si="272"/>
        <v>13000</v>
      </c>
      <c r="AC228" s="10">
        <f t="shared" si="272"/>
        <v>13000</v>
      </c>
      <c r="AD228" s="10">
        <f t="shared" si="272"/>
        <v>13000</v>
      </c>
      <c r="AE228" s="10">
        <f t="shared" si="272"/>
        <v>13000</v>
      </c>
      <c r="AF228" s="10">
        <f t="shared" si="272"/>
        <v>13000</v>
      </c>
      <c r="AG228" s="33">
        <f t="shared" si="272"/>
        <v>25000</v>
      </c>
    </row>
    <row r="229" spans="3:33" x14ac:dyDescent="0.2">
      <c r="C229" t="s">
        <v>119</v>
      </c>
      <c r="D229" t="s">
        <v>110</v>
      </c>
      <c r="E229" s="64">
        <f>_xlfn.XLOOKUP($C229,'Corporate Roster - ''24'!$C$6:$C$60,'Corporate Roster - ''24'!$E$6:$E$60)</f>
        <v>42772</v>
      </c>
      <c r="F229" s="64" t="str">
        <f>_xlfn.XLOOKUP($C229,'Corporate Roster - ''24'!$C$6:$C$60,'Corporate Roster - ''24'!$F$6:$F$60)</f>
        <v>-</v>
      </c>
      <c r="G229" s="32">
        <f t="shared" si="239"/>
        <v>109000</v>
      </c>
      <c r="H229" s="33">
        <f t="shared" si="240"/>
        <v>114749.99999999996</v>
      </c>
      <c r="J229" s="32">
        <f t="shared" ref="J229:AG229" si="273">J40+J103+J166</f>
        <v>8750</v>
      </c>
      <c r="K229" s="10">
        <f t="shared" si="273"/>
        <v>8750</v>
      </c>
      <c r="L229" s="10">
        <f t="shared" si="273"/>
        <v>8750</v>
      </c>
      <c r="M229" s="10">
        <f t="shared" si="273"/>
        <v>8750</v>
      </c>
      <c r="N229" s="10">
        <f t="shared" si="273"/>
        <v>8750</v>
      </c>
      <c r="O229" s="10">
        <f t="shared" si="273"/>
        <v>8750</v>
      </c>
      <c r="P229" s="10">
        <f t="shared" si="273"/>
        <v>8750</v>
      </c>
      <c r="Q229" s="10">
        <f t="shared" si="273"/>
        <v>8750</v>
      </c>
      <c r="R229" s="10">
        <f t="shared" si="273"/>
        <v>8750</v>
      </c>
      <c r="S229" s="10">
        <f t="shared" si="273"/>
        <v>8750</v>
      </c>
      <c r="T229" s="10">
        <f t="shared" si="273"/>
        <v>8750</v>
      </c>
      <c r="U229" s="33">
        <f t="shared" si="273"/>
        <v>12750</v>
      </c>
      <c r="V229" s="10">
        <f t="shared" si="273"/>
        <v>9208.3333333333321</v>
      </c>
      <c r="W229" s="10">
        <f t="shared" si="273"/>
        <v>9208.3333333333321</v>
      </c>
      <c r="X229" s="10">
        <f t="shared" si="273"/>
        <v>9208.3333333333321</v>
      </c>
      <c r="Y229" s="10">
        <f t="shared" si="273"/>
        <v>9208.3333333333321</v>
      </c>
      <c r="Z229" s="10">
        <f t="shared" si="273"/>
        <v>9208.3333333333321</v>
      </c>
      <c r="AA229" s="10">
        <f t="shared" si="273"/>
        <v>9208.3333333333321</v>
      </c>
      <c r="AB229" s="10">
        <f t="shared" si="273"/>
        <v>9208.3333333333321</v>
      </c>
      <c r="AC229" s="10">
        <f t="shared" si="273"/>
        <v>9208.3333333333321</v>
      </c>
      <c r="AD229" s="10">
        <f t="shared" si="273"/>
        <v>9208.3333333333321</v>
      </c>
      <c r="AE229" s="10">
        <f t="shared" si="273"/>
        <v>9208.3333333333321</v>
      </c>
      <c r="AF229" s="10">
        <f t="shared" si="273"/>
        <v>9208.3333333333321</v>
      </c>
      <c r="AG229" s="33">
        <f t="shared" si="273"/>
        <v>13458.333333333332</v>
      </c>
    </row>
    <row r="230" spans="3:33" x14ac:dyDescent="0.2">
      <c r="C230" t="s">
        <v>120</v>
      </c>
      <c r="D230" t="s">
        <v>110</v>
      </c>
      <c r="E230" s="64">
        <f>_xlfn.XLOOKUP($C230,'Corporate Roster - ''24'!$C$6:$C$60,'Corporate Roster - ''24'!$E$6:$E$60)</f>
        <v>41160</v>
      </c>
      <c r="F230" s="64" t="str">
        <f>_xlfn.XLOOKUP($C230,'Corporate Roster - ''24'!$C$6:$C$60,'Corporate Roster - ''24'!$F$6:$F$60)</f>
        <v>-</v>
      </c>
      <c r="G230" s="32">
        <f t="shared" si="239"/>
        <v>114749.99999999996</v>
      </c>
      <c r="H230" s="33">
        <f t="shared" si="240"/>
        <v>114749.99999999996</v>
      </c>
      <c r="J230" s="32">
        <f t="shared" ref="J230:AG230" si="274">J41+J104+J167</f>
        <v>9208.3333333333321</v>
      </c>
      <c r="K230" s="10">
        <f t="shared" si="274"/>
        <v>9208.3333333333321</v>
      </c>
      <c r="L230" s="10">
        <f t="shared" si="274"/>
        <v>9208.3333333333321</v>
      </c>
      <c r="M230" s="10">
        <f t="shared" si="274"/>
        <v>9208.3333333333321</v>
      </c>
      <c r="N230" s="10">
        <f t="shared" si="274"/>
        <v>9208.3333333333321</v>
      </c>
      <c r="O230" s="10">
        <f t="shared" si="274"/>
        <v>9208.3333333333321</v>
      </c>
      <c r="P230" s="10">
        <f t="shared" si="274"/>
        <v>9208.3333333333321</v>
      </c>
      <c r="Q230" s="10">
        <f t="shared" si="274"/>
        <v>9208.3333333333321</v>
      </c>
      <c r="R230" s="10">
        <f t="shared" si="274"/>
        <v>9208.3333333333321</v>
      </c>
      <c r="S230" s="10">
        <f t="shared" si="274"/>
        <v>9208.3333333333321</v>
      </c>
      <c r="T230" s="10">
        <f t="shared" si="274"/>
        <v>9208.3333333333321</v>
      </c>
      <c r="U230" s="33">
        <f t="shared" si="274"/>
        <v>13458.333333333332</v>
      </c>
      <c r="V230" s="10">
        <f t="shared" si="274"/>
        <v>9208.3333333333321</v>
      </c>
      <c r="W230" s="10">
        <f t="shared" si="274"/>
        <v>9208.3333333333321</v>
      </c>
      <c r="X230" s="10">
        <f t="shared" si="274"/>
        <v>9208.3333333333321</v>
      </c>
      <c r="Y230" s="10">
        <f t="shared" si="274"/>
        <v>9208.3333333333321</v>
      </c>
      <c r="Z230" s="10">
        <f t="shared" si="274"/>
        <v>9208.3333333333321</v>
      </c>
      <c r="AA230" s="10">
        <f t="shared" si="274"/>
        <v>9208.3333333333321</v>
      </c>
      <c r="AB230" s="10">
        <f t="shared" si="274"/>
        <v>9208.3333333333321</v>
      </c>
      <c r="AC230" s="10">
        <f t="shared" si="274"/>
        <v>9208.3333333333321</v>
      </c>
      <c r="AD230" s="10">
        <f t="shared" si="274"/>
        <v>9208.3333333333321</v>
      </c>
      <c r="AE230" s="10">
        <f t="shared" si="274"/>
        <v>9208.3333333333321</v>
      </c>
      <c r="AF230" s="10">
        <f t="shared" si="274"/>
        <v>9208.3333333333321</v>
      </c>
      <c r="AG230" s="33">
        <f t="shared" si="274"/>
        <v>13458.333333333332</v>
      </c>
    </row>
    <row r="231" spans="3:33" x14ac:dyDescent="0.2">
      <c r="C231" t="s">
        <v>121</v>
      </c>
      <c r="D231" t="s">
        <v>99</v>
      </c>
      <c r="E231" s="64">
        <f>_xlfn.XLOOKUP($C231,'Corporate Roster - ''24'!$C$6:$C$60,'Corporate Roster - ''24'!$E$6:$E$60)</f>
        <v>44972</v>
      </c>
      <c r="F231" s="64" t="str">
        <f>_xlfn.XLOOKUP($C231,'Corporate Roster - ''24'!$C$6:$C$60,'Corporate Roster - ''24'!$F$6:$F$60)</f>
        <v>-</v>
      </c>
      <c r="G231" s="32">
        <f t="shared" si="239"/>
        <v>98844.444444444482</v>
      </c>
      <c r="H231" s="33">
        <f t="shared" si="240"/>
        <v>108000.00000000004</v>
      </c>
      <c r="J231" s="32">
        <f t="shared" ref="J231:AG231" si="275">J42+J105+J168</f>
        <v>0</v>
      </c>
      <c r="K231" s="10">
        <f t="shared" si="275"/>
        <v>8666.6666666666679</v>
      </c>
      <c r="L231" s="10">
        <f t="shared" si="275"/>
        <v>8666.6666666666679</v>
      </c>
      <c r="M231" s="10">
        <f t="shared" si="275"/>
        <v>8666.6666666666679</v>
      </c>
      <c r="N231" s="10">
        <f t="shared" si="275"/>
        <v>8666.6666666666679</v>
      </c>
      <c r="O231" s="10">
        <f t="shared" si="275"/>
        <v>8666.6666666666679</v>
      </c>
      <c r="P231" s="10">
        <f t="shared" si="275"/>
        <v>8666.6666666666679</v>
      </c>
      <c r="Q231" s="10">
        <f t="shared" si="275"/>
        <v>8666.6666666666679</v>
      </c>
      <c r="R231" s="10">
        <f t="shared" si="275"/>
        <v>8666.6666666666679</v>
      </c>
      <c r="S231" s="10">
        <f t="shared" si="275"/>
        <v>8666.6666666666679</v>
      </c>
      <c r="T231" s="10">
        <f t="shared" si="275"/>
        <v>8666.6666666666679</v>
      </c>
      <c r="U231" s="33">
        <f t="shared" si="275"/>
        <v>12177.777777777777</v>
      </c>
      <c r="V231" s="10">
        <f t="shared" si="275"/>
        <v>8666.6666666666679</v>
      </c>
      <c r="W231" s="10">
        <f t="shared" si="275"/>
        <v>8666.6666666666679</v>
      </c>
      <c r="X231" s="10">
        <f t="shared" si="275"/>
        <v>8666.6666666666679</v>
      </c>
      <c r="Y231" s="10">
        <f t="shared" si="275"/>
        <v>8666.6666666666679</v>
      </c>
      <c r="Z231" s="10">
        <f t="shared" si="275"/>
        <v>8666.6666666666679</v>
      </c>
      <c r="AA231" s="10">
        <f t="shared" si="275"/>
        <v>8666.6666666666679</v>
      </c>
      <c r="AB231" s="10">
        <f t="shared" si="275"/>
        <v>8666.6666666666679</v>
      </c>
      <c r="AC231" s="10">
        <f t="shared" si="275"/>
        <v>8666.6666666666679</v>
      </c>
      <c r="AD231" s="10">
        <f t="shared" si="275"/>
        <v>8666.6666666666679</v>
      </c>
      <c r="AE231" s="10">
        <f t="shared" si="275"/>
        <v>8666.6666666666679</v>
      </c>
      <c r="AF231" s="10">
        <f t="shared" si="275"/>
        <v>8666.6666666666679</v>
      </c>
      <c r="AG231" s="33">
        <f t="shared" si="275"/>
        <v>12666.666666666668</v>
      </c>
    </row>
    <row r="232" spans="3:33" x14ac:dyDescent="0.2">
      <c r="C232" t="s">
        <v>151</v>
      </c>
      <c r="D232" t="s">
        <v>90</v>
      </c>
      <c r="E232" s="64">
        <f>_xlfn.XLOOKUP($C232,'Corporate Roster - ''24'!$C$6:$C$60,'Corporate Roster - ''24'!$E$6:$E$60)</f>
        <v>42189</v>
      </c>
      <c r="F232" s="64" t="str">
        <f>_xlfn.XLOOKUP($C232,'Corporate Roster - ''24'!$C$6:$C$60,'Corporate Roster - ''24'!$F$6:$F$60)</f>
        <v>-</v>
      </c>
      <c r="G232" s="32">
        <f t="shared" si="239"/>
        <v>156000</v>
      </c>
      <c r="H232" s="33">
        <f t="shared" si="240"/>
        <v>182000</v>
      </c>
      <c r="J232" s="32">
        <f t="shared" ref="J232:AG232" si="276">J43+J106+J169</f>
        <v>11916.666666666666</v>
      </c>
      <c r="K232" s="10">
        <f t="shared" si="276"/>
        <v>11916.666666666666</v>
      </c>
      <c r="L232" s="10">
        <f t="shared" si="276"/>
        <v>11916.666666666666</v>
      </c>
      <c r="M232" s="10">
        <f t="shared" si="276"/>
        <v>11916.666666666666</v>
      </c>
      <c r="N232" s="10">
        <f t="shared" si="276"/>
        <v>11916.666666666666</v>
      </c>
      <c r="O232" s="10">
        <f t="shared" si="276"/>
        <v>11916.666666666666</v>
      </c>
      <c r="P232" s="10">
        <f t="shared" si="276"/>
        <v>11916.666666666666</v>
      </c>
      <c r="Q232" s="10">
        <f t="shared" si="276"/>
        <v>11916.666666666666</v>
      </c>
      <c r="R232" s="10">
        <f t="shared" si="276"/>
        <v>11916.666666666666</v>
      </c>
      <c r="S232" s="10">
        <f t="shared" si="276"/>
        <v>11916.666666666666</v>
      </c>
      <c r="T232" s="10">
        <f t="shared" si="276"/>
        <v>11916.666666666666</v>
      </c>
      <c r="U232" s="33">
        <f t="shared" si="276"/>
        <v>24916.666666666664</v>
      </c>
      <c r="V232" s="10">
        <f t="shared" si="276"/>
        <v>14083.333333333334</v>
      </c>
      <c r="W232" s="10">
        <f t="shared" si="276"/>
        <v>14083.333333333334</v>
      </c>
      <c r="X232" s="10">
        <f t="shared" si="276"/>
        <v>14083.333333333334</v>
      </c>
      <c r="Y232" s="10">
        <f t="shared" si="276"/>
        <v>14083.333333333334</v>
      </c>
      <c r="Z232" s="10">
        <f t="shared" si="276"/>
        <v>14083.333333333334</v>
      </c>
      <c r="AA232" s="10">
        <f t="shared" si="276"/>
        <v>14083.333333333334</v>
      </c>
      <c r="AB232" s="10">
        <f t="shared" si="276"/>
        <v>14083.333333333334</v>
      </c>
      <c r="AC232" s="10">
        <f t="shared" si="276"/>
        <v>14083.333333333334</v>
      </c>
      <c r="AD232" s="10">
        <f t="shared" si="276"/>
        <v>14083.333333333334</v>
      </c>
      <c r="AE232" s="10">
        <f t="shared" si="276"/>
        <v>14083.333333333334</v>
      </c>
      <c r="AF232" s="10">
        <f t="shared" si="276"/>
        <v>14083.333333333334</v>
      </c>
      <c r="AG232" s="33">
        <f t="shared" si="276"/>
        <v>27083.333333333336</v>
      </c>
    </row>
    <row r="233" spans="3:33" x14ac:dyDescent="0.2">
      <c r="C233" t="s">
        <v>123</v>
      </c>
      <c r="D233" t="s">
        <v>99</v>
      </c>
      <c r="E233" s="64">
        <f>_xlfn.XLOOKUP($C233,'Corporate Roster - ''24'!$C$6:$C$60,'Corporate Roster - ''24'!$E$6:$E$60)</f>
        <v>44716</v>
      </c>
      <c r="F233" s="64" t="str">
        <f>_xlfn.XLOOKUP($C233,'Corporate Roster - ''24'!$C$6:$C$60,'Corporate Roster - ''24'!$F$6:$F$60)</f>
        <v>-</v>
      </c>
      <c r="G233" s="32">
        <f t="shared" si="239"/>
        <v>108000.00000000004</v>
      </c>
      <c r="H233" s="33">
        <f t="shared" si="240"/>
        <v>108000.00000000004</v>
      </c>
      <c r="J233" s="32">
        <f t="shared" ref="J233:AG233" si="277">J44+J107+J170</f>
        <v>8666.6666666666679</v>
      </c>
      <c r="K233" s="10">
        <f t="shared" si="277"/>
        <v>8666.6666666666679</v>
      </c>
      <c r="L233" s="10">
        <f t="shared" si="277"/>
        <v>8666.6666666666679</v>
      </c>
      <c r="M233" s="10">
        <f t="shared" si="277"/>
        <v>8666.6666666666679</v>
      </c>
      <c r="N233" s="10">
        <f t="shared" si="277"/>
        <v>8666.6666666666679</v>
      </c>
      <c r="O233" s="10">
        <f t="shared" si="277"/>
        <v>8666.6666666666679</v>
      </c>
      <c r="P233" s="10">
        <f t="shared" si="277"/>
        <v>8666.6666666666679</v>
      </c>
      <c r="Q233" s="10">
        <f t="shared" si="277"/>
        <v>8666.6666666666679</v>
      </c>
      <c r="R233" s="10">
        <f t="shared" si="277"/>
        <v>8666.6666666666679</v>
      </c>
      <c r="S233" s="10">
        <f t="shared" si="277"/>
        <v>8666.6666666666679</v>
      </c>
      <c r="T233" s="10">
        <f t="shared" si="277"/>
        <v>8666.6666666666679</v>
      </c>
      <c r="U233" s="33">
        <f t="shared" si="277"/>
        <v>12666.666666666668</v>
      </c>
      <c r="V233" s="10">
        <f t="shared" si="277"/>
        <v>8666.6666666666679</v>
      </c>
      <c r="W233" s="10">
        <f t="shared" si="277"/>
        <v>8666.6666666666679</v>
      </c>
      <c r="X233" s="10">
        <f t="shared" si="277"/>
        <v>8666.6666666666679</v>
      </c>
      <c r="Y233" s="10">
        <f t="shared" si="277"/>
        <v>8666.6666666666679</v>
      </c>
      <c r="Z233" s="10">
        <f t="shared" si="277"/>
        <v>8666.6666666666679</v>
      </c>
      <c r="AA233" s="10">
        <f t="shared" si="277"/>
        <v>8666.6666666666679</v>
      </c>
      <c r="AB233" s="10">
        <f t="shared" si="277"/>
        <v>8666.6666666666679</v>
      </c>
      <c r="AC233" s="10">
        <f t="shared" si="277"/>
        <v>8666.6666666666679</v>
      </c>
      <c r="AD233" s="10">
        <f t="shared" si="277"/>
        <v>8666.6666666666679</v>
      </c>
      <c r="AE233" s="10">
        <f t="shared" si="277"/>
        <v>8666.6666666666679</v>
      </c>
      <c r="AF233" s="10">
        <f t="shared" si="277"/>
        <v>8666.6666666666679</v>
      </c>
      <c r="AG233" s="33">
        <f t="shared" si="277"/>
        <v>12666.666666666668</v>
      </c>
    </row>
    <row r="234" spans="3:33" x14ac:dyDescent="0.2">
      <c r="C234" t="s">
        <v>124</v>
      </c>
      <c r="D234" t="s">
        <v>99</v>
      </c>
      <c r="E234" s="64">
        <f>_xlfn.XLOOKUP($C234,'Corporate Roster - ''24'!$C$6:$C$60,'Corporate Roster - ''24'!$E$6:$E$60)</f>
        <v>38697</v>
      </c>
      <c r="F234" s="64" t="str">
        <f>_xlfn.XLOOKUP($C234,'Corporate Roster - ''24'!$C$6:$C$60,'Corporate Roster - ''24'!$F$6:$F$60)</f>
        <v>-</v>
      </c>
      <c r="G234" s="32">
        <f t="shared" si="239"/>
        <v>108000.00000000004</v>
      </c>
      <c r="H234" s="33">
        <f t="shared" si="240"/>
        <v>108000.00000000004</v>
      </c>
      <c r="J234" s="32">
        <f t="shared" ref="J234:AG234" si="278">J45+J108+J171</f>
        <v>8666.6666666666679</v>
      </c>
      <c r="K234" s="10">
        <f t="shared" si="278"/>
        <v>8666.6666666666679</v>
      </c>
      <c r="L234" s="10">
        <f t="shared" si="278"/>
        <v>8666.6666666666679</v>
      </c>
      <c r="M234" s="10">
        <f t="shared" si="278"/>
        <v>8666.6666666666679</v>
      </c>
      <c r="N234" s="10">
        <f t="shared" si="278"/>
        <v>8666.6666666666679</v>
      </c>
      <c r="O234" s="10">
        <f t="shared" si="278"/>
        <v>8666.6666666666679</v>
      </c>
      <c r="P234" s="10">
        <f t="shared" si="278"/>
        <v>8666.6666666666679</v>
      </c>
      <c r="Q234" s="10">
        <f t="shared" si="278"/>
        <v>8666.6666666666679</v>
      </c>
      <c r="R234" s="10">
        <f t="shared" si="278"/>
        <v>8666.6666666666679</v>
      </c>
      <c r="S234" s="10">
        <f t="shared" si="278"/>
        <v>8666.6666666666679</v>
      </c>
      <c r="T234" s="10">
        <f t="shared" si="278"/>
        <v>8666.6666666666679</v>
      </c>
      <c r="U234" s="33">
        <f t="shared" si="278"/>
        <v>12666.666666666668</v>
      </c>
      <c r="V234" s="10">
        <f t="shared" si="278"/>
        <v>8666.6666666666679</v>
      </c>
      <c r="W234" s="10">
        <f t="shared" si="278"/>
        <v>8666.6666666666679</v>
      </c>
      <c r="X234" s="10">
        <f t="shared" si="278"/>
        <v>8666.6666666666679</v>
      </c>
      <c r="Y234" s="10">
        <f t="shared" si="278"/>
        <v>8666.6666666666679</v>
      </c>
      <c r="Z234" s="10">
        <f t="shared" si="278"/>
        <v>8666.6666666666679</v>
      </c>
      <c r="AA234" s="10">
        <f t="shared" si="278"/>
        <v>8666.6666666666679</v>
      </c>
      <c r="AB234" s="10">
        <f t="shared" si="278"/>
        <v>8666.6666666666679</v>
      </c>
      <c r="AC234" s="10">
        <f t="shared" si="278"/>
        <v>8666.6666666666679</v>
      </c>
      <c r="AD234" s="10">
        <f t="shared" si="278"/>
        <v>8666.6666666666679</v>
      </c>
      <c r="AE234" s="10">
        <f t="shared" si="278"/>
        <v>8666.6666666666679</v>
      </c>
      <c r="AF234" s="10">
        <f t="shared" si="278"/>
        <v>8666.6666666666679</v>
      </c>
      <c r="AG234" s="33">
        <f t="shared" si="278"/>
        <v>12666.666666666668</v>
      </c>
    </row>
    <row r="235" spans="3:33" x14ac:dyDescent="0.2">
      <c r="C235" t="s">
        <v>125</v>
      </c>
      <c r="D235" t="s">
        <v>99</v>
      </c>
      <c r="E235" s="64">
        <f>_xlfn.XLOOKUP($C235,'Corporate Roster - ''24'!$C$6:$C$60,'Corporate Roster - ''24'!$E$6:$E$60)</f>
        <v>43863</v>
      </c>
      <c r="F235" s="64" t="str">
        <f>_xlfn.XLOOKUP($C235,'Corporate Roster - ''24'!$C$6:$C$60,'Corporate Roster - ''24'!$F$6:$F$60)</f>
        <v>-</v>
      </c>
      <c r="G235" s="32">
        <f t="shared" si="239"/>
        <v>91999.999999999985</v>
      </c>
      <c r="H235" s="33">
        <f t="shared" si="240"/>
        <v>108000.00000000004</v>
      </c>
      <c r="J235" s="32">
        <f t="shared" ref="J235:AG235" si="279">J46+J109+J172</f>
        <v>7333.333333333333</v>
      </c>
      <c r="K235" s="10">
        <f t="shared" si="279"/>
        <v>7333.333333333333</v>
      </c>
      <c r="L235" s="10">
        <f t="shared" si="279"/>
        <v>7333.333333333333</v>
      </c>
      <c r="M235" s="10">
        <f t="shared" si="279"/>
        <v>7333.333333333333</v>
      </c>
      <c r="N235" s="10">
        <f t="shared" si="279"/>
        <v>7333.333333333333</v>
      </c>
      <c r="O235" s="10">
        <f t="shared" si="279"/>
        <v>7333.333333333333</v>
      </c>
      <c r="P235" s="10">
        <f t="shared" si="279"/>
        <v>7333.333333333333</v>
      </c>
      <c r="Q235" s="10">
        <f t="shared" si="279"/>
        <v>7333.333333333333</v>
      </c>
      <c r="R235" s="10">
        <f t="shared" si="279"/>
        <v>7333.333333333333</v>
      </c>
      <c r="S235" s="10">
        <f t="shared" si="279"/>
        <v>7333.333333333333</v>
      </c>
      <c r="T235" s="10">
        <f t="shared" si="279"/>
        <v>7333.333333333333</v>
      </c>
      <c r="U235" s="33">
        <f t="shared" si="279"/>
        <v>11333.333333333332</v>
      </c>
      <c r="V235" s="10">
        <f t="shared" si="279"/>
        <v>8666.6666666666679</v>
      </c>
      <c r="W235" s="10">
        <f t="shared" si="279"/>
        <v>8666.6666666666679</v>
      </c>
      <c r="X235" s="10">
        <f t="shared" si="279"/>
        <v>8666.6666666666679</v>
      </c>
      <c r="Y235" s="10">
        <f t="shared" si="279"/>
        <v>8666.6666666666679</v>
      </c>
      <c r="Z235" s="10">
        <f t="shared" si="279"/>
        <v>8666.6666666666679</v>
      </c>
      <c r="AA235" s="10">
        <f t="shared" si="279"/>
        <v>8666.6666666666679</v>
      </c>
      <c r="AB235" s="10">
        <f t="shared" si="279"/>
        <v>8666.6666666666679</v>
      </c>
      <c r="AC235" s="10">
        <f t="shared" si="279"/>
        <v>8666.6666666666679</v>
      </c>
      <c r="AD235" s="10">
        <f t="shared" si="279"/>
        <v>8666.6666666666679</v>
      </c>
      <c r="AE235" s="10">
        <f t="shared" si="279"/>
        <v>8666.6666666666679</v>
      </c>
      <c r="AF235" s="10">
        <f t="shared" si="279"/>
        <v>8666.6666666666679</v>
      </c>
      <c r="AG235" s="33">
        <f t="shared" si="279"/>
        <v>12666.666666666668</v>
      </c>
    </row>
    <row r="236" spans="3:33" x14ac:dyDescent="0.2">
      <c r="C236" t="s">
        <v>126</v>
      </c>
      <c r="D236" t="s">
        <v>110</v>
      </c>
      <c r="E236" s="64">
        <f>_xlfn.XLOOKUP($C236,'Corporate Roster - ''24'!$C$6:$C$60,'Corporate Roster - ''24'!$E$6:$E$60)</f>
        <v>40847</v>
      </c>
      <c r="F236" s="64" t="str">
        <f>_xlfn.XLOOKUP($C236,'Corporate Roster - ''24'!$C$6:$C$60,'Corporate Roster - ''24'!$F$6:$F$60)</f>
        <v>-</v>
      </c>
      <c r="G236" s="32">
        <f t="shared" si="239"/>
        <v>114749.99999999996</v>
      </c>
      <c r="H236" s="33">
        <f t="shared" si="240"/>
        <v>114749.99999999996</v>
      </c>
      <c r="J236" s="32">
        <f t="shared" ref="J236:AG236" si="280">J47+J110+J173</f>
        <v>9208.3333333333321</v>
      </c>
      <c r="K236" s="10">
        <f t="shared" si="280"/>
        <v>9208.3333333333321</v>
      </c>
      <c r="L236" s="10">
        <f t="shared" si="280"/>
        <v>9208.3333333333321</v>
      </c>
      <c r="M236" s="10">
        <f t="shared" si="280"/>
        <v>9208.3333333333321</v>
      </c>
      <c r="N236" s="10">
        <f t="shared" si="280"/>
        <v>9208.3333333333321</v>
      </c>
      <c r="O236" s="10">
        <f t="shared" si="280"/>
        <v>9208.3333333333321</v>
      </c>
      <c r="P236" s="10">
        <f t="shared" si="280"/>
        <v>9208.3333333333321</v>
      </c>
      <c r="Q236" s="10">
        <f t="shared" si="280"/>
        <v>9208.3333333333321</v>
      </c>
      <c r="R236" s="10">
        <f t="shared" si="280"/>
        <v>9208.3333333333321</v>
      </c>
      <c r="S236" s="10">
        <f t="shared" si="280"/>
        <v>9208.3333333333321</v>
      </c>
      <c r="T236" s="10">
        <f t="shared" si="280"/>
        <v>9208.3333333333321</v>
      </c>
      <c r="U236" s="33">
        <f t="shared" si="280"/>
        <v>13458.333333333332</v>
      </c>
      <c r="V236" s="10">
        <f t="shared" si="280"/>
        <v>9208.3333333333321</v>
      </c>
      <c r="W236" s="10">
        <f t="shared" si="280"/>
        <v>9208.3333333333321</v>
      </c>
      <c r="X236" s="10">
        <f t="shared" si="280"/>
        <v>9208.3333333333321</v>
      </c>
      <c r="Y236" s="10">
        <f t="shared" si="280"/>
        <v>9208.3333333333321</v>
      </c>
      <c r="Z236" s="10">
        <f t="shared" si="280"/>
        <v>9208.3333333333321</v>
      </c>
      <c r="AA236" s="10">
        <f t="shared" si="280"/>
        <v>9208.3333333333321</v>
      </c>
      <c r="AB236" s="10">
        <f t="shared" si="280"/>
        <v>9208.3333333333321</v>
      </c>
      <c r="AC236" s="10">
        <f t="shared" si="280"/>
        <v>9208.3333333333321</v>
      </c>
      <c r="AD236" s="10">
        <f t="shared" si="280"/>
        <v>9208.3333333333321</v>
      </c>
      <c r="AE236" s="10">
        <f t="shared" si="280"/>
        <v>9208.3333333333321</v>
      </c>
      <c r="AF236" s="10">
        <f t="shared" si="280"/>
        <v>9208.3333333333321</v>
      </c>
      <c r="AG236" s="33">
        <f t="shared" si="280"/>
        <v>13458.333333333332</v>
      </c>
    </row>
    <row r="237" spans="3:33" x14ac:dyDescent="0.2">
      <c r="C237" t="s">
        <v>127</v>
      </c>
      <c r="D237" t="s">
        <v>110</v>
      </c>
      <c r="E237" s="64">
        <f>_xlfn.XLOOKUP($C237,'Corporate Roster - ''24'!$C$6:$C$60,'Corporate Roster - ''24'!$E$6:$E$60)</f>
        <v>39385</v>
      </c>
      <c r="F237" s="64" t="str">
        <f>_xlfn.XLOOKUP($C237,'Corporate Roster - ''24'!$C$6:$C$60,'Corporate Roster - ''24'!$F$6:$F$60)</f>
        <v>-</v>
      </c>
      <c r="G237" s="32">
        <f t="shared" si="239"/>
        <v>114749.99999999996</v>
      </c>
      <c r="H237" s="33">
        <f t="shared" si="240"/>
        <v>114749.99999999996</v>
      </c>
      <c r="J237" s="32">
        <f t="shared" ref="J237:AG237" si="281">J48+J111+J174</f>
        <v>9208.3333333333321</v>
      </c>
      <c r="K237" s="10">
        <f t="shared" si="281"/>
        <v>9208.3333333333321</v>
      </c>
      <c r="L237" s="10">
        <f t="shared" si="281"/>
        <v>9208.3333333333321</v>
      </c>
      <c r="M237" s="10">
        <f t="shared" si="281"/>
        <v>9208.3333333333321</v>
      </c>
      <c r="N237" s="10">
        <f t="shared" si="281"/>
        <v>9208.3333333333321</v>
      </c>
      <c r="O237" s="10">
        <f t="shared" si="281"/>
        <v>9208.3333333333321</v>
      </c>
      <c r="P237" s="10">
        <f t="shared" si="281"/>
        <v>9208.3333333333321</v>
      </c>
      <c r="Q237" s="10">
        <f t="shared" si="281"/>
        <v>9208.3333333333321</v>
      </c>
      <c r="R237" s="10">
        <f t="shared" si="281"/>
        <v>9208.3333333333321</v>
      </c>
      <c r="S237" s="10">
        <f t="shared" si="281"/>
        <v>9208.3333333333321</v>
      </c>
      <c r="T237" s="10">
        <f t="shared" si="281"/>
        <v>9208.3333333333321</v>
      </c>
      <c r="U237" s="33">
        <f t="shared" si="281"/>
        <v>13458.333333333332</v>
      </c>
      <c r="V237" s="10">
        <f t="shared" si="281"/>
        <v>9208.3333333333321</v>
      </c>
      <c r="W237" s="10">
        <f t="shared" si="281"/>
        <v>9208.3333333333321</v>
      </c>
      <c r="X237" s="10">
        <f t="shared" si="281"/>
        <v>9208.3333333333321</v>
      </c>
      <c r="Y237" s="10">
        <f t="shared" si="281"/>
        <v>9208.3333333333321</v>
      </c>
      <c r="Z237" s="10">
        <f t="shared" si="281"/>
        <v>9208.3333333333321</v>
      </c>
      <c r="AA237" s="10">
        <f t="shared" si="281"/>
        <v>9208.3333333333321</v>
      </c>
      <c r="AB237" s="10">
        <f t="shared" si="281"/>
        <v>9208.3333333333321</v>
      </c>
      <c r="AC237" s="10">
        <f t="shared" si="281"/>
        <v>9208.3333333333321</v>
      </c>
      <c r="AD237" s="10">
        <f t="shared" si="281"/>
        <v>9208.3333333333321</v>
      </c>
      <c r="AE237" s="10">
        <f t="shared" si="281"/>
        <v>9208.3333333333321</v>
      </c>
      <c r="AF237" s="10">
        <f t="shared" si="281"/>
        <v>9208.3333333333321</v>
      </c>
      <c r="AG237" s="33">
        <f t="shared" si="281"/>
        <v>13458.333333333332</v>
      </c>
    </row>
    <row r="238" spans="3:33" x14ac:dyDescent="0.2">
      <c r="C238" t="s">
        <v>128</v>
      </c>
      <c r="D238" t="s">
        <v>90</v>
      </c>
      <c r="E238" s="64">
        <f>_xlfn.XLOOKUP($C238,'Corporate Roster - ''24'!$C$6:$C$60,'Corporate Roster - ''24'!$E$6:$E$60)</f>
        <v>39936</v>
      </c>
      <c r="F238" s="64" t="str">
        <f>_xlfn.XLOOKUP($C238,'Corporate Roster - ''24'!$C$6:$C$60,'Corporate Roster - ''24'!$F$6:$F$60)</f>
        <v>-</v>
      </c>
      <c r="G238" s="32">
        <f t="shared" si="239"/>
        <v>173000</v>
      </c>
      <c r="H238" s="33">
        <f t="shared" si="240"/>
        <v>182000</v>
      </c>
      <c r="J238" s="32">
        <f t="shared" ref="J238:AG238" si="282">J49+J112+J175</f>
        <v>13416.666666666668</v>
      </c>
      <c r="K238" s="10">
        <f t="shared" si="282"/>
        <v>13416.666666666668</v>
      </c>
      <c r="L238" s="10">
        <f t="shared" si="282"/>
        <v>13416.666666666668</v>
      </c>
      <c r="M238" s="10">
        <f t="shared" si="282"/>
        <v>13416.666666666668</v>
      </c>
      <c r="N238" s="10">
        <f t="shared" si="282"/>
        <v>13416.666666666668</v>
      </c>
      <c r="O238" s="10">
        <f t="shared" si="282"/>
        <v>13416.666666666668</v>
      </c>
      <c r="P238" s="10">
        <f t="shared" si="282"/>
        <v>13416.666666666668</v>
      </c>
      <c r="Q238" s="10">
        <f t="shared" si="282"/>
        <v>13416.666666666668</v>
      </c>
      <c r="R238" s="10">
        <f t="shared" si="282"/>
        <v>13416.666666666668</v>
      </c>
      <c r="S238" s="10">
        <f t="shared" si="282"/>
        <v>13416.666666666668</v>
      </c>
      <c r="T238" s="10">
        <f t="shared" si="282"/>
        <v>13416.666666666668</v>
      </c>
      <c r="U238" s="33">
        <f t="shared" si="282"/>
        <v>25416.666666666668</v>
      </c>
      <c r="V238" s="10">
        <f t="shared" si="282"/>
        <v>14083.333333333334</v>
      </c>
      <c r="W238" s="10">
        <f t="shared" si="282"/>
        <v>14083.333333333334</v>
      </c>
      <c r="X238" s="10">
        <f t="shared" si="282"/>
        <v>14083.333333333334</v>
      </c>
      <c r="Y238" s="10">
        <f t="shared" si="282"/>
        <v>14083.333333333334</v>
      </c>
      <c r="Z238" s="10">
        <f t="shared" si="282"/>
        <v>14083.333333333334</v>
      </c>
      <c r="AA238" s="10">
        <f t="shared" si="282"/>
        <v>14083.333333333334</v>
      </c>
      <c r="AB238" s="10">
        <f t="shared" si="282"/>
        <v>14083.333333333334</v>
      </c>
      <c r="AC238" s="10">
        <f t="shared" si="282"/>
        <v>14083.333333333334</v>
      </c>
      <c r="AD238" s="10">
        <f t="shared" si="282"/>
        <v>14083.333333333334</v>
      </c>
      <c r="AE238" s="10">
        <f t="shared" si="282"/>
        <v>14083.333333333334</v>
      </c>
      <c r="AF238" s="10">
        <f t="shared" si="282"/>
        <v>14083.333333333334</v>
      </c>
      <c r="AG238" s="33">
        <f t="shared" si="282"/>
        <v>27083.333333333336</v>
      </c>
    </row>
    <row r="239" spans="3:33" x14ac:dyDescent="0.2">
      <c r="C239" t="s">
        <v>129</v>
      </c>
      <c r="D239" t="s">
        <v>99</v>
      </c>
      <c r="E239" s="64">
        <f>_xlfn.XLOOKUP($C239,'Corporate Roster - ''24'!$C$6:$C$60,'Corporate Roster - ''24'!$E$6:$E$60)</f>
        <v>43887</v>
      </c>
      <c r="F239" s="64" t="str">
        <f>_xlfn.XLOOKUP($C239,'Corporate Roster - ''24'!$C$6:$C$60,'Corporate Roster - ''24'!$F$6:$F$60)</f>
        <v>-</v>
      </c>
      <c r="G239" s="32">
        <f t="shared" si="239"/>
        <v>108000.00000000004</v>
      </c>
      <c r="H239" s="33">
        <f t="shared" si="240"/>
        <v>108000.00000000004</v>
      </c>
      <c r="J239" s="32">
        <f t="shared" ref="J239:AG239" si="283">J50+J113+J176</f>
        <v>8666.6666666666679</v>
      </c>
      <c r="K239" s="10">
        <f t="shared" si="283"/>
        <v>8666.6666666666679</v>
      </c>
      <c r="L239" s="10">
        <f t="shared" si="283"/>
        <v>8666.6666666666679</v>
      </c>
      <c r="M239" s="10">
        <f t="shared" si="283"/>
        <v>8666.6666666666679</v>
      </c>
      <c r="N239" s="10">
        <f t="shared" si="283"/>
        <v>8666.6666666666679</v>
      </c>
      <c r="O239" s="10">
        <f t="shared" si="283"/>
        <v>8666.6666666666679</v>
      </c>
      <c r="P239" s="10">
        <f t="shared" si="283"/>
        <v>8666.6666666666679</v>
      </c>
      <c r="Q239" s="10">
        <f t="shared" si="283"/>
        <v>8666.6666666666679</v>
      </c>
      <c r="R239" s="10">
        <f t="shared" si="283"/>
        <v>8666.6666666666679</v>
      </c>
      <c r="S239" s="10">
        <f t="shared" si="283"/>
        <v>8666.6666666666679</v>
      </c>
      <c r="T239" s="10">
        <f t="shared" si="283"/>
        <v>8666.6666666666679</v>
      </c>
      <c r="U239" s="33">
        <f t="shared" si="283"/>
        <v>12666.666666666668</v>
      </c>
      <c r="V239" s="10">
        <f t="shared" si="283"/>
        <v>8666.6666666666679</v>
      </c>
      <c r="W239" s="10">
        <f t="shared" si="283"/>
        <v>8666.6666666666679</v>
      </c>
      <c r="X239" s="10">
        <f t="shared" si="283"/>
        <v>8666.6666666666679</v>
      </c>
      <c r="Y239" s="10">
        <f t="shared" si="283"/>
        <v>8666.6666666666679</v>
      </c>
      <c r="Z239" s="10">
        <f t="shared" si="283"/>
        <v>8666.6666666666679</v>
      </c>
      <c r="AA239" s="10">
        <f t="shared" si="283"/>
        <v>8666.6666666666679</v>
      </c>
      <c r="AB239" s="10">
        <f t="shared" si="283"/>
        <v>8666.6666666666679</v>
      </c>
      <c r="AC239" s="10">
        <f t="shared" si="283"/>
        <v>8666.6666666666679</v>
      </c>
      <c r="AD239" s="10">
        <f t="shared" si="283"/>
        <v>8666.6666666666679</v>
      </c>
      <c r="AE239" s="10">
        <f t="shared" si="283"/>
        <v>8666.6666666666679</v>
      </c>
      <c r="AF239" s="10">
        <f t="shared" si="283"/>
        <v>8666.6666666666679</v>
      </c>
      <c r="AG239" s="33">
        <f t="shared" si="283"/>
        <v>12666.666666666668</v>
      </c>
    </row>
    <row r="240" spans="3:33" x14ac:dyDescent="0.2">
      <c r="C240" t="s">
        <v>122</v>
      </c>
      <c r="D240" t="s">
        <v>99</v>
      </c>
      <c r="E240" s="64">
        <f>_xlfn.XLOOKUP($C240,'Corporate Roster - ''24'!$C$6:$C$60,'Corporate Roster - ''24'!$E$6:$E$60)</f>
        <v>44041</v>
      </c>
      <c r="F240" s="64" t="str">
        <f>_xlfn.XLOOKUP($C240,'Corporate Roster - ''24'!$C$6:$C$60,'Corporate Roster - ''24'!$F$6:$F$60)</f>
        <v>-</v>
      </c>
      <c r="G240" s="32">
        <f t="shared" si="239"/>
        <v>108000.00000000004</v>
      </c>
      <c r="H240" s="33">
        <f t="shared" si="240"/>
        <v>108000.00000000004</v>
      </c>
      <c r="J240" s="32">
        <f t="shared" ref="J240:AF240" si="284">J51+J114+J177</f>
        <v>8666.6666666666679</v>
      </c>
      <c r="K240" s="10">
        <f t="shared" si="284"/>
        <v>8666.6666666666679</v>
      </c>
      <c r="L240" s="10">
        <f t="shared" si="284"/>
        <v>8666.6666666666679</v>
      </c>
      <c r="M240" s="10">
        <f t="shared" si="284"/>
        <v>8666.6666666666679</v>
      </c>
      <c r="N240" s="10">
        <f t="shared" si="284"/>
        <v>8666.6666666666679</v>
      </c>
      <c r="O240" s="10">
        <f t="shared" si="284"/>
        <v>8666.6666666666679</v>
      </c>
      <c r="P240" s="10">
        <f t="shared" si="284"/>
        <v>8666.6666666666679</v>
      </c>
      <c r="Q240" s="10">
        <f t="shared" si="284"/>
        <v>8666.6666666666679</v>
      </c>
      <c r="R240" s="10">
        <f t="shared" si="284"/>
        <v>8666.6666666666679</v>
      </c>
      <c r="S240" s="10">
        <f t="shared" si="284"/>
        <v>8666.6666666666679</v>
      </c>
      <c r="T240" s="10">
        <f t="shared" si="284"/>
        <v>8666.6666666666679</v>
      </c>
      <c r="U240" s="33">
        <f t="shared" si="284"/>
        <v>12666.666666666668</v>
      </c>
      <c r="V240" s="10">
        <f t="shared" si="284"/>
        <v>8666.6666666666679</v>
      </c>
      <c r="W240" s="10">
        <f t="shared" si="284"/>
        <v>8666.6666666666679</v>
      </c>
      <c r="X240" s="10">
        <f t="shared" si="284"/>
        <v>8666.6666666666679</v>
      </c>
      <c r="Y240" s="10">
        <f t="shared" si="284"/>
        <v>8666.6666666666679</v>
      </c>
      <c r="Z240" s="10">
        <f t="shared" si="284"/>
        <v>8666.6666666666679</v>
      </c>
      <c r="AA240" s="10">
        <f t="shared" si="284"/>
        <v>8666.6666666666679</v>
      </c>
      <c r="AB240" s="10">
        <f t="shared" si="284"/>
        <v>8666.6666666666679</v>
      </c>
      <c r="AC240" s="10">
        <f t="shared" si="284"/>
        <v>8666.6666666666679</v>
      </c>
      <c r="AD240" s="10">
        <f t="shared" si="284"/>
        <v>8666.6666666666679</v>
      </c>
      <c r="AE240" s="10">
        <f t="shared" si="284"/>
        <v>8666.6666666666679</v>
      </c>
      <c r="AF240" s="10">
        <f t="shared" si="284"/>
        <v>8666.6666666666679</v>
      </c>
      <c r="AG240" s="33">
        <f>AG51+AG114+AG177</f>
        <v>12666.666666666668</v>
      </c>
    </row>
    <row r="241" spans="2:34" x14ac:dyDescent="0.2">
      <c r="C241" t="s">
        <v>130</v>
      </c>
      <c r="D241" t="s">
        <v>74</v>
      </c>
      <c r="E241" s="64">
        <f>_xlfn.XLOOKUP($C241,'Corporate Roster - ''24'!$C$6:$C$60,'Corporate Roster - ''24'!$E$6:$E$60)</f>
        <v>38591</v>
      </c>
      <c r="F241" s="64">
        <f>_xlfn.XLOOKUP($C241,'Corporate Roster - ''24'!$C$6:$C$60,'Corporate Roster - ''24'!$F$6:$F$60)</f>
        <v>45101</v>
      </c>
      <c r="G241" s="32">
        <f t="shared" si="239"/>
        <v>138333.33333333334</v>
      </c>
      <c r="H241" s="33">
        <f t="shared" si="240"/>
        <v>0</v>
      </c>
      <c r="J241" s="32">
        <f t="shared" ref="J241:AG241" si="285">J52+J115+J178</f>
        <v>21666.666666666668</v>
      </c>
      <c r="K241" s="10">
        <f t="shared" si="285"/>
        <v>21666.666666666668</v>
      </c>
      <c r="L241" s="10">
        <f t="shared" si="285"/>
        <v>21666.666666666668</v>
      </c>
      <c r="M241" s="10">
        <f t="shared" si="285"/>
        <v>21666.666666666668</v>
      </c>
      <c r="N241" s="10">
        <f t="shared" si="285"/>
        <v>21666.666666666668</v>
      </c>
      <c r="O241" s="10">
        <f t="shared" si="285"/>
        <v>30000</v>
      </c>
      <c r="P241" s="10">
        <f t="shared" si="285"/>
        <v>0</v>
      </c>
      <c r="Q241" s="10">
        <f t="shared" si="285"/>
        <v>0</v>
      </c>
      <c r="R241" s="10">
        <f t="shared" si="285"/>
        <v>0</v>
      </c>
      <c r="S241" s="10">
        <f t="shared" si="285"/>
        <v>0</v>
      </c>
      <c r="T241" s="10">
        <f t="shared" si="285"/>
        <v>0</v>
      </c>
      <c r="U241" s="33">
        <f t="shared" si="285"/>
        <v>0</v>
      </c>
      <c r="V241" s="10">
        <f t="shared" si="285"/>
        <v>0</v>
      </c>
      <c r="W241" s="10">
        <f t="shared" si="285"/>
        <v>0</v>
      </c>
      <c r="X241" s="10">
        <f t="shared" si="285"/>
        <v>0</v>
      </c>
      <c r="Y241" s="10">
        <f t="shared" si="285"/>
        <v>0</v>
      </c>
      <c r="Z241" s="10">
        <f t="shared" si="285"/>
        <v>0</v>
      </c>
      <c r="AA241" s="10">
        <f t="shared" si="285"/>
        <v>0</v>
      </c>
      <c r="AB241" s="10">
        <f t="shared" si="285"/>
        <v>0</v>
      </c>
      <c r="AC241" s="10">
        <f t="shared" si="285"/>
        <v>0</v>
      </c>
      <c r="AD241" s="10">
        <f t="shared" si="285"/>
        <v>0</v>
      </c>
      <c r="AE241" s="10">
        <f t="shared" si="285"/>
        <v>0</v>
      </c>
      <c r="AF241" s="10">
        <f t="shared" si="285"/>
        <v>0</v>
      </c>
      <c r="AG241" s="33">
        <f t="shared" si="285"/>
        <v>0</v>
      </c>
    </row>
    <row r="242" spans="2:34" x14ac:dyDescent="0.2">
      <c r="C242" t="s">
        <v>132</v>
      </c>
      <c r="D242" t="s">
        <v>90</v>
      </c>
      <c r="E242" s="64">
        <f>_xlfn.XLOOKUP($C242,'Corporate Roster - ''24'!$C$6:$C$60,'Corporate Roster - ''24'!$E$6:$E$60)</f>
        <v>43026</v>
      </c>
      <c r="F242" s="64">
        <f>_xlfn.XLOOKUP($C242,'Corporate Roster - ''24'!$C$6:$C$60,'Corporate Roster - ''24'!$F$6:$F$60)</f>
        <v>45110</v>
      </c>
      <c r="G242" s="32">
        <f t="shared" si="239"/>
        <v>84500</v>
      </c>
      <c r="H242" s="33">
        <f t="shared" si="240"/>
        <v>0</v>
      </c>
      <c r="J242" s="32">
        <f t="shared" ref="J242:AG242" si="286">J53+J116+J179</f>
        <v>14083.333333333334</v>
      </c>
      <c r="K242" s="10">
        <f t="shared" si="286"/>
        <v>14083.333333333334</v>
      </c>
      <c r="L242" s="10">
        <f t="shared" si="286"/>
        <v>14083.333333333334</v>
      </c>
      <c r="M242" s="10">
        <f t="shared" si="286"/>
        <v>14083.333333333334</v>
      </c>
      <c r="N242" s="10">
        <f t="shared" si="286"/>
        <v>14083.333333333334</v>
      </c>
      <c r="O242" s="10">
        <f t="shared" si="286"/>
        <v>14083.333333333334</v>
      </c>
      <c r="P242" s="10">
        <f t="shared" si="286"/>
        <v>0</v>
      </c>
      <c r="Q242" s="10">
        <f t="shared" si="286"/>
        <v>0</v>
      </c>
      <c r="R242" s="10">
        <f t="shared" si="286"/>
        <v>0</v>
      </c>
      <c r="S242" s="10">
        <f t="shared" si="286"/>
        <v>0</v>
      </c>
      <c r="T242" s="10">
        <f t="shared" si="286"/>
        <v>0</v>
      </c>
      <c r="U242" s="33">
        <f t="shared" si="286"/>
        <v>0</v>
      </c>
      <c r="V242" s="10">
        <f t="shared" si="286"/>
        <v>0</v>
      </c>
      <c r="W242" s="10">
        <f t="shared" si="286"/>
        <v>0</v>
      </c>
      <c r="X242" s="10">
        <f t="shared" si="286"/>
        <v>0</v>
      </c>
      <c r="Y242" s="10">
        <f t="shared" si="286"/>
        <v>0</v>
      </c>
      <c r="Z242" s="10">
        <f t="shared" si="286"/>
        <v>0</v>
      </c>
      <c r="AA242" s="10">
        <f t="shared" si="286"/>
        <v>0</v>
      </c>
      <c r="AB242" s="10">
        <f t="shared" si="286"/>
        <v>0</v>
      </c>
      <c r="AC242" s="10">
        <f t="shared" si="286"/>
        <v>0</v>
      </c>
      <c r="AD242" s="10">
        <f t="shared" si="286"/>
        <v>0</v>
      </c>
      <c r="AE242" s="10">
        <f t="shared" si="286"/>
        <v>0</v>
      </c>
      <c r="AF242" s="10">
        <f t="shared" si="286"/>
        <v>0</v>
      </c>
      <c r="AG242" s="33">
        <f t="shared" si="286"/>
        <v>0</v>
      </c>
    </row>
    <row r="243" spans="2:34" x14ac:dyDescent="0.2">
      <c r="C243" t="s">
        <v>131</v>
      </c>
      <c r="D243" t="s">
        <v>103</v>
      </c>
      <c r="E243" s="64">
        <f>_xlfn.XLOOKUP($C243,'Corporate Roster - ''24'!$C$6:$C$60,'Corporate Roster - ''24'!$E$6:$E$60)</f>
        <v>42388</v>
      </c>
      <c r="F243" s="64">
        <f>_xlfn.XLOOKUP($C243,'Corporate Roster - ''24'!$C$6:$C$60,'Corporate Roster - ''24'!$F$6:$F$60)</f>
        <v>45231</v>
      </c>
      <c r="G243" s="32">
        <f t="shared" si="239"/>
        <v>87500</v>
      </c>
      <c r="H243" s="33">
        <f t="shared" si="240"/>
        <v>0</v>
      </c>
      <c r="J243" s="32">
        <f t="shared" ref="J243:AG243" si="287">J54+J117+J180</f>
        <v>8750</v>
      </c>
      <c r="K243" s="10">
        <f t="shared" si="287"/>
        <v>8750</v>
      </c>
      <c r="L243" s="10">
        <f t="shared" si="287"/>
        <v>8750</v>
      </c>
      <c r="M243" s="10">
        <f t="shared" si="287"/>
        <v>8750</v>
      </c>
      <c r="N243" s="10">
        <f t="shared" si="287"/>
        <v>8750</v>
      </c>
      <c r="O243" s="10">
        <f t="shared" si="287"/>
        <v>8750</v>
      </c>
      <c r="P243" s="10">
        <f t="shared" si="287"/>
        <v>8750</v>
      </c>
      <c r="Q243" s="10">
        <f t="shared" si="287"/>
        <v>8750</v>
      </c>
      <c r="R243" s="10">
        <f t="shared" si="287"/>
        <v>8750</v>
      </c>
      <c r="S243" s="10">
        <f t="shared" si="287"/>
        <v>8750</v>
      </c>
      <c r="T243" s="10">
        <f t="shared" si="287"/>
        <v>0</v>
      </c>
      <c r="U243" s="33">
        <f t="shared" si="287"/>
        <v>0</v>
      </c>
      <c r="V243" s="10">
        <f t="shared" si="287"/>
        <v>0</v>
      </c>
      <c r="W243" s="10">
        <f t="shared" si="287"/>
        <v>0</v>
      </c>
      <c r="X243" s="10">
        <f t="shared" si="287"/>
        <v>0</v>
      </c>
      <c r="Y243" s="10">
        <f t="shared" si="287"/>
        <v>0</v>
      </c>
      <c r="Z243" s="10">
        <f t="shared" si="287"/>
        <v>0</v>
      </c>
      <c r="AA243" s="10">
        <f t="shared" si="287"/>
        <v>0</v>
      </c>
      <c r="AB243" s="10">
        <f t="shared" si="287"/>
        <v>0</v>
      </c>
      <c r="AC243" s="10">
        <f t="shared" si="287"/>
        <v>0</v>
      </c>
      <c r="AD243" s="10">
        <f t="shared" si="287"/>
        <v>0</v>
      </c>
      <c r="AE243" s="10">
        <f t="shared" si="287"/>
        <v>0</v>
      </c>
      <c r="AF243" s="10">
        <f t="shared" si="287"/>
        <v>0</v>
      </c>
      <c r="AG243" s="33">
        <f t="shared" si="287"/>
        <v>0</v>
      </c>
    </row>
    <row r="244" spans="2:34" x14ac:dyDescent="0.2">
      <c r="C244" t="s">
        <v>133</v>
      </c>
      <c r="D244" t="s">
        <v>93</v>
      </c>
      <c r="E244" s="64">
        <f>_xlfn.XLOOKUP($C244,'Corporate Roster - ''24'!$C$6:$C$60,'Corporate Roster - ''24'!$E$6:$E$60)</f>
        <v>38928</v>
      </c>
      <c r="F244" s="64">
        <f>_xlfn.XLOOKUP($C244,'Corporate Roster - ''24'!$C$6:$C$60,'Corporate Roster - ''24'!$F$6:$F$60)</f>
        <v>45398</v>
      </c>
      <c r="G244" s="32">
        <f t="shared" si="239"/>
        <v>168000</v>
      </c>
      <c r="H244" s="33">
        <f t="shared" si="240"/>
        <v>39000</v>
      </c>
      <c r="J244" s="32">
        <f t="shared" ref="J244:AG244" si="288">J55+J118+J181</f>
        <v>13000</v>
      </c>
      <c r="K244" s="10">
        <f t="shared" si="288"/>
        <v>13000</v>
      </c>
      <c r="L244" s="10">
        <f t="shared" si="288"/>
        <v>13000</v>
      </c>
      <c r="M244" s="10">
        <f t="shared" si="288"/>
        <v>13000</v>
      </c>
      <c r="N244" s="10">
        <f t="shared" si="288"/>
        <v>13000</v>
      </c>
      <c r="O244" s="10">
        <f t="shared" si="288"/>
        <v>13000</v>
      </c>
      <c r="P244" s="10">
        <f t="shared" si="288"/>
        <v>13000</v>
      </c>
      <c r="Q244" s="10">
        <f t="shared" si="288"/>
        <v>13000</v>
      </c>
      <c r="R244" s="10">
        <f t="shared" si="288"/>
        <v>13000</v>
      </c>
      <c r="S244" s="10">
        <f t="shared" si="288"/>
        <v>13000</v>
      </c>
      <c r="T244" s="10">
        <f t="shared" si="288"/>
        <v>13000</v>
      </c>
      <c r="U244" s="33">
        <f t="shared" si="288"/>
        <v>25000</v>
      </c>
      <c r="V244" s="10">
        <f t="shared" si="288"/>
        <v>13000</v>
      </c>
      <c r="W244" s="10">
        <f t="shared" si="288"/>
        <v>13000</v>
      </c>
      <c r="X244" s="10">
        <f t="shared" si="288"/>
        <v>13000</v>
      </c>
      <c r="Y244" s="10">
        <f t="shared" si="288"/>
        <v>0</v>
      </c>
      <c r="Z244" s="10">
        <f t="shared" si="288"/>
        <v>0</v>
      </c>
      <c r="AA244" s="10">
        <f t="shared" si="288"/>
        <v>0</v>
      </c>
      <c r="AB244" s="10">
        <f t="shared" si="288"/>
        <v>0</v>
      </c>
      <c r="AC244" s="10">
        <f t="shared" si="288"/>
        <v>0</v>
      </c>
      <c r="AD244" s="10">
        <f t="shared" si="288"/>
        <v>0</v>
      </c>
      <c r="AE244" s="10">
        <f t="shared" si="288"/>
        <v>0</v>
      </c>
      <c r="AF244" s="10">
        <f t="shared" si="288"/>
        <v>0</v>
      </c>
      <c r="AG244" s="33">
        <f t="shared" si="288"/>
        <v>0</v>
      </c>
    </row>
    <row r="245" spans="2:34" x14ac:dyDescent="0.2">
      <c r="C245" t="s">
        <v>114</v>
      </c>
      <c r="D245" t="s">
        <v>86</v>
      </c>
      <c r="E245" s="64">
        <f>_xlfn.XLOOKUP($C245,'Corporate Roster - ''24'!$C$6:$C$60,'Corporate Roster - ''24'!$E$6:$E$60)</f>
        <v>43340</v>
      </c>
      <c r="F245" s="64">
        <f>_xlfn.XLOOKUP($C245,'Corporate Roster - ''24'!$C$6:$C$60,'Corporate Roster - ''24'!$F$6:$F$60)</f>
        <v>45437</v>
      </c>
      <c r="G245" s="32">
        <f t="shared" si="239"/>
        <v>168000</v>
      </c>
      <c r="H245" s="33">
        <f t="shared" si="240"/>
        <v>52000</v>
      </c>
      <c r="J245" s="32">
        <f t="shared" ref="J245:AG245" si="289">J56+J119+J182</f>
        <v>13000</v>
      </c>
      <c r="K245" s="10">
        <f t="shared" si="289"/>
        <v>13000</v>
      </c>
      <c r="L245" s="10">
        <f t="shared" si="289"/>
        <v>13000</v>
      </c>
      <c r="M245" s="10">
        <f t="shared" si="289"/>
        <v>13000</v>
      </c>
      <c r="N245" s="10">
        <f t="shared" si="289"/>
        <v>13000</v>
      </c>
      <c r="O245" s="10">
        <f t="shared" si="289"/>
        <v>13000</v>
      </c>
      <c r="P245" s="10">
        <f t="shared" si="289"/>
        <v>13000</v>
      </c>
      <c r="Q245" s="10">
        <f t="shared" si="289"/>
        <v>13000</v>
      </c>
      <c r="R245" s="10">
        <f t="shared" si="289"/>
        <v>13000</v>
      </c>
      <c r="S245" s="10">
        <f t="shared" si="289"/>
        <v>13000</v>
      </c>
      <c r="T245" s="10">
        <f t="shared" si="289"/>
        <v>13000</v>
      </c>
      <c r="U245" s="33">
        <f t="shared" si="289"/>
        <v>25000</v>
      </c>
      <c r="V245" s="10">
        <f t="shared" si="289"/>
        <v>13000</v>
      </c>
      <c r="W245" s="10">
        <f t="shared" si="289"/>
        <v>13000</v>
      </c>
      <c r="X245" s="10">
        <f t="shared" si="289"/>
        <v>13000</v>
      </c>
      <c r="Y245" s="10">
        <f t="shared" si="289"/>
        <v>13000</v>
      </c>
      <c r="Z245" s="10">
        <f t="shared" si="289"/>
        <v>0</v>
      </c>
      <c r="AA245" s="10">
        <f t="shared" si="289"/>
        <v>0</v>
      </c>
      <c r="AB245" s="10">
        <f t="shared" si="289"/>
        <v>0</v>
      </c>
      <c r="AC245" s="10">
        <f t="shared" si="289"/>
        <v>0</v>
      </c>
      <c r="AD245" s="10">
        <f t="shared" si="289"/>
        <v>0</v>
      </c>
      <c r="AE245" s="10">
        <f t="shared" si="289"/>
        <v>0</v>
      </c>
      <c r="AF245" s="10">
        <f t="shared" si="289"/>
        <v>0</v>
      </c>
      <c r="AG245" s="33">
        <f t="shared" si="289"/>
        <v>0</v>
      </c>
    </row>
    <row r="246" spans="2:34" x14ac:dyDescent="0.2">
      <c r="C246" t="s">
        <v>135</v>
      </c>
      <c r="D246" t="s">
        <v>82</v>
      </c>
      <c r="E246" s="64">
        <f>_xlfn.XLOOKUP($C246,'Corporate Roster - ''24'!$C$6:$C$60,'Corporate Roster - ''24'!$E$6:$E$60)</f>
        <v>44954</v>
      </c>
      <c r="F246" s="64">
        <f>_xlfn.XLOOKUP($C246,'Corporate Roster - ''24'!$C$6:$C$60,'Corporate Roster - ''24'!$F$6:$F$60)</f>
        <v>45489</v>
      </c>
      <c r="G246" s="32">
        <f t="shared" si="239"/>
        <v>237600.00000000009</v>
      </c>
      <c r="H246" s="33">
        <f t="shared" si="240"/>
        <v>120000.00000000003</v>
      </c>
      <c r="J246" s="32">
        <f t="shared" ref="J246:AG246" si="290">J57+J120+J183</f>
        <v>17333.333333333336</v>
      </c>
      <c r="K246" s="10">
        <f t="shared" si="290"/>
        <v>17333.333333333336</v>
      </c>
      <c r="L246" s="10">
        <f t="shared" si="290"/>
        <v>17333.333333333336</v>
      </c>
      <c r="M246" s="10">
        <f t="shared" si="290"/>
        <v>17333.333333333336</v>
      </c>
      <c r="N246" s="10">
        <f t="shared" si="290"/>
        <v>17333.333333333336</v>
      </c>
      <c r="O246" s="10">
        <f t="shared" si="290"/>
        <v>17333.333333333336</v>
      </c>
      <c r="P246" s="10">
        <f t="shared" si="290"/>
        <v>17333.333333333336</v>
      </c>
      <c r="Q246" s="10">
        <f t="shared" si="290"/>
        <v>17333.333333333336</v>
      </c>
      <c r="R246" s="10">
        <f t="shared" si="290"/>
        <v>17333.333333333336</v>
      </c>
      <c r="S246" s="10">
        <f t="shared" si="290"/>
        <v>17333.333333333336</v>
      </c>
      <c r="T246" s="10">
        <f t="shared" si="290"/>
        <v>17333.333333333336</v>
      </c>
      <c r="U246" s="33">
        <f t="shared" si="290"/>
        <v>46933.333333333336</v>
      </c>
      <c r="V246" s="10">
        <f t="shared" si="290"/>
        <v>17333.333333333336</v>
      </c>
      <c r="W246" s="10">
        <f t="shared" si="290"/>
        <v>17333.333333333336</v>
      </c>
      <c r="X246" s="10">
        <f t="shared" si="290"/>
        <v>17333.333333333336</v>
      </c>
      <c r="Y246" s="10">
        <f t="shared" si="290"/>
        <v>17333.333333333336</v>
      </c>
      <c r="Z246" s="10">
        <f t="shared" si="290"/>
        <v>17333.333333333336</v>
      </c>
      <c r="AA246" s="10">
        <f t="shared" si="290"/>
        <v>17333.333333333336</v>
      </c>
      <c r="AB246" s="10">
        <f t="shared" si="290"/>
        <v>16000</v>
      </c>
      <c r="AC246" s="10">
        <f t="shared" si="290"/>
        <v>0</v>
      </c>
      <c r="AD246" s="10">
        <f t="shared" si="290"/>
        <v>0</v>
      </c>
      <c r="AE246" s="10">
        <f t="shared" si="290"/>
        <v>0</v>
      </c>
      <c r="AF246" s="10">
        <f t="shared" si="290"/>
        <v>0</v>
      </c>
      <c r="AG246" s="33">
        <f t="shared" si="290"/>
        <v>0</v>
      </c>
    </row>
    <row r="247" spans="2:34" x14ac:dyDescent="0.2">
      <c r="C247" t="s">
        <v>113</v>
      </c>
      <c r="D247" t="s">
        <v>88</v>
      </c>
      <c r="E247" s="64">
        <f>_xlfn.XLOOKUP($C247,'Corporate Roster - ''24'!$C$6:$C$60,'Corporate Roster - ''24'!$E$6:$E$60)</f>
        <v>43244</v>
      </c>
      <c r="F247" s="64">
        <f>_xlfn.XLOOKUP($C247,'Corporate Roster - ''24'!$C$6:$C$60,'Corporate Roster - ''24'!$F$6:$F$60)</f>
        <v>45499</v>
      </c>
      <c r="G247" s="32">
        <f t="shared" si="239"/>
        <v>173000</v>
      </c>
      <c r="H247" s="33">
        <f t="shared" si="240"/>
        <v>84500</v>
      </c>
      <c r="J247" s="32">
        <f t="shared" ref="J247:AG247" si="291">J58+J121+J184</f>
        <v>13416.666666666668</v>
      </c>
      <c r="K247" s="10">
        <f t="shared" si="291"/>
        <v>13416.666666666668</v>
      </c>
      <c r="L247" s="10">
        <f t="shared" si="291"/>
        <v>13416.666666666668</v>
      </c>
      <c r="M247" s="10">
        <f t="shared" si="291"/>
        <v>13416.666666666668</v>
      </c>
      <c r="N247" s="10">
        <f t="shared" si="291"/>
        <v>13416.666666666668</v>
      </c>
      <c r="O247" s="10">
        <f t="shared" si="291"/>
        <v>13416.666666666668</v>
      </c>
      <c r="P247" s="10">
        <f t="shared" si="291"/>
        <v>13416.666666666668</v>
      </c>
      <c r="Q247" s="10">
        <f t="shared" si="291"/>
        <v>13416.666666666668</v>
      </c>
      <c r="R247" s="10">
        <f t="shared" si="291"/>
        <v>13416.666666666668</v>
      </c>
      <c r="S247" s="10">
        <f t="shared" si="291"/>
        <v>13416.666666666668</v>
      </c>
      <c r="T247" s="10">
        <f t="shared" si="291"/>
        <v>13416.666666666668</v>
      </c>
      <c r="U247" s="33">
        <f t="shared" si="291"/>
        <v>25416.666666666668</v>
      </c>
      <c r="V247" s="10">
        <f t="shared" si="291"/>
        <v>14083.333333333334</v>
      </c>
      <c r="W247" s="10">
        <f t="shared" si="291"/>
        <v>14083.333333333334</v>
      </c>
      <c r="X247" s="10">
        <f t="shared" si="291"/>
        <v>14083.333333333334</v>
      </c>
      <c r="Y247" s="10">
        <f t="shared" si="291"/>
        <v>14083.333333333334</v>
      </c>
      <c r="Z247" s="10">
        <f t="shared" si="291"/>
        <v>14083.333333333334</v>
      </c>
      <c r="AA247" s="10">
        <f t="shared" si="291"/>
        <v>14083.333333333334</v>
      </c>
      <c r="AB247" s="10">
        <f t="shared" si="291"/>
        <v>0</v>
      </c>
      <c r="AC247" s="10">
        <f t="shared" si="291"/>
        <v>0</v>
      </c>
      <c r="AD247" s="10">
        <f t="shared" si="291"/>
        <v>0</v>
      </c>
      <c r="AE247" s="10">
        <f t="shared" si="291"/>
        <v>0</v>
      </c>
      <c r="AF247" s="10">
        <f t="shared" si="291"/>
        <v>0</v>
      </c>
      <c r="AG247" s="33">
        <f t="shared" si="291"/>
        <v>0</v>
      </c>
    </row>
    <row r="248" spans="2:34" x14ac:dyDescent="0.2">
      <c r="C248" t="s">
        <v>75</v>
      </c>
      <c r="D248" t="s">
        <v>90</v>
      </c>
      <c r="E248" s="64">
        <f>_xlfn.XLOOKUP($C248,'Corporate Roster - ''24'!$C$6:$C$60,'Corporate Roster - ''24'!$E$6:$E$60)</f>
        <v>42099</v>
      </c>
      <c r="F248" s="64">
        <f>_xlfn.XLOOKUP($C248,'Corporate Roster - ''24'!$C$6:$C$60,'Corporate Roster - ''24'!$F$6:$F$60)</f>
        <v>45554</v>
      </c>
      <c r="G248" s="32">
        <f t="shared" si="239"/>
        <v>173000</v>
      </c>
      <c r="H248" s="33">
        <f t="shared" si="240"/>
        <v>112666.66666666666</v>
      </c>
      <c r="J248" s="32">
        <f t="shared" ref="J248:AG248" si="292">J59+J122+J185</f>
        <v>13416.666666666668</v>
      </c>
      <c r="K248" s="10">
        <f t="shared" si="292"/>
        <v>13416.666666666668</v>
      </c>
      <c r="L248" s="10">
        <f t="shared" si="292"/>
        <v>13416.666666666668</v>
      </c>
      <c r="M248" s="10">
        <f t="shared" si="292"/>
        <v>13416.666666666668</v>
      </c>
      <c r="N248" s="10">
        <f t="shared" si="292"/>
        <v>13416.666666666668</v>
      </c>
      <c r="O248" s="10">
        <f t="shared" si="292"/>
        <v>13416.666666666668</v>
      </c>
      <c r="P248" s="10">
        <f t="shared" si="292"/>
        <v>13416.666666666668</v>
      </c>
      <c r="Q248" s="10">
        <f t="shared" si="292"/>
        <v>13416.666666666668</v>
      </c>
      <c r="R248" s="10">
        <f t="shared" si="292"/>
        <v>13416.666666666668</v>
      </c>
      <c r="S248" s="10">
        <f t="shared" si="292"/>
        <v>13416.666666666668</v>
      </c>
      <c r="T248" s="10">
        <f t="shared" si="292"/>
        <v>13416.666666666668</v>
      </c>
      <c r="U248" s="33">
        <f t="shared" si="292"/>
        <v>25416.666666666668</v>
      </c>
      <c r="V248" s="10">
        <f t="shared" si="292"/>
        <v>14083.333333333334</v>
      </c>
      <c r="W248" s="10">
        <f t="shared" si="292"/>
        <v>14083.333333333334</v>
      </c>
      <c r="X248" s="10">
        <f t="shared" si="292"/>
        <v>14083.333333333334</v>
      </c>
      <c r="Y248" s="10">
        <f t="shared" si="292"/>
        <v>14083.333333333334</v>
      </c>
      <c r="Z248" s="10">
        <f t="shared" si="292"/>
        <v>14083.333333333334</v>
      </c>
      <c r="AA248" s="10">
        <f t="shared" si="292"/>
        <v>14083.333333333334</v>
      </c>
      <c r="AB248" s="10">
        <f t="shared" si="292"/>
        <v>14083.333333333334</v>
      </c>
      <c r="AC248" s="10">
        <f t="shared" si="292"/>
        <v>14083.333333333334</v>
      </c>
      <c r="AD248" s="10">
        <f t="shared" si="292"/>
        <v>0</v>
      </c>
      <c r="AE248" s="10">
        <f t="shared" si="292"/>
        <v>0</v>
      </c>
      <c r="AF248" s="10">
        <f t="shared" si="292"/>
        <v>0</v>
      </c>
      <c r="AG248" s="33">
        <f t="shared" si="292"/>
        <v>0</v>
      </c>
    </row>
    <row r="249" spans="2:34" x14ac:dyDescent="0.2">
      <c r="C249" t="s">
        <v>134</v>
      </c>
      <c r="D249" t="s">
        <v>110</v>
      </c>
      <c r="E249" s="64">
        <f>_xlfn.XLOOKUP($C249,'Corporate Roster - ''24'!$C$6:$C$60,'Corporate Roster - ''24'!$E$6:$E$60)</f>
        <v>45193</v>
      </c>
      <c r="F249" s="64">
        <f>_xlfn.XLOOKUP($C249,'Corporate Roster - ''24'!$C$6:$C$60,'Corporate Roster - ''24'!$F$6:$F$60)</f>
        <v>45609</v>
      </c>
      <c r="G249" s="32">
        <f t="shared" si="239"/>
        <v>36077.777777777781</v>
      </c>
      <c r="H249" s="33">
        <f t="shared" si="240"/>
        <v>92083.333333333299</v>
      </c>
      <c r="J249" s="32">
        <f t="shared" ref="J249:AG249" si="293">J60+J123+J186</f>
        <v>0</v>
      </c>
      <c r="K249" s="10">
        <f t="shared" si="293"/>
        <v>0</v>
      </c>
      <c r="L249" s="10">
        <f t="shared" si="293"/>
        <v>0</v>
      </c>
      <c r="M249" s="10">
        <f t="shared" si="293"/>
        <v>0</v>
      </c>
      <c r="N249" s="10">
        <f t="shared" si="293"/>
        <v>0</v>
      </c>
      <c r="O249" s="10">
        <f t="shared" si="293"/>
        <v>0</v>
      </c>
      <c r="P249" s="10">
        <f t="shared" si="293"/>
        <v>0</v>
      </c>
      <c r="Q249" s="10">
        <f t="shared" si="293"/>
        <v>0</v>
      </c>
      <c r="R249" s="10">
        <f t="shared" si="293"/>
        <v>8750</v>
      </c>
      <c r="S249" s="10">
        <f t="shared" si="293"/>
        <v>8750</v>
      </c>
      <c r="T249" s="10">
        <f t="shared" si="293"/>
        <v>8750</v>
      </c>
      <c r="U249" s="33">
        <f t="shared" si="293"/>
        <v>9827.7777777777774</v>
      </c>
      <c r="V249" s="10">
        <f t="shared" si="293"/>
        <v>9208.3333333333321</v>
      </c>
      <c r="W249" s="10">
        <f t="shared" si="293"/>
        <v>9208.3333333333321</v>
      </c>
      <c r="X249" s="10">
        <f t="shared" si="293"/>
        <v>9208.3333333333321</v>
      </c>
      <c r="Y249" s="10">
        <f t="shared" si="293"/>
        <v>9208.3333333333321</v>
      </c>
      <c r="Z249" s="10">
        <f t="shared" si="293"/>
        <v>9208.3333333333321</v>
      </c>
      <c r="AA249" s="10">
        <f t="shared" si="293"/>
        <v>9208.3333333333321</v>
      </c>
      <c r="AB249" s="10">
        <f t="shared" si="293"/>
        <v>9208.3333333333321</v>
      </c>
      <c r="AC249" s="10">
        <f t="shared" si="293"/>
        <v>9208.3333333333321</v>
      </c>
      <c r="AD249" s="10">
        <f t="shared" si="293"/>
        <v>9208.3333333333321</v>
      </c>
      <c r="AE249" s="10">
        <f t="shared" si="293"/>
        <v>9208.3333333333321</v>
      </c>
      <c r="AF249" s="10">
        <f t="shared" si="293"/>
        <v>0</v>
      </c>
      <c r="AG249" s="33">
        <f t="shared" si="293"/>
        <v>0</v>
      </c>
    </row>
    <row r="250" spans="2:34" x14ac:dyDescent="0.2">
      <c r="C250" s="23" t="s">
        <v>152</v>
      </c>
      <c r="D250" s="23" t="s">
        <v>99</v>
      </c>
      <c r="E250" s="65">
        <f>_xlfn.XLOOKUP($C250,'Corporate Roster - ''24'!$C$6:$C$60,'Corporate Roster - ''24'!$E$6:$E$60)</f>
        <v>42869</v>
      </c>
      <c r="F250" s="78">
        <f>_xlfn.XLOOKUP($C250,'Corporate Roster - ''24'!$C$6:$C$60,'Corporate Roster - ''24'!$F$6:$F$60)</f>
        <v>45626</v>
      </c>
      <c r="G250" s="54">
        <f t="shared" si="239"/>
        <v>108000.00000000004</v>
      </c>
      <c r="H250" s="62">
        <f t="shared" si="240"/>
        <v>86666.666666666701</v>
      </c>
      <c r="J250" s="57">
        <f t="shared" ref="J250:AG250" si="294">J61+J124+J187</f>
        <v>8666.6666666666679</v>
      </c>
      <c r="K250" s="54">
        <f t="shared" si="294"/>
        <v>8666.6666666666679</v>
      </c>
      <c r="L250" s="54">
        <f t="shared" si="294"/>
        <v>8666.6666666666679</v>
      </c>
      <c r="M250" s="54">
        <f t="shared" si="294"/>
        <v>8666.6666666666679</v>
      </c>
      <c r="N250" s="54">
        <f t="shared" si="294"/>
        <v>8666.6666666666679</v>
      </c>
      <c r="O250" s="54">
        <f t="shared" si="294"/>
        <v>8666.6666666666679</v>
      </c>
      <c r="P250" s="54">
        <f t="shared" si="294"/>
        <v>8666.6666666666679</v>
      </c>
      <c r="Q250" s="54">
        <f t="shared" si="294"/>
        <v>8666.6666666666679</v>
      </c>
      <c r="R250" s="54">
        <f t="shared" si="294"/>
        <v>8666.6666666666679</v>
      </c>
      <c r="S250" s="54">
        <f t="shared" si="294"/>
        <v>8666.6666666666679</v>
      </c>
      <c r="T250" s="54">
        <f t="shared" si="294"/>
        <v>8666.6666666666679</v>
      </c>
      <c r="U250" s="62">
        <f t="shared" si="294"/>
        <v>12666.666666666668</v>
      </c>
      <c r="V250" s="54">
        <f t="shared" si="294"/>
        <v>8666.6666666666679</v>
      </c>
      <c r="W250" s="54">
        <f t="shared" si="294"/>
        <v>8666.6666666666679</v>
      </c>
      <c r="X250" s="54">
        <f t="shared" si="294"/>
        <v>8666.6666666666679</v>
      </c>
      <c r="Y250" s="54">
        <f t="shared" si="294"/>
        <v>8666.6666666666679</v>
      </c>
      <c r="Z250" s="54">
        <f t="shared" si="294"/>
        <v>8666.6666666666679</v>
      </c>
      <c r="AA250" s="54">
        <f t="shared" si="294"/>
        <v>8666.6666666666679</v>
      </c>
      <c r="AB250" s="54">
        <f t="shared" si="294"/>
        <v>8666.6666666666679</v>
      </c>
      <c r="AC250" s="54">
        <f t="shared" si="294"/>
        <v>8666.6666666666679</v>
      </c>
      <c r="AD250" s="54">
        <f t="shared" si="294"/>
        <v>8666.6666666666679</v>
      </c>
      <c r="AE250" s="54">
        <f t="shared" si="294"/>
        <v>8666.6666666666679</v>
      </c>
      <c r="AF250" s="54">
        <f t="shared" si="294"/>
        <v>0</v>
      </c>
      <c r="AG250" s="62">
        <f t="shared" si="294"/>
        <v>0</v>
      </c>
    </row>
    <row r="251" spans="2:34" x14ac:dyDescent="0.2">
      <c r="G251" s="34">
        <f>SUM(G196:G250)</f>
        <v>8378458.333333333</v>
      </c>
      <c r="H251" s="34">
        <f>SUM(H196:H250)</f>
        <v>8701648.6111111101</v>
      </c>
      <c r="J251" s="34">
        <f>SUM(J196:J250)</f>
        <v>605208.33333333326</v>
      </c>
      <c r="K251" s="34">
        <f t="shared" ref="K251" si="295">SUM(K196:K250)</f>
        <v>624708.33333333326</v>
      </c>
      <c r="L251" s="34">
        <f t="shared" ref="L251" si="296">SUM(L196:L250)</f>
        <v>624708.33333333326</v>
      </c>
      <c r="M251" s="34">
        <f t="shared" ref="M251" si="297">SUM(M196:M250)</f>
        <v>631958.33333333326</v>
      </c>
      <c r="N251" s="34">
        <f t="shared" ref="N251" si="298">SUM(N196:N250)</f>
        <v>641166.66666666663</v>
      </c>
      <c r="O251" s="34">
        <f t="shared" ref="O251" si="299">SUM(O196:O250)</f>
        <v>649499.99999999988</v>
      </c>
      <c r="P251" s="34">
        <f t="shared" ref="P251" si="300">SUM(P196:P250)</f>
        <v>605416.66666666651</v>
      </c>
      <c r="Q251" s="34">
        <f t="shared" ref="Q251" si="301">SUM(Q196:Q250)</f>
        <v>605416.66666666651</v>
      </c>
      <c r="R251" s="34">
        <f t="shared" ref="R251" si="302">SUM(R196:R250)</f>
        <v>614166.66666666651</v>
      </c>
      <c r="S251" s="34">
        <f t="shared" ref="S251" si="303">SUM(S196:S250)</f>
        <v>614166.66666666651</v>
      </c>
      <c r="T251" s="34">
        <f t="shared" ref="T251" si="304">SUM(T196:T250)</f>
        <v>631958.33333333314</v>
      </c>
      <c r="U251" s="34">
        <f t="shared" ref="U251" si="305">SUM(U196:U250)</f>
        <v>1530083.3333333335</v>
      </c>
      <c r="V251" s="34">
        <f t="shared" ref="V251" si="306">SUM(V196:V250)</f>
        <v>671500.00000000012</v>
      </c>
      <c r="W251" s="34">
        <f t="shared" ref="W251" si="307">SUM(W196:W250)</f>
        <v>680708.33333333337</v>
      </c>
      <c r="X251" s="34">
        <f t="shared" ref="X251" si="308">SUM(X196:X250)</f>
        <v>689916.66666666663</v>
      </c>
      <c r="Y251" s="34">
        <f t="shared" ref="Y251" si="309">SUM(Y196:Y250)</f>
        <v>676916.66666666663</v>
      </c>
      <c r="Z251" s="34">
        <f t="shared" ref="Z251" si="310">SUM(Z196:Z250)</f>
        <v>663916.66666666663</v>
      </c>
      <c r="AA251" s="34">
        <f t="shared" ref="AA251" si="311">SUM(AA196:AA250)</f>
        <v>663916.66666666663</v>
      </c>
      <c r="AB251" s="34">
        <f t="shared" ref="AB251" si="312">SUM(AB196:AB250)</f>
        <v>648499.99999999988</v>
      </c>
      <c r="AC251" s="34">
        <f t="shared" ref="AC251" si="313">SUM(AC196:AC250)</f>
        <v>632499.99999999988</v>
      </c>
      <c r="AD251" s="34">
        <f t="shared" ref="AD251" si="314">SUM(AD196:AD250)</f>
        <v>618416.66666666651</v>
      </c>
      <c r="AE251" s="34">
        <f t="shared" ref="AE251" si="315">SUM(AE196:AE250)</f>
        <v>618416.66666666651</v>
      </c>
      <c r="AF251" s="34">
        <f t="shared" ref="AF251" si="316">SUM(AF196:AF250)</f>
        <v>600541.66666666651</v>
      </c>
      <c r="AG251" s="34">
        <f t="shared" ref="AG251" si="317">SUM(AG196:AG250)</f>
        <v>1536398.6111111108</v>
      </c>
    </row>
    <row r="254" spans="2:34" ht="13.5" thickBot="1" x14ac:dyDescent="0.25">
      <c r="B254" s="48" t="s">
        <v>0</v>
      </c>
      <c r="C254" s="1"/>
      <c r="D254" s="1"/>
      <c r="E254" s="1"/>
      <c r="F254" s="1"/>
      <c r="G254" s="1"/>
      <c r="H254" s="3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3">
        <f ca="1">TODAY()</f>
        <v>45999</v>
      </c>
      <c r="AH254" s="1"/>
    </row>
    <row r="255" spans="2:34" x14ac:dyDescent="0.2">
      <c r="B255" s="47"/>
      <c r="C255" t="s">
        <v>157</v>
      </c>
      <c r="H255" s="6"/>
      <c r="I255" s="6"/>
      <c r="AG255" s="53" t="s">
        <v>228</v>
      </c>
    </row>
    <row r="256" spans="2:34" x14ac:dyDescent="0.2">
      <c r="B256" s="47"/>
      <c r="H256" s="6"/>
      <c r="I256" s="6"/>
    </row>
    <row r="257" spans="2:33" ht="15" customHeight="1" x14ac:dyDescent="0.2">
      <c r="B257" s="47"/>
      <c r="E257" s="77" t="s">
        <v>143</v>
      </c>
      <c r="F257" s="77" t="s">
        <v>144</v>
      </c>
      <c r="G257" s="17" t="s">
        <v>154</v>
      </c>
      <c r="H257" s="50"/>
      <c r="I257" s="52" t="s">
        <v>56</v>
      </c>
      <c r="J257" s="20">
        <v>2023</v>
      </c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2"/>
      <c r="V257" s="20">
        <v>2024</v>
      </c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2"/>
    </row>
    <row r="258" spans="2:33" ht="15" x14ac:dyDescent="0.35">
      <c r="C258" s="59" t="s">
        <v>57</v>
      </c>
      <c r="D258" s="59" t="s">
        <v>58</v>
      </c>
      <c r="E258" s="59" t="s">
        <v>142</v>
      </c>
      <c r="F258" s="59" t="s">
        <v>142</v>
      </c>
      <c r="G258" s="13">
        <v>45291</v>
      </c>
      <c r="H258" s="14">
        <v>45657</v>
      </c>
      <c r="I258" s="51"/>
      <c r="J258" s="4">
        <v>44957</v>
      </c>
      <c r="K258" s="19">
        <f>EOMONTH(J258,1)</f>
        <v>44985</v>
      </c>
      <c r="L258" s="19">
        <f t="shared" ref="L258" si="318">EOMONTH(K258,1)</f>
        <v>45016</v>
      </c>
      <c r="M258" s="19">
        <f t="shared" ref="M258" si="319">EOMONTH(L258,1)</f>
        <v>45046</v>
      </c>
      <c r="N258" s="19">
        <f t="shared" ref="N258" si="320">EOMONTH(M258,1)</f>
        <v>45077</v>
      </c>
      <c r="O258" s="19">
        <f t="shared" ref="O258" si="321">EOMONTH(N258,1)</f>
        <v>45107</v>
      </c>
      <c r="P258" s="19">
        <f t="shared" ref="P258" si="322">EOMONTH(O258,1)</f>
        <v>45138</v>
      </c>
      <c r="Q258" s="19">
        <f t="shared" ref="Q258" si="323">EOMONTH(P258,1)</f>
        <v>45169</v>
      </c>
      <c r="R258" s="19">
        <f t="shared" ref="R258" si="324">EOMONTH(Q258,1)</f>
        <v>45199</v>
      </c>
      <c r="S258" s="19">
        <f t="shared" ref="S258" si="325">EOMONTH(R258,1)</f>
        <v>45230</v>
      </c>
      <c r="T258" s="19">
        <f t="shared" ref="T258" si="326">EOMONTH(S258,1)</f>
        <v>45260</v>
      </c>
      <c r="U258" s="5">
        <f t="shared" ref="U258" si="327">EOMONTH(T258,1)</f>
        <v>45291</v>
      </c>
      <c r="V258" s="4">
        <f t="shared" ref="V258" si="328">EOMONTH(U258,1)</f>
        <v>45322</v>
      </c>
      <c r="W258" s="19">
        <f t="shared" ref="W258" si="329">EOMONTH(V258,1)</f>
        <v>45351</v>
      </c>
      <c r="X258" s="19">
        <f t="shared" ref="X258" si="330">EOMONTH(W258,1)</f>
        <v>45382</v>
      </c>
      <c r="Y258" s="19">
        <f t="shared" ref="Y258" si="331">EOMONTH(X258,1)</f>
        <v>45412</v>
      </c>
      <c r="Z258" s="19">
        <f t="shared" ref="Z258" si="332">EOMONTH(Y258,1)</f>
        <v>45443</v>
      </c>
      <c r="AA258" s="19">
        <f t="shared" ref="AA258" si="333">EOMONTH(Z258,1)</f>
        <v>45473</v>
      </c>
      <c r="AB258" s="19">
        <f t="shared" ref="AB258" si="334">EOMONTH(AA258,1)</f>
        <v>45504</v>
      </c>
      <c r="AC258" s="19">
        <f t="shared" ref="AC258" si="335">EOMONTH(AB258,1)</f>
        <v>45535</v>
      </c>
      <c r="AD258" s="19">
        <f t="shared" ref="AD258" si="336">EOMONTH(AC258,1)</f>
        <v>45565</v>
      </c>
      <c r="AE258" s="19">
        <f t="shared" ref="AE258" si="337">EOMONTH(AD258,1)</f>
        <v>45596</v>
      </c>
      <c r="AF258" s="19">
        <f t="shared" ref="AF258" si="338">EOMONTH(AE258,1)</f>
        <v>45626</v>
      </c>
      <c r="AG258" s="5">
        <f t="shared" ref="AG258" si="339">EOMONTH(AF258,1)</f>
        <v>45657</v>
      </c>
    </row>
    <row r="259" spans="2:33" x14ac:dyDescent="0.2">
      <c r="C259" t="s">
        <v>137</v>
      </c>
      <c r="D259" t="s">
        <v>66</v>
      </c>
      <c r="E259" s="64">
        <f>_xlfn.XLOOKUP($C259,'Corporate Roster - ''24'!$C$6:$C$60,'Corporate Roster - ''24'!$E$6:$E$60)</f>
        <v>40848</v>
      </c>
      <c r="F259" s="64" t="str">
        <f>_xlfn.XLOOKUP($C259,'Corporate Roster - ''24'!$C$6:$C$60,'Corporate Roster - ''24'!$F$6:$F$60)</f>
        <v>-</v>
      </c>
      <c r="G259" s="56">
        <f>(MROUND(H259*0.9,1000))</f>
        <v>135000</v>
      </c>
      <c r="H259" s="61">
        <f>_xlfn.XLOOKUP($C259,'Corporate Roster - ''24'!$C$6:$C$60,'Corporate Roster - ''24'!$H$6:$H$60)</f>
        <v>150000</v>
      </c>
      <c r="J259" s="56">
        <f t="shared" ref="J259:U259" si="340">IF(J7&gt;0,$G259/12,0)</f>
        <v>11250</v>
      </c>
      <c r="K259" s="55">
        <f t="shared" si="340"/>
        <v>11250</v>
      </c>
      <c r="L259" s="55">
        <f t="shared" si="340"/>
        <v>11250</v>
      </c>
      <c r="M259" s="55">
        <f t="shared" si="340"/>
        <v>11250</v>
      </c>
      <c r="N259" s="55">
        <f t="shared" si="340"/>
        <v>11250</v>
      </c>
      <c r="O259" s="55">
        <f t="shared" si="340"/>
        <v>11250</v>
      </c>
      <c r="P259" s="55">
        <f t="shared" si="340"/>
        <v>11250</v>
      </c>
      <c r="Q259" s="55">
        <f t="shared" si="340"/>
        <v>11250</v>
      </c>
      <c r="R259" s="55">
        <f t="shared" si="340"/>
        <v>11250</v>
      </c>
      <c r="S259" s="55">
        <f t="shared" si="340"/>
        <v>11250</v>
      </c>
      <c r="T259" s="55">
        <f t="shared" si="340"/>
        <v>11250</v>
      </c>
      <c r="U259" s="61">
        <f t="shared" si="340"/>
        <v>11250</v>
      </c>
      <c r="V259" s="55">
        <f t="shared" ref="V259:AG259" si="341">IF(V7&gt;0,$H259/12,0)</f>
        <v>12500</v>
      </c>
      <c r="W259" s="55">
        <f t="shared" si="341"/>
        <v>12500</v>
      </c>
      <c r="X259" s="55">
        <f t="shared" si="341"/>
        <v>12500</v>
      </c>
      <c r="Y259" s="55">
        <f t="shared" si="341"/>
        <v>12500</v>
      </c>
      <c r="Z259" s="55">
        <f t="shared" si="341"/>
        <v>12500</v>
      </c>
      <c r="AA259" s="55">
        <f t="shared" si="341"/>
        <v>12500</v>
      </c>
      <c r="AB259" s="55">
        <f t="shared" si="341"/>
        <v>12500</v>
      </c>
      <c r="AC259" s="55">
        <f t="shared" si="341"/>
        <v>12500</v>
      </c>
      <c r="AD259" s="55">
        <f t="shared" si="341"/>
        <v>12500</v>
      </c>
      <c r="AE259" s="55">
        <f t="shared" si="341"/>
        <v>12500</v>
      </c>
      <c r="AF259" s="55">
        <f t="shared" si="341"/>
        <v>12500</v>
      </c>
      <c r="AG259" s="61">
        <f t="shared" si="341"/>
        <v>12500</v>
      </c>
    </row>
    <row r="260" spans="2:33" x14ac:dyDescent="0.2">
      <c r="C260" t="s">
        <v>67</v>
      </c>
      <c r="D260" t="s">
        <v>68</v>
      </c>
      <c r="E260" s="64">
        <f>_xlfn.XLOOKUP($C260,'Corporate Roster - ''24'!$C$6:$C$60,'Corporate Roster - ''24'!$E$6:$E$60)</f>
        <v>41718</v>
      </c>
      <c r="F260" s="64" t="str">
        <f>_xlfn.XLOOKUP($C260,'Corporate Roster - ''24'!$C$6:$C$60,'Corporate Roster - ''24'!$F$6:$F$60)</f>
        <v>-</v>
      </c>
      <c r="G260" s="32">
        <f>(MROUND(H260*0.8,1000))</f>
        <v>80000</v>
      </c>
      <c r="H260" s="33">
        <f>_xlfn.XLOOKUP($C260,'Corporate Roster - ''24'!$C$6:$C$60,'Corporate Roster - ''24'!$H$6:$H$60)</f>
        <v>100000</v>
      </c>
      <c r="J260" s="32">
        <f t="shared" ref="J260:U260" si="342">IF(J8&gt;0,$G260/12,0)</f>
        <v>6666.666666666667</v>
      </c>
      <c r="K260" s="10">
        <f t="shared" si="342"/>
        <v>6666.666666666667</v>
      </c>
      <c r="L260" s="10">
        <f t="shared" si="342"/>
        <v>6666.666666666667</v>
      </c>
      <c r="M260" s="10">
        <f t="shared" si="342"/>
        <v>6666.666666666667</v>
      </c>
      <c r="N260" s="10">
        <f t="shared" si="342"/>
        <v>6666.666666666667</v>
      </c>
      <c r="O260" s="10">
        <f t="shared" si="342"/>
        <v>6666.666666666667</v>
      </c>
      <c r="P260" s="10">
        <f t="shared" si="342"/>
        <v>6666.666666666667</v>
      </c>
      <c r="Q260" s="10">
        <f t="shared" si="342"/>
        <v>6666.666666666667</v>
      </c>
      <c r="R260" s="10">
        <f t="shared" si="342"/>
        <v>6666.666666666667</v>
      </c>
      <c r="S260" s="10">
        <f t="shared" si="342"/>
        <v>6666.666666666667</v>
      </c>
      <c r="T260" s="10">
        <f t="shared" si="342"/>
        <v>6666.666666666667</v>
      </c>
      <c r="U260" s="33">
        <f t="shared" si="342"/>
        <v>6666.666666666667</v>
      </c>
      <c r="V260" s="10">
        <f t="shared" ref="V260:AG260" si="343">IF(V8&gt;0,$H260/12,0)</f>
        <v>8333.3333333333339</v>
      </c>
      <c r="W260" s="10">
        <f t="shared" si="343"/>
        <v>8333.3333333333339</v>
      </c>
      <c r="X260" s="10">
        <f t="shared" si="343"/>
        <v>8333.3333333333339</v>
      </c>
      <c r="Y260" s="10">
        <f t="shared" si="343"/>
        <v>8333.3333333333339</v>
      </c>
      <c r="Z260" s="10">
        <f t="shared" si="343"/>
        <v>8333.3333333333339</v>
      </c>
      <c r="AA260" s="10">
        <f t="shared" si="343"/>
        <v>8333.3333333333339</v>
      </c>
      <c r="AB260" s="10">
        <f t="shared" si="343"/>
        <v>8333.3333333333339</v>
      </c>
      <c r="AC260" s="10">
        <f t="shared" si="343"/>
        <v>8333.3333333333339</v>
      </c>
      <c r="AD260" s="10">
        <f t="shared" si="343"/>
        <v>8333.3333333333339</v>
      </c>
      <c r="AE260" s="10">
        <f t="shared" si="343"/>
        <v>8333.3333333333339</v>
      </c>
      <c r="AF260" s="10">
        <f t="shared" si="343"/>
        <v>8333.3333333333339</v>
      </c>
      <c r="AG260" s="33">
        <f t="shared" si="343"/>
        <v>8333.3333333333339</v>
      </c>
    </row>
    <row r="261" spans="2:33" x14ac:dyDescent="0.2">
      <c r="C261" t="s">
        <v>69</v>
      </c>
      <c r="D261" t="s">
        <v>70</v>
      </c>
      <c r="E261" s="64">
        <f>_xlfn.XLOOKUP($C261,'Corporate Roster - ''24'!$C$6:$C$60,'Corporate Roster - ''24'!$E$6:$E$60)</f>
        <v>39601</v>
      </c>
      <c r="F261" s="64" t="str">
        <f>_xlfn.XLOOKUP($C261,'Corporate Roster - ''24'!$C$6:$C$60,'Corporate Roster - ''24'!$F$6:$F$60)</f>
        <v>-</v>
      </c>
      <c r="G261" s="32">
        <f>(MROUND(H261*0.8,1000))</f>
        <v>80000</v>
      </c>
      <c r="H261" s="33">
        <f>_xlfn.XLOOKUP($C261,'Corporate Roster - ''24'!$C$6:$C$60,'Corporate Roster - ''24'!$H$6:$H$60)</f>
        <v>100000</v>
      </c>
      <c r="J261" s="32">
        <f t="shared" ref="J261:U261" si="344">IF(J9&gt;0,$G261/12,0)</f>
        <v>6666.666666666667</v>
      </c>
      <c r="K261" s="10">
        <f t="shared" si="344"/>
        <v>6666.666666666667</v>
      </c>
      <c r="L261" s="10">
        <f t="shared" si="344"/>
        <v>6666.666666666667</v>
      </c>
      <c r="M261" s="10">
        <f t="shared" si="344"/>
        <v>6666.666666666667</v>
      </c>
      <c r="N261" s="10">
        <f t="shared" si="344"/>
        <v>6666.666666666667</v>
      </c>
      <c r="O261" s="10">
        <f t="shared" si="344"/>
        <v>6666.666666666667</v>
      </c>
      <c r="P261" s="10">
        <f t="shared" si="344"/>
        <v>6666.666666666667</v>
      </c>
      <c r="Q261" s="10">
        <f t="shared" si="344"/>
        <v>6666.666666666667</v>
      </c>
      <c r="R261" s="10">
        <f t="shared" si="344"/>
        <v>6666.666666666667</v>
      </c>
      <c r="S261" s="10">
        <f t="shared" si="344"/>
        <v>6666.666666666667</v>
      </c>
      <c r="T261" s="10">
        <f t="shared" si="344"/>
        <v>6666.666666666667</v>
      </c>
      <c r="U261" s="33">
        <f t="shared" si="344"/>
        <v>6666.666666666667</v>
      </c>
      <c r="V261" s="10">
        <f t="shared" ref="V261:AG261" si="345">IF(V9&gt;0,$H261/12,0)</f>
        <v>8333.3333333333339</v>
      </c>
      <c r="W261" s="10">
        <f t="shared" si="345"/>
        <v>8333.3333333333339</v>
      </c>
      <c r="X261" s="10">
        <f t="shared" si="345"/>
        <v>8333.3333333333339</v>
      </c>
      <c r="Y261" s="10">
        <f t="shared" si="345"/>
        <v>8333.3333333333339</v>
      </c>
      <c r="Z261" s="10">
        <f t="shared" si="345"/>
        <v>8333.3333333333339</v>
      </c>
      <c r="AA261" s="10">
        <f t="shared" si="345"/>
        <v>8333.3333333333339</v>
      </c>
      <c r="AB261" s="10">
        <f t="shared" si="345"/>
        <v>8333.3333333333339</v>
      </c>
      <c r="AC261" s="10">
        <f t="shared" si="345"/>
        <v>8333.3333333333339</v>
      </c>
      <c r="AD261" s="10">
        <f t="shared" si="345"/>
        <v>8333.3333333333339</v>
      </c>
      <c r="AE261" s="10">
        <f t="shared" si="345"/>
        <v>8333.3333333333339</v>
      </c>
      <c r="AF261" s="10">
        <f t="shared" si="345"/>
        <v>8333.3333333333339</v>
      </c>
      <c r="AG261" s="33">
        <f t="shared" si="345"/>
        <v>8333.3333333333339</v>
      </c>
    </row>
    <row r="262" spans="2:33" x14ac:dyDescent="0.2">
      <c r="C262" t="s">
        <v>71</v>
      </c>
      <c r="D262" t="s">
        <v>72</v>
      </c>
      <c r="E262" s="64">
        <f>_xlfn.XLOOKUP($C262,'Corporate Roster - ''24'!$C$6:$C$60,'Corporate Roster - ''24'!$E$6:$E$60)</f>
        <v>44453</v>
      </c>
      <c r="F262" s="64" t="str">
        <f>_xlfn.XLOOKUP($C262,'Corporate Roster - ''24'!$C$6:$C$60,'Corporate Roster - ''24'!$F$6:$F$60)</f>
        <v>-</v>
      </c>
      <c r="G262" s="32">
        <f>(MROUND(H262*0.8,1000))</f>
        <v>67000</v>
      </c>
      <c r="H262" s="33">
        <f>_xlfn.XLOOKUP($C262,'Corporate Roster - ''24'!$C$6:$C$60,'Corporate Roster - ''24'!$H$6:$H$60)</f>
        <v>84000</v>
      </c>
      <c r="J262" s="32">
        <f t="shared" ref="J262:U262" si="346">IF(J10&gt;0,$G262/12,0)</f>
        <v>5583.333333333333</v>
      </c>
      <c r="K262" s="10">
        <f t="shared" si="346"/>
        <v>5583.333333333333</v>
      </c>
      <c r="L262" s="10">
        <f t="shared" si="346"/>
        <v>5583.333333333333</v>
      </c>
      <c r="M262" s="10">
        <f t="shared" si="346"/>
        <v>5583.333333333333</v>
      </c>
      <c r="N262" s="10">
        <f t="shared" si="346"/>
        <v>5583.333333333333</v>
      </c>
      <c r="O262" s="10">
        <f t="shared" si="346"/>
        <v>5583.333333333333</v>
      </c>
      <c r="P262" s="10">
        <f t="shared" si="346"/>
        <v>5583.333333333333</v>
      </c>
      <c r="Q262" s="10">
        <f t="shared" si="346"/>
        <v>5583.333333333333</v>
      </c>
      <c r="R262" s="10">
        <f t="shared" si="346"/>
        <v>5583.333333333333</v>
      </c>
      <c r="S262" s="10">
        <f t="shared" si="346"/>
        <v>5583.333333333333</v>
      </c>
      <c r="T262" s="10">
        <f t="shared" si="346"/>
        <v>5583.333333333333</v>
      </c>
      <c r="U262" s="33">
        <f t="shared" si="346"/>
        <v>5583.333333333333</v>
      </c>
      <c r="V262" s="10">
        <f t="shared" ref="V262:AG262" si="347">IF(V10&gt;0,$H262/12,0)</f>
        <v>7000</v>
      </c>
      <c r="W262" s="10">
        <f t="shared" si="347"/>
        <v>7000</v>
      </c>
      <c r="X262" s="10">
        <f t="shared" si="347"/>
        <v>7000</v>
      </c>
      <c r="Y262" s="10">
        <f t="shared" si="347"/>
        <v>7000</v>
      </c>
      <c r="Z262" s="10">
        <f t="shared" si="347"/>
        <v>7000</v>
      </c>
      <c r="AA262" s="10">
        <f t="shared" si="347"/>
        <v>7000</v>
      </c>
      <c r="AB262" s="10">
        <f t="shared" si="347"/>
        <v>7000</v>
      </c>
      <c r="AC262" s="10">
        <f t="shared" si="347"/>
        <v>7000</v>
      </c>
      <c r="AD262" s="10">
        <f t="shared" si="347"/>
        <v>7000</v>
      </c>
      <c r="AE262" s="10">
        <f t="shared" si="347"/>
        <v>7000</v>
      </c>
      <c r="AF262" s="10">
        <f t="shared" si="347"/>
        <v>7000</v>
      </c>
      <c r="AG262" s="33">
        <f t="shared" si="347"/>
        <v>7000</v>
      </c>
    </row>
    <row r="263" spans="2:33" x14ac:dyDescent="0.2">
      <c r="C263" t="s">
        <v>145</v>
      </c>
      <c r="D263" t="s">
        <v>74</v>
      </c>
      <c r="E263" s="64">
        <f>_xlfn.XLOOKUP($C263,'Corporate Roster - ''24'!$C$6:$C$60,'Corporate Roster - ''24'!$E$6:$E$60)</f>
        <v>39783</v>
      </c>
      <c r="F263" s="64" t="str">
        <f>_xlfn.XLOOKUP($C263,'Corporate Roster - ''24'!$C$6:$C$60,'Corporate Roster - ''24'!$F$6:$F$60)</f>
        <v>-</v>
      </c>
      <c r="G263" s="32">
        <f>(MROUND(H263*0.95,1000))</f>
        <v>57000</v>
      </c>
      <c r="H263" s="33">
        <f>_xlfn.XLOOKUP($C263,'Corporate Roster - ''24'!$C$6:$C$60,'Corporate Roster - ''24'!$H$6:$H$60)</f>
        <v>60000</v>
      </c>
      <c r="J263" s="32">
        <f t="shared" ref="J263:U263" si="348">IF(J11&gt;0,$G263/12,0)</f>
        <v>4750</v>
      </c>
      <c r="K263" s="10">
        <f t="shared" si="348"/>
        <v>4750</v>
      </c>
      <c r="L263" s="10">
        <f t="shared" si="348"/>
        <v>4750</v>
      </c>
      <c r="M263" s="10">
        <f t="shared" si="348"/>
        <v>4750</v>
      </c>
      <c r="N263" s="10">
        <f t="shared" si="348"/>
        <v>4750</v>
      </c>
      <c r="O263" s="10">
        <f t="shared" si="348"/>
        <v>4750</v>
      </c>
      <c r="P263" s="10">
        <f t="shared" si="348"/>
        <v>4750</v>
      </c>
      <c r="Q263" s="10">
        <f t="shared" si="348"/>
        <v>4750</v>
      </c>
      <c r="R263" s="10">
        <f t="shared" si="348"/>
        <v>4750</v>
      </c>
      <c r="S263" s="10">
        <f t="shared" si="348"/>
        <v>4750</v>
      </c>
      <c r="T263" s="10">
        <f t="shared" si="348"/>
        <v>4750</v>
      </c>
      <c r="U263" s="33">
        <f t="shared" si="348"/>
        <v>4750</v>
      </c>
      <c r="V263" s="10">
        <f t="shared" ref="V263:AG263" si="349">IF(V11&gt;0,$H263/12,0)</f>
        <v>5000</v>
      </c>
      <c r="W263" s="10">
        <f t="shared" si="349"/>
        <v>5000</v>
      </c>
      <c r="X263" s="10">
        <f t="shared" si="349"/>
        <v>5000</v>
      </c>
      <c r="Y263" s="10">
        <f t="shared" si="349"/>
        <v>5000</v>
      </c>
      <c r="Z263" s="10">
        <f t="shared" si="349"/>
        <v>5000</v>
      </c>
      <c r="AA263" s="10">
        <f t="shared" si="349"/>
        <v>5000</v>
      </c>
      <c r="AB263" s="10">
        <f t="shared" si="349"/>
        <v>5000</v>
      </c>
      <c r="AC263" s="10">
        <f t="shared" si="349"/>
        <v>5000</v>
      </c>
      <c r="AD263" s="10">
        <f t="shared" si="349"/>
        <v>5000</v>
      </c>
      <c r="AE263" s="10">
        <f t="shared" si="349"/>
        <v>5000</v>
      </c>
      <c r="AF263" s="10">
        <f t="shared" si="349"/>
        <v>5000</v>
      </c>
      <c r="AG263" s="33">
        <f t="shared" si="349"/>
        <v>5000</v>
      </c>
    </row>
    <row r="264" spans="2:33" x14ac:dyDescent="0.2">
      <c r="C264" t="s">
        <v>146</v>
      </c>
      <c r="D264" t="s">
        <v>76</v>
      </c>
      <c r="E264" s="64">
        <f>_xlfn.XLOOKUP($C264,'Corporate Roster - ''24'!$C$6:$C$60,'Corporate Roster - ''24'!$E$6:$E$60)</f>
        <v>42573</v>
      </c>
      <c r="F264" s="64" t="str">
        <f>_xlfn.XLOOKUP($C264,'Corporate Roster - ''24'!$C$6:$C$60,'Corporate Roster - ''24'!$F$6:$F$60)</f>
        <v>-</v>
      </c>
      <c r="G264" s="32">
        <f t="shared" ref="G264:G313" si="350">H264</f>
        <v>60000</v>
      </c>
      <c r="H264" s="33">
        <f>_xlfn.XLOOKUP($C264,'Corporate Roster - ''24'!$C$6:$C$60,'Corporate Roster - ''24'!$H$6:$H$60)</f>
        <v>60000</v>
      </c>
      <c r="J264" s="32">
        <f t="shared" ref="J264:U264" si="351">IF(J12&gt;0,$G264/12,0)</f>
        <v>5000</v>
      </c>
      <c r="K264" s="10">
        <f t="shared" si="351"/>
        <v>5000</v>
      </c>
      <c r="L264" s="10">
        <f t="shared" si="351"/>
        <v>5000</v>
      </c>
      <c r="M264" s="10">
        <f t="shared" si="351"/>
        <v>5000</v>
      </c>
      <c r="N264" s="10">
        <f t="shared" si="351"/>
        <v>5000</v>
      </c>
      <c r="O264" s="10">
        <f t="shared" si="351"/>
        <v>5000</v>
      </c>
      <c r="P264" s="10">
        <f t="shared" si="351"/>
        <v>5000</v>
      </c>
      <c r="Q264" s="10">
        <f t="shared" si="351"/>
        <v>5000</v>
      </c>
      <c r="R264" s="10">
        <f t="shared" si="351"/>
        <v>5000</v>
      </c>
      <c r="S264" s="10">
        <f t="shared" si="351"/>
        <v>5000</v>
      </c>
      <c r="T264" s="10">
        <f t="shared" si="351"/>
        <v>5000</v>
      </c>
      <c r="U264" s="33">
        <f t="shared" si="351"/>
        <v>5000</v>
      </c>
      <c r="V264" s="10">
        <f t="shared" ref="V264:AG264" si="352">IF(V12&gt;0,$H264/12,0)</f>
        <v>5000</v>
      </c>
      <c r="W264" s="10">
        <f t="shared" si="352"/>
        <v>5000</v>
      </c>
      <c r="X264" s="10">
        <f t="shared" si="352"/>
        <v>5000</v>
      </c>
      <c r="Y264" s="10">
        <f t="shared" si="352"/>
        <v>5000</v>
      </c>
      <c r="Z264" s="10">
        <f t="shared" si="352"/>
        <v>5000</v>
      </c>
      <c r="AA264" s="10">
        <f t="shared" si="352"/>
        <v>5000</v>
      </c>
      <c r="AB264" s="10">
        <f t="shared" si="352"/>
        <v>5000</v>
      </c>
      <c r="AC264" s="10">
        <f t="shared" si="352"/>
        <v>5000</v>
      </c>
      <c r="AD264" s="10">
        <f t="shared" si="352"/>
        <v>5000</v>
      </c>
      <c r="AE264" s="10">
        <f t="shared" si="352"/>
        <v>5000</v>
      </c>
      <c r="AF264" s="10">
        <f t="shared" si="352"/>
        <v>5000</v>
      </c>
      <c r="AG264" s="33">
        <f t="shared" si="352"/>
        <v>5000</v>
      </c>
    </row>
    <row r="265" spans="2:33" x14ac:dyDescent="0.2">
      <c r="C265" t="s">
        <v>77</v>
      </c>
      <c r="D265" t="s">
        <v>78</v>
      </c>
      <c r="E265" s="64">
        <f>_xlfn.XLOOKUP($C265,'Corporate Roster - ''24'!$C$6:$C$60,'Corporate Roster - ''24'!$E$6:$E$60)</f>
        <v>38481</v>
      </c>
      <c r="F265" s="64" t="str">
        <f>_xlfn.XLOOKUP($C265,'Corporate Roster - ''24'!$C$6:$C$60,'Corporate Roster - ''24'!$F$6:$F$60)</f>
        <v>-</v>
      </c>
      <c r="G265" s="32">
        <f t="shared" si="350"/>
        <v>45000</v>
      </c>
      <c r="H265" s="33">
        <f>_xlfn.XLOOKUP($C265,'Corporate Roster - ''24'!$C$6:$C$60,'Corporate Roster - ''24'!$H$6:$H$60)</f>
        <v>45000</v>
      </c>
      <c r="J265" s="32">
        <f t="shared" ref="J265:U265" si="353">IF(J13&gt;0,$G265/12,0)</f>
        <v>3750</v>
      </c>
      <c r="K265" s="10">
        <f t="shared" si="353"/>
        <v>3750</v>
      </c>
      <c r="L265" s="10">
        <f t="shared" si="353"/>
        <v>3750</v>
      </c>
      <c r="M265" s="10">
        <f t="shared" si="353"/>
        <v>3750</v>
      </c>
      <c r="N265" s="10">
        <f t="shared" si="353"/>
        <v>3750</v>
      </c>
      <c r="O265" s="10">
        <f t="shared" si="353"/>
        <v>3750</v>
      </c>
      <c r="P265" s="10">
        <f t="shared" si="353"/>
        <v>3750</v>
      </c>
      <c r="Q265" s="10">
        <f t="shared" si="353"/>
        <v>3750</v>
      </c>
      <c r="R265" s="10">
        <f t="shared" si="353"/>
        <v>3750</v>
      </c>
      <c r="S265" s="10">
        <f t="shared" si="353"/>
        <v>3750</v>
      </c>
      <c r="T265" s="10">
        <f t="shared" si="353"/>
        <v>3750</v>
      </c>
      <c r="U265" s="33">
        <f t="shared" si="353"/>
        <v>3750</v>
      </c>
      <c r="V265" s="10">
        <f t="shared" ref="V265:AG265" si="354">IF(V13&gt;0,$H265/12,0)</f>
        <v>3750</v>
      </c>
      <c r="W265" s="10">
        <f t="shared" si="354"/>
        <v>3750</v>
      </c>
      <c r="X265" s="10">
        <f t="shared" si="354"/>
        <v>3750</v>
      </c>
      <c r="Y265" s="10">
        <f t="shared" si="354"/>
        <v>3750</v>
      </c>
      <c r="Z265" s="10">
        <f t="shared" si="354"/>
        <v>3750</v>
      </c>
      <c r="AA265" s="10">
        <f t="shared" si="354"/>
        <v>3750</v>
      </c>
      <c r="AB265" s="10">
        <f t="shared" si="354"/>
        <v>3750</v>
      </c>
      <c r="AC265" s="10">
        <f t="shared" si="354"/>
        <v>3750</v>
      </c>
      <c r="AD265" s="10">
        <f t="shared" si="354"/>
        <v>3750</v>
      </c>
      <c r="AE265" s="10">
        <f t="shared" si="354"/>
        <v>3750</v>
      </c>
      <c r="AF265" s="10">
        <f t="shared" si="354"/>
        <v>3750</v>
      </c>
      <c r="AG265" s="33">
        <f t="shared" si="354"/>
        <v>3750</v>
      </c>
    </row>
    <row r="266" spans="2:33" x14ac:dyDescent="0.2">
      <c r="C266" t="s">
        <v>79</v>
      </c>
      <c r="D266" t="s">
        <v>80</v>
      </c>
      <c r="E266" s="64">
        <f>_xlfn.XLOOKUP($C266,'Corporate Roster - ''24'!$C$6:$C$60,'Corporate Roster - ''24'!$E$6:$E$60)</f>
        <v>38427</v>
      </c>
      <c r="F266" s="64" t="str">
        <f>_xlfn.XLOOKUP($C266,'Corporate Roster - ''24'!$C$6:$C$60,'Corporate Roster - ''24'!$F$6:$F$60)</f>
        <v>-</v>
      </c>
      <c r="G266" s="32">
        <f t="shared" si="350"/>
        <v>32000</v>
      </c>
      <c r="H266" s="33">
        <f>_xlfn.XLOOKUP($C266,'Corporate Roster - ''24'!$C$6:$C$60,'Corporate Roster - ''24'!$H$6:$H$60)</f>
        <v>32000</v>
      </c>
      <c r="J266" s="32">
        <f t="shared" ref="J266:U266" si="355">IF(J14&gt;0,$G266/12,0)</f>
        <v>2666.6666666666665</v>
      </c>
      <c r="K266" s="10">
        <f t="shared" si="355"/>
        <v>2666.6666666666665</v>
      </c>
      <c r="L266" s="10">
        <f t="shared" si="355"/>
        <v>2666.6666666666665</v>
      </c>
      <c r="M266" s="10">
        <f t="shared" si="355"/>
        <v>2666.6666666666665</v>
      </c>
      <c r="N266" s="10">
        <f t="shared" si="355"/>
        <v>2666.6666666666665</v>
      </c>
      <c r="O266" s="10">
        <f t="shared" si="355"/>
        <v>2666.6666666666665</v>
      </c>
      <c r="P266" s="10">
        <f t="shared" si="355"/>
        <v>2666.6666666666665</v>
      </c>
      <c r="Q266" s="10">
        <f t="shared" si="355"/>
        <v>2666.6666666666665</v>
      </c>
      <c r="R266" s="10">
        <f t="shared" si="355"/>
        <v>2666.6666666666665</v>
      </c>
      <c r="S266" s="10">
        <f t="shared" si="355"/>
        <v>2666.6666666666665</v>
      </c>
      <c r="T266" s="10">
        <f t="shared" si="355"/>
        <v>2666.6666666666665</v>
      </c>
      <c r="U266" s="33">
        <f t="shared" si="355"/>
        <v>2666.6666666666665</v>
      </c>
      <c r="V266" s="10">
        <f t="shared" ref="V266:AG266" si="356">IF(V14&gt;0,$H266/12,0)</f>
        <v>2666.6666666666665</v>
      </c>
      <c r="W266" s="10">
        <f t="shared" si="356"/>
        <v>2666.6666666666665</v>
      </c>
      <c r="X266" s="10">
        <f t="shared" si="356"/>
        <v>2666.6666666666665</v>
      </c>
      <c r="Y266" s="10">
        <f t="shared" si="356"/>
        <v>2666.6666666666665</v>
      </c>
      <c r="Z266" s="10">
        <f t="shared" si="356"/>
        <v>2666.6666666666665</v>
      </c>
      <c r="AA266" s="10">
        <f t="shared" si="356"/>
        <v>2666.6666666666665</v>
      </c>
      <c r="AB266" s="10">
        <f t="shared" si="356"/>
        <v>2666.6666666666665</v>
      </c>
      <c r="AC266" s="10">
        <f t="shared" si="356"/>
        <v>2666.6666666666665</v>
      </c>
      <c r="AD266" s="10">
        <f t="shared" si="356"/>
        <v>2666.6666666666665</v>
      </c>
      <c r="AE266" s="10">
        <f t="shared" si="356"/>
        <v>2666.6666666666665</v>
      </c>
      <c r="AF266" s="10">
        <f t="shared" si="356"/>
        <v>2666.6666666666665</v>
      </c>
      <c r="AG266" s="33">
        <f t="shared" si="356"/>
        <v>2666.6666666666665</v>
      </c>
    </row>
    <row r="267" spans="2:33" x14ac:dyDescent="0.2">
      <c r="C267" t="s">
        <v>147</v>
      </c>
      <c r="D267" t="s">
        <v>82</v>
      </c>
      <c r="E267" s="64">
        <f>_xlfn.XLOOKUP($C267,'Corporate Roster - ''24'!$C$6:$C$60,'Corporate Roster - ''24'!$E$6:$E$60)</f>
        <v>42696</v>
      </c>
      <c r="F267" s="64" t="str">
        <f>_xlfn.XLOOKUP($C267,'Corporate Roster - ''24'!$C$6:$C$60,'Corporate Roster - ''24'!$F$6:$F$60)</f>
        <v>-</v>
      </c>
      <c r="G267" s="32">
        <f>(MROUND(H267*0.95,1000))</f>
        <v>30000</v>
      </c>
      <c r="H267" s="33">
        <f>_xlfn.XLOOKUP($C267,'Corporate Roster - ''24'!$C$6:$C$60,'Corporate Roster - ''24'!$H$6:$H$60)</f>
        <v>32000</v>
      </c>
      <c r="J267" s="32">
        <f t="shared" ref="J267:U267" si="357">IF(J15&gt;0,$G267/12,0)</f>
        <v>2500</v>
      </c>
      <c r="K267" s="10">
        <f t="shared" si="357"/>
        <v>2500</v>
      </c>
      <c r="L267" s="10">
        <f t="shared" si="357"/>
        <v>2500</v>
      </c>
      <c r="M267" s="10">
        <f t="shared" si="357"/>
        <v>2500</v>
      </c>
      <c r="N267" s="10">
        <f t="shared" si="357"/>
        <v>2500</v>
      </c>
      <c r="O267" s="10">
        <f t="shared" si="357"/>
        <v>2500</v>
      </c>
      <c r="P267" s="10">
        <f t="shared" si="357"/>
        <v>2500</v>
      </c>
      <c r="Q267" s="10">
        <f t="shared" si="357"/>
        <v>2500</v>
      </c>
      <c r="R267" s="10">
        <f t="shared" si="357"/>
        <v>2500</v>
      </c>
      <c r="S267" s="10">
        <f t="shared" si="357"/>
        <v>2500</v>
      </c>
      <c r="T267" s="10">
        <f t="shared" si="357"/>
        <v>2500</v>
      </c>
      <c r="U267" s="33">
        <f t="shared" si="357"/>
        <v>2500</v>
      </c>
      <c r="V267" s="10">
        <f t="shared" ref="V267:AG267" si="358">IF(V15&gt;0,$H267/12,0)</f>
        <v>2666.6666666666665</v>
      </c>
      <c r="W267" s="10">
        <f t="shared" si="358"/>
        <v>2666.6666666666665</v>
      </c>
      <c r="X267" s="10">
        <f t="shared" si="358"/>
        <v>2666.6666666666665</v>
      </c>
      <c r="Y267" s="10">
        <f t="shared" si="358"/>
        <v>2666.6666666666665</v>
      </c>
      <c r="Z267" s="10">
        <f t="shared" si="358"/>
        <v>2666.6666666666665</v>
      </c>
      <c r="AA267" s="10">
        <f t="shared" si="358"/>
        <v>2666.6666666666665</v>
      </c>
      <c r="AB267" s="10">
        <f t="shared" si="358"/>
        <v>2666.6666666666665</v>
      </c>
      <c r="AC267" s="10">
        <f t="shared" si="358"/>
        <v>2666.6666666666665</v>
      </c>
      <c r="AD267" s="10">
        <f t="shared" si="358"/>
        <v>2666.6666666666665</v>
      </c>
      <c r="AE267" s="10">
        <f t="shared" si="358"/>
        <v>2666.6666666666665</v>
      </c>
      <c r="AF267" s="10">
        <f t="shared" si="358"/>
        <v>2666.6666666666665</v>
      </c>
      <c r="AG267" s="33">
        <f t="shared" si="358"/>
        <v>2666.6666666666665</v>
      </c>
    </row>
    <row r="268" spans="2:33" x14ac:dyDescent="0.2">
      <c r="C268" t="s">
        <v>83</v>
      </c>
      <c r="D268" t="s">
        <v>84</v>
      </c>
      <c r="E268" s="64">
        <f>_xlfn.XLOOKUP($C268,'Corporate Roster - ''24'!$C$6:$C$60,'Corporate Roster - ''24'!$E$6:$E$60)</f>
        <v>45248</v>
      </c>
      <c r="F268" s="64" t="str">
        <f>_xlfn.XLOOKUP($C268,'Corporate Roster - ''24'!$C$6:$C$60,'Corporate Roster - ''24'!$F$6:$F$60)</f>
        <v>-</v>
      </c>
      <c r="G268" s="32">
        <f t="shared" si="350"/>
        <v>22500</v>
      </c>
      <c r="H268" s="33">
        <f>_xlfn.XLOOKUP($C268,'Corporate Roster - ''24'!$C$6:$C$60,'Corporate Roster - ''24'!$H$6:$H$60)</f>
        <v>22500</v>
      </c>
      <c r="J268" s="32">
        <f t="shared" ref="J268:U268" si="359">IF(J16&gt;0,$G268/12,0)</f>
        <v>0</v>
      </c>
      <c r="K268" s="10">
        <f t="shared" si="359"/>
        <v>0</v>
      </c>
      <c r="L268" s="10">
        <f t="shared" si="359"/>
        <v>0</v>
      </c>
      <c r="M268" s="10">
        <f t="shared" si="359"/>
        <v>0</v>
      </c>
      <c r="N268" s="10">
        <f t="shared" si="359"/>
        <v>0</v>
      </c>
      <c r="O268" s="10">
        <f t="shared" si="359"/>
        <v>0</v>
      </c>
      <c r="P268" s="10">
        <f t="shared" si="359"/>
        <v>0</v>
      </c>
      <c r="Q268" s="10">
        <f t="shared" si="359"/>
        <v>0</v>
      </c>
      <c r="R268" s="10">
        <f t="shared" si="359"/>
        <v>0</v>
      </c>
      <c r="S268" s="10">
        <f t="shared" si="359"/>
        <v>0</v>
      </c>
      <c r="T268" s="10">
        <f>IF(T16&gt;0,$G268/12,0)</f>
        <v>1875</v>
      </c>
      <c r="U268" s="33">
        <f t="shared" si="359"/>
        <v>1875</v>
      </c>
      <c r="V268" s="10">
        <f t="shared" ref="V268:AG268" si="360">IF(V16&gt;0,$H268/12,0)</f>
        <v>1875</v>
      </c>
      <c r="W268" s="10">
        <f t="shared" si="360"/>
        <v>1875</v>
      </c>
      <c r="X268" s="10">
        <f t="shared" si="360"/>
        <v>1875</v>
      </c>
      <c r="Y268" s="10">
        <f t="shared" si="360"/>
        <v>1875</v>
      </c>
      <c r="Z268" s="10">
        <f t="shared" si="360"/>
        <v>1875</v>
      </c>
      <c r="AA268" s="10">
        <f t="shared" si="360"/>
        <v>1875</v>
      </c>
      <c r="AB268" s="10">
        <f t="shared" si="360"/>
        <v>1875</v>
      </c>
      <c r="AC268" s="10">
        <f t="shared" si="360"/>
        <v>1875</v>
      </c>
      <c r="AD268" s="10">
        <f t="shared" si="360"/>
        <v>1875</v>
      </c>
      <c r="AE268" s="10">
        <f t="shared" si="360"/>
        <v>1875</v>
      </c>
      <c r="AF268" s="10">
        <f t="shared" si="360"/>
        <v>1875</v>
      </c>
      <c r="AG268" s="33">
        <f t="shared" si="360"/>
        <v>1875</v>
      </c>
    </row>
    <row r="269" spans="2:33" x14ac:dyDescent="0.2">
      <c r="C269" t="s">
        <v>85</v>
      </c>
      <c r="D269" t="s">
        <v>86</v>
      </c>
      <c r="E269" s="64">
        <f>_xlfn.XLOOKUP($C269,'Corporate Roster - ''24'!$C$6:$C$60,'Corporate Roster - ''24'!$E$6:$E$60)</f>
        <v>42458</v>
      </c>
      <c r="F269" s="64" t="str">
        <f>_xlfn.XLOOKUP($C269,'Corporate Roster - ''24'!$C$6:$C$60,'Corporate Roster - ''24'!$F$6:$F$60)</f>
        <v>-</v>
      </c>
      <c r="G269" s="32">
        <f>(MROUND(H269*0.95,1000))</f>
        <v>11000</v>
      </c>
      <c r="H269" s="33">
        <f>_xlfn.XLOOKUP($C269,'Corporate Roster - ''24'!$C$6:$C$60,'Corporate Roster - ''24'!$H$6:$H$60)</f>
        <v>12000</v>
      </c>
      <c r="J269" s="32">
        <f t="shared" ref="J269:U269" si="361">IF(J17&gt;0,$G269/12,0)</f>
        <v>916.66666666666663</v>
      </c>
      <c r="K269" s="10">
        <f t="shared" si="361"/>
        <v>916.66666666666663</v>
      </c>
      <c r="L269" s="10">
        <f t="shared" si="361"/>
        <v>916.66666666666663</v>
      </c>
      <c r="M269" s="10">
        <f t="shared" si="361"/>
        <v>916.66666666666663</v>
      </c>
      <c r="N269" s="10">
        <f t="shared" si="361"/>
        <v>916.66666666666663</v>
      </c>
      <c r="O269" s="10">
        <f t="shared" si="361"/>
        <v>916.66666666666663</v>
      </c>
      <c r="P269" s="10">
        <f t="shared" si="361"/>
        <v>916.66666666666663</v>
      </c>
      <c r="Q269" s="10">
        <f t="shared" si="361"/>
        <v>916.66666666666663</v>
      </c>
      <c r="R269" s="10">
        <f t="shared" si="361"/>
        <v>916.66666666666663</v>
      </c>
      <c r="S269" s="10">
        <f t="shared" si="361"/>
        <v>916.66666666666663</v>
      </c>
      <c r="T269" s="10">
        <f t="shared" si="361"/>
        <v>916.66666666666663</v>
      </c>
      <c r="U269" s="33">
        <f t="shared" si="361"/>
        <v>916.66666666666663</v>
      </c>
      <c r="V269" s="10">
        <f t="shared" ref="V269:AG269" si="362">IF(V17&gt;0,$H269/12,0)</f>
        <v>1000</v>
      </c>
      <c r="W269" s="10">
        <f t="shared" si="362"/>
        <v>1000</v>
      </c>
      <c r="X269" s="10">
        <f t="shared" si="362"/>
        <v>1000</v>
      </c>
      <c r="Y269" s="10">
        <f t="shared" si="362"/>
        <v>1000</v>
      </c>
      <c r="Z269" s="10">
        <f t="shared" si="362"/>
        <v>1000</v>
      </c>
      <c r="AA269" s="10">
        <f t="shared" si="362"/>
        <v>1000</v>
      </c>
      <c r="AB269" s="10">
        <f t="shared" si="362"/>
        <v>1000</v>
      </c>
      <c r="AC269" s="10">
        <f t="shared" si="362"/>
        <v>1000</v>
      </c>
      <c r="AD269" s="10">
        <f t="shared" si="362"/>
        <v>1000</v>
      </c>
      <c r="AE269" s="10">
        <f t="shared" si="362"/>
        <v>1000</v>
      </c>
      <c r="AF269" s="10">
        <f t="shared" si="362"/>
        <v>1000</v>
      </c>
      <c r="AG269" s="33">
        <f t="shared" si="362"/>
        <v>1000</v>
      </c>
    </row>
    <row r="270" spans="2:33" x14ac:dyDescent="0.2">
      <c r="C270" t="s">
        <v>87</v>
      </c>
      <c r="D270" t="s">
        <v>88</v>
      </c>
      <c r="E270" s="64">
        <f>_xlfn.XLOOKUP($C270,'Corporate Roster - ''24'!$C$6:$C$60,'Corporate Roster - ''24'!$E$6:$E$60)</f>
        <v>41921</v>
      </c>
      <c r="F270" s="64" t="str">
        <f>_xlfn.XLOOKUP($C270,'Corporate Roster - ''24'!$C$6:$C$60,'Corporate Roster - ''24'!$F$6:$F$60)</f>
        <v>-</v>
      </c>
      <c r="G270" s="32">
        <f t="shared" si="350"/>
        <v>13000</v>
      </c>
      <c r="H270" s="33">
        <f>_xlfn.XLOOKUP($C270,'Corporate Roster - ''24'!$C$6:$C$60,'Corporate Roster - ''24'!$H$6:$H$60)</f>
        <v>13000</v>
      </c>
      <c r="J270" s="32">
        <f t="shared" ref="J270:U270" si="363">IF(J18&gt;0,$G270/12,0)</f>
        <v>1083.3333333333333</v>
      </c>
      <c r="K270" s="10">
        <f t="shared" si="363"/>
        <v>1083.3333333333333</v>
      </c>
      <c r="L270" s="10">
        <f t="shared" si="363"/>
        <v>1083.3333333333333</v>
      </c>
      <c r="M270" s="10">
        <f t="shared" si="363"/>
        <v>1083.3333333333333</v>
      </c>
      <c r="N270" s="10">
        <f t="shared" si="363"/>
        <v>1083.3333333333333</v>
      </c>
      <c r="O270" s="10">
        <f t="shared" si="363"/>
        <v>1083.3333333333333</v>
      </c>
      <c r="P270" s="10">
        <f t="shared" si="363"/>
        <v>1083.3333333333333</v>
      </c>
      <c r="Q270" s="10">
        <f t="shared" si="363"/>
        <v>1083.3333333333333</v>
      </c>
      <c r="R270" s="10">
        <f t="shared" si="363"/>
        <v>1083.3333333333333</v>
      </c>
      <c r="S270" s="10">
        <f t="shared" si="363"/>
        <v>1083.3333333333333</v>
      </c>
      <c r="T270" s="10">
        <f t="shared" si="363"/>
        <v>1083.3333333333333</v>
      </c>
      <c r="U270" s="33">
        <f t="shared" si="363"/>
        <v>1083.3333333333333</v>
      </c>
      <c r="V270" s="10">
        <f t="shared" ref="V270:AG270" si="364">IF(V18&gt;0,$H270/12,0)</f>
        <v>1083.3333333333333</v>
      </c>
      <c r="W270" s="10">
        <f t="shared" si="364"/>
        <v>1083.3333333333333</v>
      </c>
      <c r="X270" s="10">
        <f t="shared" si="364"/>
        <v>1083.3333333333333</v>
      </c>
      <c r="Y270" s="10">
        <f t="shared" si="364"/>
        <v>1083.3333333333333</v>
      </c>
      <c r="Z270" s="10">
        <f t="shared" si="364"/>
        <v>1083.3333333333333</v>
      </c>
      <c r="AA270" s="10">
        <f t="shared" si="364"/>
        <v>1083.3333333333333</v>
      </c>
      <c r="AB270" s="10">
        <f t="shared" si="364"/>
        <v>1083.3333333333333</v>
      </c>
      <c r="AC270" s="10">
        <f t="shared" si="364"/>
        <v>1083.3333333333333</v>
      </c>
      <c r="AD270" s="10">
        <f t="shared" si="364"/>
        <v>1083.3333333333333</v>
      </c>
      <c r="AE270" s="10">
        <f t="shared" si="364"/>
        <v>1083.3333333333333</v>
      </c>
      <c r="AF270" s="10">
        <f t="shared" si="364"/>
        <v>1083.3333333333333</v>
      </c>
      <c r="AG270" s="33">
        <f t="shared" si="364"/>
        <v>1083.3333333333333</v>
      </c>
    </row>
    <row r="271" spans="2:33" x14ac:dyDescent="0.2">
      <c r="C271" t="s">
        <v>89</v>
      </c>
      <c r="D271" t="s">
        <v>90</v>
      </c>
      <c r="E271" s="64">
        <f>_xlfn.XLOOKUP($C271,'Corporate Roster - ''24'!$C$6:$C$60,'Corporate Roster - ''24'!$E$6:$E$60)</f>
        <v>40143</v>
      </c>
      <c r="F271" s="64" t="str">
        <f>_xlfn.XLOOKUP($C271,'Corporate Roster - ''24'!$C$6:$C$60,'Corporate Roster - ''24'!$F$6:$F$60)</f>
        <v>-</v>
      </c>
      <c r="G271" s="32">
        <f>(MROUND(H271*0.95,1000))</f>
        <v>12000</v>
      </c>
      <c r="H271" s="33">
        <f>_xlfn.XLOOKUP($C271,'Corporate Roster - ''24'!$C$6:$C$60,'Corporate Roster - ''24'!$H$6:$H$60)</f>
        <v>13000</v>
      </c>
      <c r="J271" s="32">
        <f t="shared" ref="J271:U271" si="365">IF(J19&gt;0,$G271/12,0)</f>
        <v>1000</v>
      </c>
      <c r="K271" s="10">
        <f t="shared" si="365"/>
        <v>1000</v>
      </c>
      <c r="L271" s="10">
        <f t="shared" si="365"/>
        <v>1000</v>
      </c>
      <c r="M271" s="10">
        <f t="shared" si="365"/>
        <v>1000</v>
      </c>
      <c r="N271" s="10">
        <f t="shared" si="365"/>
        <v>1000</v>
      </c>
      <c r="O271" s="10">
        <f t="shared" si="365"/>
        <v>1000</v>
      </c>
      <c r="P271" s="10">
        <f t="shared" si="365"/>
        <v>1000</v>
      </c>
      <c r="Q271" s="10">
        <f t="shared" si="365"/>
        <v>1000</v>
      </c>
      <c r="R271" s="10">
        <f t="shared" si="365"/>
        <v>1000</v>
      </c>
      <c r="S271" s="10">
        <f t="shared" si="365"/>
        <v>1000</v>
      </c>
      <c r="T271" s="10">
        <f t="shared" si="365"/>
        <v>1000</v>
      </c>
      <c r="U271" s="33">
        <f t="shared" si="365"/>
        <v>1000</v>
      </c>
      <c r="V271" s="10">
        <f t="shared" ref="V271:AG271" si="366">IF(V19&gt;0,$H271/12,0)</f>
        <v>1083.3333333333333</v>
      </c>
      <c r="W271" s="10">
        <f t="shared" si="366"/>
        <v>1083.3333333333333</v>
      </c>
      <c r="X271" s="10">
        <f t="shared" si="366"/>
        <v>1083.3333333333333</v>
      </c>
      <c r="Y271" s="10">
        <f t="shared" si="366"/>
        <v>1083.3333333333333</v>
      </c>
      <c r="Z271" s="10">
        <f t="shared" si="366"/>
        <v>1083.3333333333333</v>
      </c>
      <c r="AA271" s="10">
        <f t="shared" si="366"/>
        <v>1083.3333333333333</v>
      </c>
      <c r="AB271" s="10">
        <f t="shared" si="366"/>
        <v>1083.3333333333333</v>
      </c>
      <c r="AC271" s="10">
        <f t="shared" si="366"/>
        <v>1083.3333333333333</v>
      </c>
      <c r="AD271" s="10">
        <f t="shared" si="366"/>
        <v>1083.3333333333333</v>
      </c>
      <c r="AE271" s="10">
        <f t="shared" si="366"/>
        <v>1083.3333333333333</v>
      </c>
      <c r="AF271" s="10">
        <f t="shared" si="366"/>
        <v>1083.3333333333333</v>
      </c>
      <c r="AG271" s="33">
        <f t="shared" si="366"/>
        <v>1083.3333333333333</v>
      </c>
    </row>
    <row r="272" spans="2:33" x14ac:dyDescent="0.2">
      <c r="C272" t="s">
        <v>81</v>
      </c>
      <c r="D272" t="s">
        <v>91</v>
      </c>
      <c r="E272" s="64">
        <f>_xlfn.XLOOKUP($C272,'Corporate Roster - ''24'!$C$6:$C$60,'Corporate Roster - ''24'!$E$6:$E$60)</f>
        <v>40811</v>
      </c>
      <c r="F272" s="64" t="str">
        <f>_xlfn.XLOOKUP($C272,'Corporate Roster - ''24'!$C$6:$C$60,'Corporate Roster - ''24'!$F$6:$F$60)</f>
        <v>-</v>
      </c>
      <c r="G272" s="32">
        <f t="shared" si="350"/>
        <v>11000</v>
      </c>
      <c r="H272" s="33">
        <f>_xlfn.XLOOKUP($C272,'Corporate Roster - ''24'!$C$6:$C$60,'Corporate Roster - ''24'!$H$6:$H$60)</f>
        <v>11000</v>
      </c>
      <c r="J272" s="32">
        <f t="shared" ref="J272:U272" si="367">IF(J20&gt;0,$G272/12,0)</f>
        <v>916.66666666666663</v>
      </c>
      <c r="K272" s="10">
        <f t="shared" si="367"/>
        <v>916.66666666666663</v>
      </c>
      <c r="L272" s="10">
        <f t="shared" si="367"/>
        <v>916.66666666666663</v>
      </c>
      <c r="M272" s="10">
        <f t="shared" si="367"/>
        <v>916.66666666666663</v>
      </c>
      <c r="N272" s="10">
        <f t="shared" si="367"/>
        <v>916.66666666666663</v>
      </c>
      <c r="O272" s="10">
        <f t="shared" si="367"/>
        <v>916.66666666666663</v>
      </c>
      <c r="P272" s="10">
        <f t="shared" si="367"/>
        <v>916.66666666666663</v>
      </c>
      <c r="Q272" s="10">
        <f t="shared" si="367"/>
        <v>916.66666666666663</v>
      </c>
      <c r="R272" s="10">
        <f t="shared" si="367"/>
        <v>916.66666666666663</v>
      </c>
      <c r="S272" s="10">
        <f t="shared" si="367"/>
        <v>916.66666666666663</v>
      </c>
      <c r="T272" s="10">
        <f t="shared" si="367"/>
        <v>916.66666666666663</v>
      </c>
      <c r="U272" s="33">
        <f t="shared" si="367"/>
        <v>916.66666666666663</v>
      </c>
      <c r="V272" s="10">
        <f t="shared" ref="V272:AG272" si="368">IF(V20&gt;0,$H272/12,0)</f>
        <v>916.66666666666663</v>
      </c>
      <c r="W272" s="10">
        <f t="shared" si="368"/>
        <v>916.66666666666663</v>
      </c>
      <c r="X272" s="10">
        <f t="shared" si="368"/>
        <v>916.66666666666663</v>
      </c>
      <c r="Y272" s="10">
        <f t="shared" si="368"/>
        <v>916.66666666666663</v>
      </c>
      <c r="Z272" s="10">
        <f t="shared" si="368"/>
        <v>916.66666666666663</v>
      </c>
      <c r="AA272" s="10">
        <f t="shared" si="368"/>
        <v>916.66666666666663</v>
      </c>
      <c r="AB272" s="10">
        <f t="shared" si="368"/>
        <v>916.66666666666663</v>
      </c>
      <c r="AC272" s="10">
        <f t="shared" si="368"/>
        <v>916.66666666666663</v>
      </c>
      <c r="AD272" s="10">
        <f t="shared" si="368"/>
        <v>916.66666666666663</v>
      </c>
      <c r="AE272" s="10">
        <f t="shared" si="368"/>
        <v>916.66666666666663</v>
      </c>
      <c r="AF272" s="10">
        <f t="shared" si="368"/>
        <v>916.66666666666663</v>
      </c>
      <c r="AG272" s="33">
        <f t="shared" si="368"/>
        <v>916.66666666666663</v>
      </c>
    </row>
    <row r="273" spans="3:33" x14ac:dyDescent="0.2">
      <c r="C273" t="s">
        <v>92</v>
      </c>
      <c r="D273" t="s">
        <v>93</v>
      </c>
      <c r="E273" s="64">
        <f>_xlfn.XLOOKUP($C273,'Corporate Roster - ''24'!$C$6:$C$60,'Corporate Roster - ''24'!$E$6:$E$60)</f>
        <v>43400</v>
      </c>
      <c r="F273" s="64" t="str">
        <f>_xlfn.XLOOKUP($C273,'Corporate Roster - ''24'!$C$6:$C$60,'Corporate Roster - ''24'!$F$6:$F$60)</f>
        <v>-</v>
      </c>
      <c r="G273" s="32">
        <f>(MROUND(H273*0.8,1000))</f>
        <v>10000</v>
      </c>
      <c r="H273" s="33">
        <f>_xlfn.XLOOKUP($C273,'Corporate Roster - ''24'!$C$6:$C$60,'Corporate Roster - ''24'!$H$6:$H$60)</f>
        <v>12000</v>
      </c>
      <c r="J273" s="32">
        <f t="shared" ref="J273:U273" si="369">IF(J21&gt;0,$G273/12,0)</f>
        <v>833.33333333333337</v>
      </c>
      <c r="K273" s="10">
        <f t="shared" si="369"/>
        <v>833.33333333333337</v>
      </c>
      <c r="L273" s="10">
        <f t="shared" si="369"/>
        <v>833.33333333333337</v>
      </c>
      <c r="M273" s="10">
        <f t="shared" si="369"/>
        <v>833.33333333333337</v>
      </c>
      <c r="N273" s="10">
        <f t="shared" si="369"/>
        <v>833.33333333333337</v>
      </c>
      <c r="O273" s="10">
        <f t="shared" si="369"/>
        <v>833.33333333333337</v>
      </c>
      <c r="P273" s="10">
        <f t="shared" si="369"/>
        <v>833.33333333333337</v>
      </c>
      <c r="Q273" s="10">
        <f t="shared" si="369"/>
        <v>833.33333333333337</v>
      </c>
      <c r="R273" s="10">
        <f t="shared" si="369"/>
        <v>833.33333333333337</v>
      </c>
      <c r="S273" s="10">
        <f t="shared" si="369"/>
        <v>833.33333333333337</v>
      </c>
      <c r="T273" s="10">
        <f t="shared" si="369"/>
        <v>833.33333333333337</v>
      </c>
      <c r="U273" s="33">
        <f t="shared" si="369"/>
        <v>833.33333333333337</v>
      </c>
      <c r="V273" s="10">
        <f t="shared" ref="V273:AG273" si="370">IF(V21&gt;0,$H273/12,0)</f>
        <v>1000</v>
      </c>
      <c r="W273" s="10">
        <f t="shared" si="370"/>
        <v>1000</v>
      </c>
      <c r="X273" s="10">
        <f t="shared" si="370"/>
        <v>1000</v>
      </c>
      <c r="Y273" s="10">
        <f t="shared" si="370"/>
        <v>1000</v>
      </c>
      <c r="Z273" s="10">
        <f t="shared" si="370"/>
        <v>1000</v>
      </c>
      <c r="AA273" s="10">
        <f t="shared" si="370"/>
        <v>1000</v>
      </c>
      <c r="AB273" s="10">
        <f t="shared" si="370"/>
        <v>1000</v>
      </c>
      <c r="AC273" s="10">
        <f t="shared" si="370"/>
        <v>1000</v>
      </c>
      <c r="AD273" s="10">
        <f t="shared" si="370"/>
        <v>1000</v>
      </c>
      <c r="AE273" s="10">
        <f t="shared" si="370"/>
        <v>1000</v>
      </c>
      <c r="AF273" s="10">
        <f t="shared" si="370"/>
        <v>1000</v>
      </c>
      <c r="AG273" s="33">
        <f t="shared" si="370"/>
        <v>1000</v>
      </c>
    </row>
    <row r="274" spans="3:33" x14ac:dyDescent="0.2">
      <c r="C274" t="s">
        <v>94</v>
      </c>
      <c r="D274" t="s">
        <v>95</v>
      </c>
      <c r="E274" s="64">
        <f>_xlfn.XLOOKUP($C274,'Corporate Roster - ''24'!$C$6:$C$60,'Corporate Roster - ''24'!$E$6:$E$60)</f>
        <v>40031</v>
      </c>
      <c r="F274" s="64" t="str">
        <f>_xlfn.XLOOKUP($C274,'Corporate Roster - ''24'!$C$6:$C$60,'Corporate Roster - ''24'!$F$6:$F$60)</f>
        <v>-</v>
      </c>
      <c r="G274" s="32">
        <f t="shared" si="350"/>
        <v>14000</v>
      </c>
      <c r="H274" s="33">
        <f>_xlfn.XLOOKUP($C274,'Corporate Roster - ''24'!$C$6:$C$60,'Corporate Roster - ''24'!$H$6:$H$60)</f>
        <v>14000</v>
      </c>
      <c r="J274" s="32">
        <f t="shared" ref="J274:U274" si="371">IF(J22&gt;0,$G274/12,0)</f>
        <v>1166.6666666666667</v>
      </c>
      <c r="K274" s="10">
        <f t="shared" si="371"/>
        <v>1166.6666666666667</v>
      </c>
      <c r="L274" s="10">
        <f t="shared" si="371"/>
        <v>1166.6666666666667</v>
      </c>
      <c r="M274" s="10">
        <f t="shared" si="371"/>
        <v>1166.6666666666667</v>
      </c>
      <c r="N274" s="10">
        <f t="shared" si="371"/>
        <v>1166.6666666666667</v>
      </c>
      <c r="O274" s="10">
        <f t="shared" si="371"/>
        <v>1166.6666666666667</v>
      </c>
      <c r="P274" s="10">
        <f t="shared" si="371"/>
        <v>1166.6666666666667</v>
      </c>
      <c r="Q274" s="10">
        <f t="shared" si="371"/>
        <v>1166.6666666666667</v>
      </c>
      <c r="R274" s="10">
        <f t="shared" si="371"/>
        <v>1166.6666666666667</v>
      </c>
      <c r="S274" s="10">
        <f t="shared" si="371"/>
        <v>1166.6666666666667</v>
      </c>
      <c r="T274" s="10">
        <f t="shared" si="371"/>
        <v>1166.6666666666667</v>
      </c>
      <c r="U274" s="33">
        <f t="shared" si="371"/>
        <v>1166.6666666666667</v>
      </c>
      <c r="V274" s="10">
        <f t="shared" ref="V274:AG274" si="372">IF(V22&gt;0,$H274/12,0)</f>
        <v>1166.6666666666667</v>
      </c>
      <c r="W274" s="10">
        <f t="shared" si="372"/>
        <v>1166.6666666666667</v>
      </c>
      <c r="X274" s="10">
        <f t="shared" si="372"/>
        <v>1166.6666666666667</v>
      </c>
      <c r="Y274" s="10">
        <f t="shared" si="372"/>
        <v>1166.6666666666667</v>
      </c>
      <c r="Z274" s="10">
        <f t="shared" si="372"/>
        <v>1166.6666666666667</v>
      </c>
      <c r="AA274" s="10">
        <f t="shared" si="372"/>
        <v>1166.6666666666667</v>
      </c>
      <c r="AB274" s="10">
        <f t="shared" si="372"/>
        <v>1166.6666666666667</v>
      </c>
      <c r="AC274" s="10">
        <f t="shared" si="372"/>
        <v>1166.6666666666667</v>
      </c>
      <c r="AD274" s="10">
        <f t="shared" si="372"/>
        <v>1166.6666666666667</v>
      </c>
      <c r="AE274" s="10">
        <f t="shared" si="372"/>
        <v>1166.6666666666667</v>
      </c>
      <c r="AF274" s="10">
        <f t="shared" si="372"/>
        <v>1166.6666666666667</v>
      </c>
      <c r="AG274" s="33">
        <f t="shared" si="372"/>
        <v>1166.6666666666667</v>
      </c>
    </row>
    <row r="275" spans="3:33" x14ac:dyDescent="0.2">
      <c r="C275" t="s">
        <v>96</v>
      </c>
      <c r="D275" t="s">
        <v>97</v>
      </c>
      <c r="E275" s="64">
        <f>_xlfn.XLOOKUP($C275,'Corporate Roster - ''24'!$C$6:$C$60,'Corporate Roster - ''24'!$E$6:$E$60)</f>
        <v>44978</v>
      </c>
      <c r="F275" s="64" t="str">
        <f>_xlfn.XLOOKUP($C275,'Corporate Roster - ''24'!$C$6:$C$60,'Corporate Roster - ''24'!$F$6:$F$60)</f>
        <v>-</v>
      </c>
      <c r="G275" s="32">
        <f t="shared" si="350"/>
        <v>10000</v>
      </c>
      <c r="H275" s="33">
        <f>_xlfn.XLOOKUP($C275,'Corporate Roster - ''24'!$C$6:$C$60,'Corporate Roster - ''24'!$H$6:$H$60)</f>
        <v>10000</v>
      </c>
      <c r="J275" s="32">
        <f t="shared" ref="J275:U275" si="373">IF(J23&gt;0,$G275/12,0)</f>
        <v>0</v>
      </c>
      <c r="K275" s="10">
        <f t="shared" si="373"/>
        <v>833.33333333333337</v>
      </c>
      <c r="L275" s="10">
        <f t="shared" si="373"/>
        <v>833.33333333333337</v>
      </c>
      <c r="M275" s="10">
        <f t="shared" si="373"/>
        <v>833.33333333333337</v>
      </c>
      <c r="N275" s="10">
        <f t="shared" si="373"/>
        <v>833.33333333333337</v>
      </c>
      <c r="O275" s="10">
        <f t="shared" si="373"/>
        <v>833.33333333333337</v>
      </c>
      <c r="P275" s="10">
        <f t="shared" si="373"/>
        <v>833.33333333333337</v>
      </c>
      <c r="Q275" s="10">
        <f t="shared" si="373"/>
        <v>833.33333333333337</v>
      </c>
      <c r="R275" s="10">
        <f t="shared" si="373"/>
        <v>833.33333333333337</v>
      </c>
      <c r="S275" s="10">
        <f t="shared" si="373"/>
        <v>833.33333333333337</v>
      </c>
      <c r="T275" s="10">
        <f t="shared" si="373"/>
        <v>833.33333333333337</v>
      </c>
      <c r="U275" s="33">
        <f t="shared" si="373"/>
        <v>833.33333333333337</v>
      </c>
      <c r="V275" s="10">
        <f t="shared" ref="V275:AG275" si="374">IF(V23&gt;0,$H275/12,0)</f>
        <v>833.33333333333337</v>
      </c>
      <c r="W275" s="10">
        <f t="shared" si="374"/>
        <v>833.33333333333337</v>
      </c>
      <c r="X275" s="10">
        <f t="shared" si="374"/>
        <v>833.33333333333337</v>
      </c>
      <c r="Y275" s="10">
        <f t="shared" si="374"/>
        <v>833.33333333333337</v>
      </c>
      <c r="Z275" s="10">
        <f t="shared" si="374"/>
        <v>833.33333333333337</v>
      </c>
      <c r="AA275" s="10">
        <f t="shared" si="374"/>
        <v>833.33333333333337</v>
      </c>
      <c r="AB275" s="10">
        <f t="shared" si="374"/>
        <v>833.33333333333337</v>
      </c>
      <c r="AC275" s="10">
        <f t="shared" si="374"/>
        <v>833.33333333333337</v>
      </c>
      <c r="AD275" s="10">
        <f t="shared" si="374"/>
        <v>833.33333333333337</v>
      </c>
      <c r="AE275" s="10">
        <f t="shared" si="374"/>
        <v>833.33333333333337</v>
      </c>
      <c r="AF275" s="10">
        <f t="shared" si="374"/>
        <v>833.33333333333337</v>
      </c>
      <c r="AG275" s="33">
        <f t="shared" si="374"/>
        <v>833.33333333333337</v>
      </c>
    </row>
    <row r="276" spans="3:33" x14ac:dyDescent="0.2">
      <c r="C276" t="s">
        <v>98</v>
      </c>
      <c r="D276" t="s">
        <v>99</v>
      </c>
      <c r="E276" s="64">
        <f>_xlfn.XLOOKUP($C276,'Corporate Roster - ''24'!$C$6:$C$60,'Corporate Roster - ''24'!$E$6:$E$60)</f>
        <v>41398</v>
      </c>
      <c r="F276" s="64" t="str">
        <f>_xlfn.XLOOKUP($C276,'Corporate Roster - ''24'!$C$6:$C$60,'Corporate Roster - ''24'!$F$6:$F$60)</f>
        <v>-</v>
      </c>
      <c r="G276" s="32">
        <f>(MROUND(H276*0.95,1000))</f>
        <v>4000</v>
      </c>
      <c r="H276" s="33">
        <f>_xlfn.XLOOKUP($C276,'Corporate Roster - ''24'!$C$6:$C$60,'Corporate Roster - ''24'!$H$6:$H$60)</f>
        <v>4000</v>
      </c>
      <c r="J276" s="32">
        <f t="shared" ref="J276:U276" si="375">IF(J24&gt;0,$G276/12,0)</f>
        <v>333.33333333333331</v>
      </c>
      <c r="K276" s="10">
        <f t="shared" si="375"/>
        <v>333.33333333333331</v>
      </c>
      <c r="L276" s="10">
        <f t="shared" si="375"/>
        <v>333.33333333333331</v>
      </c>
      <c r="M276" s="10">
        <f t="shared" si="375"/>
        <v>333.33333333333331</v>
      </c>
      <c r="N276" s="10">
        <f t="shared" si="375"/>
        <v>333.33333333333331</v>
      </c>
      <c r="O276" s="10">
        <f t="shared" si="375"/>
        <v>333.33333333333331</v>
      </c>
      <c r="P276" s="10">
        <f t="shared" si="375"/>
        <v>333.33333333333331</v>
      </c>
      <c r="Q276" s="10">
        <f t="shared" si="375"/>
        <v>333.33333333333331</v>
      </c>
      <c r="R276" s="10">
        <f t="shared" si="375"/>
        <v>333.33333333333331</v>
      </c>
      <c r="S276" s="10">
        <f t="shared" si="375"/>
        <v>333.33333333333331</v>
      </c>
      <c r="T276" s="10">
        <f t="shared" si="375"/>
        <v>333.33333333333331</v>
      </c>
      <c r="U276" s="33">
        <f t="shared" si="375"/>
        <v>333.33333333333331</v>
      </c>
      <c r="V276" s="10">
        <f t="shared" ref="V276:AG276" si="376">IF(V24&gt;0,$H276/12,0)</f>
        <v>333.33333333333331</v>
      </c>
      <c r="W276" s="10">
        <f t="shared" si="376"/>
        <v>333.33333333333331</v>
      </c>
      <c r="X276" s="10">
        <f t="shared" si="376"/>
        <v>333.33333333333331</v>
      </c>
      <c r="Y276" s="10">
        <f t="shared" si="376"/>
        <v>333.33333333333331</v>
      </c>
      <c r="Z276" s="10">
        <f t="shared" si="376"/>
        <v>333.33333333333331</v>
      </c>
      <c r="AA276" s="10">
        <f t="shared" si="376"/>
        <v>333.33333333333331</v>
      </c>
      <c r="AB276" s="10">
        <f t="shared" si="376"/>
        <v>333.33333333333331</v>
      </c>
      <c r="AC276" s="10">
        <f t="shared" si="376"/>
        <v>333.33333333333331</v>
      </c>
      <c r="AD276" s="10">
        <f t="shared" si="376"/>
        <v>333.33333333333331</v>
      </c>
      <c r="AE276" s="10">
        <f t="shared" si="376"/>
        <v>333.33333333333331</v>
      </c>
      <c r="AF276" s="10">
        <f t="shared" si="376"/>
        <v>333.33333333333331</v>
      </c>
      <c r="AG276" s="33">
        <f t="shared" si="376"/>
        <v>333.33333333333331</v>
      </c>
    </row>
    <row r="277" spans="3:33" x14ac:dyDescent="0.2">
      <c r="C277" t="s">
        <v>100</v>
      </c>
      <c r="D277" t="s">
        <v>101</v>
      </c>
      <c r="E277" s="64">
        <f>_xlfn.XLOOKUP($C277,'Corporate Roster - ''24'!$C$6:$C$60,'Corporate Roster - ''24'!$E$6:$E$60)</f>
        <v>40362</v>
      </c>
      <c r="F277" s="64" t="str">
        <f>_xlfn.XLOOKUP($C277,'Corporate Roster - ''24'!$C$6:$C$60,'Corporate Roster - ''24'!$F$6:$F$60)</f>
        <v>-</v>
      </c>
      <c r="G277" s="32">
        <f t="shared" si="350"/>
        <v>3750</v>
      </c>
      <c r="H277" s="33">
        <f>_xlfn.XLOOKUP($C277,'Corporate Roster - ''24'!$C$6:$C$60,'Corporate Roster - ''24'!$H$6:$H$60)</f>
        <v>3750</v>
      </c>
      <c r="J277" s="32">
        <f t="shared" ref="J277:U277" si="377">IF(J25&gt;0,$G277/12,0)</f>
        <v>312.5</v>
      </c>
      <c r="K277" s="10">
        <f t="shared" si="377"/>
        <v>312.5</v>
      </c>
      <c r="L277" s="10">
        <f t="shared" si="377"/>
        <v>312.5</v>
      </c>
      <c r="M277" s="10">
        <f t="shared" si="377"/>
        <v>312.5</v>
      </c>
      <c r="N277" s="10">
        <f t="shared" si="377"/>
        <v>312.5</v>
      </c>
      <c r="O277" s="10">
        <f t="shared" si="377"/>
        <v>312.5</v>
      </c>
      <c r="P277" s="10">
        <f t="shared" si="377"/>
        <v>312.5</v>
      </c>
      <c r="Q277" s="10">
        <f t="shared" si="377"/>
        <v>312.5</v>
      </c>
      <c r="R277" s="10">
        <f t="shared" si="377"/>
        <v>312.5</v>
      </c>
      <c r="S277" s="10">
        <f t="shared" si="377"/>
        <v>312.5</v>
      </c>
      <c r="T277" s="10">
        <f t="shared" si="377"/>
        <v>312.5</v>
      </c>
      <c r="U277" s="33">
        <f t="shared" si="377"/>
        <v>312.5</v>
      </c>
      <c r="V277" s="10">
        <f t="shared" ref="V277:AG277" si="378">IF(V25&gt;0,$H277/12,0)</f>
        <v>312.5</v>
      </c>
      <c r="W277" s="10">
        <f t="shared" si="378"/>
        <v>312.5</v>
      </c>
      <c r="X277" s="10">
        <f t="shared" si="378"/>
        <v>312.5</v>
      </c>
      <c r="Y277" s="10">
        <f t="shared" si="378"/>
        <v>312.5</v>
      </c>
      <c r="Z277" s="10">
        <f t="shared" si="378"/>
        <v>312.5</v>
      </c>
      <c r="AA277" s="10">
        <f t="shared" si="378"/>
        <v>312.5</v>
      </c>
      <c r="AB277" s="10">
        <f t="shared" si="378"/>
        <v>312.5</v>
      </c>
      <c r="AC277" s="10">
        <f t="shared" si="378"/>
        <v>312.5</v>
      </c>
      <c r="AD277" s="10">
        <f t="shared" si="378"/>
        <v>312.5</v>
      </c>
      <c r="AE277" s="10">
        <f t="shared" si="378"/>
        <v>312.5</v>
      </c>
      <c r="AF277" s="10">
        <f t="shared" si="378"/>
        <v>312.5</v>
      </c>
      <c r="AG277" s="33">
        <f t="shared" si="378"/>
        <v>312.5</v>
      </c>
    </row>
    <row r="278" spans="3:33" x14ac:dyDescent="0.2">
      <c r="C278" t="s">
        <v>102</v>
      </c>
      <c r="D278" t="s">
        <v>103</v>
      </c>
      <c r="E278" s="64">
        <f>_xlfn.XLOOKUP($C278,'Corporate Roster - ''24'!$C$6:$C$60,'Corporate Roster - ''24'!$E$6:$E$60)</f>
        <v>45063</v>
      </c>
      <c r="F278" s="64" t="str">
        <f>_xlfn.XLOOKUP($C278,'Corporate Roster - ''24'!$C$6:$C$60,'Corporate Roster - ''24'!$F$6:$F$60)</f>
        <v>-</v>
      </c>
      <c r="G278" s="32">
        <f t="shared" si="350"/>
        <v>4250</v>
      </c>
      <c r="H278" s="33">
        <f>_xlfn.XLOOKUP($C278,'Corporate Roster - ''24'!$C$6:$C$60,'Corporate Roster - ''24'!$H$6:$H$60)</f>
        <v>4250</v>
      </c>
      <c r="J278" s="32">
        <f t="shared" ref="J278:U278" si="379">IF(J26&gt;0,$G278/12,0)</f>
        <v>0</v>
      </c>
      <c r="K278" s="10">
        <f t="shared" si="379"/>
        <v>0</v>
      </c>
      <c r="L278" s="10">
        <f t="shared" si="379"/>
        <v>0</v>
      </c>
      <c r="M278" s="10">
        <f t="shared" si="379"/>
        <v>0</v>
      </c>
      <c r="N278" s="10">
        <f t="shared" si="379"/>
        <v>354.16666666666669</v>
      </c>
      <c r="O278" s="10">
        <f t="shared" si="379"/>
        <v>354.16666666666669</v>
      </c>
      <c r="P278" s="10">
        <f t="shared" si="379"/>
        <v>354.16666666666669</v>
      </c>
      <c r="Q278" s="10">
        <f t="shared" si="379"/>
        <v>354.16666666666669</v>
      </c>
      <c r="R278" s="10">
        <f t="shared" si="379"/>
        <v>354.16666666666669</v>
      </c>
      <c r="S278" s="10">
        <f t="shared" si="379"/>
        <v>354.16666666666669</v>
      </c>
      <c r="T278" s="10">
        <f t="shared" si="379"/>
        <v>354.16666666666669</v>
      </c>
      <c r="U278" s="33">
        <f t="shared" si="379"/>
        <v>354.16666666666669</v>
      </c>
      <c r="V278" s="10">
        <f t="shared" ref="V278:AG278" si="380">IF(V26&gt;0,$H278/12,0)</f>
        <v>354.16666666666669</v>
      </c>
      <c r="W278" s="10">
        <f t="shared" si="380"/>
        <v>354.16666666666669</v>
      </c>
      <c r="X278" s="10">
        <f t="shared" si="380"/>
        <v>354.16666666666669</v>
      </c>
      <c r="Y278" s="10">
        <f t="shared" si="380"/>
        <v>354.16666666666669</v>
      </c>
      <c r="Z278" s="10">
        <f t="shared" si="380"/>
        <v>354.16666666666669</v>
      </c>
      <c r="AA278" s="10">
        <f t="shared" si="380"/>
        <v>354.16666666666669</v>
      </c>
      <c r="AB278" s="10">
        <f t="shared" si="380"/>
        <v>354.16666666666669</v>
      </c>
      <c r="AC278" s="10">
        <f t="shared" si="380"/>
        <v>354.16666666666669</v>
      </c>
      <c r="AD278" s="10">
        <f t="shared" si="380"/>
        <v>354.16666666666669</v>
      </c>
      <c r="AE278" s="10">
        <f t="shared" si="380"/>
        <v>354.16666666666669</v>
      </c>
      <c r="AF278" s="10">
        <f t="shared" si="380"/>
        <v>354.16666666666669</v>
      </c>
      <c r="AG278" s="33">
        <f t="shared" si="380"/>
        <v>354.16666666666669</v>
      </c>
    </row>
    <row r="279" spans="3:33" x14ac:dyDescent="0.2">
      <c r="C279" t="s">
        <v>104</v>
      </c>
      <c r="D279" t="s">
        <v>105</v>
      </c>
      <c r="E279" s="64">
        <f>_xlfn.XLOOKUP($C279,'Corporate Roster - ''24'!$C$6:$C$60,'Corporate Roster - ''24'!$E$6:$E$60)</f>
        <v>44169</v>
      </c>
      <c r="F279" s="64" t="str">
        <f>_xlfn.XLOOKUP($C279,'Corporate Roster - ''24'!$C$6:$C$60,'Corporate Roster - ''24'!$F$6:$F$60)</f>
        <v>-</v>
      </c>
      <c r="G279" s="32">
        <f t="shared" si="350"/>
        <v>3000</v>
      </c>
      <c r="H279" s="33">
        <f>_xlfn.XLOOKUP($C279,'Corporate Roster - ''24'!$C$6:$C$60,'Corporate Roster - ''24'!$H$6:$H$60)</f>
        <v>3000</v>
      </c>
      <c r="J279" s="32">
        <f t="shared" ref="J279:U279" si="381">IF(J27&gt;0,$G279/12,0)</f>
        <v>250</v>
      </c>
      <c r="K279" s="10">
        <f t="shared" si="381"/>
        <v>250</v>
      </c>
      <c r="L279" s="10">
        <f t="shared" si="381"/>
        <v>250</v>
      </c>
      <c r="M279" s="10">
        <f t="shared" si="381"/>
        <v>250</v>
      </c>
      <c r="N279" s="10">
        <f t="shared" si="381"/>
        <v>250</v>
      </c>
      <c r="O279" s="10">
        <f t="shared" si="381"/>
        <v>250</v>
      </c>
      <c r="P279" s="10">
        <f t="shared" si="381"/>
        <v>250</v>
      </c>
      <c r="Q279" s="10">
        <f t="shared" si="381"/>
        <v>250</v>
      </c>
      <c r="R279" s="10">
        <f t="shared" si="381"/>
        <v>250</v>
      </c>
      <c r="S279" s="10">
        <f t="shared" si="381"/>
        <v>250</v>
      </c>
      <c r="T279" s="10">
        <f t="shared" si="381"/>
        <v>250</v>
      </c>
      <c r="U279" s="33">
        <f t="shared" si="381"/>
        <v>250</v>
      </c>
      <c r="V279" s="10">
        <f t="shared" ref="V279:AG279" si="382">IF(V27&gt;0,$H279/12,0)</f>
        <v>250</v>
      </c>
      <c r="W279" s="10">
        <f t="shared" si="382"/>
        <v>250</v>
      </c>
      <c r="X279" s="10">
        <f t="shared" si="382"/>
        <v>250</v>
      </c>
      <c r="Y279" s="10">
        <f t="shared" si="382"/>
        <v>250</v>
      </c>
      <c r="Z279" s="10">
        <f t="shared" si="382"/>
        <v>250</v>
      </c>
      <c r="AA279" s="10">
        <f t="shared" si="382"/>
        <v>250</v>
      </c>
      <c r="AB279" s="10">
        <f t="shared" si="382"/>
        <v>250</v>
      </c>
      <c r="AC279" s="10">
        <f t="shared" si="382"/>
        <v>250</v>
      </c>
      <c r="AD279" s="10">
        <f t="shared" si="382"/>
        <v>250</v>
      </c>
      <c r="AE279" s="10">
        <f t="shared" si="382"/>
        <v>250</v>
      </c>
      <c r="AF279" s="10">
        <f t="shared" si="382"/>
        <v>250</v>
      </c>
      <c r="AG279" s="33">
        <f t="shared" si="382"/>
        <v>250</v>
      </c>
    </row>
    <row r="280" spans="3:33" x14ac:dyDescent="0.2">
      <c r="C280" t="s">
        <v>148</v>
      </c>
      <c r="D280" t="s">
        <v>107</v>
      </c>
      <c r="E280" s="64">
        <f>_xlfn.XLOOKUP($C280,'Corporate Roster - ''24'!$C$6:$C$60,'Corporate Roster - ''24'!$E$6:$E$60)</f>
        <v>45017</v>
      </c>
      <c r="F280" s="64" t="str">
        <f>_xlfn.XLOOKUP($C280,'Corporate Roster - ''24'!$C$6:$C$60,'Corporate Roster - ''24'!$F$6:$F$60)</f>
        <v>-</v>
      </c>
      <c r="G280" s="32">
        <f>(MROUND(H280*0.95,1000))</f>
        <v>3000</v>
      </c>
      <c r="H280" s="33">
        <f>_xlfn.XLOOKUP($C280,'Corporate Roster - ''24'!$C$6:$C$60,'Corporate Roster - ''24'!$H$6:$H$60)</f>
        <v>3500</v>
      </c>
      <c r="J280" s="32">
        <f t="shared" ref="J280:U280" si="383">IF(J28&gt;0,$G280/12,0)</f>
        <v>0</v>
      </c>
      <c r="K280" s="10">
        <f t="shared" si="383"/>
        <v>0</v>
      </c>
      <c r="L280" s="10">
        <f t="shared" si="383"/>
        <v>0</v>
      </c>
      <c r="M280" s="10">
        <f t="shared" si="383"/>
        <v>250</v>
      </c>
      <c r="N280" s="10">
        <f t="shared" si="383"/>
        <v>250</v>
      </c>
      <c r="O280" s="10">
        <f t="shared" si="383"/>
        <v>250</v>
      </c>
      <c r="P280" s="10">
        <f t="shared" si="383"/>
        <v>250</v>
      </c>
      <c r="Q280" s="10">
        <f t="shared" si="383"/>
        <v>250</v>
      </c>
      <c r="R280" s="10">
        <f t="shared" si="383"/>
        <v>250</v>
      </c>
      <c r="S280" s="10">
        <f t="shared" si="383"/>
        <v>250</v>
      </c>
      <c r="T280" s="10">
        <f t="shared" si="383"/>
        <v>250</v>
      </c>
      <c r="U280" s="33">
        <f t="shared" si="383"/>
        <v>250</v>
      </c>
      <c r="V280" s="10">
        <f t="shared" ref="V280:AG280" si="384">IF(V28&gt;0,$H280/12,0)</f>
        <v>291.66666666666669</v>
      </c>
      <c r="W280" s="10">
        <f t="shared" si="384"/>
        <v>291.66666666666669</v>
      </c>
      <c r="X280" s="10">
        <f t="shared" si="384"/>
        <v>291.66666666666669</v>
      </c>
      <c r="Y280" s="10">
        <f t="shared" si="384"/>
        <v>291.66666666666669</v>
      </c>
      <c r="Z280" s="10">
        <f t="shared" si="384"/>
        <v>291.66666666666669</v>
      </c>
      <c r="AA280" s="10">
        <f t="shared" si="384"/>
        <v>291.66666666666669</v>
      </c>
      <c r="AB280" s="10">
        <f t="shared" si="384"/>
        <v>291.66666666666669</v>
      </c>
      <c r="AC280" s="10">
        <f t="shared" si="384"/>
        <v>291.66666666666669</v>
      </c>
      <c r="AD280" s="10">
        <f t="shared" si="384"/>
        <v>291.66666666666669</v>
      </c>
      <c r="AE280" s="10">
        <f t="shared" si="384"/>
        <v>291.66666666666669</v>
      </c>
      <c r="AF280" s="10">
        <f t="shared" si="384"/>
        <v>291.66666666666669</v>
      </c>
      <c r="AG280" s="33">
        <f t="shared" si="384"/>
        <v>291.66666666666669</v>
      </c>
    </row>
    <row r="281" spans="3:33" x14ac:dyDescent="0.2">
      <c r="C281" t="s">
        <v>108</v>
      </c>
      <c r="D281" t="s">
        <v>109</v>
      </c>
      <c r="E281" s="64">
        <f>_xlfn.XLOOKUP($C281,'Corporate Roster - ''24'!$C$6:$C$60,'Corporate Roster - ''24'!$E$6:$E$60)</f>
        <v>40157</v>
      </c>
      <c r="F281" s="64" t="str">
        <f>_xlfn.XLOOKUP($C281,'Corporate Roster - ''24'!$C$6:$C$60,'Corporate Roster - ''24'!$F$6:$F$60)</f>
        <v>-</v>
      </c>
      <c r="G281" s="32">
        <f t="shared" si="350"/>
        <v>3750</v>
      </c>
      <c r="H281" s="33">
        <f>_xlfn.XLOOKUP($C281,'Corporate Roster - ''24'!$C$6:$C$60,'Corporate Roster - ''24'!$H$6:$H$60)</f>
        <v>3750</v>
      </c>
      <c r="J281" s="32">
        <f t="shared" ref="J281:U281" si="385">IF(J29&gt;0,$G281/12,0)</f>
        <v>312.5</v>
      </c>
      <c r="K281" s="10">
        <f t="shared" si="385"/>
        <v>312.5</v>
      </c>
      <c r="L281" s="10">
        <f t="shared" si="385"/>
        <v>312.5</v>
      </c>
      <c r="M281" s="10">
        <f t="shared" si="385"/>
        <v>312.5</v>
      </c>
      <c r="N281" s="10">
        <f t="shared" si="385"/>
        <v>312.5</v>
      </c>
      <c r="O281" s="10">
        <f t="shared" si="385"/>
        <v>312.5</v>
      </c>
      <c r="P281" s="10">
        <f t="shared" si="385"/>
        <v>312.5</v>
      </c>
      <c r="Q281" s="10">
        <f t="shared" si="385"/>
        <v>312.5</v>
      </c>
      <c r="R281" s="10">
        <f t="shared" si="385"/>
        <v>312.5</v>
      </c>
      <c r="S281" s="10">
        <f t="shared" si="385"/>
        <v>312.5</v>
      </c>
      <c r="T281" s="10">
        <f t="shared" si="385"/>
        <v>312.5</v>
      </c>
      <c r="U281" s="33">
        <f t="shared" si="385"/>
        <v>312.5</v>
      </c>
      <c r="V281" s="10">
        <f t="shared" ref="V281:AG281" si="386">IF(V29&gt;0,$H281/12,0)</f>
        <v>312.5</v>
      </c>
      <c r="W281" s="10">
        <f t="shared" si="386"/>
        <v>312.5</v>
      </c>
      <c r="X281" s="10">
        <f t="shared" si="386"/>
        <v>312.5</v>
      </c>
      <c r="Y281" s="10">
        <f t="shared" si="386"/>
        <v>312.5</v>
      </c>
      <c r="Z281" s="10">
        <f t="shared" si="386"/>
        <v>312.5</v>
      </c>
      <c r="AA281" s="10">
        <f t="shared" si="386"/>
        <v>312.5</v>
      </c>
      <c r="AB281" s="10">
        <f t="shared" si="386"/>
        <v>312.5</v>
      </c>
      <c r="AC281" s="10">
        <f t="shared" si="386"/>
        <v>312.5</v>
      </c>
      <c r="AD281" s="10">
        <f t="shared" si="386"/>
        <v>312.5</v>
      </c>
      <c r="AE281" s="10">
        <f t="shared" si="386"/>
        <v>312.5</v>
      </c>
      <c r="AF281" s="10">
        <f t="shared" si="386"/>
        <v>312.5</v>
      </c>
      <c r="AG281" s="33">
        <f t="shared" si="386"/>
        <v>312.5</v>
      </c>
    </row>
    <row r="282" spans="3:33" x14ac:dyDescent="0.2">
      <c r="C282" t="s">
        <v>73</v>
      </c>
      <c r="D282" t="s">
        <v>110</v>
      </c>
      <c r="E282" s="64">
        <f>_xlfn.XLOOKUP($C282,'Corporate Roster - ''24'!$C$6:$C$60,'Corporate Roster - ''24'!$E$6:$E$60)</f>
        <v>45335</v>
      </c>
      <c r="F282" s="64" t="str">
        <f>_xlfn.XLOOKUP($C282,'Corporate Roster - ''24'!$C$6:$C$60,'Corporate Roster - ''24'!$F$6:$F$60)</f>
        <v>-</v>
      </c>
      <c r="G282" s="32">
        <f>(MROUND(H282*0.8,1000))</f>
        <v>3000</v>
      </c>
      <c r="H282" s="33">
        <f>_xlfn.XLOOKUP($C282,'Corporate Roster - ''24'!$C$6:$C$60,'Corporate Roster - ''24'!$H$6:$H$60)</f>
        <v>4250</v>
      </c>
      <c r="J282" s="32">
        <f t="shared" ref="J282:U282" si="387">IF(J30&gt;0,$G282/12,0)</f>
        <v>0</v>
      </c>
      <c r="K282" s="10">
        <f t="shared" si="387"/>
        <v>0</v>
      </c>
      <c r="L282" s="10">
        <f t="shared" si="387"/>
        <v>0</v>
      </c>
      <c r="M282" s="10">
        <f t="shared" si="387"/>
        <v>0</v>
      </c>
      <c r="N282" s="10">
        <f t="shared" si="387"/>
        <v>0</v>
      </c>
      <c r="O282" s="10">
        <f t="shared" si="387"/>
        <v>0</v>
      </c>
      <c r="P282" s="10">
        <f t="shared" si="387"/>
        <v>0</v>
      </c>
      <c r="Q282" s="10">
        <f t="shared" si="387"/>
        <v>0</v>
      </c>
      <c r="R282" s="10">
        <f t="shared" si="387"/>
        <v>0</v>
      </c>
      <c r="S282" s="10">
        <f t="shared" si="387"/>
        <v>0</v>
      </c>
      <c r="T282" s="10">
        <f t="shared" si="387"/>
        <v>0</v>
      </c>
      <c r="U282" s="33">
        <f t="shared" si="387"/>
        <v>0</v>
      </c>
      <c r="V282" s="10">
        <f t="shared" ref="V282:AG282" si="388">IF(V30&gt;0,$H282/12,0)</f>
        <v>0</v>
      </c>
      <c r="W282" s="10">
        <f t="shared" si="388"/>
        <v>354.16666666666669</v>
      </c>
      <c r="X282" s="10">
        <f t="shared" si="388"/>
        <v>354.16666666666669</v>
      </c>
      <c r="Y282" s="10">
        <f t="shared" si="388"/>
        <v>354.16666666666669</v>
      </c>
      <c r="Z282" s="10">
        <f t="shared" si="388"/>
        <v>354.16666666666669</v>
      </c>
      <c r="AA282" s="10">
        <f t="shared" si="388"/>
        <v>354.16666666666669</v>
      </c>
      <c r="AB282" s="10">
        <f t="shared" si="388"/>
        <v>354.16666666666669</v>
      </c>
      <c r="AC282" s="10">
        <f t="shared" si="388"/>
        <v>354.16666666666669</v>
      </c>
      <c r="AD282" s="10">
        <f t="shared" si="388"/>
        <v>354.16666666666669</v>
      </c>
      <c r="AE282" s="10">
        <f t="shared" si="388"/>
        <v>354.16666666666669</v>
      </c>
      <c r="AF282" s="10">
        <f t="shared" si="388"/>
        <v>354.16666666666669</v>
      </c>
      <c r="AG282" s="33">
        <f t="shared" si="388"/>
        <v>354.16666666666669</v>
      </c>
    </row>
    <row r="283" spans="3:33" x14ac:dyDescent="0.2">
      <c r="C283" t="s">
        <v>111</v>
      </c>
      <c r="D283" t="s">
        <v>112</v>
      </c>
      <c r="E283" s="64">
        <f>_xlfn.XLOOKUP($C283,'Corporate Roster - ''24'!$C$6:$C$60,'Corporate Roster - ''24'!$E$6:$E$60)</f>
        <v>44694</v>
      </c>
      <c r="F283" s="64" t="str">
        <f>_xlfn.XLOOKUP($C283,'Corporate Roster - ''24'!$C$6:$C$60,'Corporate Roster - ''24'!$F$6:$F$60)</f>
        <v>-</v>
      </c>
      <c r="G283" s="32">
        <f>(MROUND(H283*0.95,1000))</f>
        <v>5000</v>
      </c>
      <c r="H283" s="33">
        <f>_xlfn.XLOOKUP($C283,'Corporate Roster - ''24'!$C$6:$C$60,'Corporate Roster - ''24'!$H$6:$H$60)</f>
        <v>4750</v>
      </c>
      <c r="J283" s="32">
        <f t="shared" ref="J283:U283" si="389">IF(J31&gt;0,$G283/12,0)</f>
        <v>416.66666666666669</v>
      </c>
      <c r="K283" s="10">
        <f t="shared" si="389"/>
        <v>416.66666666666669</v>
      </c>
      <c r="L283" s="10">
        <f t="shared" si="389"/>
        <v>416.66666666666669</v>
      </c>
      <c r="M283" s="10">
        <f t="shared" si="389"/>
        <v>416.66666666666669</v>
      </c>
      <c r="N283" s="10">
        <f t="shared" si="389"/>
        <v>416.66666666666669</v>
      </c>
      <c r="O283" s="10">
        <f t="shared" si="389"/>
        <v>416.66666666666669</v>
      </c>
      <c r="P283" s="10">
        <f t="shared" si="389"/>
        <v>416.66666666666669</v>
      </c>
      <c r="Q283" s="10">
        <f t="shared" si="389"/>
        <v>416.66666666666669</v>
      </c>
      <c r="R283" s="10">
        <f t="shared" si="389"/>
        <v>416.66666666666669</v>
      </c>
      <c r="S283" s="10">
        <f t="shared" si="389"/>
        <v>416.66666666666669</v>
      </c>
      <c r="T283" s="10">
        <f t="shared" si="389"/>
        <v>416.66666666666669</v>
      </c>
      <c r="U283" s="33">
        <f t="shared" si="389"/>
        <v>416.66666666666669</v>
      </c>
      <c r="V283" s="10">
        <f t="shared" ref="V283:AG283" si="390">IF(V31&gt;0,$H283/12,0)</f>
        <v>395.83333333333331</v>
      </c>
      <c r="W283" s="10">
        <f t="shared" si="390"/>
        <v>395.83333333333331</v>
      </c>
      <c r="X283" s="10">
        <f t="shared" si="390"/>
        <v>395.83333333333331</v>
      </c>
      <c r="Y283" s="10">
        <f t="shared" si="390"/>
        <v>395.83333333333331</v>
      </c>
      <c r="Z283" s="10">
        <f t="shared" si="390"/>
        <v>395.83333333333331</v>
      </c>
      <c r="AA283" s="10">
        <f t="shared" si="390"/>
        <v>395.83333333333331</v>
      </c>
      <c r="AB283" s="10">
        <f t="shared" si="390"/>
        <v>395.83333333333331</v>
      </c>
      <c r="AC283" s="10">
        <f t="shared" si="390"/>
        <v>395.83333333333331</v>
      </c>
      <c r="AD283" s="10">
        <f t="shared" si="390"/>
        <v>395.83333333333331</v>
      </c>
      <c r="AE283" s="10">
        <f t="shared" si="390"/>
        <v>395.83333333333331</v>
      </c>
      <c r="AF283" s="10">
        <f t="shared" si="390"/>
        <v>395.83333333333331</v>
      </c>
      <c r="AG283" s="33">
        <f t="shared" si="390"/>
        <v>395.83333333333331</v>
      </c>
    </row>
    <row r="284" spans="3:33" x14ac:dyDescent="0.2">
      <c r="C284" t="s">
        <v>149</v>
      </c>
      <c r="D284" t="s">
        <v>110</v>
      </c>
      <c r="E284" s="64">
        <f>_xlfn.XLOOKUP($C284,'Corporate Roster - ''24'!$C$6:$C$60,'Corporate Roster - ''24'!$E$6:$E$60)</f>
        <v>45368</v>
      </c>
      <c r="F284" s="64" t="str">
        <f>_xlfn.XLOOKUP($C284,'Corporate Roster - ''24'!$C$6:$C$60,'Corporate Roster - ''24'!$F$6:$F$60)</f>
        <v>-</v>
      </c>
      <c r="G284" s="32">
        <f t="shared" si="350"/>
        <v>4250</v>
      </c>
      <c r="H284" s="33">
        <f>_xlfn.XLOOKUP($C284,'Corporate Roster - ''24'!$C$6:$C$60,'Corporate Roster - ''24'!$H$6:$H$60)</f>
        <v>4250</v>
      </c>
      <c r="J284" s="32">
        <f t="shared" ref="J284:U284" si="391">IF(J32&gt;0,$G284/12,0)</f>
        <v>0</v>
      </c>
      <c r="K284" s="10">
        <f t="shared" si="391"/>
        <v>0</v>
      </c>
      <c r="L284" s="10">
        <f t="shared" si="391"/>
        <v>0</v>
      </c>
      <c r="M284" s="10">
        <f t="shared" si="391"/>
        <v>0</v>
      </c>
      <c r="N284" s="10">
        <f t="shared" si="391"/>
        <v>0</v>
      </c>
      <c r="O284" s="10">
        <f t="shared" si="391"/>
        <v>0</v>
      </c>
      <c r="P284" s="10">
        <f t="shared" si="391"/>
        <v>0</v>
      </c>
      <c r="Q284" s="10">
        <f t="shared" si="391"/>
        <v>0</v>
      </c>
      <c r="R284" s="10">
        <f t="shared" si="391"/>
        <v>0</v>
      </c>
      <c r="S284" s="10">
        <f t="shared" si="391"/>
        <v>0</v>
      </c>
      <c r="T284" s="10">
        <f t="shared" si="391"/>
        <v>0</v>
      </c>
      <c r="U284" s="33">
        <f t="shared" si="391"/>
        <v>0</v>
      </c>
      <c r="V284" s="10">
        <f t="shared" ref="V284:AG284" si="392">IF(V32&gt;0,$H284/12,0)</f>
        <v>0</v>
      </c>
      <c r="W284" s="10">
        <f t="shared" si="392"/>
        <v>0</v>
      </c>
      <c r="X284" s="10">
        <f t="shared" si="392"/>
        <v>354.16666666666669</v>
      </c>
      <c r="Y284" s="10">
        <f t="shared" si="392"/>
        <v>354.16666666666669</v>
      </c>
      <c r="Z284" s="10">
        <f t="shared" si="392"/>
        <v>354.16666666666669</v>
      </c>
      <c r="AA284" s="10">
        <f t="shared" si="392"/>
        <v>354.16666666666669</v>
      </c>
      <c r="AB284" s="10">
        <f t="shared" si="392"/>
        <v>354.16666666666669</v>
      </c>
      <c r="AC284" s="10">
        <f t="shared" si="392"/>
        <v>354.16666666666669</v>
      </c>
      <c r="AD284" s="10">
        <f t="shared" si="392"/>
        <v>354.16666666666669</v>
      </c>
      <c r="AE284" s="10">
        <f t="shared" si="392"/>
        <v>354.16666666666669</v>
      </c>
      <c r="AF284" s="10">
        <f t="shared" si="392"/>
        <v>354.16666666666669</v>
      </c>
      <c r="AG284" s="33">
        <f t="shared" si="392"/>
        <v>354.16666666666669</v>
      </c>
    </row>
    <row r="285" spans="3:33" x14ac:dyDescent="0.2">
      <c r="C285" t="s">
        <v>150</v>
      </c>
      <c r="D285" t="s">
        <v>95</v>
      </c>
      <c r="E285" s="64">
        <f>_xlfn.XLOOKUP($C285,'Corporate Roster - ''24'!$C$6:$C$60,'Corporate Roster - ''24'!$E$6:$E$60)</f>
        <v>40489</v>
      </c>
      <c r="F285" s="64" t="str">
        <f>_xlfn.XLOOKUP($C285,'Corporate Roster - ''24'!$C$6:$C$60,'Corporate Roster - ''24'!$F$6:$F$60)</f>
        <v>-</v>
      </c>
      <c r="G285" s="32">
        <f>(MROUND(H285*0.8,1000))</f>
        <v>11000</v>
      </c>
      <c r="H285" s="33">
        <f>_xlfn.XLOOKUP($C285,'Corporate Roster - ''24'!$C$6:$C$60,'Corporate Roster - ''24'!$H$6:$H$60)</f>
        <v>14000</v>
      </c>
      <c r="J285" s="32">
        <f t="shared" ref="J285:U285" si="393">IF(J33&gt;0,$G285/12,0)</f>
        <v>916.66666666666663</v>
      </c>
      <c r="K285" s="10">
        <f t="shared" si="393"/>
        <v>916.66666666666663</v>
      </c>
      <c r="L285" s="10">
        <f t="shared" si="393"/>
        <v>916.66666666666663</v>
      </c>
      <c r="M285" s="10">
        <f t="shared" si="393"/>
        <v>916.66666666666663</v>
      </c>
      <c r="N285" s="10">
        <f t="shared" si="393"/>
        <v>916.66666666666663</v>
      </c>
      <c r="O285" s="10">
        <f t="shared" si="393"/>
        <v>916.66666666666663</v>
      </c>
      <c r="P285" s="10">
        <f t="shared" si="393"/>
        <v>916.66666666666663</v>
      </c>
      <c r="Q285" s="10">
        <f t="shared" si="393"/>
        <v>916.66666666666663</v>
      </c>
      <c r="R285" s="10">
        <f t="shared" si="393"/>
        <v>916.66666666666663</v>
      </c>
      <c r="S285" s="10">
        <f t="shared" si="393"/>
        <v>916.66666666666663</v>
      </c>
      <c r="T285" s="10">
        <f t="shared" si="393"/>
        <v>916.66666666666663</v>
      </c>
      <c r="U285" s="33">
        <f t="shared" si="393"/>
        <v>916.66666666666663</v>
      </c>
      <c r="V285" s="10">
        <f t="shared" ref="V285:AG285" si="394">IF(V33&gt;0,$H285/12,0)</f>
        <v>1166.6666666666667</v>
      </c>
      <c r="W285" s="10">
        <f t="shared" si="394"/>
        <v>1166.6666666666667</v>
      </c>
      <c r="X285" s="10">
        <f t="shared" si="394"/>
        <v>1166.6666666666667</v>
      </c>
      <c r="Y285" s="10">
        <f t="shared" si="394"/>
        <v>1166.6666666666667</v>
      </c>
      <c r="Z285" s="10">
        <f t="shared" si="394"/>
        <v>1166.6666666666667</v>
      </c>
      <c r="AA285" s="10">
        <f t="shared" si="394"/>
        <v>1166.6666666666667</v>
      </c>
      <c r="AB285" s="10">
        <f t="shared" si="394"/>
        <v>1166.6666666666667</v>
      </c>
      <c r="AC285" s="10">
        <f t="shared" si="394"/>
        <v>1166.6666666666667</v>
      </c>
      <c r="AD285" s="10">
        <f t="shared" si="394"/>
        <v>1166.6666666666667</v>
      </c>
      <c r="AE285" s="10">
        <f t="shared" si="394"/>
        <v>1166.6666666666667</v>
      </c>
      <c r="AF285" s="10">
        <f t="shared" si="394"/>
        <v>1166.6666666666667</v>
      </c>
      <c r="AG285" s="33">
        <f t="shared" si="394"/>
        <v>1166.6666666666667</v>
      </c>
    </row>
    <row r="286" spans="3:33" x14ac:dyDescent="0.2">
      <c r="C286" t="s">
        <v>115</v>
      </c>
      <c r="D286" t="s">
        <v>112</v>
      </c>
      <c r="E286" s="64">
        <f>_xlfn.XLOOKUP($C286,'Corporate Roster - ''24'!$C$6:$C$60,'Corporate Roster - ''24'!$E$6:$E$60)</f>
        <v>45236</v>
      </c>
      <c r="F286" s="64" t="str">
        <f>_xlfn.XLOOKUP($C286,'Corporate Roster - ''24'!$C$6:$C$60,'Corporate Roster - ''24'!$F$6:$F$60)</f>
        <v>-</v>
      </c>
      <c r="G286" s="32">
        <f t="shared" si="350"/>
        <v>4750</v>
      </c>
      <c r="H286" s="33">
        <f>_xlfn.XLOOKUP($C286,'Corporate Roster - ''24'!$C$6:$C$60,'Corporate Roster - ''24'!$H$6:$H$60)</f>
        <v>4750</v>
      </c>
      <c r="J286" s="32">
        <f t="shared" ref="J286:U286" si="395">IF(J34&gt;0,$G286/12,0)</f>
        <v>0</v>
      </c>
      <c r="K286" s="10">
        <f t="shared" si="395"/>
        <v>0</v>
      </c>
      <c r="L286" s="10">
        <f t="shared" si="395"/>
        <v>0</v>
      </c>
      <c r="M286" s="10">
        <f t="shared" si="395"/>
        <v>0</v>
      </c>
      <c r="N286" s="10">
        <f t="shared" si="395"/>
        <v>0</v>
      </c>
      <c r="O286" s="10">
        <f t="shared" si="395"/>
        <v>0</v>
      </c>
      <c r="P286" s="10">
        <f t="shared" si="395"/>
        <v>0</v>
      </c>
      <c r="Q286" s="10">
        <f t="shared" si="395"/>
        <v>0</v>
      </c>
      <c r="R286" s="10">
        <f t="shared" si="395"/>
        <v>0</v>
      </c>
      <c r="S286" s="10">
        <f t="shared" si="395"/>
        <v>0</v>
      </c>
      <c r="T286" s="10">
        <f t="shared" si="395"/>
        <v>395.83333333333331</v>
      </c>
      <c r="U286" s="33">
        <f t="shared" si="395"/>
        <v>395.83333333333331</v>
      </c>
      <c r="V286" s="10">
        <f t="shared" ref="V286:AG286" si="396">IF(V34&gt;0,$H286/12,0)</f>
        <v>395.83333333333331</v>
      </c>
      <c r="W286" s="10">
        <f t="shared" si="396"/>
        <v>395.83333333333331</v>
      </c>
      <c r="X286" s="10">
        <f t="shared" si="396"/>
        <v>395.83333333333331</v>
      </c>
      <c r="Y286" s="10">
        <f t="shared" si="396"/>
        <v>395.83333333333331</v>
      </c>
      <c r="Z286" s="10">
        <f t="shared" si="396"/>
        <v>395.83333333333331</v>
      </c>
      <c r="AA286" s="10">
        <f t="shared" si="396"/>
        <v>395.83333333333331</v>
      </c>
      <c r="AB286" s="10">
        <f t="shared" si="396"/>
        <v>395.83333333333331</v>
      </c>
      <c r="AC286" s="10">
        <f t="shared" si="396"/>
        <v>395.83333333333331</v>
      </c>
      <c r="AD286" s="10">
        <f t="shared" si="396"/>
        <v>395.83333333333331</v>
      </c>
      <c r="AE286" s="10">
        <f t="shared" si="396"/>
        <v>395.83333333333331</v>
      </c>
      <c r="AF286" s="10">
        <f t="shared" si="396"/>
        <v>395.83333333333331</v>
      </c>
      <c r="AG286" s="33">
        <f t="shared" si="396"/>
        <v>395.83333333333331</v>
      </c>
    </row>
    <row r="287" spans="3:33" x14ac:dyDescent="0.2">
      <c r="C287" t="s">
        <v>116</v>
      </c>
      <c r="D287" t="s">
        <v>110</v>
      </c>
      <c r="E287" s="64">
        <f>_xlfn.XLOOKUP($C287,'Corporate Roster - ''24'!$C$6:$C$60,'Corporate Roster - ''24'!$E$6:$E$60)</f>
        <v>40015</v>
      </c>
      <c r="F287" s="64" t="str">
        <f>_xlfn.XLOOKUP($C287,'Corporate Roster - ''24'!$C$6:$C$60,'Corporate Roster - ''24'!$F$6:$F$60)</f>
        <v>-</v>
      </c>
      <c r="G287" s="32">
        <f t="shared" si="350"/>
        <v>4250</v>
      </c>
      <c r="H287" s="33">
        <f>_xlfn.XLOOKUP($C287,'Corporate Roster - ''24'!$C$6:$C$60,'Corporate Roster - ''24'!$H$6:$H$60)</f>
        <v>4250</v>
      </c>
      <c r="J287" s="32">
        <f t="shared" ref="J287:U287" si="397">IF(J35&gt;0,$G287/12,0)</f>
        <v>354.16666666666669</v>
      </c>
      <c r="K287" s="10">
        <f t="shared" si="397"/>
        <v>354.16666666666669</v>
      </c>
      <c r="L287" s="10">
        <f t="shared" si="397"/>
        <v>354.16666666666669</v>
      </c>
      <c r="M287" s="10">
        <f t="shared" si="397"/>
        <v>354.16666666666669</v>
      </c>
      <c r="N287" s="10">
        <f t="shared" si="397"/>
        <v>354.16666666666669</v>
      </c>
      <c r="O287" s="10">
        <f t="shared" si="397"/>
        <v>354.16666666666669</v>
      </c>
      <c r="P287" s="10">
        <f t="shared" si="397"/>
        <v>354.16666666666669</v>
      </c>
      <c r="Q287" s="10">
        <f t="shared" si="397"/>
        <v>354.16666666666669</v>
      </c>
      <c r="R287" s="10">
        <f t="shared" si="397"/>
        <v>354.16666666666669</v>
      </c>
      <c r="S287" s="10">
        <f t="shared" si="397"/>
        <v>354.16666666666669</v>
      </c>
      <c r="T287" s="10">
        <f t="shared" si="397"/>
        <v>354.16666666666669</v>
      </c>
      <c r="U287" s="33">
        <f t="shared" si="397"/>
        <v>354.16666666666669</v>
      </c>
      <c r="V287" s="10">
        <f t="shared" ref="V287:AG287" si="398">IF(V35&gt;0,$H287/12,0)</f>
        <v>354.16666666666669</v>
      </c>
      <c r="W287" s="10">
        <f t="shared" si="398"/>
        <v>354.16666666666669</v>
      </c>
      <c r="X287" s="10">
        <f t="shared" si="398"/>
        <v>354.16666666666669</v>
      </c>
      <c r="Y287" s="10">
        <f t="shared" si="398"/>
        <v>354.16666666666669</v>
      </c>
      <c r="Z287" s="10">
        <f t="shared" si="398"/>
        <v>354.16666666666669</v>
      </c>
      <c r="AA287" s="10">
        <f t="shared" si="398"/>
        <v>354.16666666666669</v>
      </c>
      <c r="AB287" s="10">
        <f t="shared" si="398"/>
        <v>354.16666666666669</v>
      </c>
      <c r="AC287" s="10">
        <f t="shared" si="398"/>
        <v>354.16666666666669</v>
      </c>
      <c r="AD287" s="10">
        <f t="shared" si="398"/>
        <v>354.16666666666669</v>
      </c>
      <c r="AE287" s="10">
        <f t="shared" si="398"/>
        <v>354.16666666666669</v>
      </c>
      <c r="AF287" s="10">
        <f t="shared" si="398"/>
        <v>354.16666666666669</v>
      </c>
      <c r="AG287" s="33">
        <f t="shared" si="398"/>
        <v>354.16666666666669</v>
      </c>
    </row>
    <row r="288" spans="3:33" x14ac:dyDescent="0.2">
      <c r="C288" t="s">
        <v>106</v>
      </c>
      <c r="D288" t="s">
        <v>90</v>
      </c>
      <c r="E288" s="64">
        <f>_xlfn.XLOOKUP($C288,'Corporate Roster - ''24'!$C$6:$C$60,'Corporate Roster - ''24'!$E$6:$E$60)</f>
        <v>40345</v>
      </c>
      <c r="F288" s="64" t="str">
        <f>_xlfn.XLOOKUP($C288,'Corporate Roster - ''24'!$C$6:$C$60,'Corporate Roster - ''24'!$F$6:$F$60)</f>
        <v>-</v>
      </c>
      <c r="G288" s="32">
        <f t="shared" si="350"/>
        <v>13000</v>
      </c>
      <c r="H288" s="33">
        <f>_xlfn.XLOOKUP($C288,'Corporate Roster - ''24'!$C$6:$C$60,'Corporate Roster - ''24'!$H$6:$H$60)</f>
        <v>13000</v>
      </c>
      <c r="J288" s="32">
        <f t="shared" ref="J288:U288" si="399">IF(J36&gt;0,$G288/12,0)</f>
        <v>1083.3333333333333</v>
      </c>
      <c r="K288" s="10">
        <f t="shared" si="399"/>
        <v>1083.3333333333333</v>
      </c>
      <c r="L288" s="10">
        <f t="shared" si="399"/>
        <v>1083.3333333333333</v>
      </c>
      <c r="M288" s="10">
        <f t="shared" si="399"/>
        <v>1083.3333333333333</v>
      </c>
      <c r="N288" s="10">
        <f t="shared" si="399"/>
        <v>1083.3333333333333</v>
      </c>
      <c r="O288" s="10">
        <f t="shared" si="399"/>
        <v>1083.3333333333333</v>
      </c>
      <c r="P288" s="10">
        <f t="shared" si="399"/>
        <v>1083.3333333333333</v>
      </c>
      <c r="Q288" s="10">
        <f t="shared" si="399"/>
        <v>1083.3333333333333</v>
      </c>
      <c r="R288" s="10">
        <f t="shared" si="399"/>
        <v>1083.3333333333333</v>
      </c>
      <c r="S288" s="10">
        <f t="shared" si="399"/>
        <v>1083.3333333333333</v>
      </c>
      <c r="T288" s="10">
        <f t="shared" si="399"/>
        <v>1083.3333333333333</v>
      </c>
      <c r="U288" s="33">
        <f t="shared" si="399"/>
        <v>1083.3333333333333</v>
      </c>
      <c r="V288" s="10">
        <f t="shared" ref="V288:AG288" si="400">IF(V36&gt;0,$H288/12,0)</f>
        <v>1083.3333333333333</v>
      </c>
      <c r="W288" s="10">
        <f t="shared" si="400"/>
        <v>1083.3333333333333</v>
      </c>
      <c r="X288" s="10">
        <f t="shared" si="400"/>
        <v>1083.3333333333333</v>
      </c>
      <c r="Y288" s="10">
        <f t="shared" si="400"/>
        <v>1083.3333333333333</v>
      </c>
      <c r="Z288" s="10">
        <f t="shared" si="400"/>
        <v>1083.3333333333333</v>
      </c>
      <c r="AA288" s="10">
        <f t="shared" si="400"/>
        <v>1083.3333333333333</v>
      </c>
      <c r="AB288" s="10">
        <f t="shared" si="400"/>
        <v>1083.3333333333333</v>
      </c>
      <c r="AC288" s="10">
        <f t="shared" si="400"/>
        <v>1083.3333333333333</v>
      </c>
      <c r="AD288" s="10">
        <f t="shared" si="400"/>
        <v>1083.3333333333333</v>
      </c>
      <c r="AE288" s="10">
        <f t="shared" si="400"/>
        <v>1083.3333333333333</v>
      </c>
      <c r="AF288" s="10">
        <f t="shared" si="400"/>
        <v>1083.3333333333333</v>
      </c>
      <c r="AG288" s="33">
        <f t="shared" si="400"/>
        <v>1083.3333333333333</v>
      </c>
    </row>
    <row r="289" spans="3:33" x14ac:dyDescent="0.2">
      <c r="C289" t="s">
        <v>117</v>
      </c>
      <c r="D289" t="s">
        <v>110</v>
      </c>
      <c r="E289" s="64">
        <f>_xlfn.XLOOKUP($C289,'Corporate Roster - ''24'!$C$6:$C$60,'Corporate Roster - ''24'!$E$6:$E$60)</f>
        <v>44824</v>
      </c>
      <c r="F289" s="64" t="str">
        <f>_xlfn.XLOOKUP($C289,'Corporate Roster - ''24'!$C$6:$C$60,'Corporate Roster - ''24'!$F$6:$F$60)</f>
        <v>-</v>
      </c>
      <c r="G289" s="32">
        <f t="shared" si="350"/>
        <v>4250</v>
      </c>
      <c r="H289" s="33">
        <f>_xlfn.XLOOKUP($C289,'Corporate Roster - ''24'!$C$6:$C$60,'Corporate Roster - ''24'!$H$6:$H$60)</f>
        <v>4250</v>
      </c>
      <c r="J289" s="32">
        <f t="shared" ref="J289:U289" si="401">IF(J37&gt;0,$G289/12,0)</f>
        <v>354.16666666666669</v>
      </c>
      <c r="K289" s="10">
        <f t="shared" si="401"/>
        <v>354.16666666666669</v>
      </c>
      <c r="L289" s="10">
        <f t="shared" si="401"/>
        <v>354.16666666666669</v>
      </c>
      <c r="M289" s="10">
        <f t="shared" si="401"/>
        <v>354.16666666666669</v>
      </c>
      <c r="N289" s="10">
        <f t="shared" si="401"/>
        <v>354.16666666666669</v>
      </c>
      <c r="O289" s="10">
        <f t="shared" si="401"/>
        <v>354.16666666666669</v>
      </c>
      <c r="P289" s="10">
        <f t="shared" si="401"/>
        <v>354.16666666666669</v>
      </c>
      <c r="Q289" s="10">
        <f t="shared" si="401"/>
        <v>354.16666666666669</v>
      </c>
      <c r="R289" s="10">
        <f t="shared" si="401"/>
        <v>354.16666666666669</v>
      </c>
      <c r="S289" s="10">
        <f t="shared" si="401"/>
        <v>354.16666666666669</v>
      </c>
      <c r="T289" s="10">
        <f t="shared" si="401"/>
        <v>354.16666666666669</v>
      </c>
      <c r="U289" s="33">
        <f t="shared" si="401"/>
        <v>354.16666666666669</v>
      </c>
      <c r="V289" s="10">
        <f t="shared" ref="V289:AG289" si="402">IF(V37&gt;0,$H289/12,0)</f>
        <v>354.16666666666669</v>
      </c>
      <c r="W289" s="10">
        <f t="shared" si="402"/>
        <v>354.16666666666669</v>
      </c>
      <c r="X289" s="10">
        <f t="shared" si="402"/>
        <v>354.16666666666669</v>
      </c>
      <c r="Y289" s="10">
        <f t="shared" si="402"/>
        <v>354.16666666666669</v>
      </c>
      <c r="Z289" s="10">
        <f t="shared" si="402"/>
        <v>354.16666666666669</v>
      </c>
      <c r="AA289" s="10">
        <f t="shared" si="402"/>
        <v>354.16666666666669</v>
      </c>
      <c r="AB289" s="10">
        <f t="shared" si="402"/>
        <v>354.16666666666669</v>
      </c>
      <c r="AC289" s="10">
        <f t="shared" si="402"/>
        <v>354.16666666666669</v>
      </c>
      <c r="AD289" s="10">
        <f t="shared" si="402"/>
        <v>354.16666666666669</v>
      </c>
      <c r="AE289" s="10">
        <f t="shared" si="402"/>
        <v>354.16666666666669</v>
      </c>
      <c r="AF289" s="10">
        <f t="shared" si="402"/>
        <v>354.16666666666669</v>
      </c>
      <c r="AG289" s="33">
        <f t="shared" si="402"/>
        <v>354.16666666666669</v>
      </c>
    </row>
    <row r="290" spans="3:33" x14ac:dyDescent="0.2">
      <c r="C290" t="s">
        <v>118</v>
      </c>
      <c r="D290" t="s">
        <v>86</v>
      </c>
      <c r="E290" s="64">
        <f>_xlfn.XLOOKUP($C290,'Corporate Roster - ''24'!$C$6:$C$60,'Corporate Roster - ''24'!$E$6:$E$60)</f>
        <v>38939</v>
      </c>
      <c r="F290" s="64" t="str">
        <f>_xlfn.XLOOKUP($C290,'Corporate Roster - ''24'!$C$6:$C$60,'Corporate Roster - ''24'!$F$6:$F$60)</f>
        <v>-</v>
      </c>
      <c r="G290" s="32">
        <f>(MROUND(H290*0.95,1000))</f>
        <v>11000</v>
      </c>
      <c r="H290" s="33">
        <f>_xlfn.XLOOKUP($C290,'Corporate Roster - ''24'!$C$6:$C$60,'Corporate Roster - ''24'!$H$6:$H$60)</f>
        <v>12000</v>
      </c>
      <c r="J290" s="32">
        <f t="shared" ref="J290:U290" si="403">IF(J38&gt;0,$G290/12,0)</f>
        <v>916.66666666666663</v>
      </c>
      <c r="K290" s="10">
        <f t="shared" si="403"/>
        <v>916.66666666666663</v>
      </c>
      <c r="L290" s="10">
        <f t="shared" si="403"/>
        <v>916.66666666666663</v>
      </c>
      <c r="M290" s="10">
        <f t="shared" si="403"/>
        <v>916.66666666666663</v>
      </c>
      <c r="N290" s="10">
        <f t="shared" si="403"/>
        <v>916.66666666666663</v>
      </c>
      <c r="O290" s="10">
        <f t="shared" si="403"/>
        <v>916.66666666666663</v>
      </c>
      <c r="P290" s="10">
        <f t="shared" si="403"/>
        <v>916.66666666666663</v>
      </c>
      <c r="Q290" s="10">
        <f t="shared" si="403"/>
        <v>916.66666666666663</v>
      </c>
      <c r="R290" s="10">
        <f t="shared" si="403"/>
        <v>916.66666666666663</v>
      </c>
      <c r="S290" s="10">
        <f t="shared" si="403"/>
        <v>916.66666666666663</v>
      </c>
      <c r="T290" s="10">
        <f t="shared" si="403"/>
        <v>916.66666666666663</v>
      </c>
      <c r="U290" s="33">
        <f t="shared" si="403"/>
        <v>916.66666666666663</v>
      </c>
      <c r="V290" s="10">
        <f t="shared" ref="V290:AG290" si="404">IF(V38&gt;0,$H290/12,0)</f>
        <v>1000</v>
      </c>
      <c r="W290" s="10">
        <f t="shared" si="404"/>
        <v>1000</v>
      </c>
      <c r="X290" s="10">
        <f t="shared" si="404"/>
        <v>1000</v>
      </c>
      <c r="Y290" s="10">
        <f t="shared" si="404"/>
        <v>1000</v>
      </c>
      <c r="Z290" s="10">
        <f t="shared" si="404"/>
        <v>1000</v>
      </c>
      <c r="AA290" s="10">
        <f t="shared" si="404"/>
        <v>1000</v>
      </c>
      <c r="AB290" s="10">
        <f t="shared" si="404"/>
        <v>1000</v>
      </c>
      <c r="AC290" s="10">
        <f t="shared" si="404"/>
        <v>1000</v>
      </c>
      <c r="AD290" s="10">
        <f t="shared" si="404"/>
        <v>1000</v>
      </c>
      <c r="AE290" s="10">
        <f t="shared" si="404"/>
        <v>1000</v>
      </c>
      <c r="AF290" s="10">
        <f t="shared" si="404"/>
        <v>1000</v>
      </c>
      <c r="AG290" s="33">
        <f t="shared" si="404"/>
        <v>1000</v>
      </c>
    </row>
    <row r="291" spans="3:33" x14ac:dyDescent="0.2">
      <c r="C291" t="s">
        <v>65</v>
      </c>
      <c r="D291" t="s">
        <v>86</v>
      </c>
      <c r="E291" s="64">
        <f>_xlfn.XLOOKUP($C291,'Corporate Roster - ''24'!$C$6:$C$60,'Corporate Roster - ''24'!$E$6:$E$60)</f>
        <v>42100</v>
      </c>
      <c r="F291" s="64" t="str">
        <f>_xlfn.XLOOKUP($C291,'Corporate Roster - ''24'!$C$6:$C$60,'Corporate Roster - ''24'!$F$6:$F$60)</f>
        <v>-</v>
      </c>
      <c r="G291" s="32">
        <f t="shared" si="350"/>
        <v>12000</v>
      </c>
      <c r="H291" s="33">
        <f>_xlfn.XLOOKUP($C291,'Corporate Roster - ''24'!$C$6:$C$60,'Corporate Roster - ''24'!$H$6:$H$60)</f>
        <v>12000</v>
      </c>
      <c r="J291" s="32">
        <f t="shared" ref="J291:U291" si="405">IF(J39&gt;0,$G291/12,0)</f>
        <v>1000</v>
      </c>
      <c r="K291" s="10">
        <f t="shared" si="405"/>
        <v>1000</v>
      </c>
      <c r="L291" s="10">
        <f t="shared" si="405"/>
        <v>1000</v>
      </c>
      <c r="M291" s="10">
        <f t="shared" si="405"/>
        <v>1000</v>
      </c>
      <c r="N291" s="10">
        <f t="shared" si="405"/>
        <v>1000</v>
      </c>
      <c r="O291" s="10">
        <f t="shared" si="405"/>
        <v>1000</v>
      </c>
      <c r="P291" s="10">
        <f t="shared" si="405"/>
        <v>1000</v>
      </c>
      <c r="Q291" s="10">
        <f t="shared" si="405"/>
        <v>1000</v>
      </c>
      <c r="R291" s="10">
        <f t="shared" si="405"/>
        <v>1000</v>
      </c>
      <c r="S291" s="10">
        <f t="shared" si="405"/>
        <v>1000</v>
      </c>
      <c r="T291" s="10">
        <f t="shared" si="405"/>
        <v>1000</v>
      </c>
      <c r="U291" s="33">
        <f t="shared" si="405"/>
        <v>1000</v>
      </c>
      <c r="V291" s="10">
        <f t="shared" ref="V291:AG291" si="406">IF(V39&gt;0,$H291/12,0)</f>
        <v>1000</v>
      </c>
      <c r="W291" s="10">
        <f t="shared" si="406"/>
        <v>1000</v>
      </c>
      <c r="X291" s="10">
        <f t="shared" si="406"/>
        <v>1000</v>
      </c>
      <c r="Y291" s="10">
        <f t="shared" si="406"/>
        <v>1000</v>
      </c>
      <c r="Z291" s="10">
        <f t="shared" si="406"/>
        <v>1000</v>
      </c>
      <c r="AA291" s="10">
        <f t="shared" si="406"/>
        <v>1000</v>
      </c>
      <c r="AB291" s="10">
        <f t="shared" si="406"/>
        <v>1000</v>
      </c>
      <c r="AC291" s="10">
        <f t="shared" si="406"/>
        <v>1000</v>
      </c>
      <c r="AD291" s="10">
        <f t="shared" si="406"/>
        <v>1000</v>
      </c>
      <c r="AE291" s="10">
        <f t="shared" si="406"/>
        <v>1000</v>
      </c>
      <c r="AF291" s="10">
        <f t="shared" si="406"/>
        <v>1000</v>
      </c>
      <c r="AG291" s="33">
        <f t="shared" si="406"/>
        <v>1000</v>
      </c>
    </row>
    <row r="292" spans="3:33" x14ac:dyDescent="0.2">
      <c r="C292" t="s">
        <v>119</v>
      </c>
      <c r="D292" t="s">
        <v>110</v>
      </c>
      <c r="E292" s="64">
        <f>_xlfn.XLOOKUP($C292,'Corporate Roster - ''24'!$C$6:$C$60,'Corporate Roster - ''24'!$E$6:$E$60)</f>
        <v>42772</v>
      </c>
      <c r="F292" s="64" t="str">
        <f>_xlfn.XLOOKUP($C292,'Corporate Roster - ''24'!$C$6:$C$60,'Corporate Roster - ''24'!$F$6:$F$60)</f>
        <v>-</v>
      </c>
      <c r="G292" s="32">
        <f>(MROUND(H292*0.95,1000))</f>
        <v>4000</v>
      </c>
      <c r="H292" s="33">
        <f>_xlfn.XLOOKUP($C292,'Corporate Roster - ''24'!$C$6:$C$60,'Corporate Roster - ''24'!$H$6:$H$60)</f>
        <v>4250</v>
      </c>
      <c r="J292" s="32">
        <f t="shared" ref="J292:U292" si="407">IF(J40&gt;0,$G292/12,0)</f>
        <v>333.33333333333331</v>
      </c>
      <c r="K292" s="10">
        <f t="shared" si="407"/>
        <v>333.33333333333331</v>
      </c>
      <c r="L292" s="10">
        <f t="shared" si="407"/>
        <v>333.33333333333331</v>
      </c>
      <c r="M292" s="10">
        <f t="shared" si="407"/>
        <v>333.33333333333331</v>
      </c>
      <c r="N292" s="10">
        <f t="shared" si="407"/>
        <v>333.33333333333331</v>
      </c>
      <c r="O292" s="10">
        <f t="shared" si="407"/>
        <v>333.33333333333331</v>
      </c>
      <c r="P292" s="10">
        <f t="shared" si="407"/>
        <v>333.33333333333331</v>
      </c>
      <c r="Q292" s="10">
        <f t="shared" si="407"/>
        <v>333.33333333333331</v>
      </c>
      <c r="R292" s="10">
        <f t="shared" si="407"/>
        <v>333.33333333333331</v>
      </c>
      <c r="S292" s="10">
        <f t="shared" si="407"/>
        <v>333.33333333333331</v>
      </c>
      <c r="T292" s="10">
        <f t="shared" si="407"/>
        <v>333.33333333333331</v>
      </c>
      <c r="U292" s="33">
        <f t="shared" si="407"/>
        <v>333.33333333333331</v>
      </c>
      <c r="V292" s="10">
        <f t="shared" ref="V292:AG292" si="408">IF(V40&gt;0,$H292/12,0)</f>
        <v>354.16666666666669</v>
      </c>
      <c r="W292" s="10">
        <f t="shared" si="408"/>
        <v>354.16666666666669</v>
      </c>
      <c r="X292" s="10">
        <f t="shared" si="408"/>
        <v>354.16666666666669</v>
      </c>
      <c r="Y292" s="10">
        <f t="shared" si="408"/>
        <v>354.16666666666669</v>
      </c>
      <c r="Z292" s="10">
        <f t="shared" si="408"/>
        <v>354.16666666666669</v>
      </c>
      <c r="AA292" s="10">
        <f t="shared" si="408"/>
        <v>354.16666666666669</v>
      </c>
      <c r="AB292" s="10">
        <f t="shared" si="408"/>
        <v>354.16666666666669</v>
      </c>
      <c r="AC292" s="10">
        <f t="shared" si="408"/>
        <v>354.16666666666669</v>
      </c>
      <c r="AD292" s="10">
        <f t="shared" si="408"/>
        <v>354.16666666666669</v>
      </c>
      <c r="AE292" s="10">
        <f t="shared" si="408"/>
        <v>354.16666666666669</v>
      </c>
      <c r="AF292" s="10">
        <f t="shared" si="408"/>
        <v>354.16666666666669</v>
      </c>
      <c r="AG292" s="33">
        <f t="shared" si="408"/>
        <v>354.16666666666669</v>
      </c>
    </row>
    <row r="293" spans="3:33" x14ac:dyDescent="0.2">
      <c r="C293" t="s">
        <v>120</v>
      </c>
      <c r="D293" t="s">
        <v>110</v>
      </c>
      <c r="E293" s="64">
        <f>_xlfn.XLOOKUP($C293,'Corporate Roster - ''24'!$C$6:$C$60,'Corporate Roster - ''24'!$E$6:$E$60)</f>
        <v>41160</v>
      </c>
      <c r="F293" s="64" t="str">
        <f>_xlfn.XLOOKUP($C293,'Corporate Roster - ''24'!$C$6:$C$60,'Corporate Roster - ''24'!$F$6:$F$60)</f>
        <v>-</v>
      </c>
      <c r="G293" s="32">
        <f t="shared" si="350"/>
        <v>4250</v>
      </c>
      <c r="H293" s="33">
        <f>_xlfn.XLOOKUP($C293,'Corporate Roster - ''24'!$C$6:$C$60,'Corporate Roster - ''24'!$H$6:$H$60)</f>
        <v>4250</v>
      </c>
      <c r="J293" s="32">
        <f t="shared" ref="J293:U293" si="409">IF(J41&gt;0,$G293/12,0)</f>
        <v>354.16666666666669</v>
      </c>
      <c r="K293" s="10">
        <f t="shared" si="409"/>
        <v>354.16666666666669</v>
      </c>
      <c r="L293" s="10">
        <f t="shared" si="409"/>
        <v>354.16666666666669</v>
      </c>
      <c r="M293" s="10">
        <f t="shared" si="409"/>
        <v>354.16666666666669</v>
      </c>
      <c r="N293" s="10">
        <f t="shared" si="409"/>
        <v>354.16666666666669</v>
      </c>
      <c r="O293" s="10">
        <f t="shared" si="409"/>
        <v>354.16666666666669</v>
      </c>
      <c r="P293" s="10">
        <f t="shared" si="409"/>
        <v>354.16666666666669</v>
      </c>
      <c r="Q293" s="10">
        <f t="shared" si="409"/>
        <v>354.16666666666669</v>
      </c>
      <c r="R293" s="10">
        <f t="shared" si="409"/>
        <v>354.16666666666669</v>
      </c>
      <c r="S293" s="10">
        <f t="shared" si="409"/>
        <v>354.16666666666669</v>
      </c>
      <c r="T293" s="10">
        <f t="shared" si="409"/>
        <v>354.16666666666669</v>
      </c>
      <c r="U293" s="33">
        <f t="shared" si="409"/>
        <v>354.16666666666669</v>
      </c>
      <c r="V293" s="10">
        <f t="shared" ref="V293:AG293" si="410">IF(V41&gt;0,$H293/12,0)</f>
        <v>354.16666666666669</v>
      </c>
      <c r="W293" s="10">
        <f t="shared" si="410"/>
        <v>354.16666666666669</v>
      </c>
      <c r="X293" s="10">
        <f t="shared" si="410"/>
        <v>354.16666666666669</v>
      </c>
      <c r="Y293" s="10">
        <f t="shared" si="410"/>
        <v>354.16666666666669</v>
      </c>
      <c r="Z293" s="10">
        <f t="shared" si="410"/>
        <v>354.16666666666669</v>
      </c>
      <c r="AA293" s="10">
        <f t="shared" si="410"/>
        <v>354.16666666666669</v>
      </c>
      <c r="AB293" s="10">
        <f t="shared" si="410"/>
        <v>354.16666666666669</v>
      </c>
      <c r="AC293" s="10">
        <f t="shared" si="410"/>
        <v>354.16666666666669</v>
      </c>
      <c r="AD293" s="10">
        <f t="shared" si="410"/>
        <v>354.16666666666669</v>
      </c>
      <c r="AE293" s="10">
        <f t="shared" si="410"/>
        <v>354.16666666666669</v>
      </c>
      <c r="AF293" s="10">
        <f t="shared" si="410"/>
        <v>354.16666666666669</v>
      </c>
      <c r="AG293" s="33">
        <f t="shared" si="410"/>
        <v>354.16666666666669</v>
      </c>
    </row>
    <row r="294" spans="3:33" x14ac:dyDescent="0.2">
      <c r="C294" t="s">
        <v>121</v>
      </c>
      <c r="D294" t="s">
        <v>99</v>
      </c>
      <c r="E294" s="64">
        <f>_xlfn.XLOOKUP($C294,'Corporate Roster - ''24'!$C$6:$C$60,'Corporate Roster - ''24'!$E$6:$E$60)</f>
        <v>44972</v>
      </c>
      <c r="F294" s="64" t="str">
        <f>_xlfn.XLOOKUP($C294,'Corporate Roster - ''24'!$C$6:$C$60,'Corporate Roster - ''24'!$F$6:$F$60)</f>
        <v>-</v>
      </c>
      <c r="G294" s="32">
        <f t="shared" si="350"/>
        <v>4000</v>
      </c>
      <c r="H294" s="33">
        <f>_xlfn.XLOOKUP($C294,'Corporate Roster - ''24'!$C$6:$C$60,'Corporate Roster - ''24'!$H$6:$H$60)</f>
        <v>4000</v>
      </c>
      <c r="J294" s="32">
        <f t="shared" ref="J294:U294" si="411">IF(J42&gt;0,$G294/12,0)</f>
        <v>0</v>
      </c>
      <c r="K294" s="10">
        <f t="shared" si="411"/>
        <v>333.33333333333331</v>
      </c>
      <c r="L294" s="10">
        <f t="shared" si="411"/>
        <v>333.33333333333331</v>
      </c>
      <c r="M294" s="10">
        <f t="shared" si="411"/>
        <v>333.33333333333331</v>
      </c>
      <c r="N294" s="10">
        <f t="shared" si="411"/>
        <v>333.33333333333331</v>
      </c>
      <c r="O294" s="10">
        <f t="shared" si="411"/>
        <v>333.33333333333331</v>
      </c>
      <c r="P294" s="10">
        <f t="shared" si="411"/>
        <v>333.33333333333331</v>
      </c>
      <c r="Q294" s="10">
        <f t="shared" si="411"/>
        <v>333.33333333333331</v>
      </c>
      <c r="R294" s="10">
        <f t="shared" si="411"/>
        <v>333.33333333333331</v>
      </c>
      <c r="S294" s="10">
        <f t="shared" si="411"/>
        <v>333.33333333333331</v>
      </c>
      <c r="T294" s="10">
        <f t="shared" si="411"/>
        <v>333.33333333333331</v>
      </c>
      <c r="U294" s="33">
        <f t="shared" si="411"/>
        <v>333.33333333333331</v>
      </c>
      <c r="V294" s="10">
        <f t="shared" ref="V294:AG294" si="412">IF(V42&gt;0,$H294/12,0)</f>
        <v>333.33333333333331</v>
      </c>
      <c r="W294" s="10">
        <f t="shared" si="412"/>
        <v>333.33333333333331</v>
      </c>
      <c r="X294" s="10">
        <f t="shared" si="412"/>
        <v>333.33333333333331</v>
      </c>
      <c r="Y294" s="10">
        <f t="shared" si="412"/>
        <v>333.33333333333331</v>
      </c>
      <c r="Z294" s="10">
        <f t="shared" si="412"/>
        <v>333.33333333333331</v>
      </c>
      <c r="AA294" s="10">
        <f t="shared" si="412"/>
        <v>333.33333333333331</v>
      </c>
      <c r="AB294" s="10">
        <f t="shared" si="412"/>
        <v>333.33333333333331</v>
      </c>
      <c r="AC294" s="10">
        <f t="shared" si="412"/>
        <v>333.33333333333331</v>
      </c>
      <c r="AD294" s="10">
        <f t="shared" si="412"/>
        <v>333.33333333333331</v>
      </c>
      <c r="AE294" s="10">
        <f t="shared" si="412"/>
        <v>333.33333333333331</v>
      </c>
      <c r="AF294" s="10">
        <f t="shared" si="412"/>
        <v>333.33333333333331</v>
      </c>
      <c r="AG294" s="33">
        <f t="shared" si="412"/>
        <v>333.33333333333331</v>
      </c>
    </row>
    <row r="295" spans="3:33" x14ac:dyDescent="0.2">
      <c r="C295" t="s">
        <v>151</v>
      </c>
      <c r="D295" t="s">
        <v>90</v>
      </c>
      <c r="E295" s="64">
        <f>_xlfn.XLOOKUP($C295,'Corporate Roster - ''24'!$C$6:$C$60,'Corporate Roster - ''24'!$E$6:$E$60)</f>
        <v>42189</v>
      </c>
      <c r="F295" s="64" t="str">
        <f>_xlfn.XLOOKUP($C295,'Corporate Roster - ''24'!$C$6:$C$60,'Corporate Roster - ''24'!$F$6:$F$60)</f>
        <v>-</v>
      </c>
      <c r="G295" s="32">
        <f t="shared" si="350"/>
        <v>13000</v>
      </c>
      <c r="H295" s="33">
        <f>_xlfn.XLOOKUP($C295,'Corporate Roster - ''24'!$C$6:$C$60,'Corporate Roster - ''24'!$H$6:$H$60)</f>
        <v>13000</v>
      </c>
      <c r="J295" s="32">
        <f t="shared" ref="J295:U295" si="413">IF(J43&gt;0,$G295/12,0)</f>
        <v>1083.3333333333333</v>
      </c>
      <c r="K295" s="10">
        <f t="shared" si="413"/>
        <v>1083.3333333333333</v>
      </c>
      <c r="L295" s="10">
        <f t="shared" si="413"/>
        <v>1083.3333333333333</v>
      </c>
      <c r="M295" s="10">
        <f t="shared" si="413"/>
        <v>1083.3333333333333</v>
      </c>
      <c r="N295" s="10">
        <f t="shared" si="413"/>
        <v>1083.3333333333333</v>
      </c>
      <c r="O295" s="10">
        <f t="shared" si="413"/>
        <v>1083.3333333333333</v>
      </c>
      <c r="P295" s="10">
        <f t="shared" si="413"/>
        <v>1083.3333333333333</v>
      </c>
      <c r="Q295" s="10">
        <f t="shared" si="413"/>
        <v>1083.3333333333333</v>
      </c>
      <c r="R295" s="10">
        <f t="shared" si="413"/>
        <v>1083.3333333333333</v>
      </c>
      <c r="S295" s="10">
        <f t="shared" si="413"/>
        <v>1083.3333333333333</v>
      </c>
      <c r="T295" s="10">
        <f t="shared" si="413"/>
        <v>1083.3333333333333</v>
      </c>
      <c r="U295" s="33">
        <f t="shared" si="413"/>
        <v>1083.3333333333333</v>
      </c>
      <c r="V295" s="10">
        <f t="shared" ref="V295:AG295" si="414">IF(V43&gt;0,$H295/12,0)</f>
        <v>1083.3333333333333</v>
      </c>
      <c r="W295" s="10">
        <f t="shared" si="414"/>
        <v>1083.3333333333333</v>
      </c>
      <c r="X295" s="10">
        <f t="shared" si="414"/>
        <v>1083.3333333333333</v>
      </c>
      <c r="Y295" s="10">
        <f t="shared" si="414"/>
        <v>1083.3333333333333</v>
      </c>
      <c r="Z295" s="10">
        <f t="shared" si="414"/>
        <v>1083.3333333333333</v>
      </c>
      <c r="AA295" s="10">
        <f t="shared" si="414"/>
        <v>1083.3333333333333</v>
      </c>
      <c r="AB295" s="10">
        <f t="shared" si="414"/>
        <v>1083.3333333333333</v>
      </c>
      <c r="AC295" s="10">
        <f t="shared" si="414"/>
        <v>1083.3333333333333</v>
      </c>
      <c r="AD295" s="10">
        <f t="shared" si="414"/>
        <v>1083.3333333333333</v>
      </c>
      <c r="AE295" s="10">
        <f t="shared" si="414"/>
        <v>1083.3333333333333</v>
      </c>
      <c r="AF295" s="10">
        <f t="shared" si="414"/>
        <v>1083.3333333333333</v>
      </c>
      <c r="AG295" s="33">
        <f t="shared" si="414"/>
        <v>1083.3333333333333</v>
      </c>
    </row>
    <row r="296" spans="3:33" x14ac:dyDescent="0.2">
      <c r="C296" t="s">
        <v>123</v>
      </c>
      <c r="D296" t="s">
        <v>99</v>
      </c>
      <c r="E296" s="64">
        <f>_xlfn.XLOOKUP($C296,'Corporate Roster - ''24'!$C$6:$C$60,'Corporate Roster - ''24'!$E$6:$E$60)</f>
        <v>44716</v>
      </c>
      <c r="F296" s="64" t="str">
        <f>_xlfn.XLOOKUP($C296,'Corporate Roster - ''24'!$C$6:$C$60,'Corporate Roster - ''24'!$F$6:$F$60)</f>
        <v>-</v>
      </c>
      <c r="G296" s="32">
        <f t="shared" si="350"/>
        <v>4000</v>
      </c>
      <c r="H296" s="33">
        <f>_xlfn.XLOOKUP($C296,'Corporate Roster - ''24'!$C$6:$C$60,'Corporate Roster - ''24'!$H$6:$H$60)</f>
        <v>4000</v>
      </c>
      <c r="J296" s="32">
        <f t="shared" ref="J296:U296" si="415">IF(J44&gt;0,$G296/12,0)</f>
        <v>333.33333333333331</v>
      </c>
      <c r="K296" s="10">
        <f t="shared" si="415"/>
        <v>333.33333333333331</v>
      </c>
      <c r="L296" s="10">
        <f t="shared" si="415"/>
        <v>333.33333333333331</v>
      </c>
      <c r="M296" s="10">
        <f t="shared" si="415"/>
        <v>333.33333333333331</v>
      </c>
      <c r="N296" s="10">
        <f t="shared" si="415"/>
        <v>333.33333333333331</v>
      </c>
      <c r="O296" s="10">
        <f t="shared" si="415"/>
        <v>333.33333333333331</v>
      </c>
      <c r="P296" s="10">
        <f t="shared" si="415"/>
        <v>333.33333333333331</v>
      </c>
      <c r="Q296" s="10">
        <f t="shared" si="415"/>
        <v>333.33333333333331</v>
      </c>
      <c r="R296" s="10">
        <f t="shared" si="415"/>
        <v>333.33333333333331</v>
      </c>
      <c r="S296" s="10">
        <f t="shared" si="415"/>
        <v>333.33333333333331</v>
      </c>
      <c r="T296" s="10">
        <f t="shared" si="415"/>
        <v>333.33333333333331</v>
      </c>
      <c r="U296" s="33">
        <f t="shared" si="415"/>
        <v>333.33333333333331</v>
      </c>
      <c r="V296" s="10">
        <f t="shared" ref="V296:AG296" si="416">IF(V44&gt;0,$H296/12,0)</f>
        <v>333.33333333333331</v>
      </c>
      <c r="W296" s="10">
        <f t="shared" si="416"/>
        <v>333.33333333333331</v>
      </c>
      <c r="X296" s="10">
        <f t="shared" si="416"/>
        <v>333.33333333333331</v>
      </c>
      <c r="Y296" s="10">
        <f t="shared" si="416"/>
        <v>333.33333333333331</v>
      </c>
      <c r="Z296" s="10">
        <f t="shared" si="416"/>
        <v>333.33333333333331</v>
      </c>
      <c r="AA296" s="10">
        <f t="shared" si="416"/>
        <v>333.33333333333331</v>
      </c>
      <c r="AB296" s="10">
        <f t="shared" si="416"/>
        <v>333.33333333333331</v>
      </c>
      <c r="AC296" s="10">
        <f t="shared" si="416"/>
        <v>333.33333333333331</v>
      </c>
      <c r="AD296" s="10">
        <f t="shared" si="416"/>
        <v>333.33333333333331</v>
      </c>
      <c r="AE296" s="10">
        <f t="shared" si="416"/>
        <v>333.33333333333331</v>
      </c>
      <c r="AF296" s="10">
        <f t="shared" si="416"/>
        <v>333.33333333333331</v>
      </c>
      <c r="AG296" s="33">
        <f t="shared" si="416"/>
        <v>333.33333333333331</v>
      </c>
    </row>
    <row r="297" spans="3:33" x14ac:dyDescent="0.2">
      <c r="C297" t="s">
        <v>124</v>
      </c>
      <c r="D297" t="s">
        <v>99</v>
      </c>
      <c r="E297" s="64">
        <f>_xlfn.XLOOKUP($C297,'Corporate Roster - ''24'!$C$6:$C$60,'Corporate Roster - ''24'!$E$6:$E$60)</f>
        <v>38697</v>
      </c>
      <c r="F297" s="64" t="str">
        <f>_xlfn.XLOOKUP($C297,'Corporate Roster - ''24'!$C$6:$C$60,'Corporate Roster - ''24'!$F$6:$F$60)</f>
        <v>-</v>
      </c>
      <c r="G297" s="32">
        <f t="shared" si="350"/>
        <v>4000</v>
      </c>
      <c r="H297" s="33">
        <f>_xlfn.XLOOKUP($C297,'Corporate Roster - ''24'!$C$6:$C$60,'Corporate Roster - ''24'!$H$6:$H$60)</f>
        <v>4000</v>
      </c>
      <c r="J297" s="32">
        <f t="shared" ref="J297:U297" si="417">IF(J45&gt;0,$G297/12,0)</f>
        <v>333.33333333333331</v>
      </c>
      <c r="K297" s="10">
        <f t="shared" si="417"/>
        <v>333.33333333333331</v>
      </c>
      <c r="L297" s="10">
        <f t="shared" si="417"/>
        <v>333.33333333333331</v>
      </c>
      <c r="M297" s="10">
        <f t="shared" si="417"/>
        <v>333.33333333333331</v>
      </c>
      <c r="N297" s="10">
        <f t="shared" si="417"/>
        <v>333.33333333333331</v>
      </c>
      <c r="O297" s="10">
        <f t="shared" si="417"/>
        <v>333.33333333333331</v>
      </c>
      <c r="P297" s="10">
        <f t="shared" si="417"/>
        <v>333.33333333333331</v>
      </c>
      <c r="Q297" s="10">
        <f t="shared" si="417"/>
        <v>333.33333333333331</v>
      </c>
      <c r="R297" s="10">
        <f t="shared" si="417"/>
        <v>333.33333333333331</v>
      </c>
      <c r="S297" s="10">
        <f t="shared" si="417"/>
        <v>333.33333333333331</v>
      </c>
      <c r="T297" s="10">
        <f t="shared" si="417"/>
        <v>333.33333333333331</v>
      </c>
      <c r="U297" s="33">
        <f t="shared" si="417"/>
        <v>333.33333333333331</v>
      </c>
      <c r="V297" s="10">
        <f t="shared" ref="V297:AG297" si="418">IF(V45&gt;0,$H297/12,0)</f>
        <v>333.33333333333331</v>
      </c>
      <c r="W297" s="10">
        <f t="shared" si="418"/>
        <v>333.33333333333331</v>
      </c>
      <c r="X297" s="10">
        <f t="shared" si="418"/>
        <v>333.33333333333331</v>
      </c>
      <c r="Y297" s="10">
        <f t="shared" si="418"/>
        <v>333.33333333333331</v>
      </c>
      <c r="Z297" s="10">
        <f t="shared" si="418"/>
        <v>333.33333333333331</v>
      </c>
      <c r="AA297" s="10">
        <f t="shared" si="418"/>
        <v>333.33333333333331</v>
      </c>
      <c r="AB297" s="10">
        <f t="shared" si="418"/>
        <v>333.33333333333331</v>
      </c>
      <c r="AC297" s="10">
        <f t="shared" si="418"/>
        <v>333.33333333333331</v>
      </c>
      <c r="AD297" s="10">
        <f t="shared" si="418"/>
        <v>333.33333333333331</v>
      </c>
      <c r="AE297" s="10">
        <f t="shared" si="418"/>
        <v>333.33333333333331</v>
      </c>
      <c r="AF297" s="10">
        <f t="shared" si="418"/>
        <v>333.33333333333331</v>
      </c>
      <c r="AG297" s="33">
        <f t="shared" si="418"/>
        <v>333.33333333333331</v>
      </c>
    </row>
    <row r="298" spans="3:33" x14ac:dyDescent="0.2">
      <c r="C298" t="s">
        <v>125</v>
      </c>
      <c r="D298" t="s">
        <v>99</v>
      </c>
      <c r="E298" s="64">
        <f>_xlfn.XLOOKUP($C298,'Corporate Roster - ''24'!$C$6:$C$60,'Corporate Roster - ''24'!$E$6:$E$60)</f>
        <v>43863</v>
      </c>
      <c r="F298" s="64" t="str">
        <f>_xlfn.XLOOKUP($C298,'Corporate Roster - ''24'!$C$6:$C$60,'Corporate Roster - ''24'!$F$6:$F$60)</f>
        <v>-</v>
      </c>
      <c r="G298" s="32">
        <f t="shared" si="350"/>
        <v>4000</v>
      </c>
      <c r="H298" s="33">
        <f>_xlfn.XLOOKUP($C298,'Corporate Roster - ''24'!$C$6:$C$60,'Corporate Roster - ''24'!$H$6:$H$60)</f>
        <v>4000</v>
      </c>
      <c r="J298" s="32">
        <f t="shared" ref="J298:U298" si="419">IF(J46&gt;0,$G298/12,0)</f>
        <v>333.33333333333331</v>
      </c>
      <c r="K298" s="10">
        <f t="shared" si="419"/>
        <v>333.33333333333331</v>
      </c>
      <c r="L298" s="10">
        <f t="shared" si="419"/>
        <v>333.33333333333331</v>
      </c>
      <c r="M298" s="10">
        <f t="shared" si="419"/>
        <v>333.33333333333331</v>
      </c>
      <c r="N298" s="10">
        <f t="shared" si="419"/>
        <v>333.33333333333331</v>
      </c>
      <c r="O298" s="10">
        <f t="shared" si="419"/>
        <v>333.33333333333331</v>
      </c>
      <c r="P298" s="10">
        <f t="shared" si="419"/>
        <v>333.33333333333331</v>
      </c>
      <c r="Q298" s="10">
        <f t="shared" si="419"/>
        <v>333.33333333333331</v>
      </c>
      <c r="R298" s="10">
        <f t="shared" si="419"/>
        <v>333.33333333333331</v>
      </c>
      <c r="S298" s="10">
        <f t="shared" si="419"/>
        <v>333.33333333333331</v>
      </c>
      <c r="T298" s="10">
        <f t="shared" si="419"/>
        <v>333.33333333333331</v>
      </c>
      <c r="U298" s="33">
        <f t="shared" si="419"/>
        <v>333.33333333333331</v>
      </c>
      <c r="V298" s="10">
        <f t="shared" ref="V298:AG298" si="420">IF(V46&gt;0,$H298/12,0)</f>
        <v>333.33333333333331</v>
      </c>
      <c r="W298" s="10">
        <f t="shared" si="420"/>
        <v>333.33333333333331</v>
      </c>
      <c r="X298" s="10">
        <f t="shared" si="420"/>
        <v>333.33333333333331</v>
      </c>
      <c r="Y298" s="10">
        <f t="shared" si="420"/>
        <v>333.33333333333331</v>
      </c>
      <c r="Z298" s="10">
        <f t="shared" si="420"/>
        <v>333.33333333333331</v>
      </c>
      <c r="AA298" s="10">
        <f t="shared" si="420"/>
        <v>333.33333333333331</v>
      </c>
      <c r="AB298" s="10">
        <f t="shared" si="420"/>
        <v>333.33333333333331</v>
      </c>
      <c r="AC298" s="10">
        <f t="shared" si="420"/>
        <v>333.33333333333331</v>
      </c>
      <c r="AD298" s="10">
        <f t="shared" si="420"/>
        <v>333.33333333333331</v>
      </c>
      <c r="AE298" s="10">
        <f t="shared" si="420"/>
        <v>333.33333333333331</v>
      </c>
      <c r="AF298" s="10">
        <f t="shared" si="420"/>
        <v>333.33333333333331</v>
      </c>
      <c r="AG298" s="33">
        <f t="shared" si="420"/>
        <v>333.33333333333331</v>
      </c>
    </row>
    <row r="299" spans="3:33" x14ac:dyDescent="0.2">
      <c r="C299" t="s">
        <v>126</v>
      </c>
      <c r="D299" t="s">
        <v>110</v>
      </c>
      <c r="E299" s="64">
        <f>_xlfn.XLOOKUP($C299,'Corporate Roster - ''24'!$C$6:$C$60,'Corporate Roster - ''24'!$E$6:$E$60)</f>
        <v>40847</v>
      </c>
      <c r="F299" s="64" t="str">
        <f>_xlfn.XLOOKUP($C299,'Corporate Roster - ''24'!$C$6:$C$60,'Corporate Roster - ''24'!$F$6:$F$60)</f>
        <v>-</v>
      </c>
      <c r="G299" s="32">
        <f t="shared" si="350"/>
        <v>4250</v>
      </c>
      <c r="H299" s="33">
        <f>_xlfn.XLOOKUP($C299,'Corporate Roster - ''24'!$C$6:$C$60,'Corporate Roster - ''24'!$H$6:$H$60)</f>
        <v>4250</v>
      </c>
      <c r="J299" s="32">
        <f t="shared" ref="J299:U299" si="421">IF(J47&gt;0,$G299/12,0)</f>
        <v>354.16666666666669</v>
      </c>
      <c r="K299" s="10">
        <f t="shared" si="421"/>
        <v>354.16666666666669</v>
      </c>
      <c r="L299" s="10">
        <f t="shared" si="421"/>
        <v>354.16666666666669</v>
      </c>
      <c r="M299" s="10">
        <f t="shared" si="421"/>
        <v>354.16666666666669</v>
      </c>
      <c r="N299" s="10">
        <f t="shared" si="421"/>
        <v>354.16666666666669</v>
      </c>
      <c r="O299" s="10">
        <f t="shared" si="421"/>
        <v>354.16666666666669</v>
      </c>
      <c r="P299" s="10">
        <f t="shared" si="421"/>
        <v>354.16666666666669</v>
      </c>
      <c r="Q299" s="10">
        <f t="shared" si="421"/>
        <v>354.16666666666669</v>
      </c>
      <c r="R299" s="10">
        <f t="shared" si="421"/>
        <v>354.16666666666669</v>
      </c>
      <c r="S299" s="10">
        <f t="shared" si="421"/>
        <v>354.16666666666669</v>
      </c>
      <c r="T299" s="10">
        <f t="shared" si="421"/>
        <v>354.16666666666669</v>
      </c>
      <c r="U299" s="33">
        <f t="shared" si="421"/>
        <v>354.16666666666669</v>
      </c>
      <c r="V299" s="10">
        <f t="shared" ref="V299:AG299" si="422">IF(V47&gt;0,$H299/12,0)</f>
        <v>354.16666666666669</v>
      </c>
      <c r="W299" s="10">
        <f t="shared" si="422"/>
        <v>354.16666666666669</v>
      </c>
      <c r="X299" s="10">
        <f t="shared" si="422"/>
        <v>354.16666666666669</v>
      </c>
      <c r="Y299" s="10">
        <f t="shared" si="422"/>
        <v>354.16666666666669</v>
      </c>
      <c r="Z299" s="10">
        <f t="shared" si="422"/>
        <v>354.16666666666669</v>
      </c>
      <c r="AA299" s="10">
        <f t="shared" si="422"/>
        <v>354.16666666666669</v>
      </c>
      <c r="AB299" s="10">
        <f t="shared" si="422"/>
        <v>354.16666666666669</v>
      </c>
      <c r="AC299" s="10">
        <f t="shared" si="422"/>
        <v>354.16666666666669</v>
      </c>
      <c r="AD299" s="10">
        <f t="shared" si="422"/>
        <v>354.16666666666669</v>
      </c>
      <c r="AE299" s="10">
        <f t="shared" si="422"/>
        <v>354.16666666666669</v>
      </c>
      <c r="AF299" s="10">
        <f t="shared" si="422"/>
        <v>354.16666666666669</v>
      </c>
      <c r="AG299" s="33">
        <f t="shared" si="422"/>
        <v>354.16666666666669</v>
      </c>
    </row>
    <row r="300" spans="3:33" x14ac:dyDescent="0.2">
      <c r="C300" t="s">
        <v>127</v>
      </c>
      <c r="D300" t="s">
        <v>110</v>
      </c>
      <c r="E300" s="64">
        <f>_xlfn.XLOOKUP($C300,'Corporate Roster - ''24'!$C$6:$C$60,'Corporate Roster - ''24'!$E$6:$E$60)</f>
        <v>39385</v>
      </c>
      <c r="F300" s="64" t="str">
        <f>_xlfn.XLOOKUP($C300,'Corporate Roster - ''24'!$C$6:$C$60,'Corporate Roster - ''24'!$F$6:$F$60)</f>
        <v>-</v>
      </c>
      <c r="G300" s="32">
        <f t="shared" si="350"/>
        <v>4250</v>
      </c>
      <c r="H300" s="33">
        <f>_xlfn.XLOOKUP($C300,'Corporate Roster - ''24'!$C$6:$C$60,'Corporate Roster - ''24'!$H$6:$H$60)</f>
        <v>4250</v>
      </c>
      <c r="J300" s="32">
        <f t="shared" ref="J300:U300" si="423">IF(J48&gt;0,$G300/12,0)</f>
        <v>354.16666666666669</v>
      </c>
      <c r="K300" s="10">
        <f t="shared" si="423"/>
        <v>354.16666666666669</v>
      </c>
      <c r="L300" s="10">
        <f t="shared" si="423"/>
        <v>354.16666666666669</v>
      </c>
      <c r="M300" s="10">
        <f t="shared" si="423"/>
        <v>354.16666666666669</v>
      </c>
      <c r="N300" s="10">
        <f t="shared" si="423"/>
        <v>354.16666666666669</v>
      </c>
      <c r="O300" s="10">
        <f t="shared" si="423"/>
        <v>354.16666666666669</v>
      </c>
      <c r="P300" s="10">
        <f t="shared" si="423"/>
        <v>354.16666666666669</v>
      </c>
      <c r="Q300" s="10">
        <f t="shared" si="423"/>
        <v>354.16666666666669</v>
      </c>
      <c r="R300" s="10">
        <f t="shared" si="423"/>
        <v>354.16666666666669</v>
      </c>
      <c r="S300" s="10">
        <f t="shared" si="423"/>
        <v>354.16666666666669</v>
      </c>
      <c r="T300" s="10">
        <f t="shared" si="423"/>
        <v>354.16666666666669</v>
      </c>
      <c r="U300" s="33">
        <f t="shared" si="423"/>
        <v>354.16666666666669</v>
      </c>
      <c r="V300" s="10">
        <f t="shared" ref="V300:AG300" si="424">IF(V48&gt;0,$H300/12,0)</f>
        <v>354.16666666666669</v>
      </c>
      <c r="W300" s="10">
        <f t="shared" si="424"/>
        <v>354.16666666666669</v>
      </c>
      <c r="X300" s="10">
        <f t="shared" si="424"/>
        <v>354.16666666666669</v>
      </c>
      <c r="Y300" s="10">
        <f t="shared" si="424"/>
        <v>354.16666666666669</v>
      </c>
      <c r="Z300" s="10">
        <f t="shared" si="424"/>
        <v>354.16666666666669</v>
      </c>
      <c r="AA300" s="10">
        <f t="shared" si="424"/>
        <v>354.16666666666669</v>
      </c>
      <c r="AB300" s="10">
        <f t="shared" si="424"/>
        <v>354.16666666666669</v>
      </c>
      <c r="AC300" s="10">
        <f t="shared" si="424"/>
        <v>354.16666666666669</v>
      </c>
      <c r="AD300" s="10">
        <f t="shared" si="424"/>
        <v>354.16666666666669</v>
      </c>
      <c r="AE300" s="10">
        <f t="shared" si="424"/>
        <v>354.16666666666669</v>
      </c>
      <c r="AF300" s="10">
        <f t="shared" si="424"/>
        <v>354.16666666666669</v>
      </c>
      <c r="AG300" s="33">
        <f t="shared" si="424"/>
        <v>354.16666666666669</v>
      </c>
    </row>
    <row r="301" spans="3:33" x14ac:dyDescent="0.2">
      <c r="C301" t="s">
        <v>128</v>
      </c>
      <c r="D301" t="s">
        <v>90</v>
      </c>
      <c r="E301" s="64">
        <f>_xlfn.XLOOKUP($C301,'Corporate Roster - ''24'!$C$6:$C$60,'Corporate Roster - ''24'!$E$6:$E$60)</f>
        <v>39936</v>
      </c>
      <c r="F301" s="64" t="str">
        <f>_xlfn.XLOOKUP($C301,'Corporate Roster - ''24'!$C$6:$C$60,'Corporate Roster - ''24'!$F$6:$F$60)</f>
        <v>-</v>
      </c>
      <c r="G301" s="32">
        <f>(MROUND(H301*0.95,1000))</f>
        <v>12000</v>
      </c>
      <c r="H301" s="33">
        <f>_xlfn.XLOOKUP($C301,'Corporate Roster - ''24'!$C$6:$C$60,'Corporate Roster - ''24'!$H$6:$H$60)</f>
        <v>13000</v>
      </c>
      <c r="J301" s="32">
        <f t="shared" ref="J301:U301" si="425">IF(J49&gt;0,$G301/12,0)</f>
        <v>1000</v>
      </c>
      <c r="K301" s="10">
        <f t="shared" si="425"/>
        <v>1000</v>
      </c>
      <c r="L301" s="10">
        <f t="shared" si="425"/>
        <v>1000</v>
      </c>
      <c r="M301" s="10">
        <f t="shared" si="425"/>
        <v>1000</v>
      </c>
      <c r="N301" s="10">
        <f t="shared" si="425"/>
        <v>1000</v>
      </c>
      <c r="O301" s="10">
        <f t="shared" si="425"/>
        <v>1000</v>
      </c>
      <c r="P301" s="10">
        <f t="shared" si="425"/>
        <v>1000</v>
      </c>
      <c r="Q301" s="10">
        <f t="shared" si="425"/>
        <v>1000</v>
      </c>
      <c r="R301" s="10">
        <f t="shared" si="425"/>
        <v>1000</v>
      </c>
      <c r="S301" s="10">
        <f t="shared" si="425"/>
        <v>1000</v>
      </c>
      <c r="T301" s="10">
        <f t="shared" si="425"/>
        <v>1000</v>
      </c>
      <c r="U301" s="33">
        <f t="shared" si="425"/>
        <v>1000</v>
      </c>
      <c r="V301" s="10">
        <f t="shared" ref="V301:AG301" si="426">IF(V49&gt;0,$H301/12,0)</f>
        <v>1083.3333333333333</v>
      </c>
      <c r="W301" s="10">
        <f t="shared" si="426"/>
        <v>1083.3333333333333</v>
      </c>
      <c r="X301" s="10">
        <f t="shared" si="426"/>
        <v>1083.3333333333333</v>
      </c>
      <c r="Y301" s="10">
        <f t="shared" si="426"/>
        <v>1083.3333333333333</v>
      </c>
      <c r="Z301" s="10">
        <f t="shared" si="426"/>
        <v>1083.3333333333333</v>
      </c>
      <c r="AA301" s="10">
        <f t="shared" si="426"/>
        <v>1083.3333333333333</v>
      </c>
      <c r="AB301" s="10">
        <f t="shared" si="426"/>
        <v>1083.3333333333333</v>
      </c>
      <c r="AC301" s="10">
        <f t="shared" si="426"/>
        <v>1083.3333333333333</v>
      </c>
      <c r="AD301" s="10">
        <f t="shared" si="426"/>
        <v>1083.3333333333333</v>
      </c>
      <c r="AE301" s="10">
        <f t="shared" si="426"/>
        <v>1083.3333333333333</v>
      </c>
      <c r="AF301" s="10">
        <f t="shared" si="426"/>
        <v>1083.3333333333333</v>
      </c>
      <c r="AG301" s="33">
        <f t="shared" si="426"/>
        <v>1083.3333333333333</v>
      </c>
    </row>
    <row r="302" spans="3:33" x14ac:dyDescent="0.2">
      <c r="C302" t="s">
        <v>129</v>
      </c>
      <c r="D302" t="s">
        <v>99</v>
      </c>
      <c r="E302" s="64">
        <f>_xlfn.XLOOKUP($C302,'Corporate Roster - ''24'!$C$6:$C$60,'Corporate Roster - ''24'!$E$6:$E$60)</f>
        <v>43887</v>
      </c>
      <c r="F302" s="64" t="str">
        <f>_xlfn.XLOOKUP($C302,'Corporate Roster - ''24'!$C$6:$C$60,'Corporate Roster - ''24'!$F$6:$F$60)</f>
        <v>-</v>
      </c>
      <c r="G302" s="32">
        <f t="shared" si="350"/>
        <v>4000</v>
      </c>
      <c r="H302" s="33">
        <f>_xlfn.XLOOKUP($C302,'Corporate Roster - ''24'!$C$6:$C$60,'Corporate Roster - ''24'!$H$6:$H$60)</f>
        <v>4000</v>
      </c>
      <c r="J302" s="32">
        <f t="shared" ref="J302:U302" si="427">IF(J50&gt;0,$G302/12,0)</f>
        <v>333.33333333333331</v>
      </c>
      <c r="K302" s="10">
        <f t="shared" si="427"/>
        <v>333.33333333333331</v>
      </c>
      <c r="L302" s="10">
        <f t="shared" si="427"/>
        <v>333.33333333333331</v>
      </c>
      <c r="M302" s="10">
        <f t="shared" si="427"/>
        <v>333.33333333333331</v>
      </c>
      <c r="N302" s="10">
        <f t="shared" si="427"/>
        <v>333.33333333333331</v>
      </c>
      <c r="O302" s="10">
        <f t="shared" si="427"/>
        <v>333.33333333333331</v>
      </c>
      <c r="P302" s="10">
        <f t="shared" si="427"/>
        <v>333.33333333333331</v>
      </c>
      <c r="Q302" s="10">
        <f t="shared" si="427"/>
        <v>333.33333333333331</v>
      </c>
      <c r="R302" s="10">
        <f t="shared" si="427"/>
        <v>333.33333333333331</v>
      </c>
      <c r="S302" s="10">
        <f t="shared" si="427"/>
        <v>333.33333333333331</v>
      </c>
      <c r="T302" s="10">
        <f t="shared" si="427"/>
        <v>333.33333333333331</v>
      </c>
      <c r="U302" s="33">
        <f t="shared" si="427"/>
        <v>333.33333333333331</v>
      </c>
      <c r="V302" s="10">
        <f t="shared" ref="V302:AG302" si="428">IF(V50&gt;0,$H302/12,0)</f>
        <v>333.33333333333331</v>
      </c>
      <c r="W302" s="10">
        <f t="shared" si="428"/>
        <v>333.33333333333331</v>
      </c>
      <c r="X302" s="10">
        <f t="shared" si="428"/>
        <v>333.33333333333331</v>
      </c>
      <c r="Y302" s="10">
        <f t="shared" si="428"/>
        <v>333.33333333333331</v>
      </c>
      <c r="Z302" s="10">
        <f t="shared" si="428"/>
        <v>333.33333333333331</v>
      </c>
      <c r="AA302" s="10">
        <f t="shared" si="428"/>
        <v>333.33333333333331</v>
      </c>
      <c r="AB302" s="10">
        <f t="shared" si="428"/>
        <v>333.33333333333331</v>
      </c>
      <c r="AC302" s="10">
        <f t="shared" si="428"/>
        <v>333.33333333333331</v>
      </c>
      <c r="AD302" s="10">
        <f t="shared" si="428"/>
        <v>333.33333333333331</v>
      </c>
      <c r="AE302" s="10">
        <f t="shared" si="428"/>
        <v>333.33333333333331</v>
      </c>
      <c r="AF302" s="10">
        <f t="shared" si="428"/>
        <v>333.33333333333331</v>
      </c>
      <c r="AG302" s="33">
        <f t="shared" si="428"/>
        <v>333.33333333333331</v>
      </c>
    </row>
    <row r="303" spans="3:33" x14ac:dyDescent="0.2">
      <c r="C303" t="s">
        <v>122</v>
      </c>
      <c r="D303" t="s">
        <v>99</v>
      </c>
      <c r="E303" s="64">
        <f>_xlfn.XLOOKUP($C303,'Corporate Roster - ''24'!$C$6:$C$60,'Corporate Roster - ''24'!$E$6:$E$60)</f>
        <v>44041</v>
      </c>
      <c r="F303" s="64" t="str">
        <f>_xlfn.XLOOKUP($C303,'Corporate Roster - ''24'!$C$6:$C$60,'Corporate Roster - ''24'!$F$6:$F$60)</f>
        <v>-</v>
      </c>
      <c r="G303" s="32">
        <f t="shared" si="350"/>
        <v>4000</v>
      </c>
      <c r="H303" s="33">
        <f>_xlfn.XLOOKUP($C303,'Corporate Roster - ''24'!$C$6:$C$60,'Corporate Roster - ''24'!$H$6:$H$60)</f>
        <v>4000</v>
      </c>
      <c r="J303" s="32">
        <f t="shared" ref="J303:U303" si="429">IF(J51&gt;0,$G303/12,0)</f>
        <v>333.33333333333331</v>
      </c>
      <c r="K303" s="10">
        <f t="shared" si="429"/>
        <v>333.33333333333331</v>
      </c>
      <c r="L303" s="10">
        <f t="shared" si="429"/>
        <v>333.33333333333331</v>
      </c>
      <c r="M303" s="10">
        <f t="shared" si="429"/>
        <v>333.33333333333331</v>
      </c>
      <c r="N303" s="10">
        <f t="shared" si="429"/>
        <v>333.33333333333331</v>
      </c>
      <c r="O303" s="10">
        <f t="shared" si="429"/>
        <v>333.33333333333331</v>
      </c>
      <c r="P303" s="10">
        <f t="shared" si="429"/>
        <v>333.33333333333331</v>
      </c>
      <c r="Q303" s="10">
        <f t="shared" si="429"/>
        <v>333.33333333333331</v>
      </c>
      <c r="R303" s="10">
        <f t="shared" si="429"/>
        <v>333.33333333333331</v>
      </c>
      <c r="S303" s="10">
        <f t="shared" si="429"/>
        <v>333.33333333333331</v>
      </c>
      <c r="T303" s="10">
        <f t="shared" si="429"/>
        <v>333.33333333333331</v>
      </c>
      <c r="U303" s="33">
        <f t="shared" si="429"/>
        <v>333.33333333333331</v>
      </c>
      <c r="V303" s="10">
        <f t="shared" ref="V303:AG303" si="430">IF(V51&gt;0,$H303/12,0)</f>
        <v>333.33333333333331</v>
      </c>
      <c r="W303" s="10">
        <f t="shared" si="430"/>
        <v>333.33333333333331</v>
      </c>
      <c r="X303" s="10">
        <f t="shared" si="430"/>
        <v>333.33333333333331</v>
      </c>
      <c r="Y303" s="10">
        <f t="shared" si="430"/>
        <v>333.33333333333331</v>
      </c>
      <c r="Z303" s="10">
        <f t="shared" si="430"/>
        <v>333.33333333333331</v>
      </c>
      <c r="AA303" s="10">
        <f t="shared" si="430"/>
        <v>333.33333333333331</v>
      </c>
      <c r="AB303" s="10">
        <f t="shared" si="430"/>
        <v>333.33333333333331</v>
      </c>
      <c r="AC303" s="10">
        <f t="shared" si="430"/>
        <v>333.33333333333331</v>
      </c>
      <c r="AD303" s="10">
        <f t="shared" si="430"/>
        <v>333.33333333333331</v>
      </c>
      <c r="AE303" s="10">
        <f t="shared" si="430"/>
        <v>333.33333333333331</v>
      </c>
      <c r="AF303" s="10">
        <f t="shared" si="430"/>
        <v>333.33333333333331</v>
      </c>
      <c r="AG303" s="33">
        <f t="shared" si="430"/>
        <v>333.33333333333331</v>
      </c>
    </row>
    <row r="304" spans="3:33" x14ac:dyDescent="0.2">
      <c r="C304" t="s">
        <v>130</v>
      </c>
      <c r="D304" t="s">
        <v>74</v>
      </c>
      <c r="E304" s="64">
        <f>_xlfn.XLOOKUP($C304,'Corporate Roster - ''24'!$C$6:$C$60,'Corporate Roster - ''24'!$E$6:$E$60)</f>
        <v>38591</v>
      </c>
      <c r="F304" s="64">
        <f>_xlfn.XLOOKUP($C304,'Corporate Roster - ''24'!$C$6:$C$60,'Corporate Roster - ''24'!$F$6:$F$60)</f>
        <v>45101</v>
      </c>
      <c r="G304" s="32">
        <f t="shared" si="350"/>
        <v>60000</v>
      </c>
      <c r="H304" s="33">
        <f>_xlfn.XLOOKUP($C304,'Corporate Roster - ''24'!$C$6:$C$60,'Corporate Roster - ''24'!$H$6:$H$60)</f>
        <v>60000</v>
      </c>
      <c r="J304" s="32">
        <f t="shared" ref="J304:N313" si="431">IF(J52&gt;0,$G304/12,0)</f>
        <v>5000</v>
      </c>
      <c r="K304" s="10">
        <f t="shared" si="431"/>
        <v>5000</v>
      </c>
      <c r="L304" s="10">
        <f t="shared" si="431"/>
        <v>5000</v>
      </c>
      <c r="M304" s="10">
        <f t="shared" si="431"/>
        <v>5000</v>
      </c>
      <c r="N304" s="10">
        <f t="shared" si="431"/>
        <v>5000</v>
      </c>
      <c r="O304" s="10">
        <f>-SUM($J304:N304)+O115</f>
        <v>5000</v>
      </c>
      <c r="P304" s="10">
        <f t="shared" ref="P304:U305" si="432">IF(P52&gt;0,$G304/12,0)</f>
        <v>0</v>
      </c>
      <c r="Q304" s="10">
        <f t="shared" si="432"/>
        <v>0</v>
      </c>
      <c r="R304" s="10">
        <f t="shared" si="432"/>
        <v>0</v>
      </c>
      <c r="S304" s="10">
        <f t="shared" si="432"/>
        <v>0</v>
      </c>
      <c r="T304" s="10">
        <f t="shared" si="432"/>
        <v>0</v>
      </c>
      <c r="U304" s="33">
        <f t="shared" si="432"/>
        <v>0</v>
      </c>
      <c r="V304" s="10">
        <f t="shared" ref="V304:AG304" si="433">IF(V52&gt;0,$H304/12,0)</f>
        <v>0</v>
      </c>
      <c r="W304" s="10">
        <f t="shared" si="433"/>
        <v>0</v>
      </c>
      <c r="X304" s="10">
        <f t="shared" si="433"/>
        <v>0</v>
      </c>
      <c r="Y304" s="10">
        <f t="shared" si="433"/>
        <v>0</v>
      </c>
      <c r="Z304" s="10">
        <f t="shared" si="433"/>
        <v>0</v>
      </c>
      <c r="AA304" s="10">
        <f t="shared" si="433"/>
        <v>0</v>
      </c>
      <c r="AB304" s="10">
        <f t="shared" si="433"/>
        <v>0</v>
      </c>
      <c r="AC304" s="10">
        <f t="shared" si="433"/>
        <v>0</v>
      </c>
      <c r="AD304" s="10">
        <f t="shared" si="433"/>
        <v>0</v>
      </c>
      <c r="AE304" s="10">
        <f t="shared" si="433"/>
        <v>0</v>
      </c>
      <c r="AF304" s="10">
        <f t="shared" si="433"/>
        <v>0</v>
      </c>
      <c r="AG304" s="33">
        <f t="shared" si="433"/>
        <v>0</v>
      </c>
    </row>
    <row r="305" spans="2:36" x14ac:dyDescent="0.2">
      <c r="C305" t="s">
        <v>132</v>
      </c>
      <c r="D305" t="s">
        <v>90</v>
      </c>
      <c r="E305" s="64">
        <f>_xlfn.XLOOKUP($C305,'Corporate Roster - ''24'!$C$6:$C$60,'Corporate Roster - ''24'!$E$6:$E$60)</f>
        <v>43026</v>
      </c>
      <c r="F305" s="64">
        <f>_xlfn.XLOOKUP($C305,'Corporate Roster - ''24'!$C$6:$C$60,'Corporate Roster - ''24'!$F$6:$F$60)</f>
        <v>45110</v>
      </c>
      <c r="G305" s="32">
        <f t="shared" si="350"/>
        <v>13000</v>
      </c>
      <c r="H305" s="33">
        <f>_xlfn.XLOOKUP($C305,'Corporate Roster - ''24'!$C$6:$C$60,'Corporate Roster - ''24'!$H$6:$H$60)</f>
        <v>13000</v>
      </c>
      <c r="J305" s="32">
        <f t="shared" si="431"/>
        <v>1083.3333333333333</v>
      </c>
      <c r="K305" s="10">
        <f t="shared" si="431"/>
        <v>1083.3333333333333</v>
      </c>
      <c r="L305" s="10">
        <f t="shared" si="431"/>
        <v>1083.3333333333333</v>
      </c>
      <c r="M305" s="10">
        <f t="shared" si="431"/>
        <v>1083.3333333333333</v>
      </c>
      <c r="N305" s="10">
        <f t="shared" si="431"/>
        <v>1083.3333333333333</v>
      </c>
      <c r="O305" s="10">
        <f t="shared" ref="O305:O313" si="434">IF(O53&gt;0,$G305/12,0)</f>
        <v>1083.3333333333333</v>
      </c>
      <c r="P305" s="10">
        <f>-SUM($J305:O305)+P116</f>
        <v>-6499.9999999999991</v>
      </c>
      <c r="Q305" s="10">
        <f t="shared" si="432"/>
        <v>0</v>
      </c>
      <c r="R305" s="10">
        <f t="shared" si="432"/>
        <v>0</v>
      </c>
      <c r="S305" s="10">
        <f t="shared" si="432"/>
        <v>0</v>
      </c>
      <c r="T305" s="10">
        <f t="shared" si="432"/>
        <v>0</v>
      </c>
      <c r="U305" s="33">
        <f t="shared" si="432"/>
        <v>0</v>
      </c>
      <c r="V305" s="10">
        <f t="shared" ref="V305:AG305" si="435">IF(V53&gt;0,$H305/12,0)</f>
        <v>0</v>
      </c>
      <c r="W305" s="10">
        <f t="shared" si="435"/>
        <v>0</v>
      </c>
      <c r="X305" s="10">
        <f t="shared" si="435"/>
        <v>0</v>
      </c>
      <c r="Y305" s="10">
        <f t="shared" si="435"/>
        <v>0</v>
      </c>
      <c r="Z305" s="10">
        <f t="shared" si="435"/>
        <v>0</v>
      </c>
      <c r="AA305" s="10">
        <f t="shared" si="435"/>
        <v>0</v>
      </c>
      <c r="AB305" s="10">
        <f t="shared" si="435"/>
        <v>0</v>
      </c>
      <c r="AC305" s="10">
        <f t="shared" si="435"/>
        <v>0</v>
      </c>
      <c r="AD305" s="10">
        <f t="shared" si="435"/>
        <v>0</v>
      </c>
      <c r="AE305" s="10">
        <f t="shared" si="435"/>
        <v>0</v>
      </c>
      <c r="AF305" s="10">
        <f t="shared" si="435"/>
        <v>0</v>
      </c>
      <c r="AG305" s="33">
        <f t="shared" si="435"/>
        <v>0</v>
      </c>
    </row>
    <row r="306" spans="2:36" x14ac:dyDescent="0.2">
      <c r="C306" t="s">
        <v>131</v>
      </c>
      <c r="D306" t="s">
        <v>103</v>
      </c>
      <c r="E306" s="64">
        <f>_xlfn.XLOOKUP($C306,'Corporate Roster - ''24'!$C$6:$C$60,'Corporate Roster - ''24'!$E$6:$E$60)</f>
        <v>42388</v>
      </c>
      <c r="F306" s="64">
        <f>_xlfn.XLOOKUP($C306,'Corporate Roster - ''24'!$C$6:$C$60,'Corporate Roster - ''24'!$F$6:$F$60)</f>
        <v>45231</v>
      </c>
      <c r="G306" s="32">
        <f>(MROUND(H306*0.95,1000))</f>
        <v>4000</v>
      </c>
      <c r="H306" s="33">
        <f>_xlfn.XLOOKUP($C306,'Corporate Roster - ''24'!$C$6:$C$60,'Corporate Roster - ''24'!$H$6:$H$60)</f>
        <v>4250</v>
      </c>
      <c r="J306" s="32">
        <f t="shared" si="431"/>
        <v>333.33333333333331</v>
      </c>
      <c r="K306" s="10">
        <f t="shared" si="431"/>
        <v>333.33333333333331</v>
      </c>
      <c r="L306" s="10">
        <f t="shared" si="431"/>
        <v>333.33333333333331</v>
      </c>
      <c r="M306" s="10">
        <f t="shared" si="431"/>
        <v>333.33333333333331</v>
      </c>
      <c r="N306" s="10">
        <f t="shared" si="431"/>
        <v>333.33333333333331</v>
      </c>
      <c r="O306" s="10">
        <f t="shared" si="434"/>
        <v>333.33333333333331</v>
      </c>
      <c r="P306" s="10">
        <f t="shared" ref="P306:S313" si="436">IF(P54&gt;0,$G306/12,0)</f>
        <v>333.33333333333331</v>
      </c>
      <c r="Q306" s="10">
        <f t="shared" si="436"/>
        <v>333.33333333333331</v>
      </c>
      <c r="R306" s="10">
        <f t="shared" si="436"/>
        <v>333.33333333333331</v>
      </c>
      <c r="S306" s="10">
        <f t="shared" si="436"/>
        <v>333.33333333333331</v>
      </c>
      <c r="T306" s="10">
        <f>-SUM($J306:S306)+T117</f>
        <v>-3333.3333333333335</v>
      </c>
      <c r="U306" s="33">
        <f t="shared" ref="U306:U313" si="437">IF(U54&gt;0,$G306/12,0)</f>
        <v>0</v>
      </c>
      <c r="V306" s="10">
        <f t="shared" ref="V306:AG306" si="438">IF(V54&gt;0,$H306/12,0)</f>
        <v>0</v>
      </c>
      <c r="W306" s="10">
        <f t="shared" si="438"/>
        <v>0</v>
      </c>
      <c r="X306" s="10">
        <f t="shared" si="438"/>
        <v>0</v>
      </c>
      <c r="Y306" s="10">
        <f t="shared" si="438"/>
        <v>0</v>
      </c>
      <c r="Z306" s="10">
        <f t="shared" si="438"/>
        <v>0</v>
      </c>
      <c r="AA306" s="10">
        <f t="shared" si="438"/>
        <v>0</v>
      </c>
      <c r="AB306" s="10">
        <f t="shared" si="438"/>
        <v>0</v>
      </c>
      <c r="AC306" s="10">
        <f t="shared" si="438"/>
        <v>0</v>
      </c>
      <c r="AD306" s="10">
        <f t="shared" si="438"/>
        <v>0</v>
      </c>
      <c r="AE306" s="10">
        <f t="shared" si="438"/>
        <v>0</v>
      </c>
      <c r="AF306" s="10">
        <f t="shared" si="438"/>
        <v>0</v>
      </c>
      <c r="AG306" s="33">
        <f t="shared" si="438"/>
        <v>0</v>
      </c>
    </row>
    <row r="307" spans="2:36" x14ac:dyDescent="0.2">
      <c r="C307" t="s">
        <v>133</v>
      </c>
      <c r="D307" t="s">
        <v>93</v>
      </c>
      <c r="E307" s="64">
        <f>_xlfn.XLOOKUP($C307,'Corporate Roster - ''24'!$C$6:$C$60,'Corporate Roster - ''24'!$E$6:$E$60)</f>
        <v>38928</v>
      </c>
      <c r="F307" s="64">
        <f>_xlfn.XLOOKUP($C307,'Corporate Roster - ''24'!$C$6:$C$60,'Corporate Roster - ''24'!$F$6:$F$60)</f>
        <v>45398</v>
      </c>
      <c r="G307" s="32">
        <f t="shared" si="350"/>
        <v>12000</v>
      </c>
      <c r="H307" s="33">
        <f>_xlfn.XLOOKUP($C307,'Corporate Roster - ''24'!$C$6:$C$60,'Corporate Roster - ''24'!$H$6:$H$60)</f>
        <v>12000</v>
      </c>
      <c r="J307" s="32">
        <f t="shared" si="431"/>
        <v>1000</v>
      </c>
      <c r="K307" s="10">
        <f t="shared" si="431"/>
        <v>1000</v>
      </c>
      <c r="L307" s="10">
        <f t="shared" si="431"/>
        <v>1000</v>
      </c>
      <c r="M307" s="10">
        <f t="shared" si="431"/>
        <v>1000</v>
      </c>
      <c r="N307" s="10">
        <f t="shared" si="431"/>
        <v>1000</v>
      </c>
      <c r="O307" s="10">
        <f t="shared" si="434"/>
        <v>1000</v>
      </c>
      <c r="P307" s="10">
        <f t="shared" si="436"/>
        <v>1000</v>
      </c>
      <c r="Q307" s="10">
        <f t="shared" si="436"/>
        <v>1000</v>
      </c>
      <c r="R307" s="10">
        <f t="shared" si="436"/>
        <v>1000</v>
      </c>
      <c r="S307" s="10">
        <f t="shared" si="436"/>
        <v>1000</v>
      </c>
      <c r="T307" s="10">
        <f t="shared" ref="T307:T313" si="439">IF(T55&gt;0,$G307/12,0)</f>
        <v>1000</v>
      </c>
      <c r="U307" s="33">
        <f t="shared" si="437"/>
        <v>1000</v>
      </c>
      <c r="V307" s="10">
        <f t="shared" ref="V307:X313" si="440">IF(V55&gt;0,$H307/12,0)</f>
        <v>1000</v>
      </c>
      <c r="W307" s="10">
        <f t="shared" si="440"/>
        <v>1000</v>
      </c>
      <c r="X307" s="10">
        <f t="shared" si="440"/>
        <v>1000</v>
      </c>
      <c r="Y307" s="10">
        <f>-SUM($V307:X307)+Y118</f>
        <v>-3000</v>
      </c>
      <c r="Z307" s="10">
        <f t="shared" ref="Z307:AG307" si="441">IF(Z55&gt;0,$H307/12,0)</f>
        <v>0</v>
      </c>
      <c r="AA307" s="10">
        <f t="shared" si="441"/>
        <v>0</v>
      </c>
      <c r="AB307" s="10">
        <f t="shared" si="441"/>
        <v>0</v>
      </c>
      <c r="AC307" s="10">
        <f t="shared" si="441"/>
        <v>0</v>
      </c>
      <c r="AD307" s="10">
        <f t="shared" si="441"/>
        <v>0</v>
      </c>
      <c r="AE307" s="10">
        <f t="shared" si="441"/>
        <v>0</v>
      </c>
      <c r="AF307" s="10">
        <f t="shared" si="441"/>
        <v>0</v>
      </c>
      <c r="AG307" s="33">
        <f t="shared" si="441"/>
        <v>0</v>
      </c>
    </row>
    <row r="308" spans="2:36" x14ac:dyDescent="0.2">
      <c r="C308" t="s">
        <v>114</v>
      </c>
      <c r="D308" t="s">
        <v>86</v>
      </c>
      <c r="E308" s="64">
        <f>_xlfn.XLOOKUP($C308,'Corporate Roster - ''24'!$C$6:$C$60,'Corporate Roster - ''24'!$E$6:$E$60)</f>
        <v>43340</v>
      </c>
      <c r="F308" s="64">
        <f>_xlfn.XLOOKUP($C308,'Corporate Roster - ''24'!$C$6:$C$60,'Corporate Roster - ''24'!$F$6:$F$60)</f>
        <v>45437</v>
      </c>
      <c r="G308" s="32">
        <f t="shared" si="350"/>
        <v>12000</v>
      </c>
      <c r="H308" s="33">
        <f>_xlfn.XLOOKUP($C308,'Corporate Roster - ''24'!$C$6:$C$60,'Corporate Roster - ''24'!$H$6:$H$60)</f>
        <v>12000</v>
      </c>
      <c r="J308" s="32">
        <f t="shared" si="431"/>
        <v>1000</v>
      </c>
      <c r="K308" s="10">
        <f t="shared" si="431"/>
        <v>1000</v>
      </c>
      <c r="L308" s="10">
        <f t="shared" si="431"/>
        <v>1000</v>
      </c>
      <c r="M308" s="10">
        <f t="shared" si="431"/>
        <v>1000</v>
      </c>
      <c r="N308" s="10">
        <f t="shared" si="431"/>
        <v>1000</v>
      </c>
      <c r="O308" s="10">
        <f t="shared" si="434"/>
        <v>1000</v>
      </c>
      <c r="P308" s="10">
        <f t="shared" si="436"/>
        <v>1000</v>
      </c>
      <c r="Q308" s="10">
        <f t="shared" si="436"/>
        <v>1000</v>
      </c>
      <c r="R308" s="10">
        <f t="shared" si="436"/>
        <v>1000</v>
      </c>
      <c r="S308" s="10">
        <f t="shared" si="436"/>
        <v>1000</v>
      </c>
      <c r="T308" s="10">
        <f t="shared" si="439"/>
        <v>1000</v>
      </c>
      <c r="U308" s="33">
        <f t="shared" si="437"/>
        <v>1000</v>
      </c>
      <c r="V308" s="10">
        <f t="shared" si="440"/>
        <v>1000</v>
      </c>
      <c r="W308" s="10">
        <f t="shared" si="440"/>
        <v>1000</v>
      </c>
      <c r="X308" s="10">
        <f t="shared" si="440"/>
        <v>1000</v>
      </c>
      <c r="Y308" s="10">
        <f t="shared" ref="Y308:Y313" si="442">IF(Y56&gt;0,$H308/12,0)</f>
        <v>1000</v>
      </c>
      <c r="Z308" s="10">
        <f>-SUM($V308:Y308)+Z119</f>
        <v>-4000</v>
      </c>
      <c r="AA308" s="10">
        <f t="shared" ref="AA308:AG308" si="443">IF(AA56&gt;0,$H308/12,0)</f>
        <v>0</v>
      </c>
      <c r="AB308" s="10">
        <f t="shared" si="443"/>
        <v>0</v>
      </c>
      <c r="AC308" s="10">
        <f t="shared" si="443"/>
        <v>0</v>
      </c>
      <c r="AD308" s="10">
        <f t="shared" si="443"/>
        <v>0</v>
      </c>
      <c r="AE308" s="10">
        <f t="shared" si="443"/>
        <v>0</v>
      </c>
      <c r="AF308" s="10">
        <f t="shared" si="443"/>
        <v>0</v>
      </c>
      <c r="AG308" s="33">
        <f t="shared" si="443"/>
        <v>0</v>
      </c>
    </row>
    <row r="309" spans="2:36" x14ac:dyDescent="0.2">
      <c r="C309" t="s">
        <v>135</v>
      </c>
      <c r="D309" t="s">
        <v>82</v>
      </c>
      <c r="E309" s="64">
        <f>_xlfn.XLOOKUP($C309,'Corporate Roster - ''24'!$C$6:$C$60,'Corporate Roster - ''24'!$E$6:$E$60)</f>
        <v>44954</v>
      </c>
      <c r="F309" s="64">
        <f>_xlfn.XLOOKUP($C309,'Corporate Roster - ''24'!$C$6:$C$60,'Corporate Roster - ''24'!$F$6:$F$60)</f>
        <v>45489</v>
      </c>
      <c r="G309" s="32">
        <f t="shared" si="350"/>
        <v>32000</v>
      </c>
      <c r="H309" s="33">
        <f>_xlfn.XLOOKUP($C309,'Corporate Roster - ''24'!$C$6:$C$60,'Corporate Roster - ''24'!$H$6:$H$60)</f>
        <v>32000</v>
      </c>
      <c r="J309" s="32">
        <f t="shared" si="431"/>
        <v>2666.6666666666665</v>
      </c>
      <c r="K309" s="10">
        <f t="shared" si="431"/>
        <v>2666.6666666666665</v>
      </c>
      <c r="L309" s="10">
        <f t="shared" si="431"/>
        <v>2666.6666666666665</v>
      </c>
      <c r="M309" s="10">
        <f t="shared" si="431"/>
        <v>2666.6666666666665</v>
      </c>
      <c r="N309" s="10">
        <f t="shared" si="431"/>
        <v>2666.6666666666665</v>
      </c>
      <c r="O309" s="10">
        <f t="shared" si="434"/>
        <v>2666.6666666666665</v>
      </c>
      <c r="P309" s="10">
        <f t="shared" si="436"/>
        <v>2666.6666666666665</v>
      </c>
      <c r="Q309" s="10">
        <f t="shared" si="436"/>
        <v>2666.6666666666665</v>
      </c>
      <c r="R309" s="10">
        <f t="shared" si="436"/>
        <v>2666.6666666666665</v>
      </c>
      <c r="S309" s="10">
        <f t="shared" si="436"/>
        <v>2666.6666666666665</v>
      </c>
      <c r="T309" s="10">
        <f t="shared" si="439"/>
        <v>2666.6666666666665</v>
      </c>
      <c r="U309" s="33">
        <f t="shared" si="437"/>
        <v>2666.6666666666665</v>
      </c>
      <c r="V309" s="10">
        <f t="shared" si="440"/>
        <v>2666.6666666666665</v>
      </c>
      <c r="W309" s="10">
        <f t="shared" si="440"/>
        <v>2666.6666666666665</v>
      </c>
      <c r="X309" s="10">
        <f t="shared" si="440"/>
        <v>2666.6666666666665</v>
      </c>
      <c r="Y309" s="10">
        <f t="shared" si="442"/>
        <v>2666.6666666666665</v>
      </c>
      <c r="Z309" s="10">
        <f t="shared" ref="Z309:AA313" si="444">IF(Z57&gt;0,$H309/12,0)</f>
        <v>2666.6666666666665</v>
      </c>
      <c r="AA309" s="10">
        <f t="shared" si="444"/>
        <v>2666.6666666666665</v>
      </c>
      <c r="AB309" s="10">
        <f>-SUM($V309:AA309)+AB120</f>
        <v>0</v>
      </c>
      <c r="AC309" s="10">
        <f t="shared" ref="AC309:AG310" si="445">IF(AC57&gt;0,$H309/12,0)</f>
        <v>0</v>
      </c>
      <c r="AD309" s="10">
        <f t="shared" si="445"/>
        <v>0</v>
      </c>
      <c r="AE309" s="10">
        <f t="shared" si="445"/>
        <v>0</v>
      </c>
      <c r="AF309" s="10">
        <f t="shared" si="445"/>
        <v>0</v>
      </c>
      <c r="AG309" s="33">
        <f t="shared" si="445"/>
        <v>0</v>
      </c>
    </row>
    <row r="310" spans="2:36" x14ac:dyDescent="0.2">
      <c r="C310" t="s">
        <v>113</v>
      </c>
      <c r="D310" t="s">
        <v>88</v>
      </c>
      <c r="E310" s="64">
        <f>_xlfn.XLOOKUP($C310,'Corporate Roster - ''24'!$C$6:$C$60,'Corporate Roster - ''24'!$E$6:$E$60)</f>
        <v>43244</v>
      </c>
      <c r="F310" s="64">
        <f>_xlfn.XLOOKUP($C310,'Corporate Roster - ''24'!$C$6:$C$60,'Corporate Roster - ''24'!$F$6:$F$60)</f>
        <v>45499</v>
      </c>
      <c r="G310" s="32">
        <f>(MROUND(H310*0.95,1000))</f>
        <v>12000</v>
      </c>
      <c r="H310" s="33">
        <f>_xlfn.XLOOKUP($C310,'Corporate Roster - ''24'!$C$6:$C$60,'Corporate Roster - ''24'!$H$6:$H$60)</f>
        <v>13000</v>
      </c>
      <c r="J310" s="32">
        <f t="shared" si="431"/>
        <v>1000</v>
      </c>
      <c r="K310" s="10">
        <f t="shared" si="431"/>
        <v>1000</v>
      </c>
      <c r="L310" s="10">
        <f t="shared" si="431"/>
        <v>1000</v>
      </c>
      <c r="M310" s="10">
        <f t="shared" si="431"/>
        <v>1000</v>
      </c>
      <c r="N310" s="10">
        <f t="shared" si="431"/>
        <v>1000</v>
      </c>
      <c r="O310" s="10">
        <f t="shared" si="434"/>
        <v>1000</v>
      </c>
      <c r="P310" s="10">
        <f t="shared" si="436"/>
        <v>1000</v>
      </c>
      <c r="Q310" s="10">
        <f t="shared" si="436"/>
        <v>1000</v>
      </c>
      <c r="R310" s="10">
        <f t="shared" si="436"/>
        <v>1000</v>
      </c>
      <c r="S310" s="10">
        <f t="shared" si="436"/>
        <v>1000</v>
      </c>
      <c r="T310" s="10">
        <f t="shared" si="439"/>
        <v>1000</v>
      </c>
      <c r="U310" s="33">
        <f t="shared" si="437"/>
        <v>1000</v>
      </c>
      <c r="V310" s="10">
        <f t="shared" si="440"/>
        <v>1083.3333333333333</v>
      </c>
      <c r="W310" s="10">
        <f t="shared" si="440"/>
        <v>1083.3333333333333</v>
      </c>
      <c r="X310" s="10">
        <f t="shared" si="440"/>
        <v>1083.3333333333333</v>
      </c>
      <c r="Y310" s="10">
        <f t="shared" si="442"/>
        <v>1083.3333333333333</v>
      </c>
      <c r="Z310" s="10">
        <f t="shared" si="444"/>
        <v>1083.3333333333333</v>
      </c>
      <c r="AA310" s="10">
        <f t="shared" si="444"/>
        <v>1083.3333333333333</v>
      </c>
      <c r="AB310" s="10">
        <f>-SUM($V310:AA310)+AB121</f>
        <v>-6499.9999999999991</v>
      </c>
      <c r="AC310" s="10">
        <f t="shared" si="445"/>
        <v>0</v>
      </c>
      <c r="AD310" s="10">
        <f t="shared" si="445"/>
        <v>0</v>
      </c>
      <c r="AE310" s="10">
        <f t="shared" si="445"/>
        <v>0</v>
      </c>
      <c r="AF310" s="10">
        <f t="shared" si="445"/>
        <v>0</v>
      </c>
      <c r="AG310" s="33">
        <f t="shared" si="445"/>
        <v>0</v>
      </c>
    </row>
    <row r="311" spans="2:36" x14ac:dyDescent="0.2">
      <c r="C311" t="s">
        <v>75</v>
      </c>
      <c r="D311" t="s">
        <v>90</v>
      </c>
      <c r="E311" s="64">
        <f>_xlfn.XLOOKUP($C311,'Corporate Roster - ''24'!$C$6:$C$60,'Corporate Roster - ''24'!$E$6:$E$60)</f>
        <v>42099</v>
      </c>
      <c r="F311" s="64">
        <f>_xlfn.XLOOKUP($C311,'Corporate Roster - ''24'!$C$6:$C$60,'Corporate Roster - ''24'!$F$6:$F$60)</f>
        <v>45554</v>
      </c>
      <c r="G311" s="32">
        <f>(MROUND(H311*0.95,1000))</f>
        <v>12000</v>
      </c>
      <c r="H311" s="33">
        <f>_xlfn.XLOOKUP($C311,'Corporate Roster - ''24'!$C$6:$C$60,'Corporate Roster - ''24'!$H$6:$H$60)</f>
        <v>13000</v>
      </c>
      <c r="J311" s="32">
        <f t="shared" si="431"/>
        <v>1000</v>
      </c>
      <c r="K311" s="10">
        <f t="shared" si="431"/>
        <v>1000</v>
      </c>
      <c r="L311" s="10">
        <f t="shared" si="431"/>
        <v>1000</v>
      </c>
      <c r="M311" s="10">
        <f t="shared" si="431"/>
        <v>1000</v>
      </c>
      <c r="N311" s="10">
        <f t="shared" si="431"/>
        <v>1000</v>
      </c>
      <c r="O311" s="10">
        <f t="shared" si="434"/>
        <v>1000</v>
      </c>
      <c r="P311" s="10">
        <f t="shared" si="436"/>
        <v>1000</v>
      </c>
      <c r="Q311" s="10">
        <f t="shared" si="436"/>
        <v>1000</v>
      </c>
      <c r="R311" s="10">
        <f t="shared" si="436"/>
        <v>1000</v>
      </c>
      <c r="S311" s="10">
        <f t="shared" si="436"/>
        <v>1000</v>
      </c>
      <c r="T311" s="10">
        <f t="shared" si="439"/>
        <v>1000</v>
      </c>
      <c r="U311" s="33">
        <f t="shared" si="437"/>
        <v>1000</v>
      </c>
      <c r="V311" s="10">
        <f t="shared" si="440"/>
        <v>1083.3333333333333</v>
      </c>
      <c r="W311" s="10">
        <f t="shared" si="440"/>
        <v>1083.3333333333333</v>
      </c>
      <c r="X311" s="10">
        <f t="shared" si="440"/>
        <v>1083.3333333333333</v>
      </c>
      <c r="Y311" s="10">
        <f t="shared" si="442"/>
        <v>1083.3333333333333</v>
      </c>
      <c r="Z311" s="10">
        <f t="shared" si="444"/>
        <v>1083.3333333333333</v>
      </c>
      <c r="AA311" s="10">
        <f t="shared" si="444"/>
        <v>1083.3333333333333</v>
      </c>
      <c r="AB311" s="10">
        <f t="shared" ref="AB311:AC313" si="446">IF(AB59&gt;0,$H311/12,0)</f>
        <v>1083.3333333333333</v>
      </c>
      <c r="AC311" s="10">
        <f t="shared" si="446"/>
        <v>1083.3333333333333</v>
      </c>
      <c r="AD311" s="10">
        <f>-SUM($V311:AC311)+AD122</f>
        <v>-8666.6666666666661</v>
      </c>
      <c r="AE311" s="10">
        <f>IF(AE59&gt;0,$H311/12,0)</f>
        <v>0</v>
      </c>
      <c r="AF311" s="10">
        <f>IF(AF59&gt;0,$H311/12,0)</f>
        <v>0</v>
      </c>
      <c r="AG311" s="33">
        <f>IF(AG59&gt;0,$H311/12,0)</f>
        <v>0</v>
      </c>
    </row>
    <row r="312" spans="2:36" x14ac:dyDescent="0.2">
      <c r="C312" t="s">
        <v>134</v>
      </c>
      <c r="D312" t="s">
        <v>110</v>
      </c>
      <c r="E312" s="64">
        <f>_xlfn.XLOOKUP($C312,'Corporate Roster - ''24'!$C$6:$C$60,'Corporate Roster - ''24'!$E$6:$E$60)</f>
        <v>45193</v>
      </c>
      <c r="F312" s="64">
        <f>_xlfn.XLOOKUP($C312,'Corporate Roster - ''24'!$C$6:$C$60,'Corporate Roster - ''24'!$F$6:$F$60)</f>
        <v>45609</v>
      </c>
      <c r="G312" s="32">
        <f>(MROUND(H312*0.95,1000))</f>
        <v>4000</v>
      </c>
      <c r="H312" s="33">
        <f>_xlfn.XLOOKUP($C312,'Corporate Roster - ''24'!$C$6:$C$60,'Corporate Roster - ''24'!$H$6:$H$60)</f>
        <v>4250</v>
      </c>
      <c r="J312" s="32">
        <f t="shared" si="431"/>
        <v>0</v>
      </c>
      <c r="K312" s="10">
        <f t="shared" si="431"/>
        <v>0</v>
      </c>
      <c r="L312" s="10">
        <f t="shared" si="431"/>
        <v>0</v>
      </c>
      <c r="M312" s="10">
        <f t="shared" si="431"/>
        <v>0</v>
      </c>
      <c r="N312" s="10">
        <f t="shared" si="431"/>
        <v>0</v>
      </c>
      <c r="O312" s="10">
        <f t="shared" si="434"/>
        <v>0</v>
      </c>
      <c r="P312" s="10">
        <f t="shared" si="436"/>
        <v>0</v>
      </c>
      <c r="Q312" s="10">
        <f t="shared" si="436"/>
        <v>0</v>
      </c>
      <c r="R312" s="10">
        <f t="shared" si="436"/>
        <v>333.33333333333331</v>
      </c>
      <c r="S312" s="10">
        <f t="shared" si="436"/>
        <v>333.33333333333331</v>
      </c>
      <c r="T312" s="10">
        <f t="shared" si="439"/>
        <v>333.33333333333331</v>
      </c>
      <c r="U312" s="33">
        <f t="shared" si="437"/>
        <v>333.33333333333331</v>
      </c>
      <c r="V312" s="10">
        <f t="shared" si="440"/>
        <v>354.16666666666669</v>
      </c>
      <c r="W312" s="10">
        <f t="shared" si="440"/>
        <v>354.16666666666669</v>
      </c>
      <c r="X312" s="10">
        <f t="shared" si="440"/>
        <v>354.16666666666669</v>
      </c>
      <c r="Y312" s="10">
        <f t="shared" si="442"/>
        <v>354.16666666666669</v>
      </c>
      <c r="Z312" s="10">
        <f t="shared" si="444"/>
        <v>354.16666666666669</v>
      </c>
      <c r="AA312" s="10">
        <f t="shared" si="444"/>
        <v>354.16666666666669</v>
      </c>
      <c r="AB312" s="10">
        <f t="shared" si="446"/>
        <v>354.16666666666669</v>
      </c>
      <c r="AC312" s="10">
        <f t="shared" si="446"/>
        <v>354.16666666666669</v>
      </c>
      <c r="AD312" s="10">
        <f>IF(AD60&gt;0,$H312/12,0)</f>
        <v>354.16666666666669</v>
      </c>
      <c r="AE312" s="10">
        <f>IF(AE60&gt;0,$H312/12,0)</f>
        <v>354.16666666666669</v>
      </c>
      <c r="AF312" s="10">
        <f>-SUM($V312:AE312)+AF123</f>
        <v>-3541.6666666666661</v>
      </c>
      <c r="AG312" s="33">
        <f>IF(AG60&gt;0,$H312/12,0)</f>
        <v>0</v>
      </c>
    </row>
    <row r="313" spans="2:36" x14ac:dyDescent="0.2">
      <c r="C313" s="23" t="s">
        <v>152</v>
      </c>
      <c r="D313" s="23" t="s">
        <v>99</v>
      </c>
      <c r="E313" s="65">
        <f>_xlfn.XLOOKUP($C313,'Corporate Roster - ''24'!$C$6:$C$60,'Corporate Roster - ''24'!$E$6:$E$60)</f>
        <v>42869</v>
      </c>
      <c r="F313" s="78">
        <f>_xlfn.XLOOKUP($C313,'Corporate Roster - ''24'!$C$6:$C$60,'Corporate Roster - ''24'!$F$6:$F$60)</f>
        <v>45626</v>
      </c>
      <c r="G313" s="54">
        <f t="shared" si="350"/>
        <v>4000</v>
      </c>
      <c r="H313" s="62">
        <f>_xlfn.XLOOKUP($C313,'Corporate Roster - ''24'!$C$6:$C$60,'Corporate Roster - ''24'!$H$6:$H$60)</f>
        <v>4000</v>
      </c>
      <c r="J313" s="57">
        <f t="shared" si="431"/>
        <v>333.33333333333331</v>
      </c>
      <c r="K313" s="54">
        <f t="shared" si="431"/>
        <v>333.33333333333331</v>
      </c>
      <c r="L313" s="54">
        <f t="shared" si="431"/>
        <v>333.33333333333331</v>
      </c>
      <c r="M313" s="54">
        <f t="shared" si="431"/>
        <v>333.33333333333331</v>
      </c>
      <c r="N313" s="54">
        <f t="shared" si="431"/>
        <v>333.33333333333331</v>
      </c>
      <c r="O313" s="54">
        <f t="shared" si="434"/>
        <v>333.33333333333331</v>
      </c>
      <c r="P313" s="54">
        <f t="shared" si="436"/>
        <v>333.33333333333331</v>
      </c>
      <c r="Q313" s="54">
        <f t="shared" si="436"/>
        <v>333.33333333333331</v>
      </c>
      <c r="R313" s="54">
        <f t="shared" si="436"/>
        <v>333.33333333333331</v>
      </c>
      <c r="S313" s="54">
        <f t="shared" si="436"/>
        <v>333.33333333333331</v>
      </c>
      <c r="T313" s="54">
        <f t="shared" si="439"/>
        <v>333.33333333333331</v>
      </c>
      <c r="U313" s="62">
        <f t="shared" si="437"/>
        <v>333.33333333333331</v>
      </c>
      <c r="V313" s="54">
        <f t="shared" si="440"/>
        <v>333.33333333333331</v>
      </c>
      <c r="W313" s="54">
        <f t="shared" si="440"/>
        <v>333.33333333333331</v>
      </c>
      <c r="X313" s="54">
        <f t="shared" si="440"/>
        <v>333.33333333333331</v>
      </c>
      <c r="Y313" s="54">
        <f t="shared" si="442"/>
        <v>333.33333333333331</v>
      </c>
      <c r="Z313" s="54">
        <f t="shared" si="444"/>
        <v>333.33333333333331</v>
      </c>
      <c r="AA313" s="54">
        <f t="shared" si="444"/>
        <v>333.33333333333331</v>
      </c>
      <c r="AB313" s="54">
        <f t="shared" si="446"/>
        <v>333.33333333333331</v>
      </c>
      <c r="AC313" s="54">
        <f t="shared" si="446"/>
        <v>333.33333333333331</v>
      </c>
      <c r="AD313" s="54">
        <f>IF(AD61&gt;0,$H313/12,0)</f>
        <v>333.33333333333331</v>
      </c>
      <c r="AE313" s="54">
        <f>IF(AE61&gt;0,$H313/12,0)</f>
        <v>333.33333333333331</v>
      </c>
      <c r="AF313" s="54">
        <f>-SUM($V313:AE313)+AF124</f>
        <v>-3333.3333333333335</v>
      </c>
      <c r="AG313" s="62">
        <f>IF(AG61&gt;0,$H313/12,0)</f>
        <v>0</v>
      </c>
    </row>
    <row r="314" spans="2:36" x14ac:dyDescent="0.2">
      <c r="G314" s="34">
        <f>SUM(G259:G313)</f>
        <v>1014500</v>
      </c>
      <c r="H314" s="34">
        <f>SUM(H259:H313)</f>
        <v>1104750</v>
      </c>
      <c r="J314" s="34">
        <f>SUM(J259:J313)</f>
        <v>79562.499999999985</v>
      </c>
      <c r="K314" s="34">
        <f t="shared" ref="K314" si="447">SUM(K259:K313)</f>
        <v>80729.166666666657</v>
      </c>
      <c r="L314" s="34">
        <f t="shared" ref="L314" si="448">SUM(L259:L313)</f>
        <v>80729.166666666657</v>
      </c>
      <c r="M314" s="34">
        <f t="shared" ref="M314" si="449">SUM(M259:M313)</f>
        <v>80979.166666666657</v>
      </c>
      <c r="N314" s="34">
        <f t="shared" ref="N314" si="450">SUM(N259:N313)</f>
        <v>81333.333333333328</v>
      </c>
      <c r="O314" s="34">
        <f t="shared" ref="O314" si="451">SUM(O259:O313)</f>
        <v>81333.333333333328</v>
      </c>
      <c r="P314" s="34">
        <f t="shared" ref="P314" si="452">SUM(P259:P313)</f>
        <v>68750</v>
      </c>
      <c r="Q314" s="34">
        <f t="shared" ref="Q314" si="453">SUM(Q259:Q313)</f>
        <v>75250</v>
      </c>
      <c r="R314" s="34">
        <f t="shared" ref="R314" si="454">SUM(R259:R313)</f>
        <v>75583.333333333328</v>
      </c>
      <c r="S314" s="34">
        <f t="shared" ref="S314" si="455">SUM(S259:S313)</f>
        <v>75583.333333333328</v>
      </c>
      <c r="T314" s="34">
        <f t="shared" ref="T314" si="456">SUM(T259:T313)</f>
        <v>74187.499999999971</v>
      </c>
      <c r="U314" s="34">
        <f t="shared" ref="U314" si="457">SUM(U259:U313)</f>
        <v>77520.833333333299</v>
      </c>
      <c r="V314" s="34">
        <f t="shared" ref="V314" si="458">SUM(V259:V313)</f>
        <v>84916.666666666642</v>
      </c>
      <c r="W314" s="34">
        <f t="shared" ref="W314" si="459">SUM(W259:W313)</f>
        <v>85270.833333333314</v>
      </c>
      <c r="X314" s="34">
        <f t="shared" ref="X314" si="460">SUM(X259:X313)</f>
        <v>85624.999999999985</v>
      </c>
      <c r="Y314" s="34">
        <f t="shared" ref="Y314" si="461">SUM(Y259:Y313)</f>
        <v>81624.999999999985</v>
      </c>
      <c r="Z314" s="34">
        <f t="shared" ref="Z314" si="462">SUM(Z259:Z313)</f>
        <v>79624.999999999985</v>
      </c>
      <c r="AA314" s="34">
        <f t="shared" ref="AA314" si="463">SUM(AA259:AA313)</f>
        <v>83624.999999999985</v>
      </c>
      <c r="AB314" s="34">
        <f t="shared" ref="AB314" si="464">SUM(AB259:AB313)</f>
        <v>73374.999999999985</v>
      </c>
      <c r="AC314" s="34">
        <f t="shared" ref="AC314" si="465">SUM(AC259:AC313)</f>
        <v>79874.999999999985</v>
      </c>
      <c r="AD314" s="34">
        <f t="shared" ref="AD314" si="466">SUM(AD259:AD313)</f>
        <v>70124.999999999985</v>
      </c>
      <c r="AE314" s="34">
        <f t="shared" ref="AE314" si="467">SUM(AE259:AE313)</f>
        <v>78791.666666666657</v>
      </c>
      <c r="AF314" s="34">
        <f t="shared" ref="AF314" si="468">SUM(AF259:AF313)</f>
        <v>71229.166666666657</v>
      </c>
      <c r="AG314" s="34">
        <f t="shared" ref="AG314" si="469">SUM(AG259:AG313)</f>
        <v>78104.166666666657</v>
      </c>
    </row>
    <row r="316" spans="2:36" x14ac:dyDescent="0.2">
      <c r="U316" s="55"/>
      <c r="AG316" s="55"/>
      <c r="AI316" s="55"/>
      <c r="AJ316" s="55"/>
    </row>
    <row r="317" spans="2:36" ht="13.5" thickBot="1" x14ac:dyDescent="0.25">
      <c r="B317" s="48" t="s">
        <v>0</v>
      </c>
      <c r="C317" s="1"/>
      <c r="D317" s="1"/>
      <c r="E317" s="1"/>
      <c r="F317" s="1"/>
      <c r="G317" s="1"/>
      <c r="H317" s="3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3">
        <f ca="1">TODAY()</f>
        <v>45999</v>
      </c>
      <c r="AH317" s="1"/>
    </row>
    <row r="318" spans="2:36" x14ac:dyDescent="0.2">
      <c r="B318" s="47"/>
      <c r="C318" s="24" t="s">
        <v>158</v>
      </c>
      <c r="H318" s="6"/>
      <c r="I318" s="6"/>
      <c r="AG318" s="53" t="s">
        <v>228</v>
      </c>
    </row>
    <row r="319" spans="2:36" x14ac:dyDescent="0.2">
      <c r="B319" s="47"/>
      <c r="H319" s="6"/>
      <c r="I319" s="6"/>
    </row>
    <row r="320" spans="2:36" ht="15" customHeight="1" x14ac:dyDescent="0.2">
      <c r="B320" s="47"/>
      <c r="E320" s="77" t="s">
        <v>143</v>
      </c>
      <c r="F320" s="77" t="s">
        <v>144</v>
      </c>
      <c r="G320" s="17" t="s">
        <v>14</v>
      </c>
      <c r="H320" s="50"/>
      <c r="I320" s="52" t="s">
        <v>56</v>
      </c>
      <c r="J320" s="20">
        <v>2023</v>
      </c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2"/>
      <c r="V320" s="20">
        <v>2024</v>
      </c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2"/>
    </row>
    <row r="321" spans="3:33" ht="15" x14ac:dyDescent="0.35">
      <c r="C321" s="59" t="s">
        <v>57</v>
      </c>
      <c r="D321" s="59" t="s">
        <v>58</v>
      </c>
      <c r="E321" s="59" t="s">
        <v>142</v>
      </c>
      <c r="F321" s="59" t="s">
        <v>142</v>
      </c>
      <c r="G321" s="13">
        <v>45291</v>
      </c>
      <c r="H321" s="14">
        <v>45657</v>
      </c>
      <c r="I321" s="51"/>
      <c r="J321" s="4">
        <v>44957</v>
      </c>
      <c r="K321" s="19">
        <f>EOMONTH(J321,1)</f>
        <v>44985</v>
      </c>
      <c r="L321" s="19">
        <f t="shared" ref="L321" si="470">EOMONTH(K321,1)</f>
        <v>45016</v>
      </c>
      <c r="M321" s="19">
        <f t="shared" ref="M321" si="471">EOMONTH(L321,1)</f>
        <v>45046</v>
      </c>
      <c r="N321" s="19">
        <f t="shared" ref="N321" si="472">EOMONTH(M321,1)</f>
        <v>45077</v>
      </c>
      <c r="O321" s="19">
        <f t="shared" ref="O321" si="473">EOMONTH(N321,1)</f>
        <v>45107</v>
      </c>
      <c r="P321" s="19">
        <f t="shared" ref="P321" si="474">EOMONTH(O321,1)</f>
        <v>45138</v>
      </c>
      <c r="Q321" s="19">
        <f t="shared" ref="Q321" si="475">EOMONTH(P321,1)</f>
        <v>45169</v>
      </c>
      <c r="R321" s="19">
        <f t="shared" ref="R321" si="476">EOMONTH(Q321,1)</f>
        <v>45199</v>
      </c>
      <c r="S321" s="19">
        <f t="shared" ref="S321" si="477">EOMONTH(R321,1)</f>
        <v>45230</v>
      </c>
      <c r="T321" s="19">
        <f t="shared" ref="T321" si="478">EOMONTH(S321,1)</f>
        <v>45260</v>
      </c>
      <c r="U321" s="5">
        <f t="shared" ref="U321" si="479">EOMONTH(T321,1)</f>
        <v>45291</v>
      </c>
      <c r="V321" s="4">
        <f t="shared" ref="V321" si="480">EOMONTH(U321,1)</f>
        <v>45322</v>
      </c>
      <c r="W321" s="19">
        <f t="shared" ref="W321" si="481">EOMONTH(V321,1)</f>
        <v>45351</v>
      </c>
      <c r="X321" s="19">
        <f t="shared" ref="X321" si="482">EOMONTH(W321,1)</f>
        <v>45382</v>
      </c>
      <c r="Y321" s="19">
        <f t="shared" ref="Y321" si="483">EOMONTH(X321,1)</f>
        <v>45412</v>
      </c>
      <c r="Z321" s="19">
        <f t="shared" ref="Z321" si="484">EOMONTH(Y321,1)</f>
        <v>45443</v>
      </c>
      <c r="AA321" s="19">
        <f t="shared" ref="AA321" si="485">EOMONTH(Z321,1)</f>
        <v>45473</v>
      </c>
      <c r="AB321" s="19">
        <f t="shared" ref="AB321" si="486">EOMONTH(AA321,1)</f>
        <v>45504</v>
      </c>
      <c r="AC321" s="19">
        <f t="shared" ref="AC321" si="487">EOMONTH(AB321,1)</f>
        <v>45535</v>
      </c>
      <c r="AD321" s="19">
        <f t="shared" ref="AD321" si="488">EOMONTH(AC321,1)</f>
        <v>45565</v>
      </c>
      <c r="AE321" s="19">
        <f t="shared" ref="AE321" si="489">EOMONTH(AD321,1)</f>
        <v>45596</v>
      </c>
      <c r="AF321" s="19">
        <f t="shared" ref="AF321" si="490">EOMONTH(AE321,1)</f>
        <v>45626</v>
      </c>
      <c r="AG321" s="5">
        <f t="shared" ref="AG321" si="491">EOMONTH(AF321,1)</f>
        <v>45657</v>
      </c>
    </row>
    <row r="322" spans="3:33" x14ac:dyDescent="0.2">
      <c r="C322" t="s">
        <v>137</v>
      </c>
      <c r="D322" t="s">
        <v>66</v>
      </c>
      <c r="E322" s="64">
        <f>_xlfn.XLOOKUP($C322,'Corporate Roster - ''24'!$C$6:$C$60,'Corporate Roster - ''24'!$E$6:$E$60)</f>
        <v>40848</v>
      </c>
      <c r="F322" s="64" t="str">
        <f>_xlfn.XLOOKUP($C322,'Corporate Roster - ''24'!$C$6:$C$60,'Corporate Roster - ''24'!$F$6:$F$60)</f>
        <v>-</v>
      </c>
      <c r="G322" s="56">
        <f>SUM(J322:U322)</f>
        <v>531000</v>
      </c>
      <c r="H322" s="61">
        <f>SUM(V322:AG322)</f>
        <v>590000.00000000012</v>
      </c>
      <c r="J322" s="56">
        <f>J259+J133+J7</f>
        <v>44250</v>
      </c>
      <c r="K322" s="55">
        <f t="shared" ref="K322:AG322" si="492">K259+K133+K7</f>
        <v>44250</v>
      </c>
      <c r="L322" s="55">
        <f t="shared" si="492"/>
        <v>44250</v>
      </c>
      <c r="M322" s="55">
        <f t="shared" si="492"/>
        <v>44250</v>
      </c>
      <c r="N322" s="55">
        <f t="shared" si="492"/>
        <v>44250</v>
      </c>
      <c r="O322" s="55">
        <f t="shared" si="492"/>
        <v>44250</v>
      </c>
      <c r="P322" s="55">
        <f t="shared" si="492"/>
        <v>44250</v>
      </c>
      <c r="Q322" s="55">
        <f t="shared" si="492"/>
        <v>44250</v>
      </c>
      <c r="R322" s="55">
        <f t="shared" si="492"/>
        <v>44250</v>
      </c>
      <c r="S322" s="55">
        <f t="shared" si="492"/>
        <v>44250</v>
      </c>
      <c r="T322" s="55">
        <f t="shared" si="492"/>
        <v>44250</v>
      </c>
      <c r="U322" s="61">
        <f t="shared" si="492"/>
        <v>44250</v>
      </c>
      <c r="V322" s="55">
        <f t="shared" si="492"/>
        <v>49166.666666666672</v>
      </c>
      <c r="W322" s="55">
        <f t="shared" si="492"/>
        <v>49166.666666666672</v>
      </c>
      <c r="X322" s="55">
        <f t="shared" si="492"/>
        <v>49166.666666666672</v>
      </c>
      <c r="Y322" s="55">
        <f t="shared" si="492"/>
        <v>49166.666666666672</v>
      </c>
      <c r="Z322" s="55">
        <f t="shared" si="492"/>
        <v>49166.666666666672</v>
      </c>
      <c r="AA322" s="55">
        <f t="shared" si="492"/>
        <v>49166.666666666672</v>
      </c>
      <c r="AB322" s="55">
        <f t="shared" si="492"/>
        <v>49166.666666666672</v>
      </c>
      <c r="AC322" s="55">
        <f t="shared" si="492"/>
        <v>49166.666666666672</v>
      </c>
      <c r="AD322" s="55">
        <f t="shared" si="492"/>
        <v>49166.666666666672</v>
      </c>
      <c r="AE322" s="55">
        <f t="shared" si="492"/>
        <v>49166.666666666672</v>
      </c>
      <c r="AF322" s="55">
        <f t="shared" si="492"/>
        <v>49166.666666666672</v>
      </c>
      <c r="AG322" s="61">
        <f t="shared" si="492"/>
        <v>49166.666666666672</v>
      </c>
    </row>
    <row r="323" spans="3:33" x14ac:dyDescent="0.2">
      <c r="C323" t="s">
        <v>67</v>
      </c>
      <c r="D323" t="s">
        <v>68</v>
      </c>
      <c r="E323" s="64">
        <f>_xlfn.XLOOKUP($C323,'Corporate Roster - ''24'!$C$6:$C$60,'Corporate Roster - ''24'!$E$6:$E$60)</f>
        <v>41718</v>
      </c>
      <c r="F323" s="64" t="str">
        <f>_xlfn.XLOOKUP($C323,'Corporate Roster - ''24'!$C$6:$C$60,'Corporate Roster - ''24'!$F$6:$F$60)</f>
        <v>-</v>
      </c>
      <c r="G323" s="32">
        <f t="shared" ref="G323:G376" si="493">SUM(J323:U323)</f>
        <v>378000</v>
      </c>
      <c r="H323" s="33">
        <f t="shared" ref="H323:H376" si="494">SUM(V323:AG323)</f>
        <v>425000.00000000006</v>
      </c>
      <c r="J323" s="32">
        <f t="shared" ref="J323:AG323" si="495">J260+J134+J8</f>
        <v>31500</v>
      </c>
      <c r="K323" s="10">
        <f t="shared" si="495"/>
        <v>31500</v>
      </c>
      <c r="L323" s="10">
        <f t="shared" si="495"/>
        <v>31500</v>
      </c>
      <c r="M323" s="10">
        <f t="shared" si="495"/>
        <v>31500</v>
      </c>
      <c r="N323" s="10">
        <f t="shared" si="495"/>
        <v>31500</v>
      </c>
      <c r="O323" s="10">
        <f t="shared" si="495"/>
        <v>31500</v>
      </c>
      <c r="P323" s="10">
        <f t="shared" si="495"/>
        <v>31500</v>
      </c>
      <c r="Q323" s="10">
        <f t="shared" si="495"/>
        <v>31500</v>
      </c>
      <c r="R323" s="10">
        <f t="shared" si="495"/>
        <v>31500</v>
      </c>
      <c r="S323" s="10">
        <f t="shared" si="495"/>
        <v>31500</v>
      </c>
      <c r="T323" s="10">
        <f t="shared" si="495"/>
        <v>31500</v>
      </c>
      <c r="U323" s="33">
        <f t="shared" si="495"/>
        <v>31500</v>
      </c>
      <c r="V323" s="10">
        <f t="shared" si="495"/>
        <v>35416.666666666664</v>
      </c>
      <c r="W323" s="10">
        <f t="shared" si="495"/>
        <v>35416.666666666664</v>
      </c>
      <c r="X323" s="10">
        <f t="shared" si="495"/>
        <v>35416.666666666664</v>
      </c>
      <c r="Y323" s="10">
        <f t="shared" si="495"/>
        <v>35416.666666666664</v>
      </c>
      <c r="Z323" s="10">
        <f t="shared" si="495"/>
        <v>35416.666666666664</v>
      </c>
      <c r="AA323" s="10">
        <f t="shared" si="495"/>
        <v>35416.666666666664</v>
      </c>
      <c r="AB323" s="10">
        <f t="shared" si="495"/>
        <v>35416.666666666664</v>
      </c>
      <c r="AC323" s="10">
        <f t="shared" si="495"/>
        <v>35416.666666666664</v>
      </c>
      <c r="AD323" s="10">
        <f t="shared" si="495"/>
        <v>35416.666666666664</v>
      </c>
      <c r="AE323" s="10">
        <f t="shared" si="495"/>
        <v>35416.666666666664</v>
      </c>
      <c r="AF323" s="10">
        <f t="shared" si="495"/>
        <v>35416.666666666664</v>
      </c>
      <c r="AG323" s="33">
        <f t="shared" si="495"/>
        <v>35416.666666666664</v>
      </c>
    </row>
    <row r="324" spans="3:33" x14ac:dyDescent="0.2">
      <c r="C324" t="s">
        <v>69</v>
      </c>
      <c r="D324" t="s">
        <v>70</v>
      </c>
      <c r="E324" s="64">
        <f>_xlfn.XLOOKUP($C324,'Corporate Roster - ''24'!$C$6:$C$60,'Corporate Roster - ''24'!$E$6:$E$60)</f>
        <v>39601</v>
      </c>
      <c r="F324" s="64" t="str">
        <f>_xlfn.XLOOKUP($C324,'Corporate Roster - ''24'!$C$6:$C$60,'Corporate Roster - ''24'!$F$6:$F$60)</f>
        <v>-</v>
      </c>
      <c r="G324" s="32">
        <f t="shared" si="493"/>
        <v>390000</v>
      </c>
      <c r="H324" s="33">
        <f t="shared" si="494"/>
        <v>425000.00000000006</v>
      </c>
      <c r="J324" s="32">
        <f t="shared" ref="J324:AG324" si="496">J261+J135+J9</f>
        <v>32500</v>
      </c>
      <c r="K324" s="10">
        <f t="shared" si="496"/>
        <v>32500</v>
      </c>
      <c r="L324" s="10">
        <f t="shared" si="496"/>
        <v>32500</v>
      </c>
      <c r="M324" s="10">
        <f t="shared" si="496"/>
        <v>32500</v>
      </c>
      <c r="N324" s="10">
        <f t="shared" si="496"/>
        <v>32500</v>
      </c>
      <c r="O324" s="10">
        <f t="shared" si="496"/>
        <v>32500</v>
      </c>
      <c r="P324" s="10">
        <f t="shared" si="496"/>
        <v>32500</v>
      </c>
      <c r="Q324" s="10">
        <f t="shared" si="496"/>
        <v>32500</v>
      </c>
      <c r="R324" s="10">
        <f t="shared" si="496"/>
        <v>32500</v>
      </c>
      <c r="S324" s="10">
        <f t="shared" si="496"/>
        <v>32500</v>
      </c>
      <c r="T324" s="10">
        <f t="shared" si="496"/>
        <v>32500</v>
      </c>
      <c r="U324" s="33">
        <f t="shared" si="496"/>
        <v>32500</v>
      </c>
      <c r="V324" s="10">
        <f t="shared" si="496"/>
        <v>35416.666666666664</v>
      </c>
      <c r="W324" s="10">
        <f t="shared" si="496"/>
        <v>35416.666666666664</v>
      </c>
      <c r="X324" s="10">
        <f t="shared" si="496"/>
        <v>35416.666666666664</v>
      </c>
      <c r="Y324" s="10">
        <f t="shared" si="496"/>
        <v>35416.666666666664</v>
      </c>
      <c r="Z324" s="10">
        <f t="shared" si="496"/>
        <v>35416.666666666664</v>
      </c>
      <c r="AA324" s="10">
        <f t="shared" si="496"/>
        <v>35416.666666666664</v>
      </c>
      <c r="AB324" s="10">
        <f t="shared" si="496"/>
        <v>35416.666666666664</v>
      </c>
      <c r="AC324" s="10">
        <f t="shared" si="496"/>
        <v>35416.666666666664</v>
      </c>
      <c r="AD324" s="10">
        <f t="shared" si="496"/>
        <v>35416.666666666664</v>
      </c>
      <c r="AE324" s="10">
        <f t="shared" si="496"/>
        <v>35416.666666666664</v>
      </c>
      <c r="AF324" s="10">
        <f t="shared" si="496"/>
        <v>35416.666666666664</v>
      </c>
      <c r="AG324" s="33">
        <f t="shared" si="496"/>
        <v>35416.666666666664</v>
      </c>
    </row>
    <row r="325" spans="3:33" x14ac:dyDescent="0.2">
      <c r="C325" t="s">
        <v>71</v>
      </c>
      <c r="D325" t="s">
        <v>72</v>
      </c>
      <c r="E325" s="64">
        <f>_xlfn.XLOOKUP($C325,'Corporate Roster - ''24'!$C$6:$C$60,'Corporate Roster - ''24'!$E$6:$E$60)</f>
        <v>44453</v>
      </c>
      <c r="F325" s="64" t="str">
        <f>_xlfn.XLOOKUP($C325,'Corporate Roster - ''24'!$C$6:$C$60,'Corporate Roster - ''24'!$F$6:$F$60)</f>
        <v>-</v>
      </c>
      <c r="G325" s="32">
        <f t="shared" si="493"/>
        <v>365000</v>
      </c>
      <c r="H325" s="33">
        <f t="shared" si="494"/>
        <v>396000</v>
      </c>
      <c r="J325" s="32">
        <f t="shared" ref="J325:AG325" si="497">J262+J136+J10</f>
        <v>30416.666666666664</v>
      </c>
      <c r="K325" s="10">
        <f t="shared" si="497"/>
        <v>30416.666666666664</v>
      </c>
      <c r="L325" s="10">
        <f t="shared" si="497"/>
        <v>30416.666666666664</v>
      </c>
      <c r="M325" s="10">
        <f t="shared" si="497"/>
        <v>30416.666666666664</v>
      </c>
      <c r="N325" s="10">
        <f t="shared" si="497"/>
        <v>30416.666666666664</v>
      </c>
      <c r="O325" s="10">
        <f t="shared" si="497"/>
        <v>30416.666666666664</v>
      </c>
      <c r="P325" s="10">
        <f t="shared" si="497"/>
        <v>30416.666666666664</v>
      </c>
      <c r="Q325" s="10">
        <f t="shared" si="497"/>
        <v>30416.666666666664</v>
      </c>
      <c r="R325" s="10">
        <f t="shared" si="497"/>
        <v>30416.666666666664</v>
      </c>
      <c r="S325" s="10">
        <f t="shared" si="497"/>
        <v>30416.666666666664</v>
      </c>
      <c r="T325" s="10">
        <f t="shared" si="497"/>
        <v>30416.666666666664</v>
      </c>
      <c r="U325" s="33">
        <f t="shared" si="497"/>
        <v>30416.666666666664</v>
      </c>
      <c r="V325" s="10">
        <f t="shared" si="497"/>
        <v>33000</v>
      </c>
      <c r="W325" s="10">
        <f t="shared" si="497"/>
        <v>33000</v>
      </c>
      <c r="X325" s="10">
        <f t="shared" si="497"/>
        <v>33000</v>
      </c>
      <c r="Y325" s="10">
        <f t="shared" si="497"/>
        <v>33000</v>
      </c>
      <c r="Z325" s="10">
        <f t="shared" si="497"/>
        <v>33000</v>
      </c>
      <c r="AA325" s="10">
        <f t="shared" si="497"/>
        <v>33000</v>
      </c>
      <c r="AB325" s="10">
        <f t="shared" si="497"/>
        <v>33000</v>
      </c>
      <c r="AC325" s="10">
        <f t="shared" si="497"/>
        <v>33000</v>
      </c>
      <c r="AD325" s="10">
        <f t="shared" si="497"/>
        <v>33000</v>
      </c>
      <c r="AE325" s="10">
        <f t="shared" si="497"/>
        <v>33000</v>
      </c>
      <c r="AF325" s="10">
        <f t="shared" si="497"/>
        <v>33000</v>
      </c>
      <c r="AG325" s="33">
        <f t="shared" si="497"/>
        <v>33000</v>
      </c>
    </row>
    <row r="326" spans="3:33" x14ac:dyDescent="0.2">
      <c r="C326" t="s">
        <v>145</v>
      </c>
      <c r="D326" t="s">
        <v>74</v>
      </c>
      <c r="E326" s="64">
        <f>_xlfn.XLOOKUP($C326,'Corporate Roster - ''24'!$C$6:$C$60,'Corporate Roster - ''24'!$E$6:$E$60)</f>
        <v>39783</v>
      </c>
      <c r="F326" s="64" t="str">
        <f>_xlfn.XLOOKUP($C326,'Corporate Roster - ''24'!$C$6:$C$60,'Corporate Roster - ''24'!$F$6:$F$60)</f>
        <v>-</v>
      </c>
      <c r="G326" s="32">
        <f t="shared" si="493"/>
        <v>274000.00000000006</v>
      </c>
      <c r="H326" s="33">
        <f t="shared" si="494"/>
        <v>320000</v>
      </c>
      <c r="J326" s="32">
        <f t="shared" ref="J326:AG326" si="498">J263+J137+J11</f>
        <v>22833.333333333336</v>
      </c>
      <c r="K326" s="10">
        <f t="shared" si="498"/>
        <v>22833.333333333336</v>
      </c>
      <c r="L326" s="10">
        <f t="shared" si="498"/>
        <v>22833.333333333336</v>
      </c>
      <c r="M326" s="10">
        <f t="shared" si="498"/>
        <v>22833.333333333336</v>
      </c>
      <c r="N326" s="10">
        <f t="shared" si="498"/>
        <v>22833.333333333336</v>
      </c>
      <c r="O326" s="10">
        <f t="shared" si="498"/>
        <v>22833.333333333336</v>
      </c>
      <c r="P326" s="10">
        <f t="shared" si="498"/>
        <v>22833.333333333336</v>
      </c>
      <c r="Q326" s="10">
        <f t="shared" si="498"/>
        <v>22833.333333333336</v>
      </c>
      <c r="R326" s="10">
        <f t="shared" si="498"/>
        <v>22833.333333333336</v>
      </c>
      <c r="S326" s="10">
        <f t="shared" si="498"/>
        <v>22833.333333333336</v>
      </c>
      <c r="T326" s="10">
        <f t="shared" si="498"/>
        <v>22833.333333333336</v>
      </c>
      <c r="U326" s="33">
        <f t="shared" si="498"/>
        <v>22833.333333333336</v>
      </c>
      <c r="V326" s="10">
        <f t="shared" si="498"/>
        <v>26666.666666666668</v>
      </c>
      <c r="W326" s="10">
        <f t="shared" si="498"/>
        <v>26666.666666666668</v>
      </c>
      <c r="X326" s="10">
        <f t="shared" si="498"/>
        <v>26666.666666666668</v>
      </c>
      <c r="Y326" s="10">
        <f t="shared" si="498"/>
        <v>26666.666666666668</v>
      </c>
      <c r="Z326" s="10">
        <f t="shared" si="498"/>
        <v>26666.666666666668</v>
      </c>
      <c r="AA326" s="10">
        <f t="shared" si="498"/>
        <v>26666.666666666668</v>
      </c>
      <c r="AB326" s="10">
        <f t="shared" si="498"/>
        <v>26666.666666666668</v>
      </c>
      <c r="AC326" s="10">
        <f t="shared" si="498"/>
        <v>26666.666666666668</v>
      </c>
      <c r="AD326" s="10">
        <f t="shared" si="498"/>
        <v>26666.666666666668</v>
      </c>
      <c r="AE326" s="10">
        <f t="shared" si="498"/>
        <v>26666.666666666668</v>
      </c>
      <c r="AF326" s="10">
        <f t="shared" si="498"/>
        <v>26666.666666666668</v>
      </c>
      <c r="AG326" s="33">
        <f t="shared" si="498"/>
        <v>26666.666666666668</v>
      </c>
    </row>
    <row r="327" spans="3:33" x14ac:dyDescent="0.2">
      <c r="C327" t="s">
        <v>146</v>
      </c>
      <c r="D327" t="s">
        <v>76</v>
      </c>
      <c r="E327" s="64">
        <f>_xlfn.XLOOKUP($C327,'Corporate Roster - ''24'!$C$6:$C$60,'Corporate Roster - ''24'!$E$6:$E$60)</f>
        <v>42573</v>
      </c>
      <c r="F327" s="64" t="str">
        <f>_xlfn.XLOOKUP($C327,'Corporate Roster - ''24'!$C$6:$C$60,'Corporate Roster - ''24'!$F$6:$F$60)</f>
        <v>-</v>
      </c>
      <c r="G327" s="32">
        <f t="shared" si="493"/>
        <v>280000.00000000006</v>
      </c>
      <c r="H327" s="33">
        <f t="shared" si="494"/>
        <v>320000</v>
      </c>
      <c r="J327" s="32">
        <f t="shared" ref="J327:AG327" si="499">J264+J138+J12</f>
        <v>23333.333333333336</v>
      </c>
      <c r="K327" s="10">
        <f t="shared" si="499"/>
        <v>23333.333333333336</v>
      </c>
      <c r="L327" s="10">
        <f t="shared" si="499"/>
        <v>23333.333333333336</v>
      </c>
      <c r="M327" s="10">
        <f t="shared" si="499"/>
        <v>23333.333333333336</v>
      </c>
      <c r="N327" s="10">
        <f t="shared" si="499"/>
        <v>23333.333333333336</v>
      </c>
      <c r="O327" s="10">
        <f t="shared" si="499"/>
        <v>23333.333333333336</v>
      </c>
      <c r="P327" s="10">
        <f t="shared" si="499"/>
        <v>23333.333333333336</v>
      </c>
      <c r="Q327" s="10">
        <f t="shared" si="499"/>
        <v>23333.333333333336</v>
      </c>
      <c r="R327" s="10">
        <f t="shared" si="499"/>
        <v>23333.333333333336</v>
      </c>
      <c r="S327" s="10">
        <f t="shared" si="499"/>
        <v>23333.333333333336</v>
      </c>
      <c r="T327" s="10">
        <f t="shared" si="499"/>
        <v>23333.333333333336</v>
      </c>
      <c r="U327" s="33">
        <f t="shared" si="499"/>
        <v>23333.333333333336</v>
      </c>
      <c r="V327" s="10">
        <f t="shared" si="499"/>
        <v>26666.666666666668</v>
      </c>
      <c r="W327" s="10">
        <f t="shared" si="499"/>
        <v>26666.666666666668</v>
      </c>
      <c r="X327" s="10">
        <f t="shared" si="499"/>
        <v>26666.666666666668</v>
      </c>
      <c r="Y327" s="10">
        <f t="shared" si="499"/>
        <v>26666.666666666668</v>
      </c>
      <c r="Z327" s="10">
        <f t="shared" si="499"/>
        <v>26666.666666666668</v>
      </c>
      <c r="AA327" s="10">
        <f t="shared" si="499"/>
        <v>26666.666666666668</v>
      </c>
      <c r="AB327" s="10">
        <f t="shared" si="499"/>
        <v>26666.666666666668</v>
      </c>
      <c r="AC327" s="10">
        <f t="shared" si="499"/>
        <v>26666.666666666668</v>
      </c>
      <c r="AD327" s="10">
        <f t="shared" si="499"/>
        <v>26666.666666666668</v>
      </c>
      <c r="AE327" s="10">
        <f t="shared" si="499"/>
        <v>26666.666666666668</v>
      </c>
      <c r="AF327" s="10">
        <f t="shared" si="499"/>
        <v>26666.666666666668</v>
      </c>
      <c r="AG327" s="33">
        <f t="shared" si="499"/>
        <v>26666.666666666668</v>
      </c>
    </row>
    <row r="328" spans="3:33" x14ac:dyDescent="0.2">
      <c r="C328" t="s">
        <v>77</v>
      </c>
      <c r="D328" t="s">
        <v>78</v>
      </c>
      <c r="E328" s="64">
        <f>_xlfn.XLOOKUP($C328,'Corporate Roster - ''24'!$C$6:$C$60,'Corporate Roster - ''24'!$E$6:$E$60)</f>
        <v>38481</v>
      </c>
      <c r="F328" s="64" t="str">
        <f>_xlfn.XLOOKUP($C328,'Corporate Roster - ''24'!$C$6:$C$60,'Corporate Roster - ''24'!$F$6:$F$60)</f>
        <v>-</v>
      </c>
      <c r="G328" s="32">
        <f t="shared" si="493"/>
        <v>279000</v>
      </c>
      <c r="H328" s="33">
        <f t="shared" si="494"/>
        <v>279000</v>
      </c>
      <c r="J328" s="32">
        <f t="shared" ref="J328:AG328" si="500">J265+J139+J13</f>
        <v>23250</v>
      </c>
      <c r="K328" s="10">
        <f t="shared" si="500"/>
        <v>23250</v>
      </c>
      <c r="L328" s="10">
        <f t="shared" si="500"/>
        <v>23250</v>
      </c>
      <c r="M328" s="10">
        <f t="shared" si="500"/>
        <v>23250</v>
      </c>
      <c r="N328" s="10">
        <f t="shared" si="500"/>
        <v>23250</v>
      </c>
      <c r="O328" s="10">
        <f t="shared" si="500"/>
        <v>23250</v>
      </c>
      <c r="P328" s="10">
        <f t="shared" si="500"/>
        <v>23250</v>
      </c>
      <c r="Q328" s="10">
        <f t="shared" si="500"/>
        <v>23250</v>
      </c>
      <c r="R328" s="10">
        <f t="shared" si="500"/>
        <v>23250</v>
      </c>
      <c r="S328" s="10">
        <f t="shared" si="500"/>
        <v>23250</v>
      </c>
      <c r="T328" s="10">
        <f t="shared" si="500"/>
        <v>23250</v>
      </c>
      <c r="U328" s="33">
        <f t="shared" si="500"/>
        <v>23250</v>
      </c>
      <c r="V328" s="10">
        <f t="shared" si="500"/>
        <v>23250</v>
      </c>
      <c r="W328" s="10">
        <f t="shared" si="500"/>
        <v>23250</v>
      </c>
      <c r="X328" s="10">
        <f t="shared" si="500"/>
        <v>23250</v>
      </c>
      <c r="Y328" s="10">
        <f t="shared" si="500"/>
        <v>23250</v>
      </c>
      <c r="Z328" s="10">
        <f t="shared" si="500"/>
        <v>23250</v>
      </c>
      <c r="AA328" s="10">
        <f t="shared" si="500"/>
        <v>23250</v>
      </c>
      <c r="AB328" s="10">
        <f t="shared" si="500"/>
        <v>23250</v>
      </c>
      <c r="AC328" s="10">
        <f t="shared" si="500"/>
        <v>23250</v>
      </c>
      <c r="AD328" s="10">
        <f t="shared" si="500"/>
        <v>23250</v>
      </c>
      <c r="AE328" s="10">
        <f t="shared" si="500"/>
        <v>23250</v>
      </c>
      <c r="AF328" s="10">
        <f t="shared" si="500"/>
        <v>23250</v>
      </c>
      <c r="AG328" s="33">
        <f t="shared" si="500"/>
        <v>23250</v>
      </c>
    </row>
    <row r="329" spans="3:33" x14ac:dyDescent="0.2">
      <c r="C329" t="s">
        <v>79</v>
      </c>
      <c r="D329" t="s">
        <v>80</v>
      </c>
      <c r="E329" s="64">
        <f>_xlfn.XLOOKUP($C329,'Corporate Roster - ''24'!$C$6:$C$60,'Corporate Roster - ''24'!$E$6:$E$60)</f>
        <v>38427</v>
      </c>
      <c r="F329" s="64" t="str">
        <f>_xlfn.XLOOKUP($C329,'Corporate Roster - ''24'!$C$6:$C$60,'Corporate Roster - ''24'!$F$6:$F$60)</f>
        <v>-</v>
      </c>
      <c r="G329" s="32">
        <f t="shared" si="493"/>
        <v>240000</v>
      </c>
      <c r="H329" s="33">
        <f t="shared" si="494"/>
        <v>240000</v>
      </c>
      <c r="J329" s="32">
        <f t="shared" ref="J329:AG329" si="501">J266+J140+J14</f>
        <v>20000</v>
      </c>
      <c r="K329" s="10">
        <f t="shared" si="501"/>
        <v>20000</v>
      </c>
      <c r="L329" s="10">
        <f t="shared" si="501"/>
        <v>20000</v>
      </c>
      <c r="M329" s="10">
        <f t="shared" si="501"/>
        <v>20000</v>
      </c>
      <c r="N329" s="10">
        <f t="shared" si="501"/>
        <v>20000</v>
      </c>
      <c r="O329" s="10">
        <f t="shared" si="501"/>
        <v>20000</v>
      </c>
      <c r="P329" s="10">
        <f t="shared" si="501"/>
        <v>20000</v>
      </c>
      <c r="Q329" s="10">
        <f t="shared" si="501"/>
        <v>20000</v>
      </c>
      <c r="R329" s="10">
        <f t="shared" si="501"/>
        <v>20000</v>
      </c>
      <c r="S329" s="10">
        <f t="shared" si="501"/>
        <v>20000</v>
      </c>
      <c r="T329" s="10">
        <f t="shared" si="501"/>
        <v>20000</v>
      </c>
      <c r="U329" s="33">
        <f t="shared" si="501"/>
        <v>20000</v>
      </c>
      <c r="V329" s="10">
        <f t="shared" si="501"/>
        <v>20000</v>
      </c>
      <c r="W329" s="10">
        <f t="shared" si="501"/>
        <v>20000</v>
      </c>
      <c r="X329" s="10">
        <f t="shared" si="501"/>
        <v>20000</v>
      </c>
      <c r="Y329" s="10">
        <f t="shared" si="501"/>
        <v>20000</v>
      </c>
      <c r="Z329" s="10">
        <f t="shared" si="501"/>
        <v>20000</v>
      </c>
      <c r="AA329" s="10">
        <f t="shared" si="501"/>
        <v>20000</v>
      </c>
      <c r="AB329" s="10">
        <f t="shared" si="501"/>
        <v>20000</v>
      </c>
      <c r="AC329" s="10">
        <f t="shared" si="501"/>
        <v>20000</v>
      </c>
      <c r="AD329" s="10">
        <f t="shared" si="501"/>
        <v>20000</v>
      </c>
      <c r="AE329" s="10">
        <f t="shared" si="501"/>
        <v>20000</v>
      </c>
      <c r="AF329" s="10">
        <f t="shared" si="501"/>
        <v>20000</v>
      </c>
      <c r="AG329" s="33">
        <f t="shared" si="501"/>
        <v>20000</v>
      </c>
    </row>
    <row r="330" spans="3:33" x14ac:dyDescent="0.2">
      <c r="C330" t="s">
        <v>147</v>
      </c>
      <c r="D330" t="s">
        <v>82</v>
      </c>
      <c r="E330" s="64">
        <f>_xlfn.XLOOKUP($C330,'Corporate Roster - ''24'!$C$6:$C$60,'Corporate Roster - ''24'!$E$6:$E$60)</f>
        <v>42696</v>
      </c>
      <c r="F330" s="64" t="str">
        <f>_xlfn.XLOOKUP($C330,'Corporate Roster - ''24'!$C$6:$C$60,'Corporate Roster - ''24'!$F$6:$F$60)</f>
        <v>-</v>
      </c>
      <c r="G330" s="32">
        <f t="shared" si="493"/>
        <v>228000</v>
      </c>
      <c r="H330" s="33">
        <f t="shared" si="494"/>
        <v>240000</v>
      </c>
      <c r="J330" s="32">
        <f t="shared" ref="J330:AG330" si="502">J267+J141+J15</f>
        <v>19000</v>
      </c>
      <c r="K330" s="10">
        <f t="shared" si="502"/>
        <v>19000</v>
      </c>
      <c r="L330" s="10">
        <f t="shared" si="502"/>
        <v>19000</v>
      </c>
      <c r="M330" s="10">
        <f t="shared" si="502"/>
        <v>19000</v>
      </c>
      <c r="N330" s="10">
        <f t="shared" si="502"/>
        <v>19000</v>
      </c>
      <c r="O330" s="10">
        <f t="shared" si="502"/>
        <v>19000</v>
      </c>
      <c r="P330" s="10">
        <f t="shared" si="502"/>
        <v>19000</v>
      </c>
      <c r="Q330" s="10">
        <f t="shared" si="502"/>
        <v>19000</v>
      </c>
      <c r="R330" s="10">
        <f t="shared" si="502"/>
        <v>19000</v>
      </c>
      <c r="S330" s="10">
        <f t="shared" si="502"/>
        <v>19000</v>
      </c>
      <c r="T330" s="10">
        <f t="shared" si="502"/>
        <v>19000</v>
      </c>
      <c r="U330" s="33">
        <f t="shared" si="502"/>
        <v>19000</v>
      </c>
      <c r="V330" s="10">
        <f t="shared" si="502"/>
        <v>20000</v>
      </c>
      <c r="W330" s="10">
        <f t="shared" si="502"/>
        <v>20000</v>
      </c>
      <c r="X330" s="10">
        <f t="shared" si="502"/>
        <v>20000</v>
      </c>
      <c r="Y330" s="10">
        <f t="shared" si="502"/>
        <v>20000</v>
      </c>
      <c r="Z330" s="10">
        <f t="shared" si="502"/>
        <v>20000</v>
      </c>
      <c r="AA330" s="10">
        <f t="shared" si="502"/>
        <v>20000</v>
      </c>
      <c r="AB330" s="10">
        <f t="shared" si="502"/>
        <v>20000</v>
      </c>
      <c r="AC330" s="10">
        <f t="shared" si="502"/>
        <v>20000</v>
      </c>
      <c r="AD330" s="10">
        <f t="shared" si="502"/>
        <v>20000</v>
      </c>
      <c r="AE330" s="10">
        <f t="shared" si="502"/>
        <v>20000</v>
      </c>
      <c r="AF330" s="10">
        <f t="shared" si="502"/>
        <v>20000</v>
      </c>
      <c r="AG330" s="33">
        <f t="shared" si="502"/>
        <v>20000</v>
      </c>
    </row>
    <row r="331" spans="3:33" x14ac:dyDescent="0.2">
      <c r="C331" t="s">
        <v>83</v>
      </c>
      <c r="D331" t="s">
        <v>84</v>
      </c>
      <c r="E331" s="64">
        <f>_xlfn.XLOOKUP($C331,'Corporate Roster - ''24'!$C$6:$C$60,'Corporate Roster - ''24'!$E$6:$E$60)</f>
        <v>45248</v>
      </c>
      <c r="F331" s="64" t="str">
        <f>_xlfn.XLOOKUP($C331,'Corporate Roster - ''24'!$C$6:$C$60,'Corporate Roster - ''24'!$F$6:$F$60)</f>
        <v>-</v>
      </c>
      <c r="G331" s="32">
        <f t="shared" si="493"/>
        <v>36250</v>
      </c>
      <c r="H331" s="33">
        <f t="shared" si="494"/>
        <v>217500</v>
      </c>
      <c r="J331" s="32">
        <f t="shared" ref="J331:AG331" si="503">J268+J142+J16</f>
        <v>0</v>
      </c>
      <c r="K331" s="10">
        <f t="shared" si="503"/>
        <v>0</v>
      </c>
      <c r="L331" s="10">
        <f t="shared" si="503"/>
        <v>0</v>
      </c>
      <c r="M331" s="10">
        <f t="shared" si="503"/>
        <v>0</v>
      </c>
      <c r="N331" s="10">
        <f t="shared" si="503"/>
        <v>0</v>
      </c>
      <c r="O331" s="10">
        <f t="shared" si="503"/>
        <v>0</v>
      </c>
      <c r="P331" s="10">
        <f t="shared" si="503"/>
        <v>0</v>
      </c>
      <c r="Q331" s="10">
        <f t="shared" si="503"/>
        <v>0</v>
      </c>
      <c r="R331" s="10">
        <f t="shared" si="503"/>
        <v>0</v>
      </c>
      <c r="S331" s="10">
        <f t="shared" si="503"/>
        <v>0</v>
      </c>
      <c r="T331" s="10">
        <f t="shared" si="503"/>
        <v>18125</v>
      </c>
      <c r="U331" s="33">
        <f t="shared" si="503"/>
        <v>18125</v>
      </c>
      <c r="V331" s="10">
        <f t="shared" si="503"/>
        <v>18125</v>
      </c>
      <c r="W331" s="10">
        <f t="shared" si="503"/>
        <v>18125</v>
      </c>
      <c r="X331" s="10">
        <f t="shared" si="503"/>
        <v>18125</v>
      </c>
      <c r="Y331" s="10">
        <f t="shared" si="503"/>
        <v>18125</v>
      </c>
      <c r="Z331" s="10">
        <f t="shared" si="503"/>
        <v>18125</v>
      </c>
      <c r="AA331" s="10">
        <f t="shared" si="503"/>
        <v>18125</v>
      </c>
      <c r="AB331" s="10">
        <f t="shared" si="503"/>
        <v>18125</v>
      </c>
      <c r="AC331" s="10">
        <f t="shared" si="503"/>
        <v>18125</v>
      </c>
      <c r="AD331" s="10">
        <f t="shared" si="503"/>
        <v>18125</v>
      </c>
      <c r="AE331" s="10">
        <f t="shared" si="503"/>
        <v>18125</v>
      </c>
      <c r="AF331" s="10">
        <f t="shared" si="503"/>
        <v>18125</v>
      </c>
      <c r="AG331" s="33">
        <f t="shared" si="503"/>
        <v>18125</v>
      </c>
    </row>
    <row r="332" spans="3:33" x14ac:dyDescent="0.2">
      <c r="C332" t="s">
        <v>85</v>
      </c>
      <c r="D332" t="s">
        <v>86</v>
      </c>
      <c r="E332" s="64">
        <f>_xlfn.XLOOKUP($C332,'Corporate Roster - ''24'!$C$6:$C$60,'Corporate Roster - ''24'!$E$6:$E$60)</f>
        <v>42458</v>
      </c>
      <c r="F332" s="64" t="str">
        <f>_xlfn.XLOOKUP($C332,'Corporate Roster - ''24'!$C$6:$C$60,'Corporate Roster - ''24'!$F$6:$F$60)</f>
        <v>-</v>
      </c>
      <c r="G332" s="32">
        <f t="shared" si="493"/>
        <v>141000</v>
      </c>
      <c r="H332" s="33">
        <f t="shared" si="494"/>
        <v>168000</v>
      </c>
      <c r="J332" s="32">
        <f t="shared" ref="J332:AG332" si="504">J269+J143+J17</f>
        <v>11750</v>
      </c>
      <c r="K332" s="10">
        <f t="shared" si="504"/>
        <v>11750</v>
      </c>
      <c r="L332" s="10">
        <f t="shared" si="504"/>
        <v>11750</v>
      </c>
      <c r="M332" s="10">
        <f t="shared" si="504"/>
        <v>11750</v>
      </c>
      <c r="N332" s="10">
        <f t="shared" si="504"/>
        <v>11750</v>
      </c>
      <c r="O332" s="10">
        <f t="shared" si="504"/>
        <v>11750</v>
      </c>
      <c r="P332" s="10">
        <f t="shared" si="504"/>
        <v>11750</v>
      </c>
      <c r="Q332" s="10">
        <f t="shared" si="504"/>
        <v>11750</v>
      </c>
      <c r="R332" s="10">
        <f t="shared" si="504"/>
        <v>11750</v>
      </c>
      <c r="S332" s="10">
        <f t="shared" si="504"/>
        <v>11750</v>
      </c>
      <c r="T332" s="10">
        <f t="shared" si="504"/>
        <v>11750</v>
      </c>
      <c r="U332" s="33">
        <f t="shared" si="504"/>
        <v>11750</v>
      </c>
      <c r="V332" s="10">
        <f t="shared" si="504"/>
        <v>14000</v>
      </c>
      <c r="W332" s="10">
        <f t="shared" si="504"/>
        <v>14000</v>
      </c>
      <c r="X332" s="10">
        <f t="shared" si="504"/>
        <v>14000</v>
      </c>
      <c r="Y332" s="10">
        <f t="shared" si="504"/>
        <v>14000</v>
      </c>
      <c r="Z332" s="10">
        <f t="shared" si="504"/>
        <v>14000</v>
      </c>
      <c r="AA332" s="10">
        <f t="shared" si="504"/>
        <v>14000</v>
      </c>
      <c r="AB332" s="10">
        <f t="shared" si="504"/>
        <v>14000</v>
      </c>
      <c r="AC332" s="10">
        <f t="shared" si="504"/>
        <v>14000</v>
      </c>
      <c r="AD332" s="10">
        <f t="shared" si="504"/>
        <v>14000</v>
      </c>
      <c r="AE332" s="10">
        <f t="shared" si="504"/>
        <v>14000</v>
      </c>
      <c r="AF332" s="10">
        <f t="shared" si="504"/>
        <v>14000</v>
      </c>
      <c r="AG332" s="33">
        <f t="shared" si="504"/>
        <v>14000</v>
      </c>
    </row>
    <row r="333" spans="3:33" x14ac:dyDescent="0.2">
      <c r="C333" t="s">
        <v>87</v>
      </c>
      <c r="D333" t="s">
        <v>88</v>
      </c>
      <c r="E333" s="64">
        <f>_xlfn.XLOOKUP($C333,'Corporate Roster - ''24'!$C$6:$C$60,'Corporate Roster - ''24'!$E$6:$E$60)</f>
        <v>41921</v>
      </c>
      <c r="F333" s="64" t="str">
        <f>_xlfn.XLOOKUP($C333,'Corporate Roster - ''24'!$C$6:$C$60,'Corporate Roster - ''24'!$F$6:$F$60)</f>
        <v>-</v>
      </c>
      <c r="G333" s="32">
        <f t="shared" si="493"/>
        <v>182000</v>
      </c>
      <c r="H333" s="33">
        <f t="shared" si="494"/>
        <v>182000</v>
      </c>
      <c r="J333" s="32">
        <f t="shared" ref="J333:AG333" si="505">J270+J144+J18</f>
        <v>15166.666666666668</v>
      </c>
      <c r="K333" s="10">
        <f t="shared" si="505"/>
        <v>15166.666666666668</v>
      </c>
      <c r="L333" s="10">
        <f t="shared" si="505"/>
        <v>15166.666666666668</v>
      </c>
      <c r="M333" s="10">
        <f t="shared" si="505"/>
        <v>15166.666666666668</v>
      </c>
      <c r="N333" s="10">
        <f t="shared" si="505"/>
        <v>15166.666666666668</v>
      </c>
      <c r="O333" s="10">
        <f t="shared" si="505"/>
        <v>15166.666666666668</v>
      </c>
      <c r="P333" s="10">
        <f t="shared" si="505"/>
        <v>15166.666666666668</v>
      </c>
      <c r="Q333" s="10">
        <f t="shared" si="505"/>
        <v>15166.666666666668</v>
      </c>
      <c r="R333" s="10">
        <f t="shared" si="505"/>
        <v>15166.666666666668</v>
      </c>
      <c r="S333" s="10">
        <f t="shared" si="505"/>
        <v>15166.666666666668</v>
      </c>
      <c r="T333" s="10">
        <f t="shared" si="505"/>
        <v>15166.666666666668</v>
      </c>
      <c r="U333" s="33">
        <f t="shared" si="505"/>
        <v>15166.666666666668</v>
      </c>
      <c r="V333" s="10">
        <f t="shared" si="505"/>
        <v>15166.666666666668</v>
      </c>
      <c r="W333" s="10">
        <f t="shared" si="505"/>
        <v>15166.666666666668</v>
      </c>
      <c r="X333" s="10">
        <f t="shared" si="505"/>
        <v>15166.666666666668</v>
      </c>
      <c r="Y333" s="10">
        <f t="shared" si="505"/>
        <v>15166.666666666668</v>
      </c>
      <c r="Z333" s="10">
        <f t="shared" si="505"/>
        <v>15166.666666666668</v>
      </c>
      <c r="AA333" s="10">
        <f t="shared" si="505"/>
        <v>15166.666666666668</v>
      </c>
      <c r="AB333" s="10">
        <f t="shared" si="505"/>
        <v>15166.666666666668</v>
      </c>
      <c r="AC333" s="10">
        <f t="shared" si="505"/>
        <v>15166.666666666668</v>
      </c>
      <c r="AD333" s="10">
        <f t="shared" si="505"/>
        <v>15166.666666666668</v>
      </c>
      <c r="AE333" s="10">
        <f t="shared" si="505"/>
        <v>15166.666666666668</v>
      </c>
      <c r="AF333" s="10">
        <f t="shared" si="505"/>
        <v>15166.666666666668</v>
      </c>
      <c r="AG333" s="33">
        <f t="shared" si="505"/>
        <v>15166.666666666668</v>
      </c>
    </row>
    <row r="334" spans="3:33" x14ac:dyDescent="0.2">
      <c r="C334" t="s">
        <v>89</v>
      </c>
      <c r="D334" t="s">
        <v>90</v>
      </c>
      <c r="E334" s="64">
        <f>_xlfn.XLOOKUP($C334,'Corporate Roster - ''24'!$C$6:$C$60,'Corporate Roster - ''24'!$E$6:$E$60)</f>
        <v>40143</v>
      </c>
      <c r="F334" s="64" t="str">
        <f>_xlfn.XLOOKUP($C334,'Corporate Roster - ''24'!$C$6:$C$60,'Corporate Roster - ''24'!$F$6:$F$60)</f>
        <v>-</v>
      </c>
      <c r="G334" s="32">
        <f t="shared" si="493"/>
        <v>153000</v>
      </c>
      <c r="H334" s="33">
        <f t="shared" si="494"/>
        <v>182000</v>
      </c>
      <c r="J334" s="32">
        <f t="shared" ref="J334:AG334" si="506">J271+J145+J19</f>
        <v>12750</v>
      </c>
      <c r="K334" s="10">
        <f t="shared" si="506"/>
        <v>12750</v>
      </c>
      <c r="L334" s="10">
        <f t="shared" si="506"/>
        <v>12750</v>
      </c>
      <c r="M334" s="10">
        <f t="shared" si="506"/>
        <v>12750</v>
      </c>
      <c r="N334" s="10">
        <f t="shared" si="506"/>
        <v>12750</v>
      </c>
      <c r="O334" s="10">
        <f t="shared" si="506"/>
        <v>12750</v>
      </c>
      <c r="P334" s="10">
        <f t="shared" si="506"/>
        <v>12750</v>
      </c>
      <c r="Q334" s="10">
        <f t="shared" si="506"/>
        <v>12750</v>
      </c>
      <c r="R334" s="10">
        <f t="shared" si="506"/>
        <v>12750</v>
      </c>
      <c r="S334" s="10">
        <f t="shared" si="506"/>
        <v>12750</v>
      </c>
      <c r="T334" s="10">
        <f t="shared" si="506"/>
        <v>12750</v>
      </c>
      <c r="U334" s="33">
        <f t="shared" si="506"/>
        <v>12750</v>
      </c>
      <c r="V334" s="10">
        <f t="shared" si="506"/>
        <v>15166.666666666668</v>
      </c>
      <c r="W334" s="10">
        <f t="shared" si="506"/>
        <v>15166.666666666668</v>
      </c>
      <c r="X334" s="10">
        <f t="shared" si="506"/>
        <v>15166.666666666668</v>
      </c>
      <c r="Y334" s="10">
        <f t="shared" si="506"/>
        <v>15166.666666666668</v>
      </c>
      <c r="Z334" s="10">
        <f t="shared" si="506"/>
        <v>15166.666666666668</v>
      </c>
      <c r="AA334" s="10">
        <f t="shared" si="506"/>
        <v>15166.666666666668</v>
      </c>
      <c r="AB334" s="10">
        <f t="shared" si="506"/>
        <v>15166.666666666668</v>
      </c>
      <c r="AC334" s="10">
        <f t="shared" si="506"/>
        <v>15166.666666666668</v>
      </c>
      <c r="AD334" s="10">
        <f t="shared" si="506"/>
        <v>15166.666666666668</v>
      </c>
      <c r="AE334" s="10">
        <f t="shared" si="506"/>
        <v>15166.666666666668</v>
      </c>
      <c r="AF334" s="10">
        <f t="shared" si="506"/>
        <v>15166.666666666668</v>
      </c>
      <c r="AG334" s="33">
        <f t="shared" si="506"/>
        <v>15166.666666666668</v>
      </c>
    </row>
    <row r="335" spans="3:33" x14ac:dyDescent="0.2">
      <c r="C335" t="s">
        <v>81</v>
      </c>
      <c r="D335" t="s">
        <v>91</v>
      </c>
      <c r="E335" s="64">
        <f>_xlfn.XLOOKUP($C335,'Corporate Roster - ''24'!$C$6:$C$60,'Corporate Roster - ''24'!$E$6:$E$60)</f>
        <v>40811</v>
      </c>
      <c r="F335" s="64" t="str">
        <f>_xlfn.XLOOKUP($C335,'Corporate Roster - ''24'!$C$6:$C$60,'Corporate Roster - ''24'!$F$6:$F$60)</f>
        <v>-</v>
      </c>
      <c r="G335" s="32">
        <f t="shared" si="493"/>
        <v>153999.99999999997</v>
      </c>
      <c r="H335" s="33">
        <f t="shared" si="494"/>
        <v>153999.99999999997</v>
      </c>
      <c r="J335" s="32">
        <f t="shared" ref="J335:AG335" si="507">J272+J146+J20</f>
        <v>12833.333333333332</v>
      </c>
      <c r="K335" s="10">
        <f t="shared" si="507"/>
        <v>12833.333333333332</v>
      </c>
      <c r="L335" s="10">
        <f t="shared" si="507"/>
        <v>12833.333333333332</v>
      </c>
      <c r="M335" s="10">
        <f t="shared" si="507"/>
        <v>12833.333333333332</v>
      </c>
      <c r="N335" s="10">
        <f t="shared" si="507"/>
        <v>12833.333333333332</v>
      </c>
      <c r="O335" s="10">
        <f t="shared" si="507"/>
        <v>12833.333333333332</v>
      </c>
      <c r="P335" s="10">
        <f t="shared" si="507"/>
        <v>12833.333333333332</v>
      </c>
      <c r="Q335" s="10">
        <f t="shared" si="507"/>
        <v>12833.333333333332</v>
      </c>
      <c r="R335" s="10">
        <f t="shared" si="507"/>
        <v>12833.333333333332</v>
      </c>
      <c r="S335" s="10">
        <f t="shared" si="507"/>
        <v>12833.333333333332</v>
      </c>
      <c r="T335" s="10">
        <f t="shared" si="507"/>
        <v>12833.333333333332</v>
      </c>
      <c r="U335" s="33">
        <f t="shared" si="507"/>
        <v>12833.333333333332</v>
      </c>
      <c r="V335" s="10">
        <f t="shared" si="507"/>
        <v>12833.333333333332</v>
      </c>
      <c r="W335" s="10">
        <f t="shared" si="507"/>
        <v>12833.333333333332</v>
      </c>
      <c r="X335" s="10">
        <f t="shared" si="507"/>
        <v>12833.333333333332</v>
      </c>
      <c r="Y335" s="10">
        <f t="shared" si="507"/>
        <v>12833.333333333332</v>
      </c>
      <c r="Z335" s="10">
        <f t="shared" si="507"/>
        <v>12833.333333333332</v>
      </c>
      <c r="AA335" s="10">
        <f t="shared" si="507"/>
        <v>12833.333333333332</v>
      </c>
      <c r="AB335" s="10">
        <f t="shared" si="507"/>
        <v>12833.333333333332</v>
      </c>
      <c r="AC335" s="10">
        <f t="shared" si="507"/>
        <v>12833.333333333332</v>
      </c>
      <c r="AD335" s="10">
        <f t="shared" si="507"/>
        <v>12833.333333333332</v>
      </c>
      <c r="AE335" s="10">
        <f t="shared" si="507"/>
        <v>12833.333333333332</v>
      </c>
      <c r="AF335" s="10">
        <f t="shared" si="507"/>
        <v>12833.333333333332</v>
      </c>
      <c r="AG335" s="33">
        <f t="shared" si="507"/>
        <v>12833.333333333332</v>
      </c>
    </row>
    <row r="336" spans="3:33" x14ac:dyDescent="0.2">
      <c r="C336" t="s">
        <v>92</v>
      </c>
      <c r="D336" t="s">
        <v>93</v>
      </c>
      <c r="E336" s="64">
        <f>_xlfn.XLOOKUP($C336,'Corporate Roster - ''24'!$C$6:$C$60,'Corporate Roster - ''24'!$E$6:$E$60)</f>
        <v>43400</v>
      </c>
      <c r="F336" s="64" t="str">
        <f>_xlfn.XLOOKUP($C336,'Corporate Roster - ''24'!$C$6:$C$60,'Corporate Roster - ''24'!$F$6:$F$60)</f>
        <v>-</v>
      </c>
      <c r="G336" s="32">
        <f t="shared" si="493"/>
        <v>153000</v>
      </c>
      <c r="H336" s="33">
        <f t="shared" si="494"/>
        <v>168000</v>
      </c>
      <c r="J336" s="32">
        <f t="shared" ref="J336:AG336" si="508">J273+J147+J21</f>
        <v>12750</v>
      </c>
      <c r="K336" s="10">
        <f t="shared" si="508"/>
        <v>12750</v>
      </c>
      <c r="L336" s="10">
        <f t="shared" si="508"/>
        <v>12750</v>
      </c>
      <c r="M336" s="10">
        <f t="shared" si="508"/>
        <v>12750</v>
      </c>
      <c r="N336" s="10">
        <f t="shared" si="508"/>
        <v>12750</v>
      </c>
      <c r="O336" s="10">
        <f t="shared" si="508"/>
        <v>12750</v>
      </c>
      <c r="P336" s="10">
        <f t="shared" si="508"/>
        <v>12750</v>
      </c>
      <c r="Q336" s="10">
        <f t="shared" si="508"/>
        <v>12750</v>
      </c>
      <c r="R336" s="10">
        <f t="shared" si="508"/>
        <v>12750</v>
      </c>
      <c r="S336" s="10">
        <f t="shared" si="508"/>
        <v>12750</v>
      </c>
      <c r="T336" s="10">
        <f t="shared" si="508"/>
        <v>12750</v>
      </c>
      <c r="U336" s="33">
        <f t="shared" si="508"/>
        <v>12750</v>
      </c>
      <c r="V336" s="10">
        <f t="shared" si="508"/>
        <v>14000</v>
      </c>
      <c r="W336" s="10">
        <f t="shared" si="508"/>
        <v>14000</v>
      </c>
      <c r="X336" s="10">
        <f t="shared" si="508"/>
        <v>14000</v>
      </c>
      <c r="Y336" s="10">
        <f t="shared" si="508"/>
        <v>14000</v>
      </c>
      <c r="Z336" s="10">
        <f t="shared" si="508"/>
        <v>14000</v>
      </c>
      <c r="AA336" s="10">
        <f t="shared" si="508"/>
        <v>14000</v>
      </c>
      <c r="AB336" s="10">
        <f t="shared" si="508"/>
        <v>14000</v>
      </c>
      <c r="AC336" s="10">
        <f t="shared" si="508"/>
        <v>14000</v>
      </c>
      <c r="AD336" s="10">
        <f t="shared" si="508"/>
        <v>14000</v>
      </c>
      <c r="AE336" s="10">
        <f t="shared" si="508"/>
        <v>14000</v>
      </c>
      <c r="AF336" s="10">
        <f t="shared" si="508"/>
        <v>14000</v>
      </c>
      <c r="AG336" s="33">
        <f t="shared" si="508"/>
        <v>14000</v>
      </c>
    </row>
    <row r="337" spans="3:33" x14ac:dyDescent="0.2">
      <c r="C337" t="s">
        <v>94</v>
      </c>
      <c r="D337" t="s">
        <v>95</v>
      </c>
      <c r="E337" s="64">
        <f>_xlfn.XLOOKUP($C337,'Corporate Roster - ''24'!$C$6:$C$60,'Corporate Roster - ''24'!$E$6:$E$60)</f>
        <v>40031</v>
      </c>
      <c r="F337" s="64" t="str">
        <f>_xlfn.XLOOKUP($C337,'Corporate Roster - ''24'!$C$6:$C$60,'Corporate Roster - ''24'!$F$6:$F$60)</f>
        <v>-</v>
      </c>
      <c r="G337" s="32">
        <f t="shared" si="493"/>
        <v>168000</v>
      </c>
      <c r="H337" s="33">
        <f t="shared" si="494"/>
        <v>196000</v>
      </c>
      <c r="J337" s="32">
        <f t="shared" ref="J337:AG337" si="509">J274+J148+J22</f>
        <v>14000</v>
      </c>
      <c r="K337" s="10">
        <f t="shared" si="509"/>
        <v>14000</v>
      </c>
      <c r="L337" s="10">
        <f t="shared" si="509"/>
        <v>14000</v>
      </c>
      <c r="M337" s="10">
        <f t="shared" si="509"/>
        <v>14000</v>
      </c>
      <c r="N337" s="10">
        <f t="shared" si="509"/>
        <v>14000</v>
      </c>
      <c r="O337" s="10">
        <f t="shared" si="509"/>
        <v>14000</v>
      </c>
      <c r="P337" s="10">
        <f t="shared" si="509"/>
        <v>14000</v>
      </c>
      <c r="Q337" s="10">
        <f t="shared" si="509"/>
        <v>14000</v>
      </c>
      <c r="R337" s="10">
        <f t="shared" si="509"/>
        <v>14000</v>
      </c>
      <c r="S337" s="10">
        <f t="shared" si="509"/>
        <v>14000</v>
      </c>
      <c r="T337" s="10">
        <f t="shared" si="509"/>
        <v>14000</v>
      </c>
      <c r="U337" s="33">
        <f t="shared" si="509"/>
        <v>14000</v>
      </c>
      <c r="V337" s="10">
        <f t="shared" si="509"/>
        <v>16333.333333333332</v>
      </c>
      <c r="W337" s="10">
        <f t="shared" si="509"/>
        <v>16333.333333333332</v>
      </c>
      <c r="X337" s="10">
        <f t="shared" si="509"/>
        <v>16333.333333333332</v>
      </c>
      <c r="Y337" s="10">
        <f t="shared" si="509"/>
        <v>16333.333333333332</v>
      </c>
      <c r="Z337" s="10">
        <f t="shared" si="509"/>
        <v>16333.333333333332</v>
      </c>
      <c r="AA337" s="10">
        <f t="shared" si="509"/>
        <v>16333.333333333332</v>
      </c>
      <c r="AB337" s="10">
        <f t="shared" si="509"/>
        <v>16333.333333333332</v>
      </c>
      <c r="AC337" s="10">
        <f t="shared" si="509"/>
        <v>16333.333333333332</v>
      </c>
      <c r="AD337" s="10">
        <f t="shared" si="509"/>
        <v>16333.333333333332</v>
      </c>
      <c r="AE337" s="10">
        <f t="shared" si="509"/>
        <v>16333.333333333332</v>
      </c>
      <c r="AF337" s="10">
        <f t="shared" si="509"/>
        <v>16333.333333333332</v>
      </c>
      <c r="AG337" s="33">
        <f t="shared" si="509"/>
        <v>16333.333333333332</v>
      </c>
    </row>
    <row r="338" spans="3:33" x14ac:dyDescent="0.2">
      <c r="C338" t="s">
        <v>96</v>
      </c>
      <c r="D338" t="s">
        <v>97</v>
      </c>
      <c r="E338" s="64">
        <f>_xlfn.XLOOKUP($C338,'Corporate Roster - ''24'!$C$6:$C$60,'Corporate Roster - ''24'!$E$6:$E$60)</f>
        <v>44978</v>
      </c>
      <c r="F338" s="64" t="str">
        <f>_xlfn.XLOOKUP($C338,'Corporate Roster - ''24'!$C$6:$C$60,'Corporate Roster - ''24'!$F$6:$F$60)</f>
        <v>-</v>
      </c>
      <c r="G338" s="32">
        <f t="shared" si="493"/>
        <v>128333.33333333337</v>
      </c>
      <c r="H338" s="33">
        <f t="shared" si="494"/>
        <v>140000.00000000003</v>
      </c>
      <c r="J338" s="32">
        <f t="shared" ref="J338:AG338" si="510">J275+J149+J23</f>
        <v>0</v>
      </c>
      <c r="K338" s="10">
        <f t="shared" si="510"/>
        <v>11666.666666666668</v>
      </c>
      <c r="L338" s="10">
        <f t="shared" si="510"/>
        <v>11666.666666666668</v>
      </c>
      <c r="M338" s="10">
        <f t="shared" si="510"/>
        <v>11666.666666666668</v>
      </c>
      <c r="N338" s="10">
        <f t="shared" si="510"/>
        <v>11666.666666666668</v>
      </c>
      <c r="O338" s="10">
        <f t="shared" si="510"/>
        <v>11666.666666666668</v>
      </c>
      <c r="P338" s="10">
        <f t="shared" si="510"/>
        <v>11666.666666666668</v>
      </c>
      <c r="Q338" s="10">
        <f t="shared" si="510"/>
        <v>11666.666666666668</v>
      </c>
      <c r="R338" s="10">
        <f t="shared" si="510"/>
        <v>11666.666666666668</v>
      </c>
      <c r="S338" s="10">
        <f t="shared" si="510"/>
        <v>11666.666666666668</v>
      </c>
      <c r="T338" s="10">
        <f t="shared" si="510"/>
        <v>11666.666666666668</v>
      </c>
      <c r="U338" s="33">
        <f t="shared" si="510"/>
        <v>11666.666666666668</v>
      </c>
      <c r="V338" s="10">
        <f t="shared" si="510"/>
        <v>11666.666666666668</v>
      </c>
      <c r="W338" s="10">
        <f t="shared" si="510"/>
        <v>11666.666666666668</v>
      </c>
      <c r="X338" s="10">
        <f t="shared" si="510"/>
        <v>11666.666666666668</v>
      </c>
      <c r="Y338" s="10">
        <f t="shared" si="510"/>
        <v>11666.666666666668</v>
      </c>
      <c r="Z338" s="10">
        <f t="shared" si="510"/>
        <v>11666.666666666668</v>
      </c>
      <c r="AA338" s="10">
        <f t="shared" si="510"/>
        <v>11666.666666666668</v>
      </c>
      <c r="AB338" s="10">
        <f t="shared" si="510"/>
        <v>11666.666666666668</v>
      </c>
      <c r="AC338" s="10">
        <f t="shared" si="510"/>
        <v>11666.666666666668</v>
      </c>
      <c r="AD338" s="10">
        <f t="shared" si="510"/>
        <v>11666.666666666668</v>
      </c>
      <c r="AE338" s="10">
        <f t="shared" si="510"/>
        <v>11666.666666666668</v>
      </c>
      <c r="AF338" s="10">
        <f t="shared" si="510"/>
        <v>11666.666666666668</v>
      </c>
      <c r="AG338" s="33">
        <f t="shared" si="510"/>
        <v>11666.666666666668</v>
      </c>
    </row>
    <row r="339" spans="3:33" x14ac:dyDescent="0.2">
      <c r="C339" t="s">
        <v>98</v>
      </c>
      <c r="D339" t="s">
        <v>99</v>
      </c>
      <c r="E339" s="64">
        <f>_xlfn.XLOOKUP($C339,'Corporate Roster - ''24'!$C$6:$C$60,'Corporate Roster - ''24'!$E$6:$E$60)</f>
        <v>41398</v>
      </c>
      <c r="F339" s="64" t="str">
        <f>_xlfn.XLOOKUP($C339,'Corporate Roster - ''24'!$C$6:$C$60,'Corporate Roster - ''24'!$F$6:$F$60)</f>
        <v>-</v>
      </c>
      <c r="G339" s="32">
        <f t="shared" si="493"/>
        <v>90999.999999999985</v>
      </c>
      <c r="H339" s="33">
        <f t="shared" si="494"/>
        <v>108000</v>
      </c>
      <c r="J339" s="32">
        <f t="shared" ref="J339:AG339" si="511">J276+J150+J24</f>
        <v>7583.333333333333</v>
      </c>
      <c r="K339" s="10">
        <f t="shared" si="511"/>
        <v>7583.333333333333</v>
      </c>
      <c r="L339" s="10">
        <f t="shared" si="511"/>
        <v>7583.333333333333</v>
      </c>
      <c r="M339" s="10">
        <f t="shared" si="511"/>
        <v>7583.333333333333</v>
      </c>
      <c r="N339" s="10">
        <f t="shared" si="511"/>
        <v>7583.333333333333</v>
      </c>
      <c r="O339" s="10">
        <f t="shared" si="511"/>
        <v>7583.333333333333</v>
      </c>
      <c r="P339" s="10">
        <f t="shared" si="511"/>
        <v>7583.333333333333</v>
      </c>
      <c r="Q339" s="10">
        <f t="shared" si="511"/>
        <v>7583.333333333333</v>
      </c>
      <c r="R339" s="10">
        <f t="shared" si="511"/>
        <v>7583.333333333333</v>
      </c>
      <c r="S339" s="10">
        <f t="shared" si="511"/>
        <v>7583.333333333333</v>
      </c>
      <c r="T339" s="10">
        <f t="shared" si="511"/>
        <v>7583.333333333333</v>
      </c>
      <c r="U339" s="33">
        <f t="shared" si="511"/>
        <v>7583.333333333333</v>
      </c>
      <c r="V339" s="10">
        <f t="shared" si="511"/>
        <v>9000</v>
      </c>
      <c r="W339" s="10">
        <f t="shared" si="511"/>
        <v>9000</v>
      </c>
      <c r="X339" s="10">
        <f t="shared" si="511"/>
        <v>9000</v>
      </c>
      <c r="Y339" s="10">
        <f t="shared" si="511"/>
        <v>9000</v>
      </c>
      <c r="Z339" s="10">
        <f t="shared" si="511"/>
        <v>9000</v>
      </c>
      <c r="AA339" s="10">
        <f t="shared" si="511"/>
        <v>9000</v>
      </c>
      <c r="AB339" s="10">
        <f t="shared" si="511"/>
        <v>9000</v>
      </c>
      <c r="AC339" s="10">
        <f t="shared" si="511"/>
        <v>9000</v>
      </c>
      <c r="AD339" s="10">
        <f t="shared" si="511"/>
        <v>9000</v>
      </c>
      <c r="AE339" s="10">
        <f t="shared" si="511"/>
        <v>9000</v>
      </c>
      <c r="AF339" s="10">
        <f t="shared" si="511"/>
        <v>9000</v>
      </c>
      <c r="AG339" s="33">
        <f t="shared" si="511"/>
        <v>9000</v>
      </c>
    </row>
    <row r="340" spans="3:33" x14ac:dyDescent="0.2">
      <c r="C340" t="s">
        <v>100</v>
      </c>
      <c r="D340" t="s">
        <v>101</v>
      </c>
      <c r="E340" s="64">
        <f>_xlfn.XLOOKUP($C340,'Corporate Roster - ''24'!$C$6:$C$60,'Corporate Roster - ''24'!$E$6:$E$60)</f>
        <v>40362</v>
      </c>
      <c r="F340" s="64" t="str">
        <f>_xlfn.XLOOKUP($C340,'Corporate Roster - ''24'!$C$6:$C$60,'Corporate Roster - ''24'!$F$6:$F$60)</f>
        <v>-</v>
      </c>
      <c r="G340" s="32">
        <f t="shared" si="493"/>
        <v>101250</v>
      </c>
      <c r="H340" s="33">
        <f t="shared" si="494"/>
        <v>101250</v>
      </c>
      <c r="J340" s="32">
        <f t="shared" ref="J340:AG340" si="512">J277+J151+J25</f>
        <v>8437.5</v>
      </c>
      <c r="K340" s="10">
        <f t="shared" si="512"/>
        <v>8437.5</v>
      </c>
      <c r="L340" s="10">
        <f t="shared" si="512"/>
        <v>8437.5</v>
      </c>
      <c r="M340" s="10">
        <f t="shared" si="512"/>
        <v>8437.5</v>
      </c>
      <c r="N340" s="10">
        <f t="shared" si="512"/>
        <v>8437.5</v>
      </c>
      <c r="O340" s="10">
        <f t="shared" si="512"/>
        <v>8437.5</v>
      </c>
      <c r="P340" s="10">
        <f t="shared" si="512"/>
        <v>8437.5</v>
      </c>
      <c r="Q340" s="10">
        <f t="shared" si="512"/>
        <v>8437.5</v>
      </c>
      <c r="R340" s="10">
        <f t="shared" si="512"/>
        <v>8437.5</v>
      </c>
      <c r="S340" s="10">
        <f t="shared" si="512"/>
        <v>8437.5</v>
      </c>
      <c r="T340" s="10">
        <f t="shared" si="512"/>
        <v>8437.5</v>
      </c>
      <c r="U340" s="33">
        <f t="shared" si="512"/>
        <v>8437.5</v>
      </c>
      <c r="V340" s="10">
        <f t="shared" si="512"/>
        <v>8437.5</v>
      </c>
      <c r="W340" s="10">
        <f t="shared" si="512"/>
        <v>8437.5</v>
      </c>
      <c r="X340" s="10">
        <f t="shared" si="512"/>
        <v>8437.5</v>
      </c>
      <c r="Y340" s="10">
        <f t="shared" si="512"/>
        <v>8437.5</v>
      </c>
      <c r="Z340" s="10">
        <f t="shared" si="512"/>
        <v>8437.5</v>
      </c>
      <c r="AA340" s="10">
        <f t="shared" si="512"/>
        <v>8437.5</v>
      </c>
      <c r="AB340" s="10">
        <f t="shared" si="512"/>
        <v>8437.5</v>
      </c>
      <c r="AC340" s="10">
        <f t="shared" si="512"/>
        <v>8437.5</v>
      </c>
      <c r="AD340" s="10">
        <f t="shared" si="512"/>
        <v>8437.5</v>
      </c>
      <c r="AE340" s="10">
        <f t="shared" si="512"/>
        <v>8437.5</v>
      </c>
      <c r="AF340" s="10">
        <f t="shared" si="512"/>
        <v>8437.5</v>
      </c>
      <c r="AG340" s="33">
        <f t="shared" si="512"/>
        <v>8437.5</v>
      </c>
    </row>
    <row r="341" spans="3:33" x14ac:dyDescent="0.2">
      <c r="C341" t="s">
        <v>102</v>
      </c>
      <c r="D341" t="s">
        <v>103</v>
      </c>
      <c r="E341" s="64">
        <f>_xlfn.XLOOKUP($C341,'Corporate Roster - ''24'!$C$6:$C$60,'Corporate Roster - ''24'!$E$6:$E$60)</f>
        <v>45063</v>
      </c>
      <c r="F341" s="64" t="str">
        <f>_xlfn.XLOOKUP($C341,'Corporate Roster - ''24'!$C$6:$C$60,'Corporate Roster - ''24'!$F$6:$F$60)</f>
        <v>-</v>
      </c>
      <c r="G341" s="32">
        <f t="shared" si="493"/>
        <v>76500</v>
      </c>
      <c r="H341" s="33">
        <f t="shared" si="494"/>
        <v>114750</v>
      </c>
      <c r="J341" s="32">
        <f t="shared" ref="J341:AG341" si="513">J278+J152+J26</f>
        <v>0</v>
      </c>
      <c r="K341" s="10">
        <f t="shared" si="513"/>
        <v>0</v>
      </c>
      <c r="L341" s="10">
        <f t="shared" si="513"/>
        <v>0</v>
      </c>
      <c r="M341" s="10">
        <f t="shared" si="513"/>
        <v>0</v>
      </c>
      <c r="N341" s="10">
        <f t="shared" si="513"/>
        <v>9562.5</v>
      </c>
      <c r="O341" s="10">
        <f t="shared" si="513"/>
        <v>9562.5</v>
      </c>
      <c r="P341" s="10">
        <f t="shared" si="513"/>
        <v>9562.5</v>
      </c>
      <c r="Q341" s="10">
        <f t="shared" si="513"/>
        <v>9562.5</v>
      </c>
      <c r="R341" s="10">
        <f t="shared" si="513"/>
        <v>9562.5</v>
      </c>
      <c r="S341" s="10">
        <f t="shared" si="513"/>
        <v>9562.5</v>
      </c>
      <c r="T341" s="10">
        <f t="shared" si="513"/>
        <v>9562.5</v>
      </c>
      <c r="U341" s="33">
        <f t="shared" si="513"/>
        <v>9562.5</v>
      </c>
      <c r="V341" s="10">
        <f t="shared" si="513"/>
        <v>9562.5</v>
      </c>
      <c r="W341" s="10">
        <f t="shared" si="513"/>
        <v>9562.5</v>
      </c>
      <c r="X341" s="10">
        <f t="shared" si="513"/>
        <v>9562.5</v>
      </c>
      <c r="Y341" s="10">
        <f t="shared" si="513"/>
        <v>9562.5</v>
      </c>
      <c r="Z341" s="10">
        <f t="shared" si="513"/>
        <v>9562.5</v>
      </c>
      <c r="AA341" s="10">
        <f t="shared" si="513"/>
        <v>9562.5</v>
      </c>
      <c r="AB341" s="10">
        <f t="shared" si="513"/>
        <v>9562.5</v>
      </c>
      <c r="AC341" s="10">
        <f t="shared" si="513"/>
        <v>9562.5</v>
      </c>
      <c r="AD341" s="10">
        <f t="shared" si="513"/>
        <v>9562.5</v>
      </c>
      <c r="AE341" s="10">
        <f t="shared" si="513"/>
        <v>9562.5</v>
      </c>
      <c r="AF341" s="10">
        <f t="shared" si="513"/>
        <v>9562.5</v>
      </c>
      <c r="AG341" s="33">
        <f t="shared" si="513"/>
        <v>9562.5</v>
      </c>
    </row>
    <row r="342" spans="3:33" x14ac:dyDescent="0.2">
      <c r="C342" t="s">
        <v>104</v>
      </c>
      <c r="D342" t="s">
        <v>105</v>
      </c>
      <c r="E342" s="64">
        <f>_xlfn.XLOOKUP($C342,'Corporate Roster - ''24'!$C$6:$C$60,'Corporate Roster - ''24'!$E$6:$E$60)</f>
        <v>44169</v>
      </c>
      <c r="F342" s="64" t="str">
        <f>_xlfn.XLOOKUP($C342,'Corporate Roster - ''24'!$C$6:$C$60,'Corporate Roster - ''24'!$F$6:$F$60)</f>
        <v>-</v>
      </c>
      <c r="G342" s="32">
        <f t="shared" si="493"/>
        <v>69000</v>
      </c>
      <c r="H342" s="33">
        <f t="shared" si="494"/>
        <v>81000</v>
      </c>
      <c r="J342" s="32">
        <f t="shared" ref="J342:AG342" si="514">J279+J153+J27</f>
        <v>5750</v>
      </c>
      <c r="K342" s="10">
        <f t="shared" si="514"/>
        <v>5750</v>
      </c>
      <c r="L342" s="10">
        <f t="shared" si="514"/>
        <v>5750</v>
      </c>
      <c r="M342" s="10">
        <f t="shared" si="514"/>
        <v>5750</v>
      </c>
      <c r="N342" s="10">
        <f t="shared" si="514"/>
        <v>5750</v>
      </c>
      <c r="O342" s="10">
        <f t="shared" si="514"/>
        <v>5750</v>
      </c>
      <c r="P342" s="10">
        <f t="shared" si="514"/>
        <v>5750</v>
      </c>
      <c r="Q342" s="10">
        <f t="shared" si="514"/>
        <v>5750</v>
      </c>
      <c r="R342" s="10">
        <f t="shared" si="514"/>
        <v>5750</v>
      </c>
      <c r="S342" s="10">
        <f t="shared" si="514"/>
        <v>5750</v>
      </c>
      <c r="T342" s="10">
        <f t="shared" si="514"/>
        <v>5750</v>
      </c>
      <c r="U342" s="33">
        <f t="shared" si="514"/>
        <v>5750</v>
      </c>
      <c r="V342" s="10">
        <f t="shared" si="514"/>
        <v>6750</v>
      </c>
      <c r="W342" s="10">
        <f t="shared" si="514"/>
        <v>6750</v>
      </c>
      <c r="X342" s="10">
        <f t="shared" si="514"/>
        <v>6750</v>
      </c>
      <c r="Y342" s="10">
        <f t="shared" si="514"/>
        <v>6750</v>
      </c>
      <c r="Z342" s="10">
        <f t="shared" si="514"/>
        <v>6750</v>
      </c>
      <c r="AA342" s="10">
        <f t="shared" si="514"/>
        <v>6750</v>
      </c>
      <c r="AB342" s="10">
        <f t="shared" si="514"/>
        <v>6750</v>
      </c>
      <c r="AC342" s="10">
        <f t="shared" si="514"/>
        <v>6750</v>
      </c>
      <c r="AD342" s="10">
        <f t="shared" si="514"/>
        <v>6750</v>
      </c>
      <c r="AE342" s="10">
        <f t="shared" si="514"/>
        <v>6750</v>
      </c>
      <c r="AF342" s="10">
        <f t="shared" si="514"/>
        <v>6750</v>
      </c>
      <c r="AG342" s="33">
        <f t="shared" si="514"/>
        <v>6750</v>
      </c>
    </row>
    <row r="343" spans="3:33" x14ac:dyDescent="0.2">
      <c r="C343" t="s">
        <v>148</v>
      </c>
      <c r="D343" t="s">
        <v>107</v>
      </c>
      <c r="E343" s="64">
        <f>_xlfn.XLOOKUP($C343,'Corporate Roster - ''24'!$C$6:$C$60,'Corporate Roster - ''24'!$E$6:$E$60)</f>
        <v>45017</v>
      </c>
      <c r="F343" s="64" t="str">
        <f>_xlfn.XLOOKUP($C343,'Corporate Roster - ''24'!$C$6:$C$60,'Corporate Roster - ''24'!$F$6:$F$60)</f>
        <v>-</v>
      </c>
      <c r="G343" s="32">
        <f t="shared" si="493"/>
        <v>67500</v>
      </c>
      <c r="H343" s="33">
        <f t="shared" si="494"/>
        <v>94500</v>
      </c>
      <c r="J343" s="32">
        <f t="shared" ref="J343:AG343" si="515">J280+J154+J28</f>
        <v>0</v>
      </c>
      <c r="K343" s="10">
        <f t="shared" si="515"/>
        <v>0</v>
      </c>
      <c r="L343" s="10">
        <f t="shared" si="515"/>
        <v>0</v>
      </c>
      <c r="M343" s="10">
        <f t="shared" si="515"/>
        <v>7500</v>
      </c>
      <c r="N343" s="10">
        <f t="shared" si="515"/>
        <v>7500</v>
      </c>
      <c r="O343" s="10">
        <f t="shared" si="515"/>
        <v>7500</v>
      </c>
      <c r="P343" s="10">
        <f t="shared" si="515"/>
        <v>7500</v>
      </c>
      <c r="Q343" s="10">
        <f t="shared" si="515"/>
        <v>7500</v>
      </c>
      <c r="R343" s="10">
        <f t="shared" si="515"/>
        <v>7500</v>
      </c>
      <c r="S343" s="10">
        <f t="shared" si="515"/>
        <v>7500</v>
      </c>
      <c r="T343" s="10">
        <f t="shared" si="515"/>
        <v>7500</v>
      </c>
      <c r="U343" s="33">
        <f t="shared" si="515"/>
        <v>7500</v>
      </c>
      <c r="V343" s="10">
        <f t="shared" si="515"/>
        <v>7875</v>
      </c>
      <c r="W343" s="10">
        <f t="shared" si="515"/>
        <v>7875</v>
      </c>
      <c r="X343" s="10">
        <f t="shared" si="515"/>
        <v>7875</v>
      </c>
      <c r="Y343" s="10">
        <f t="shared" si="515"/>
        <v>7875</v>
      </c>
      <c r="Z343" s="10">
        <f t="shared" si="515"/>
        <v>7875</v>
      </c>
      <c r="AA343" s="10">
        <f t="shared" si="515"/>
        <v>7875</v>
      </c>
      <c r="AB343" s="10">
        <f t="shared" si="515"/>
        <v>7875</v>
      </c>
      <c r="AC343" s="10">
        <f t="shared" si="515"/>
        <v>7875</v>
      </c>
      <c r="AD343" s="10">
        <f t="shared" si="515"/>
        <v>7875</v>
      </c>
      <c r="AE343" s="10">
        <f t="shared" si="515"/>
        <v>7875</v>
      </c>
      <c r="AF343" s="10">
        <f t="shared" si="515"/>
        <v>7875</v>
      </c>
      <c r="AG343" s="33">
        <f t="shared" si="515"/>
        <v>7875</v>
      </c>
    </row>
    <row r="344" spans="3:33" x14ac:dyDescent="0.2">
      <c r="C344" t="s">
        <v>108</v>
      </c>
      <c r="D344" t="s">
        <v>109</v>
      </c>
      <c r="E344" s="64">
        <f>_xlfn.XLOOKUP($C344,'Corporate Roster - ''24'!$C$6:$C$60,'Corporate Roster - ''24'!$E$6:$E$60)</f>
        <v>40157</v>
      </c>
      <c r="F344" s="64" t="str">
        <f>_xlfn.XLOOKUP($C344,'Corporate Roster - ''24'!$C$6:$C$60,'Corporate Roster - ''24'!$F$6:$F$60)</f>
        <v>-</v>
      </c>
      <c r="G344" s="32">
        <f t="shared" si="493"/>
        <v>101250</v>
      </c>
      <c r="H344" s="33">
        <f t="shared" si="494"/>
        <v>101250</v>
      </c>
      <c r="J344" s="32">
        <f t="shared" ref="J344:AG344" si="516">J281+J155+J29</f>
        <v>8437.5</v>
      </c>
      <c r="K344" s="10">
        <f t="shared" si="516"/>
        <v>8437.5</v>
      </c>
      <c r="L344" s="10">
        <f t="shared" si="516"/>
        <v>8437.5</v>
      </c>
      <c r="M344" s="10">
        <f t="shared" si="516"/>
        <v>8437.5</v>
      </c>
      <c r="N344" s="10">
        <f t="shared" si="516"/>
        <v>8437.5</v>
      </c>
      <c r="O344" s="10">
        <f t="shared" si="516"/>
        <v>8437.5</v>
      </c>
      <c r="P344" s="10">
        <f t="shared" si="516"/>
        <v>8437.5</v>
      </c>
      <c r="Q344" s="10">
        <f t="shared" si="516"/>
        <v>8437.5</v>
      </c>
      <c r="R344" s="10">
        <f t="shared" si="516"/>
        <v>8437.5</v>
      </c>
      <c r="S344" s="10">
        <f t="shared" si="516"/>
        <v>8437.5</v>
      </c>
      <c r="T344" s="10">
        <f t="shared" si="516"/>
        <v>8437.5</v>
      </c>
      <c r="U344" s="33">
        <f t="shared" si="516"/>
        <v>8437.5</v>
      </c>
      <c r="V344" s="10">
        <f t="shared" si="516"/>
        <v>8437.5</v>
      </c>
      <c r="W344" s="10">
        <f t="shared" si="516"/>
        <v>8437.5</v>
      </c>
      <c r="X344" s="10">
        <f t="shared" si="516"/>
        <v>8437.5</v>
      </c>
      <c r="Y344" s="10">
        <f t="shared" si="516"/>
        <v>8437.5</v>
      </c>
      <c r="Z344" s="10">
        <f t="shared" si="516"/>
        <v>8437.5</v>
      </c>
      <c r="AA344" s="10">
        <f t="shared" si="516"/>
        <v>8437.5</v>
      </c>
      <c r="AB344" s="10">
        <f t="shared" si="516"/>
        <v>8437.5</v>
      </c>
      <c r="AC344" s="10">
        <f t="shared" si="516"/>
        <v>8437.5</v>
      </c>
      <c r="AD344" s="10">
        <f t="shared" si="516"/>
        <v>8437.5</v>
      </c>
      <c r="AE344" s="10">
        <f t="shared" si="516"/>
        <v>8437.5</v>
      </c>
      <c r="AF344" s="10">
        <f t="shared" si="516"/>
        <v>8437.5</v>
      </c>
      <c r="AG344" s="33">
        <f t="shared" si="516"/>
        <v>8437.5</v>
      </c>
    </row>
    <row r="345" spans="3:33" x14ac:dyDescent="0.2">
      <c r="C345" t="s">
        <v>73</v>
      </c>
      <c r="D345" t="s">
        <v>110</v>
      </c>
      <c r="E345" s="64">
        <f>_xlfn.XLOOKUP($C345,'Corporate Roster - ''24'!$C$6:$C$60,'Corporate Roster - ''24'!$E$6:$E$60)</f>
        <v>45335</v>
      </c>
      <c r="F345" s="64" t="str">
        <f>_xlfn.XLOOKUP($C345,'Corporate Roster - ''24'!$C$6:$C$60,'Corporate Roster - ''24'!$F$6:$F$60)</f>
        <v>-</v>
      </c>
      <c r="G345" s="32">
        <f t="shared" si="493"/>
        <v>0</v>
      </c>
      <c r="H345" s="33">
        <f t="shared" si="494"/>
        <v>105187.5</v>
      </c>
      <c r="J345" s="32">
        <f t="shared" ref="J345:AG345" si="517">J282+J156+J30</f>
        <v>0</v>
      </c>
      <c r="K345" s="10">
        <f t="shared" si="517"/>
        <v>0</v>
      </c>
      <c r="L345" s="10">
        <f t="shared" si="517"/>
        <v>0</v>
      </c>
      <c r="M345" s="10">
        <f t="shared" si="517"/>
        <v>0</v>
      </c>
      <c r="N345" s="10">
        <f t="shared" si="517"/>
        <v>0</v>
      </c>
      <c r="O345" s="10">
        <f t="shared" si="517"/>
        <v>0</v>
      </c>
      <c r="P345" s="10">
        <f t="shared" si="517"/>
        <v>0</v>
      </c>
      <c r="Q345" s="10">
        <f t="shared" si="517"/>
        <v>0</v>
      </c>
      <c r="R345" s="10">
        <f t="shared" si="517"/>
        <v>0</v>
      </c>
      <c r="S345" s="10">
        <f t="shared" si="517"/>
        <v>0</v>
      </c>
      <c r="T345" s="10">
        <f t="shared" si="517"/>
        <v>0</v>
      </c>
      <c r="U345" s="33">
        <f t="shared" si="517"/>
        <v>0</v>
      </c>
      <c r="V345" s="10">
        <f t="shared" si="517"/>
        <v>0</v>
      </c>
      <c r="W345" s="10">
        <f t="shared" si="517"/>
        <v>9562.5</v>
      </c>
      <c r="X345" s="10">
        <f t="shared" si="517"/>
        <v>9562.5</v>
      </c>
      <c r="Y345" s="10">
        <f t="shared" si="517"/>
        <v>9562.5</v>
      </c>
      <c r="Z345" s="10">
        <f t="shared" si="517"/>
        <v>9562.5</v>
      </c>
      <c r="AA345" s="10">
        <f t="shared" si="517"/>
        <v>9562.5</v>
      </c>
      <c r="AB345" s="10">
        <f t="shared" si="517"/>
        <v>9562.5</v>
      </c>
      <c r="AC345" s="10">
        <f t="shared" si="517"/>
        <v>9562.5</v>
      </c>
      <c r="AD345" s="10">
        <f t="shared" si="517"/>
        <v>9562.5</v>
      </c>
      <c r="AE345" s="10">
        <f t="shared" si="517"/>
        <v>9562.5</v>
      </c>
      <c r="AF345" s="10">
        <f t="shared" si="517"/>
        <v>9562.5</v>
      </c>
      <c r="AG345" s="33">
        <f t="shared" si="517"/>
        <v>9562.5</v>
      </c>
    </row>
    <row r="346" spans="3:33" x14ac:dyDescent="0.2">
      <c r="C346" t="s">
        <v>111</v>
      </c>
      <c r="D346" t="s">
        <v>112</v>
      </c>
      <c r="E346" s="64">
        <f>_xlfn.XLOOKUP($C346,'Corporate Roster - ''24'!$C$6:$C$60,'Corporate Roster - ''24'!$E$6:$E$60)</f>
        <v>44694</v>
      </c>
      <c r="F346" s="64" t="str">
        <f>_xlfn.XLOOKUP($C346,'Corporate Roster - ''24'!$C$6:$C$60,'Corporate Roster - ''24'!$F$6:$F$60)</f>
        <v>-</v>
      </c>
      <c r="G346" s="32">
        <f t="shared" si="493"/>
        <v>122000.00000000001</v>
      </c>
      <c r="H346" s="33">
        <f t="shared" si="494"/>
        <v>128250</v>
      </c>
      <c r="J346" s="32">
        <f t="shared" ref="J346:AG346" si="518">J283+J157+J31</f>
        <v>10166.666666666666</v>
      </c>
      <c r="K346" s="10">
        <f t="shared" si="518"/>
        <v>10166.666666666666</v>
      </c>
      <c r="L346" s="10">
        <f t="shared" si="518"/>
        <v>10166.666666666666</v>
      </c>
      <c r="M346" s="10">
        <f t="shared" si="518"/>
        <v>10166.666666666666</v>
      </c>
      <c r="N346" s="10">
        <f t="shared" si="518"/>
        <v>10166.666666666666</v>
      </c>
      <c r="O346" s="10">
        <f t="shared" si="518"/>
        <v>10166.666666666666</v>
      </c>
      <c r="P346" s="10">
        <f t="shared" si="518"/>
        <v>10166.666666666666</v>
      </c>
      <c r="Q346" s="10">
        <f t="shared" si="518"/>
        <v>10166.666666666666</v>
      </c>
      <c r="R346" s="10">
        <f t="shared" si="518"/>
        <v>10166.666666666666</v>
      </c>
      <c r="S346" s="10">
        <f t="shared" si="518"/>
        <v>10166.666666666666</v>
      </c>
      <c r="T346" s="10">
        <f t="shared" si="518"/>
        <v>10166.666666666666</v>
      </c>
      <c r="U346" s="33">
        <f t="shared" si="518"/>
        <v>10166.666666666666</v>
      </c>
      <c r="V346" s="10">
        <f t="shared" si="518"/>
        <v>10687.5</v>
      </c>
      <c r="W346" s="10">
        <f t="shared" si="518"/>
        <v>10687.5</v>
      </c>
      <c r="X346" s="10">
        <f t="shared" si="518"/>
        <v>10687.5</v>
      </c>
      <c r="Y346" s="10">
        <f t="shared" si="518"/>
        <v>10687.5</v>
      </c>
      <c r="Z346" s="10">
        <f t="shared" si="518"/>
        <v>10687.5</v>
      </c>
      <c r="AA346" s="10">
        <f t="shared" si="518"/>
        <v>10687.5</v>
      </c>
      <c r="AB346" s="10">
        <f t="shared" si="518"/>
        <v>10687.5</v>
      </c>
      <c r="AC346" s="10">
        <f t="shared" si="518"/>
        <v>10687.5</v>
      </c>
      <c r="AD346" s="10">
        <f t="shared" si="518"/>
        <v>10687.5</v>
      </c>
      <c r="AE346" s="10">
        <f t="shared" si="518"/>
        <v>10687.5</v>
      </c>
      <c r="AF346" s="10">
        <f t="shared" si="518"/>
        <v>10687.5</v>
      </c>
      <c r="AG346" s="33">
        <f t="shared" si="518"/>
        <v>10687.5</v>
      </c>
    </row>
    <row r="347" spans="3:33" x14ac:dyDescent="0.2">
      <c r="C347" t="s">
        <v>149</v>
      </c>
      <c r="D347" t="s">
        <v>110</v>
      </c>
      <c r="E347" s="64">
        <f>_xlfn.XLOOKUP($C347,'Corporate Roster - ''24'!$C$6:$C$60,'Corporate Roster - ''24'!$E$6:$E$60)</f>
        <v>45368</v>
      </c>
      <c r="F347" s="64" t="str">
        <f>_xlfn.XLOOKUP($C347,'Corporate Roster - ''24'!$C$6:$C$60,'Corporate Roster - ''24'!$F$6:$F$60)</f>
        <v>-</v>
      </c>
      <c r="G347" s="32">
        <f t="shared" si="493"/>
        <v>0</v>
      </c>
      <c r="H347" s="33">
        <f t="shared" si="494"/>
        <v>95625</v>
      </c>
      <c r="J347" s="32">
        <f t="shared" ref="J347:AG347" si="519">J284+J158+J32</f>
        <v>0</v>
      </c>
      <c r="K347" s="10">
        <f t="shared" si="519"/>
        <v>0</v>
      </c>
      <c r="L347" s="10">
        <f t="shared" si="519"/>
        <v>0</v>
      </c>
      <c r="M347" s="10">
        <f t="shared" si="519"/>
        <v>0</v>
      </c>
      <c r="N347" s="10">
        <f t="shared" si="519"/>
        <v>0</v>
      </c>
      <c r="O347" s="10">
        <f t="shared" si="519"/>
        <v>0</v>
      </c>
      <c r="P347" s="10">
        <f t="shared" si="519"/>
        <v>0</v>
      </c>
      <c r="Q347" s="10">
        <f t="shared" si="519"/>
        <v>0</v>
      </c>
      <c r="R347" s="10">
        <f t="shared" si="519"/>
        <v>0</v>
      </c>
      <c r="S347" s="10">
        <f t="shared" si="519"/>
        <v>0</v>
      </c>
      <c r="T347" s="10">
        <f t="shared" si="519"/>
        <v>0</v>
      </c>
      <c r="U347" s="33">
        <f t="shared" si="519"/>
        <v>0</v>
      </c>
      <c r="V347" s="10">
        <f t="shared" si="519"/>
        <v>0</v>
      </c>
      <c r="W347" s="10">
        <f t="shared" si="519"/>
        <v>0</v>
      </c>
      <c r="X347" s="10">
        <f t="shared" si="519"/>
        <v>9562.5</v>
      </c>
      <c r="Y347" s="10">
        <f t="shared" si="519"/>
        <v>9562.5</v>
      </c>
      <c r="Z347" s="10">
        <f t="shared" si="519"/>
        <v>9562.5</v>
      </c>
      <c r="AA347" s="10">
        <f t="shared" si="519"/>
        <v>9562.5</v>
      </c>
      <c r="AB347" s="10">
        <f t="shared" si="519"/>
        <v>9562.5</v>
      </c>
      <c r="AC347" s="10">
        <f t="shared" si="519"/>
        <v>9562.5</v>
      </c>
      <c r="AD347" s="10">
        <f t="shared" si="519"/>
        <v>9562.5</v>
      </c>
      <c r="AE347" s="10">
        <f t="shared" si="519"/>
        <v>9562.5</v>
      </c>
      <c r="AF347" s="10">
        <f t="shared" si="519"/>
        <v>9562.5</v>
      </c>
      <c r="AG347" s="33">
        <f t="shared" si="519"/>
        <v>9562.5</v>
      </c>
    </row>
    <row r="348" spans="3:33" x14ac:dyDescent="0.2">
      <c r="C348" t="s">
        <v>150</v>
      </c>
      <c r="D348" t="s">
        <v>95</v>
      </c>
      <c r="E348" s="64">
        <f>_xlfn.XLOOKUP($C348,'Corporate Roster - ''24'!$C$6:$C$60,'Corporate Roster - ''24'!$E$6:$E$60)</f>
        <v>40489</v>
      </c>
      <c r="F348" s="64" t="str">
        <f>_xlfn.XLOOKUP($C348,'Corporate Roster - ''24'!$C$6:$C$60,'Corporate Roster - ''24'!$F$6:$F$60)</f>
        <v>-</v>
      </c>
      <c r="G348" s="32">
        <f t="shared" si="493"/>
        <v>157000</v>
      </c>
      <c r="H348" s="33">
        <f t="shared" si="494"/>
        <v>196000</v>
      </c>
      <c r="J348" s="32">
        <f t="shared" ref="J348:AG348" si="520">J285+J159+J33</f>
        <v>13083.333333333334</v>
      </c>
      <c r="K348" s="10">
        <f t="shared" si="520"/>
        <v>13083.333333333334</v>
      </c>
      <c r="L348" s="10">
        <f t="shared" si="520"/>
        <v>13083.333333333334</v>
      </c>
      <c r="M348" s="10">
        <f t="shared" si="520"/>
        <v>13083.333333333334</v>
      </c>
      <c r="N348" s="10">
        <f t="shared" si="520"/>
        <v>13083.333333333334</v>
      </c>
      <c r="O348" s="10">
        <f t="shared" si="520"/>
        <v>13083.333333333334</v>
      </c>
      <c r="P348" s="10">
        <f t="shared" si="520"/>
        <v>13083.333333333334</v>
      </c>
      <c r="Q348" s="10">
        <f t="shared" si="520"/>
        <v>13083.333333333334</v>
      </c>
      <c r="R348" s="10">
        <f t="shared" si="520"/>
        <v>13083.333333333334</v>
      </c>
      <c r="S348" s="10">
        <f t="shared" si="520"/>
        <v>13083.333333333334</v>
      </c>
      <c r="T348" s="10">
        <f t="shared" si="520"/>
        <v>13083.333333333334</v>
      </c>
      <c r="U348" s="33">
        <f t="shared" si="520"/>
        <v>13083.333333333334</v>
      </c>
      <c r="V348" s="10">
        <f t="shared" si="520"/>
        <v>16333.333333333332</v>
      </c>
      <c r="W348" s="10">
        <f t="shared" si="520"/>
        <v>16333.333333333332</v>
      </c>
      <c r="X348" s="10">
        <f t="shared" si="520"/>
        <v>16333.333333333332</v>
      </c>
      <c r="Y348" s="10">
        <f t="shared" si="520"/>
        <v>16333.333333333332</v>
      </c>
      <c r="Z348" s="10">
        <f t="shared" si="520"/>
        <v>16333.333333333332</v>
      </c>
      <c r="AA348" s="10">
        <f t="shared" si="520"/>
        <v>16333.333333333332</v>
      </c>
      <c r="AB348" s="10">
        <f t="shared" si="520"/>
        <v>16333.333333333332</v>
      </c>
      <c r="AC348" s="10">
        <f t="shared" si="520"/>
        <v>16333.333333333332</v>
      </c>
      <c r="AD348" s="10">
        <f t="shared" si="520"/>
        <v>16333.333333333332</v>
      </c>
      <c r="AE348" s="10">
        <f t="shared" si="520"/>
        <v>16333.333333333332</v>
      </c>
      <c r="AF348" s="10">
        <f t="shared" si="520"/>
        <v>16333.333333333332</v>
      </c>
      <c r="AG348" s="33">
        <f t="shared" si="520"/>
        <v>16333.333333333332</v>
      </c>
    </row>
    <row r="349" spans="3:33" x14ac:dyDescent="0.2">
      <c r="C349" t="s">
        <v>115</v>
      </c>
      <c r="D349" t="s">
        <v>112</v>
      </c>
      <c r="E349" s="64">
        <f>_xlfn.XLOOKUP($C349,'Corporate Roster - ''24'!$C$6:$C$60,'Corporate Roster - ''24'!$E$6:$E$60)</f>
        <v>45236</v>
      </c>
      <c r="F349" s="64" t="str">
        <f>_xlfn.XLOOKUP($C349,'Corporate Roster - ''24'!$C$6:$C$60,'Corporate Roster - ''24'!$F$6:$F$60)</f>
        <v>-</v>
      </c>
      <c r="G349" s="32">
        <f t="shared" si="493"/>
        <v>21375</v>
      </c>
      <c r="H349" s="33">
        <f t="shared" si="494"/>
        <v>128250</v>
      </c>
      <c r="J349" s="32">
        <f t="shared" ref="J349:AG349" si="521">J286+J160+J34</f>
        <v>0</v>
      </c>
      <c r="K349" s="10">
        <f t="shared" si="521"/>
        <v>0</v>
      </c>
      <c r="L349" s="10">
        <f t="shared" si="521"/>
        <v>0</v>
      </c>
      <c r="M349" s="10">
        <f t="shared" si="521"/>
        <v>0</v>
      </c>
      <c r="N349" s="10">
        <f t="shared" si="521"/>
        <v>0</v>
      </c>
      <c r="O349" s="10">
        <f t="shared" si="521"/>
        <v>0</v>
      </c>
      <c r="P349" s="10">
        <f t="shared" si="521"/>
        <v>0</v>
      </c>
      <c r="Q349" s="10">
        <f t="shared" si="521"/>
        <v>0</v>
      </c>
      <c r="R349" s="10">
        <f t="shared" si="521"/>
        <v>0</v>
      </c>
      <c r="S349" s="10">
        <f t="shared" si="521"/>
        <v>0</v>
      </c>
      <c r="T349" s="10">
        <f t="shared" si="521"/>
        <v>10687.5</v>
      </c>
      <c r="U349" s="33">
        <f t="shared" si="521"/>
        <v>10687.5</v>
      </c>
      <c r="V349" s="10">
        <f t="shared" si="521"/>
        <v>10687.5</v>
      </c>
      <c r="W349" s="10">
        <f t="shared" si="521"/>
        <v>10687.5</v>
      </c>
      <c r="X349" s="10">
        <f t="shared" si="521"/>
        <v>10687.5</v>
      </c>
      <c r="Y349" s="10">
        <f t="shared" si="521"/>
        <v>10687.5</v>
      </c>
      <c r="Z349" s="10">
        <f t="shared" si="521"/>
        <v>10687.5</v>
      </c>
      <c r="AA349" s="10">
        <f t="shared" si="521"/>
        <v>10687.5</v>
      </c>
      <c r="AB349" s="10">
        <f t="shared" si="521"/>
        <v>10687.5</v>
      </c>
      <c r="AC349" s="10">
        <f t="shared" si="521"/>
        <v>10687.5</v>
      </c>
      <c r="AD349" s="10">
        <f t="shared" si="521"/>
        <v>10687.5</v>
      </c>
      <c r="AE349" s="10">
        <f t="shared" si="521"/>
        <v>10687.5</v>
      </c>
      <c r="AF349" s="10">
        <f t="shared" si="521"/>
        <v>10687.5</v>
      </c>
      <c r="AG349" s="33">
        <f t="shared" si="521"/>
        <v>10687.5</v>
      </c>
    </row>
    <row r="350" spans="3:33" x14ac:dyDescent="0.2">
      <c r="C350" t="s">
        <v>116</v>
      </c>
      <c r="D350" t="s">
        <v>110</v>
      </c>
      <c r="E350" s="64">
        <f>_xlfn.XLOOKUP($C350,'Corporate Roster - ''24'!$C$6:$C$60,'Corporate Roster - ''24'!$E$6:$E$60)</f>
        <v>40015</v>
      </c>
      <c r="F350" s="64" t="str">
        <f>_xlfn.XLOOKUP($C350,'Corporate Roster - ''24'!$C$6:$C$60,'Corporate Roster - ''24'!$F$6:$F$60)</f>
        <v>-</v>
      </c>
      <c r="G350" s="32">
        <f t="shared" si="493"/>
        <v>114750</v>
      </c>
      <c r="H350" s="33">
        <f t="shared" si="494"/>
        <v>114750</v>
      </c>
      <c r="J350" s="32">
        <f t="shared" ref="J350:AG350" si="522">J287+J161+J35</f>
        <v>9562.5</v>
      </c>
      <c r="K350" s="10">
        <f t="shared" si="522"/>
        <v>9562.5</v>
      </c>
      <c r="L350" s="10">
        <f t="shared" si="522"/>
        <v>9562.5</v>
      </c>
      <c r="M350" s="10">
        <f t="shared" si="522"/>
        <v>9562.5</v>
      </c>
      <c r="N350" s="10">
        <f t="shared" si="522"/>
        <v>9562.5</v>
      </c>
      <c r="O350" s="10">
        <f t="shared" si="522"/>
        <v>9562.5</v>
      </c>
      <c r="P350" s="10">
        <f t="shared" si="522"/>
        <v>9562.5</v>
      </c>
      <c r="Q350" s="10">
        <f t="shared" si="522"/>
        <v>9562.5</v>
      </c>
      <c r="R350" s="10">
        <f t="shared" si="522"/>
        <v>9562.5</v>
      </c>
      <c r="S350" s="10">
        <f t="shared" si="522"/>
        <v>9562.5</v>
      </c>
      <c r="T350" s="10">
        <f t="shared" si="522"/>
        <v>9562.5</v>
      </c>
      <c r="U350" s="33">
        <f t="shared" si="522"/>
        <v>9562.5</v>
      </c>
      <c r="V350" s="10">
        <f t="shared" si="522"/>
        <v>9562.5</v>
      </c>
      <c r="W350" s="10">
        <f t="shared" si="522"/>
        <v>9562.5</v>
      </c>
      <c r="X350" s="10">
        <f t="shared" si="522"/>
        <v>9562.5</v>
      </c>
      <c r="Y350" s="10">
        <f t="shared" si="522"/>
        <v>9562.5</v>
      </c>
      <c r="Z350" s="10">
        <f t="shared" si="522"/>
        <v>9562.5</v>
      </c>
      <c r="AA350" s="10">
        <f t="shared" si="522"/>
        <v>9562.5</v>
      </c>
      <c r="AB350" s="10">
        <f t="shared" si="522"/>
        <v>9562.5</v>
      </c>
      <c r="AC350" s="10">
        <f t="shared" si="522"/>
        <v>9562.5</v>
      </c>
      <c r="AD350" s="10">
        <f t="shared" si="522"/>
        <v>9562.5</v>
      </c>
      <c r="AE350" s="10">
        <f t="shared" si="522"/>
        <v>9562.5</v>
      </c>
      <c r="AF350" s="10">
        <f t="shared" si="522"/>
        <v>9562.5</v>
      </c>
      <c r="AG350" s="33">
        <f t="shared" si="522"/>
        <v>9562.5</v>
      </c>
    </row>
    <row r="351" spans="3:33" x14ac:dyDescent="0.2">
      <c r="C351" t="s">
        <v>106</v>
      </c>
      <c r="D351" t="s">
        <v>90</v>
      </c>
      <c r="E351" s="64">
        <f>_xlfn.XLOOKUP($C351,'Corporate Roster - ''24'!$C$6:$C$60,'Corporate Roster - ''24'!$E$6:$E$60)</f>
        <v>40345</v>
      </c>
      <c r="F351" s="64" t="str">
        <f>_xlfn.XLOOKUP($C351,'Corporate Roster - ''24'!$C$6:$C$60,'Corporate Roster - ''24'!$F$6:$F$60)</f>
        <v>-</v>
      </c>
      <c r="G351" s="32">
        <f t="shared" si="493"/>
        <v>156000</v>
      </c>
      <c r="H351" s="33">
        <f t="shared" si="494"/>
        <v>182000</v>
      </c>
      <c r="J351" s="32">
        <f t="shared" ref="J351:AG351" si="523">J288+J162+J36</f>
        <v>13000</v>
      </c>
      <c r="K351" s="10">
        <f t="shared" si="523"/>
        <v>13000</v>
      </c>
      <c r="L351" s="10">
        <f t="shared" si="523"/>
        <v>13000</v>
      </c>
      <c r="M351" s="10">
        <f t="shared" si="523"/>
        <v>13000</v>
      </c>
      <c r="N351" s="10">
        <f t="shared" si="523"/>
        <v>13000</v>
      </c>
      <c r="O351" s="10">
        <f t="shared" si="523"/>
        <v>13000</v>
      </c>
      <c r="P351" s="10">
        <f t="shared" si="523"/>
        <v>13000</v>
      </c>
      <c r="Q351" s="10">
        <f t="shared" si="523"/>
        <v>13000</v>
      </c>
      <c r="R351" s="10">
        <f t="shared" si="523"/>
        <v>13000</v>
      </c>
      <c r="S351" s="10">
        <f t="shared" si="523"/>
        <v>13000</v>
      </c>
      <c r="T351" s="10">
        <f t="shared" si="523"/>
        <v>13000</v>
      </c>
      <c r="U351" s="33">
        <f t="shared" si="523"/>
        <v>13000</v>
      </c>
      <c r="V351" s="10">
        <f t="shared" si="523"/>
        <v>15166.666666666668</v>
      </c>
      <c r="W351" s="10">
        <f t="shared" si="523"/>
        <v>15166.666666666668</v>
      </c>
      <c r="X351" s="10">
        <f t="shared" si="523"/>
        <v>15166.666666666668</v>
      </c>
      <c r="Y351" s="10">
        <f t="shared" si="523"/>
        <v>15166.666666666668</v>
      </c>
      <c r="Z351" s="10">
        <f t="shared" si="523"/>
        <v>15166.666666666668</v>
      </c>
      <c r="AA351" s="10">
        <f t="shared" si="523"/>
        <v>15166.666666666668</v>
      </c>
      <c r="AB351" s="10">
        <f t="shared" si="523"/>
        <v>15166.666666666668</v>
      </c>
      <c r="AC351" s="10">
        <f t="shared" si="523"/>
        <v>15166.666666666668</v>
      </c>
      <c r="AD351" s="10">
        <f t="shared" si="523"/>
        <v>15166.666666666668</v>
      </c>
      <c r="AE351" s="10">
        <f t="shared" si="523"/>
        <v>15166.666666666668</v>
      </c>
      <c r="AF351" s="10">
        <f t="shared" si="523"/>
        <v>15166.666666666668</v>
      </c>
      <c r="AG351" s="33">
        <f t="shared" si="523"/>
        <v>15166.666666666668</v>
      </c>
    </row>
    <row r="352" spans="3:33" x14ac:dyDescent="0.2">
      <c r="C352" t="s">
        <v>117</v>
      </c>
      <c r="D352" t="s">
        <v>110</v>
      </c>
      <c r="E352" s="64">
        <f>_xlfn.XLOOKUP($C352,'Corporate Roster - ''24'!$C$6:$C$60,'Corporate Roster - ''24'!$E$6:$E$60)</f>
        <v>44824</v>
      </c>
      <c r="F352" s="64" t="str">
        <f>_xlfn.XLOOKUP($C352,'Corporate Roster - ''24'!$C$6:$C$60,'Corporate Roster - ''24'!$F$6:$F$60)</f>
        <v>-</v>
      </c>
      <c r="G352" s="32">
        <f t="shared" si="493"/>
        <v>114750</v>
      </c>
      <c r="H352" s="33">
        <f t="shared" si="494"/>
        <v>114750</v>
      </c>
      <c r="J352" s="32">
        <f t="shared" ref="J352:AG352" si="524">J289+J163+J37</f>
        <v>9562.5</v>
      </c>
      <c r="K352" s="10">
        <f t="shared" si="524"/>
        <v>9562.5</v>
      </c>
      <c r="L352" s="10">
        <f t="shared" si="524"/>
        <v>9562.5</v>
      </c>
      <c r="M352" s="10">
        <f t="shared" si="524"/>
        <v>9562.5</v>
      </c>
      <c r="N352" s="10">
        <f t="shared" si="524"/>
        <v>9562.5</v>
      </c>
      <c r="O352" s="10">
        <f t="shared" si="524"/>
        <v>9562.5</v>
      </c>
      <c r="P352" s="10">
        <f t="shared" si="524"/>
        <v>9562.5</v>
      </c>
      <c r="Q352" s="10">
        <f t="shared" si="524"/>
        <v>9562.5</v>
      </c>
      <c r="R352" s="10">
        <f t="shared" si="524"/>
        <v>9562.5</v>
      </c>
      <c r="S352" s="10">
        <f t="shared" si="524"/>
        <v>9562.5</v>
      </c>
      <c r="T352" s="10">
        <f t="shared" si="524"/>
        <v>9562.5</v>
      </c>
      <c r="U352" s="33">
        <f t="shared" si="524"/>
        <v>9562.5</v>
      </c>
      <c r="V352" s="10">
        <f t="shared" si="524"/>
        <v>9562.5</v>
      </c>
      <c r="W352" s="10">
        <f t="shared" si="524"/>
        <v>9562.5</v>
      </c>
      <c r="X352" s="10">
        <f t="shared" si="524"/>
        <v>9562.5</v>
      </c>
      <c r="Y352" s="10">
        <f t="shared" si="524"/>
        <v>9562.5</v>
      </c>
      <c r="Z352" s="10">
        <f t="shared" si="524"/>
        <v>9562.5</v>
      </c>
      <c r="AA352" s="10">
        <f t="shared" si="524"/>
        <v>9562.5</v>
      </c>
      <c r="AB352" s="10">
        <f t="shared" si="524"/>
        <v>9562.5</v>
      </c>
      <c r="AC352" s="10">
        <f t="shared" si="524"/>
        <v>9562.5</v>
      </c>
      <c r="AD352" s="10">
        <f t="shared" si="524"/>
        <v>9562.5</v>
      </c>
      <c r="AE352" s="10">
        <f t="shared" si="524"/>
        <v>9562.5</v>
      </c>
      <c r="AF352" s="10">
        <f t="shared" si="524"/>
        <v>9562.5</v>
      </c>
      <c r="AG352" s="33">
        <f t="shared" si="524"/>
        <v>9562.5</v>
      </c>
    </row>
    <row r="353" spans="3:33" x14ac:dyDescent="0.2">
      <c r="C353" t="s">
        <v>118</v>
      </c>
      <c r="D353" t="s">
        <v>86</v>
      </c>
      <c r="E353" s="64">
        <f>_xlfn.XLOOKUP($C353,'Corporate Roster - ''24'!$C$6:$C$60,'Corporate Roster - ''24'!$E$6:$E$60)</f>
        <v>38939</v>
      </c>
      <c r="F353" s="64" t="str">
        <f>_xlfn.XLOOKUP($C353,'Corporate Roster - ''24'!$C$6:$C$60,'Corporate Roster - ''24'!$F$6:$F$60)</f>
        <v>-</v>
      </c>
      <c r="G353" s="32">
        <f t="shared" si="493"/>
        <v>159000</v>
      </c>
      <c r="H353" s="33">
        <f t="shared" si="494"/>
        <v>168000</v>
      </c>
      <c r="J353" s="32">
        <f t="shared" ref="J353:AG353" si="525">J290+J164+J38</f>
        <v>13250</v>
      </c>
      <c r="K353" s="10">
        <f t="shared" si="525"/>
        <v>13250</v>
      </c>
      <c r="L353" s="10">
        <f t="shared" si="525"/>
        <v>13250</v>
      </c>
      <c r="M353" s="10">
        <f t="shared" si="525"/>
        <v>13250</v>
      </c>
      <c r="N353" s="10">
        <f t="shared" si="525"/>
        <v>13250</v>
      </c>
      <c r="O353" s="10">
        <f t="shared" si="525"/>
        <v>13250</v>
      </c>
      <c r="P353" s="10">
        <f t="shared" si="525"/>
        <v>13250</v>
      </c>
      <c r="Q353" s="10">
        <f t="shared" si="525"/>
        <v>13250</v>
      </c>
      <c r="R353" s="10">
        <f t="shared" si="525"/>
        <v>13250</v>
      </c>
      <c r="S353" s="10">
        <f t="shared" si="525"/>
        <v>13250</v>
      </c>
      <c r="T353" s="10">
        <f t="shared" si="525"/>
        <v>13250</v>
      </c>
      <c r="U353" s="33">
        <f t="shared" si="525"/>
        <v>13250</v>
      </c>
      <c r="V353" s="10">
        <f t="shared" si="525"/>
        <v>14000</v>
      </c>
      <c r="W353" s="10">
        <f t="shared" si="525"/>
        <v>14000</v>
      </c>
      <c r="X353" s="10">
        <f t="shared" si="525"/>
        <v>14000</v>
      </c>
      <c r="Y353" s="10">
        <f t="shared" si="525"/>
        <v>14000</v>
      </c>
      <c r="Z353" s="10">
        <f t="shared" si="525"/>
        <v>14000</v>
      </c>
      <c r="AA353" s="10">
        <f t="shared" si="525"/>
        <v>14000</v>
      </c>
      <c r="AB353" s="10">
        <f t="shared" si="525"/>
        <v>14000</v>
      </c>
      <c r="AC353" s="10">
        <f t="shared" si="525"/>
        <v>14000</v>
      </c>
      <c r="AD353" s="10">
        <f t="shared" si="525"/>
        <v>14000</v>
      </c>
      <c r="AE353" s="10">
        <f t="shared" si="525"/>
        <v>14000</v>
      </c>
      <c r="AF353" s="10">
        <f t="shared" si="525"/>
        <v>14000</v>
      </c>
      <c r="AG353" s="33">
        <f t="shared" si="525"/>
        <v>14000</v>
      </c>
    </row>
    <row r="354" spans="3:33" x14ac:dyDescent="0.2">
      <c r="C354" t="s">
        <v>65</v>
      </c>
      <c r="D354" t="s">
        <v>86</v>
      </c>
      <c r="E354" s="64">
        <f>_xlfn.XLOOKUP($C354,'Corporate Roster - ''24'!$C$6:$C$60,'Corporate Roster - ''24'!$E$6:$E$60)</f>
        <v>42100</v>
      </c>
      <c r="F354" s="64" t="str">
        <f>_xlfn.XLOOKUP($C354,'Corporate Roster - ''24'!$C$6:$C$60,'Corporate Roster - ''24'!$F$6:$F$60)</f>
        <v>-</v>
      </c>
      <c r="G354" s="32">
        <f t="shared" si="493"/>
        <v>168000</v>
      </c>
      <c r="H354" s="33">
        <f t="shared" si="494"/>
        <v>168000</v>
      </c>
      <c r="J354" s="32">
        <f t="shared" ref="J354:AG354" si="526">J291+J165+J39</f>
        <v>14000</v>
      </c>
      <c r="K354" s="10">
        <f t="shared" si="526"/>
        <v>14000</v>
      </c>
      <c r="L354" s="10">
        <f t="shared" si="526"/>
        <v>14000</v>
      </c>
      <c r="M354" s="10">
        <f t="shared" si="526"/>
        <v>14000</v>
      </c>
      <c r="N354" s="10">
        <f t="shared" si="526"/>
        <v>14000</v>
      </c>
      <c r="O354" s="10">
        <f t="shared" si="526"/>
        <v>14000</v>
      </c>
      <c r="P354" s="10">
        <f t="shared" si="526"/>
        <v>14000</v>
      </c>
      <c r="Q354" s="10">
        <f t="shared" si="526"/>
        <v>14000</v>
      </c>
      <c r="R354" s="10">
        <f t="shared" si="526"/>
        <v>14000</v>
      </c>
      <c r="S354" s="10">
        <f t="shared" si="526"/>
        <v>14000</v>
      </c>
      <c r="T354" s="10">
        <f t="shared" si="526"/>
        <v>14000</v>
      </c>
      <c r="U354" s="33">
        <f t="shared" si="526"/>
        <v>14000</v>
      </c>
      <c r="V354" s="10">
        <f t="shared" si="526"/>
        <v>14000</v>
      </c>
      <c r="W354" s="10">
        <f t="shared" si="526"/>
        <v>14000</v>
      </c>
      <c r="X354" s="10">
        <f t="shared" si="526"/>
        <v>14000</v>
      </c>
      <c r="Y354" s="10">
        <f t="shared" si="526"/>
        <v>14000</v>
      </c>
      <c r="Z354" s="10">
        <f t="shared" si="526"/>
        <v>14000</v>
      </c>
      <c r="AA354" s="10">
        <f t="shared" si="526"/>
        <v>14000</v>
      </c>
      <c r="AB354" s="10">
        <f t="shared" si="526"/>
        <v>14000</v>
      </c>
      <c r="AC354" s="10">
        <f t="shared" si="526"/>
        <v>14000</v>
      </c>
      <c r="AD354" s="10">
        <f t="shared" si="526"/>
        <v>14000</v>
      </c>
      <c r="AE354" s="10">
        <f t="shared" si="526"/>
        <v>14000</v>
      </c>
      <c r="AF354" s="10">
        <f t="shared" si="526"/>
        <v>14000</v>
      </c>
      <c r="AG354" s="33">
        <f t="shared" si="526"/>
        <v>14000</v>
      </c>
    </row>
    <row r="355" spans="3:33" x14ac:dyDescent="0.2">
      <c r="C355" t="s">
        <v>119</v>
      </c>
      <c r="D355" t="s">
        <v>110</v>
      </c>
      <c r="E355" s="64">
        <f>_xlfn.XLOOKUP($C355,'Corporate Roster - ''24'!$C$6:$C$60,'Corporate Roster - ''24'!$E$6:$E$60)</f>
        <v>42772</v>
      </c>
      <c r="F355" s="64" t="str">
        <f>_xlfn.XLOOKUP($C355,'Corporate Roster - ''24'!$C$6:$C$60,'Corporate Roster - ''24'!$F$6:$F$60)</f>
        <v>-</v>
      </c>
      <c r="G355" s="32">
        <f t="shared" si="493"/>
        <v>108999.99999999999</v>
      </c>
      <c r="H355" s="33">
        <f t="shared" si="494"/>
        <v>114750</v>
      </c>
      <c r="J355" s="32">
        <f t="shared" ref="J355:AG355" si="527">J292+J166+J40</f>
        <v>9083.3333333333339</v>
      </c>
      <c r="K355" s="10">
        <f t="shared" si="527"/>
        <v>9083.3333333333339</v>
      </c>
      <c r="L355" s="10">
        <f t="shared" si="527"/>
        <v>9083.3333333333339</v>
      </c>
      <c r="M355" s="10">
        <f t="shared" si="527"/>
        <v>9083.3333333333339</v>
      </c>
      <c r="N355" s="10">
        <f t="shared" si="527"/>
        <v>9083.3333333333339</v>
      </c>
      <c r="O355" s="10">
        <f t="shared" si="527"/>
        <v>9083.3333333333339</v>
      </c>
      <c r="P355" s="10">
        <f t="shared" si="527"/>
        <v>9083.3333333333339</v>
      </c>
      <c r="Q355" s="10">
        <f t="shared" si="527"/>
        <v>9083.3333333333339</v>
      </c>
      <c r="R355" s="10">
        <f t="shared" si="527"/>
        <v>9083.3333333333339</v>
      </c>
      <c r="S355" s="10">
        <f t="shared" si="527"/>
        <v>9083.3333333333339</v>
      </c>
      <c r="T355" s="10">
        <f t="shared" si="527"/>
        <v>9083.3333333333339</v>
      </c>
      <c r="U355" s="33">
        <f t="shared" si="527"/>
        <v>9083.3333333333339</v>
      </c>
      <c r="V355" s="10">
        <f t="shared" si="527"/>
        <v>9562.5</v>
      </c>
      <c r="W355" s="10">
        <f t="shared" si="527"/>
        <v>9562.5</v>
      </c>
      <c r="X355" s="10">
        <f t="shared" si="527"/>
        <v>9562.5</v>
      </c>
      <c r="Y355" s="10">
        <f t="shared" si="527"/>
        <v>9562.5</v>
      </c>
      <c r="Z355" s="10">
        <f t="shared" si="527"/>
        <v>9562.5</v>
      </c>
      <c r="AA355" s="10">
        <f t="shared" si="527"/>
        <v>9562.5</v>
      </c>
      <c r="AB355" s="10">
        <f t="shared" si="527"/>
        <v>9562.5</v>
      </c>
      <c r="AC355" s="10">
        <f t="shared" si="527"/>
        <v>9562.5</v>
      </c>
      <c r="AD355" s="10">
        <f t="shared" si="527"/>
        <v>9562.5</v>
      </c>
      <c r="AE355" s="10">
        <f t="shared" si="527"/>
        <v>9562.5</v>
      </c>
      <c r="AF355" s="10">
        <f t="shared" si="527"/>
        <v>9562.5</v>
      </c>
      <c r="AG355" s="33">
        <f t="shared" si="527"/>
        <v>9562.5</v>
      </c>
    </row>
    <row r="356" spans="3:33" x14ac:dyDescent="0.2">
      <c r="C356" t="s">
        <v>120</v>
      </c>
      <c r="D356" t="s">
        <v>110</v>
      </c>
      <c r="E356" s="64">
        <f>_xlfn.XLOOKUP($C356,'Corporate Roster - ''24'!$C$6:$C$60,'Corporate Roster - ''24'!$E$6:$E$60)</f>
        <v>41160</v>
      </c>
      <c r="F356" s="64" t="str">
        <f>_xlfn.XLOOKUP($C356,'Corporate Roster - ''24'!$C$6:$C$60,'Corporate Roster - ''24'!$F$6:$F$60)</f>
        <v>-</v>
      </c>
      <c r="G356" s="32">
        <f t="shared" si="493"/>
        <v>114750</v>
      </c>
      <c r="H356" s="33">
        <f t="shared" si="494"/>
        <v>114750</v>
      </c>
      <c r="J356" s="32">
        <f t="shared" ref="J356:AG356" si="528">J293+J167+J41</f>
        <v>9562.5</v>
      </c>
      <c r="K356" s="10">
        <f t="shared" si="528"/>
        <v>9562.5</v>
      </c>
      <c r="L356" s="10">
        <f t="shared" si="528"/>
        <v>9562.5</v>
      </c>
      <c r="M356" s="10">
        <f t="shared" si="528"/>
        <v>9562.5</v>
      </c>
      <c r="N356" s="10">
        <f t="shared" si="528"/>
        <v>9562.5</v>
      </c>
      <c r="O356" s="10">
        <f t="shared" si="528"/>
        <v>9562.5</v>
      </c>
      <c r="P356" s="10">
        <f t="shared" si="528"/>
        <v>9562.5</v>
      </c>
      <c r="Q356" s="10">
        <f t="shared" si="528"/>
        <v>9562.5</v>
      </c>
      <c r="R356" s="10">
        <f t="shared" si="528"/>
        <v>9562.5</v>
      </c>
      <c r="S356" s="10">
        <f t="shared" si="528"/>
        <v>9562.5</v>
      </c>
      <c r="T356" s="10">
        <f t="shared" si="528"/>
        <v>9562.5</v>
      </c>
      <c r="U356" s="33">
        <f t="shared" si="528"/>
        <v>9562.5</v>
      </c>
      <c r="V356" s="10">
        <f t="shared" si="528"/>
        <v>9562.5</v>
      </c>
      <c r="W356" s="10">
        <f t="shared" si="528"/>
        <v>9562.5</v>
      </c>
      <c r="X356" s="10">
        <f t="shared" si="528"/>
        <v>9562.5</v>
      </c>
      <c r="Y356" s="10">
        <f t="shared" si="528"/>
        <v>9562.5</v>
      </c>
      <c r="Z356" s="10">
        <f t="shared" si="528"/>
        <v>9562.5</v>
      </c>
      <c r="AA356" s="10">
        <f t="shared" si="528"/>
        <v>9562.5</v>
      </c>
      <c r="AB356" s="10">
        <f t="shared" si="528"/>
        <v>9562.5</v>
      </c>
      <c r="AC356" s="10">
        <f t="shared" si="528"/>
        <v>9562.5</v>
      </c>
      <c r="AD356" s="10">
        <f t="shared" si="528"/>
        <v>9562.5</v>
      </c>
      <c r="AE356" s="10">
        <f t="shared" si="528"/>
        <v>9562.5</v>
      </c>
      <c r="AF356" s="10">
        <f t="shared" si="528"/>
        <v>9562.5</v>
      </c>
      <c r="AG356" s="33">
        <f t="shared" si="528"/>
        <v>9562.5</v>
      </c>
    </row>
    <row r="357" spans="3:33" x14ac:dyDescent="0.2">
      <c r="C357" t="s">
        <v>121</v>
      </c>
      <c r="D357" t="s">
        <v>99</v>
      </c>
      <c r="E357" s="64">
        <f>_xlfn.XLOOKUP($C357,'Corporate Roster - ''24'!$C$6:$C$60,'Corporate Roster - ''24'!$E$6:$E$60)</f>
        <v>44972</v>
      </c>
      <c r="F357" s="64" t="str">
        <f>_xlfn.XLOOKUP($C357,'Corporate Roster - ''24'!$C$6:$C$60,'Corporate Roster - ''24'!$F$6:$F$60)</f>
        <v>-</v>
      </c>
      <c r="G357" s="32">
        <f t="shared" si="493"/>
        <v>99000</v>
      </c>
      <c r="H357" s="33">
        <f t="shared" si="494"/>
        <v>108000</v>
      </c>
      <c r="J357" s="32">
        <f t="shared" ref="J357:AG357" si="529">J294+J168+J42</f>
        <v>0</v>
      </c>
      <c r="K357" s="10">
        <f t="shared" si="529"/>
        <v>9000</v>
      </c>
      <c r="L357" s="10">
        <f t="shared" si="529"/>
        <v>9000</v>
      </c>
      <c r="M357" s="10">
        <f t="shared" si="529"/>
        <v>9000</v>
      </c>
      <c r="N357" s="10">
        <f t="shared" si="529"/>
        <v>9000</v>
      </c>
      <c r="O357" s="10">
        <f t="shared" si="529"/>
        <v>9000</v>
      </c>
      <c r="P357" s="10">
        <f t="shared" si="529"/>
        <v>9000</v>
      </c>
      <c r="Q357" s="10">
        <f t="shared" si="529"/>
        <v>9000</v>
      </c>
      <c r="R357" s="10">
        <f t="shared" si="529"/>
        <v>9000</v>
      </c>
      <c r="S357" s="10">
        <f t="shared" si="529"/>
        <v>9000</v>
      </c>
      <c r="T357" s="10">
        <f t="shared" si="529"/>
        <v>9000</v>
      </c>
      <c r="U357" s="33">
        <f t="shared" si="529"/>
        <v>9000</v>
      </c>
      <c r="V357" s="10">
        <f t="shared" si="529"/>
        <v>9000</v>
      </c>
      <c r="W357" s="10">
        <f t="shared" si="529"/>
        <v>9000</v>
      </c>
      <c r="X357" s="10">
        <f t="shared" si="529"/>
        <v>9000</v>
      </c>
      <c r="Y357" s="10">
        <f t="shared" si="529"/>
        <v>9000</v>
      </c>
      <c r="Z357" s="10">
        <f t="shared" si="529"/>
        <v>9000</v>
      </c>
      <c r="AA357" s="10">
        <f t="shared" si="529"/>
        <v>9000</v>
      </c>
      <c r="AB357" s="10">
        <f t="shared" si="529"/>
        <v>9000</v>
      </c>
      <c r="AC357" s="10">
        <f t="shared" si="529"/>
        <v>9000</v>
      </c>
      <c r="AD357" s="10">
        <f t="shared" si="529"/>
        <v>9000</v>
      </c>
      <c r="AE357" s="10">
        <f t="shared" si="529"/>
        <v>9000</v>
      </c>
      <c r="AF357" s="10">
        <f t="shared" si="529"/>
        <v>9000</v>
      </c>
      <c r="AG357" s="33">
        <f t="shared" si="529"/>
        <v>9000</v>
      </c>
    </row>
    <row r="358" spans="3:33" x14ac:dyDescent="0.2">
      <c r="C358" t="s">
        <v>151</v>
      </c>
      <c r="D358" t="s">
        <v>90</v>
      </c>
      <c r="E358" s="64">
        <f>_xlfn.XLOOKUP($C358,'Corporate Roster - ''24'!$C$6:$C$60,'Corporate Roster - ''24'!$E$6:$E$60)</f>
        <v>42189</v>
      </c>
      <c r="F358" s="64" t="str">
        <f>_xlfn.XLOOKUP($C358,'Corporate Roster - ''24'!$C$6:$C$60,'Corporate Roster - ''24'!$F$6:$F$60)</f>
        <v>-</v>
      </c>
      <c r="G358" s="32">
        <f t="shared" si="493"/>
        <v>156000</v>
      </c>
      <c r="H358" s="33">
        <f t="shared" si="494"/>
        <v>182000</v>
      </c>
      <c r="J358" s="32">
        <f t="shared" ref="J358:AG358" si="530">J295+J169+J43</f>
        <v>13000</v>
      </c>
      <c r="K358" s="10">
        <f t="shared" si="530"/>
        <v>13000</v>
      </c>
      <c r="L358" s="10">
        <f t="shared" si="530"/>
        <v>13000</v>
      </c>
      <c r="M358" s="10">
        <f t="shared" si="530"/>
        <v>13000</v>
      </c>
      <c r="N358" s="10">
        <f t="shared" si="530"/>
        <v>13000</v>
      </c>
      <c r="O358" s="10">
        <f t="shared" si="530"/>
        <v>13000</v>
      </c>
      <c r="P358" s="10">
        <f t="shared" si="530"/>
        <v>13000</v>
      </c>
      <c r="Q358" s="10">
        <f t="shared" si="530"/>
        <v>13000</v>
      </c>
      <c r="R358" s="10">
        <f t="shared" si="530"/>
        <v>13000</v>
      </c>
      <c r="S358" s="10">
        <f t="shared" si="530"/>
        <v>13000</v>
      </c>
      <c r="T358" s="10">
        <f t="shared" si="530"/>
        <v>13000</v>
      </c>
      <c r="U358" s="33">
        <f t="shared" si="530"/>
        <v>13000</v>
      </c>
      <c r="V358" s="10">
        <f t="shared" si="530"/>
        <v>15166.666666666668</v>
      </c>
      <c r="W358" s="10">
        <f t="shared" si="530"/>
        <v>15166.666666666668</v>
      </c>
      <c r="X358" s="10">
        <f t="shared" si="530"/>
        <v>15166.666666666668</v>
      </c>
      <c r="Y358" s="10">
        <f t="shared" si="530"/>
        <v>15166.666666666668</v>
      </c>
      <c r="Z358" s="10">
        <f t="shared" si="530"/>
        <v>15166.666666666668</v>
      </c>
      <c r="AA358" s="10">
        <f t="shared" si="530"/>
        <v>15166.666666666668</v>
      </c>
      <c r="AB358" s="10">
        <f t="shared" si="530"/>
        <v>15166.666666666668</v>
      </c>
      <c r="AC358" s="10">
        <f t="shared" si="530"/>
        <v>15166.666666666668</v>
      </c>
      <c r="AD358" s="10">
        <f t="shared" si="530"/>
        <v>15166.666666666668</v>
      </c>
      <c r="AE358" s="10">
        <f t="shared" si="530"/>
        <v>15166.666666666668</v>
      </c>
      <c r="AF358" s="10">
        <f t="shared" si="530"/>
        <v>15166.666666666668</v>
      </c>
      <c r="AG358" s="33">
        <f t="shared" si="530"/>
        <v>15166.666666666668</v>
      </c>
    </row>
    <row r="359" spans="3:33" x14ac:dyDescent="0.2">
      <c r="C359" t="s">
        <v>123</v>
      </c>
      <c r="D359" t="s">
        <v>99</v>
      </c>
      <c r="E359" s="64">
        <f>_xlfn.XLOOKUP($C359,'Corporate Roster - ''24'!$C$6:$C$60,'Corporate Roster - ''24'!$E$6:$E$60)</f>
        <v>44716</v>
      </c>
      <c r="F359" s="64" t="str">
        <f>_xlfn.XLOOKUP($C359,'Corporate Roster - ''24'!$C$6:$C$60,'Corporate Roster - ''24'!$F$6:$F$60)</f>
        <v>-</v>
      </c>
      <c r="G359" s="32">
        <f t="shared" si="493"/>
        <v>108000</v>
      </c>
      <c r="H359" s="33">
        <f t="shared" si="494"/>
        <v>108000</v>
      </c>
      <c r="J359" s="32">
        <f t="shared" ref="J359:AG359" si="531">J296+J170+J44</f>
        <v>9000</v>
      </c>
      <c r="K359" s="10">
        <f t="shared" si="531"/>
        <v>9000</v>
      </c>
      <c r="L359" s="10">
        <f t="shared" si="531"/>
        <v>9000</v>
      </c>
      <c r="M359" s="10">
        <f t="shared" si="531"/>
        <v>9000</v>
      </c>
      <c r="N359" s="10">
        <f t="shared" si="531"/>
        <v>9000</v>
      </c>
      <c r="O359" s="10">
        <f t="shared" si="531"/>
        <v>9000</v>
      </c>
      <c r="P359" s="10">
        <f t="shared" si="531"/>
        <v>9000</v>
      </c>
      <c r="Q359" s="10">
        <f t="shared" si="531"/>
        <v>9000</v>
      </c>
      <c r="R359" s="10">
        <f t="shared" si="531"/>
        <v>9000</v>
      </c>
      <c r="S359" s="10">
        <f t="shared" si="531"/>
        <v>9000</v>
      </c>
      <c r="T359" s="10">
        <f t="shared" si="531"/>
        <v>9000</v>
      </c>
      <c r="U359" s="33">
        <f t="shared" si="531"/>
        <v>9000</v>
      </c>
      <c r="V359" s="10">
        <f t="shared" si="531"/>
        <v>9000</v>
      </c>
      <c r="W359" s="10">
        <f t="shared" si="531"/>
        <v>9000</v>
      </c>
      <c r="X359" s="10">
        <f t="shared" si="531"/>
        <v>9000</v>
      </c>
      <c r="Y359" s="10">
        <f t="shared" si="531"/>
        <v>9000</v>
      </c>
      <c r="Z359" s="10">
        <f t="shared" si="531"/>
        <v>9000</v>
      </c>
      <c r="AA359" s="10">
        <f t="shared" si="531"/>
        <v>9000</v>
      </c>
      <c r="AB359" s="10">
        <f t="shared" si="531"/>
        <v>9000</v>
      </c>
      <c r="AC359" s="10">
        <f t="shared" si="531"/>
        <v>9000</v>
      </c>
      <c r="AD359" s="10">
        <f t="shared" si="531"/>
        <v>9000</v>
      </c>
      <c r="AE359" s="10">
        <f t="shared" si="531"/>
        <v>9000</v>
      </c>
      <c r="AF359" s="10">
        <f t="shared" si="531"/>
        <v>9000</v>
      </c>
      <c r="AG359" s="33">
        <f t="shared" si="531"/>
        <v>9000</v>
      </c>
    </row>
    <row r="360" spans="3:33" x14ac:dyDescent="0.2">
      <c r="C360" t="s">
        <v>124</v>
      </c>
      <c r="D360" t="s">
        <v>99</v>
      </c>
      <c r="E360" s="64">
        <f>_xlfn.XLOOKUP($C360,'Corporate Roster - ''24'!$C$6:$C$60,'Corporate Roster - ''24'!$E$6:$E$60)</f>
        <v>38697</v>
      </c>
      <c r="F360" s="64" t="str">
        <f>_xlfn.XLOOKUP($C360,'Corporate Roster - ''24'!$C$6:$C$60,'Corporate Roster - ''24'!$F$6:$F$60)</f>
        <v>-</v>
      </c>
      <c r="G360" s="32">
        <f t="shared" si="493"/>
        <v>108000</v>
      </c>
      <c r="H360" s="33">
        <f t="shared" si="494"/>
        <v>108000</v>
      </c>
      <c r="J360" s="32">
        <f t="shared" ref="J360:AG360" si="532">J297+J171+J45</f>
        <v>9000</v>
      </c>
      <c r="K360" s="10">
        <f t="shared" si="532"/>
        <v>9000</v>
      </c>
      <c r="L360" s="10">
        <f t="shared" si="532"/>
        <v>9000</v>
      </c>
      <c r="M360" s="10">
        <f t="shared" si="532"/>
        <v>9000</v>
      </c>
      <c r="N360" s="10">
        <f t="shared" si="532"/>
        <v>9000</v>
      </c>
      <c r="O360" s="10">
        <f t="shared" si="532"/>
        <v>9000</v>
      </c>
      <c r="P360" s="10">
        <f t="shared" si="532"/>
        <v>9000</v>
      </c>
      <c r="Q360" s="10">
        <f t="shared" si="532"/>
        <v>9000</v>
      </c>
      <c r="R360" s="10">
        <f t="shared" si="532"/>
        <v>9000</v>
      </c>
      <c r="S360" s="10">
        <f t="shared" si="532"/>
        <v>9000</v>
      </c>
      <c r="T360" s="10">
        <f t="shared" si="532"/>
        <v>9000</v>
      </c>
      <c r="U360" s="33">
        <f t="shared" si="532"/>
        <v>9000</v>
      </c>
      <c r="V360" s="10">
        <f t="shared" si="532"/>
        <v>9000</v>
      </c>
      <c r="W360" s="10">
        <f t="shared" si="532"/>
        <v>9000</v>
      </c>
      <c r="X360" s="10">
        <f t="shared" si="532"/>
        <v>9000</v>
      </c>
      <c r="Y360" s="10">
        <f t="shared" si="532"/>
        <v>9000</v>
      </c>
      <c r="Z360" s="10">
        <f t="shared" si="532"/>
        <v>9000</v>
      </c>
      <c r="AA360" s="10">
        <f t="shared" si="532"/>
        <v>9000</v>
      </c>
      <c r="AB360" s="10">
        <f t="shared" si="532"/>
        <v>9000</v>
      </c>
      <c r="AC360" s="10">
        <f t="shared" si="532"/>
        <v>9000</v>
      </c>
      <c r="AD360" s="10">
        <f t="shared" si="532"/>
        <v>9000</v>
      </c>
      <c r="AE360" s="10">
        <f t="shared" si="532"/>
        <v>9000</v>
      </c>
      <c r="AF360" s="10">
        <f t="shared" si="532"/>
        <v>9000</v>
      </c>
      <c r="AG360" s="33">
        <f t="shared" si="532"/>
        <v>9000</v>
      </c>
    </row>
    <row r="361" spans="3:33" x14ac:dyDescent="0.2">
      <c r="C361" t="s">
        <v>125</v>
      </c>
      <c r="D361" t="s">
        <v>99</v>
      </c>
      <c r="E361" s="64">
        <f>_xlfn.XLOOKUP($C361,'Corporate Roster - ''24'!$C$6:$C$60,'Corporate Roster - ''24'!$E$6:$E$60)</f>
        <v>43863</v>
      </c>
      <c r="F361" s="64" t="str">
        <f>_xlfn.XLOOKUP($C361,'Corporate Roster - ''24'!$C$6:$C$60,'Corporate Roster - ''24'!$F$6:$F$60)</f>
        <v>-</v>
      </c>
      <c r="G361" s="32">
        <f t="shared" si="493"/>
        <v>92000</v>
      </c>
      <c r="H361" s="33">
        <f t="shared" si="494"/>
        <v>108000</v>
      </c>
      <c r="J361" s="32">
        <f t="shared" ref="J361:AG361" si="533">J298+J172+J46</f>
        <v>7666.6666666666661</v>
      </c>
      <c r="K361" s="10">
        <f t="shared" si="533"/>
        <v>7666.6666666666661</v>
      </c>
      <c r="L361" s="10">
        <f t="shared" si="533"/>
        <v>7666.6666666666661</v>
      </c>
      <c r="M361" s="10">
        <f t="shared" si="533"/>
        <v>7666.6666666666661</v>
      </c>
      <c r="N361" s="10">
        <f t="shared" si="533"/>
        <v>7666.6666666666661</v>
      </c>
      <c r="O361" s="10">
        <f t="shared" si="533"/>
        <v>7666.6666666666661</v>
      </c>
      <c r="P361" s="10">
        <f t="shared" si="533"/>
        <v>7666.6666666666661</v>
      </c>
      <c r="Q361" s="10">
        <f t="shared" si="533"/>
        <v>7666.6666666666661</v>
      </c>
      <c r="R361" s="10">
        <f t="shared" si="533"/>
        <v>7666.6666666666661</v>
      </c>
      <c r="S361" s="10">
        <f t="shared" si="533"/>
        <v>7666.6666666666661</v>
      </c>
      <c r="T361" s="10">
        <f t="shared" si="533"/>
        <v>7666.6666666666661</v>
      </c>
      <c r="U361" s="33">
        <f t="shared" si="533"/>
        <v>7666.6666666666661</v>
      </c>
      <c r="V361" s="10">
        <f t="shared" si="533"/>
        <v>9000</v>
      </c>
      <c r="W361" s="10">
        <f t="shared" si="533"/>
        <v>9000</v>
      </c>
      <c r="X361" s="10">
        <f t="shared" si="533"/>
        <v>9000</v>
      </c>
      <c r="Y361" s="10">
        <f t="shared" si="533"/>
        <v>9000</v>
      </c>
      <c r="Z361" s="10">
        <f t="shared" si="533"/>
        <v>9000</v>
      </c>
      <c r="AA361" s="10">
        <f t="shared" si="533"/>
        <v>9000</v>
      </c>
      <c r="AB361" s="10">
        <f t="shared" si="533"/>
        <v>9000</v>
      </c>
      <c r="AC361" s="10">
        <f t="shared" si="533"/>
        <v>9000</v>
      </c>
      <c r="AD361" s="10">
        <f t="shared" si="533"/>
        <v>9000</v>
      </c>
      <c r="AE361" s="10">
        <f t="shared" si="533"/>
        <v>9000</v>
      </c>
      <c r="AF361" s="10">
        <f t="shared" si="533"/>
        <v>9000</v>
      </c>
      <c r="AG361" s="33">
        <f t="shared" si="533"/>
        <v>9000</v>
      </c>
    </row>
    <row r="362" spans="3:33" x14ac:dyDescent="0.2">
      <c r="C362" t="s">
        <v>126</v>
      </c>
      <c r="D362" t="s">
        <v>110</v>
      </c>
      <c r="E362" s="64">
        <f>_xlfn.XLOOKUP($C362,'Corporate Roster - ''24'!$C$6:$C$60,'Corporate Roster - ''24'!$E$6:$E$60)</f>
        <v>40847</v>
      </c>
      <c r="F362" s="64" t="str">
        <f>_xlfn.XLOOKUP($C362,'Corporate Roster - ''24'!$C$6:$C$60,'Corporate Roster - ''24'!$F$6:$F$60)</f>
        <v>-</v>
      </c>
      <c r="G362" s="32">
        <f t="shared" si="493"/>
        <v>114750</v>
      </c>
      <c r="H362" s="33">
        <f t="shared" si="494"/>
        <v>114750</v>
      </c>
      <c r="J362" s="32">
        <f t="shared" ref="J362:AG362" si="534">J299+J173+J47</f>
        <v>9562.5</v>
      </c>
      <c r="K362" s="10">
        <f t="shared" si="534"/>
        <v>9562.5</v>
      </c>
      <c r="L362" s="10">
        <f t="shared" si="534"/>
        <v>9562.5</v>
      </c>
      <c r="M362" s="10">
        <f t="shared" si="534"/>
        <v>9562.5</v>
      </c>
      <c r="N362" s="10">
        <f t="shared" si="534"/>
        <v>9562.5</v>
      </c>
      <c r="O362" s="10">
        <f t="shared" si="534"/>
        <v>9562.5</v>
      </c>
      <c r="P362" s="10">
        <f t="shared" si="534"/>
        <v>9562.5</v>
      </c>
      <c r="Q362" s="10">
        <f t="shared" si="534"/>
        <v>9562.5</v>
      </c>
      <c r="R362" s="10">
        <f t="shared" si="534"/>
        <v>9562.5</v>
      </c>
      <c r="S362" s="10">
        <f t="shared" si="534"/>
        <v>9562.5</v>
      </c>
      <c r="T362" s="10">
        <f t="shared" si="534"/>
        <v>9562.5</v>
      </c>
      <c r="U362" s="33">
        <f t="shared" si="534"/>
        <v>9562.5</v>
      </c>
      <c r="V362" s="10">
        <f t="shared" si="534"/>
        <v>9562.5</v>
      </c>
      <c r="W362" s="10">
        <f t="shared" si="534"/>
        <v>9562.5</v>
      </c>
      <c r="X362" s="10">
        <f t="shared" si="534"/>
        <v>9562.5</v>
      </c>
      <c r="Y362" s="10">
        <f t="shared" si="534"/>
        <v>9562.5</v>
      </c>
      <c r="Z362" s="10">
        <f t="shared" si="534"/>
        <v>9562.5</v>
      </c>
      <c r="AA362" s="10">
        <f t="shared" si="534"/>
        <v>9562.5</v>
      </c>
      <c r="AB362" s="10">
        <f t="shared" si="534"/>
        <v>9562.5</v>
      </c>
      <c r="AC362" s="10">
        <f t="shared" si="534"/>
        <v>9562.5</v>
      </c>
      <c r="AD362" s="10">
        <f t="shared" si="534"/>
        <v>9562.5</v>
      </c>
      <c r="AE362" s="10">
        <f t="shared" si="534"/>
        <v>9562.5</v>
      </c>
      <c r="AF362" s="10">
        <f t="shared" si="534"/>
        <v>9562.5</v>
      </c>
      <c r="AG362" s="33">
        <f t="shared" si="534"/>
        <v>9562.5</v>
      </c>
    </row>
    <row r="363" spans="3:33" x14ac:dyDescent="0.2">
      <c r="C363" t="s">
        <v>127</v>
      </c>
      <c r="D363" t="s">
        <v>110</v>
      </c>
      <c r="E363" s="64">
        <f>_xlfn.XLOOKUP($C363,'Corporate Roster - ''24'!$C$6:$C$60,'Corporate Roster - ''24'!$E$6:$E$60)</f>
        <v>39385</v>
      </c>
      <c r="F363" s="64" t="str">
        <f>_xlfn.XLOOKUP($C363,'Corporate Roster - ''24'!$C$6:$C$60,'Corporate Roster - ''24'!$F$6:$F$60)</f>
        <v>-</v>
      </c>
      <c r="G363" s="32">
        <f t="shared" si="493"/>
        <v>114750</v>
      </c>
      <c r="H363" s="33">
        <f t="shared" si="494"/>
        <v>114750</v>
      </c>
      <c r="J363" s="32">
        <f t="shared" ref="J363:AG363" si="535">J300+J174+J48</f>
        <v>9562.5</v>
      </c>
      <c r="K363" s="10">
        <f t="shared" si="535"/>
        <v>9562.5</v>
      </c>
      <c r="L363" s="10">
        <f t="shared" si="535"/>
        <v>9562.5</v>
      </c>
      <c r="M363" s="10">
        <f t="shared" si="535"/>
        <v>9562.5</v>
      </c>
      <c r="N363" s="10">
        <f t="shared" si="535"/>
        <v>9562.5</v>
      </c>
      <c r="O363" s="10">
        <f t="shared" si="535"/>
        <v>9562.5</v>
      </c>
      <c r="P363" s="10">
        <f t="shared" si="535"/>
        <v>9562.5</v>
      </c>
      <c r="Q363" s="10">
        <f t="shared" si="535"/>
        <v>9562.5</v>
      </c>
      <c r="R363" s="10">
        <f t="shared" si="535"/>
        <v>9562.5</v>
      </c>
      <c r="S363" s="10">
        <f t="shared" si="535"/>
        <v>9562.5</v>
      </c>
      <c r="T363" s="10">
        <f t="shared" si="535"/>
        <v>9562.5</v>
      </c>
      <c r="U363" s="33">
        <f t="shared" si="535"/>
        <v>9562.5</v>
      </c>
      <c r="V363" s="10">
        <f t="shared" si="535"/>
        <v>9562.5</v>
      </c>
      <c r="W363" s="10">
        <f t="shared" si="535"/>
        <v>9562.5</v>
      </c>
      <c r="X363" s="10">
        <f t="shared" si="535"/>
        <v>9562.5</v>
      </c>
      <c r="Y363" s="10">
        <f t="shared" si="535"/>
        <v>9562.5</v>
      </c>
      <c r="Z363" s="10">
        <f t="shared" si="535"/>
        <v>9562.5</v>
      </c>
      <c r="AA363" s="10">
        <f t="shared" si="535"/>
        <v>9562.5</v>
      </c>
      <c r="AB363" s="10">
        <f t="shared" si="535"/>
        <v>9562.5</v>
      </c>
      <c r="AC363" s="10">
        <f t="shared" si="535"/>
        <v>9562.5</v>
      </c>
      <c r="AD363" s="10">
        <f t="shared" si="535"/>
        <v>9562.5</v>
      </c>
      <c r="AE363" s="10">
        <f t="shared" si="535"/>
        <v>9562.5</v>
      </c>
      <c r="AF363" s="10">
        <f t="shared" si="535"/>
        <v>9562.5</v>
      </c>
      <c r="AG363" s="33">
        <f t="shared" si="535"/>
        <v>9562.5</v>
      </c>
    </row>
    <row r="364" spans="3:33" x14ac:dyDescent="0.2">
      <c r="C364" t="s">
        <v>128</v>
      </c>
      <c r="D364" t="s">
        <v>90</v>
      </c>
      <c r="E364" s="64">
        <f>_xlfn.XLOOKUP($C364,'Corporate Roster - ''24'!$C$6:$C$60,'Corporate Roster - ''24'!$E$6:$E$60)</f>
        <v>39936</v>
      </c>
      <c r="F364" s="64" t="str">
        <f>_xlfn.XLOOKUP($C364,'Corporate Roster - ''24'!$C$6:$C$60,'Corporate Roster - ''24'!$F$6:$F$60)</f>
        <v>-</v>
      </c>
      <c r="G364" s="32">
        <f t="shared" si="493"/>
        <v>173000</v>
      </c>
      <c r="H364" s="33">
        <f t="shared" si="494"/>
        <v>182000</v>
      </c>
      <c r="J364" s="32">
        <f t="shared" ref="J364:AG364" si="536">J301+J175+J49</f>
        <v>14416.666666666668</v>
      </c>
      <c r="K364" s="10">
        <f t="shared" si="536"/>
        <v>14416.666666666668</v>
      </c>
      <c r="L364" s="10">
        <f t="shared" si="536"/>
        <v>14416.666666666668</v>
      </c>
      <c r="M364" s="10">
        <f t="shared" si="536"/>
        <v>14416.666666666668</v>
      </c>
      <c r="N364" s="10">
        <f t="shared" si="536"/>
        <v>14416.666666666668</v>
      </c>
      <c r="O364" s="10">
        <f t="shared" si="536"/>
        <v>14416.666666666668</v>
      </c>
      <c r="P364" s="10">
        <f t="shared" si="536"/>
        <v>14416.666666666668</v>
      </c>
      <c r="Q364" s="10">
        <f t="shared" si="536"/>
        <v>14416.666666666668</v>
      </c>
      <c r="R364" s="10">
        <f t="shared" si="536"/>
        <v>14416.666666666668</v>
      </c>
      <c r="S364" s="10">
        <f t="shared" si="536"/>
        <v>14416.666666666668</v>
      </c>
      <c r="T364" s="10">
        <f t="shared" si="536"/>
        <v>14416.666666666668</v>
      </c>
      <c r="U364" s="33">
        <f t="shared" si="536"/>
        <v>14416.666666666668</v>
      </c>
      <c r="V364" s="10">
        <f t="shared" si="536"/>
        <v>15166.666666666668</v>
      </c>
      <c r="W364" s="10">
        <f t="shared" si="536"/>
        <v>15166.666666666668</v>
      </c>
      <c r="X364" s="10">
        <f t="shared" si="536"/>
        <v>15166.666666666668</v>
      </c>
      <c r="Y364" s="10">
        <f t="shared" si="536"/>
        <v>15166.666666666668</v>
      </c>
      <c r="Z364" s="10">
        <f t="shared" si="536"/>
        <v>15166.666666666668</v>
      </c>
      <c r="AA364" s="10">
        <f t="shared" si="536"/>
        <v>15166.666666666668</v>
      </c>
      <c r="AB364" s="10">
        <f t="shared" si="536"/>
        <v>15166.666666666668</v>
      </c>
      <c r="AC364" s="10">
        <f t="shared" si="536"/>
        <v>15166.666666666668</v>
      </c>
      <c r="AD364" s="10">
        <f t="shared" si="536"/>
        <v>15166.666666666668</v>
      </c>
      <c r="AE364" s="10">
        <f t="shared" si="536"/>
        <v>15166.666666666668</v>
      </c>
      <c r="AF364" s="10">
        <f t="shared" si="536"/>
        <v>15166.666666666668</v>
      </c>
      <c r="AG364" s="33">
        <f t="shared" si="536"/>
        <v>15166.666666666668</v>
      </c>
    </row>
    <row r="365" spans="3:33" x14ac:dyDescent="0.2">
      <c r="C365" t="s">
        <v>129</v>
      </c>
      <c r="D365" t="s">
        <v>99</v>
      </c>
      <c r="E365" s="64">
        <f>_xlfn.XLOOKUP($C365,'Corporate Roster - ''24'!$C$6:$C$60,'Corporate Roster - ''24'!$E$6:$E$60)</f>
        <v>43887</v>
      </c>
      <c r="F365" s="64" t="str">
        <f>_xlfn.XLOOKUP($C365,'Corporate Roster - ''24'!$C$6:$C$60,'Corporate Roster - ''24'!$F$6:$F$60)</f>
        <v>-</v>
      </c>
      <c r="G365" s="32">
        <f t="shared" si="493"/>
        <v>108000</v>
      </c>
      <c r="H365" s="33">
        <f t="shared" si="494"/>
        <v>108000</v>
      </c>
      <c r="J365" s="32">
        <f t="shared" ref="J365:AG365" si="537">J302+J176+J50</f>
        <v>9000</v>
      </c>
      <c r="K365" s="10">
        <f t="shared" si="537"/>
        <v>9000</v>
      </c>
      <c r="L365" s="10">
        <f t="shared" si="537"/>
        <v>9000</v>
      </c>
      <c r="M365" s="10">
        <f t="shared" si="537"/>
        <v>9000</v>
      </c>
      <c r="N365" s="10">
        <f t="shared" si="537"/>
        <v>9000</v>
      </c>
      <c r="O365" s="10">
        <f t="shared" si="537"/>
        <v>9000</v>
      </c>
      <c r="P365" s="10">
        <f t="shared" si="537"/>
        <v>9000</v>
      </c>
      <c r="Q365" s="10">
        <f t="shared" si="537"/>
        <v>9000</v>
      </c>
      <c r="R365" s="10">
        <f t="shared" si="537"/>
        <v>9000</v>
      </c>
      <c r="S365" s="10">
        <f t="shared" si="537"/>
        <v>9000</v>
      </c>
      <c r="T365" s="10">
        <f t="shared" si="537"/>
        <v>9000</v>
      </c>
      <c r="U365" s="33">
        <f t="shared" si="537"/>
        <v>9000</v>
      </c>
      <c r="V365" s="10">
        <f t="shared" si="537"/>
        <v>9000</v>
      </c>
      <c r="W365" s="10">
        <f t="shared" si="537"/>
        <v>9000</v>
      </c>
      <c r="X365" s="10">
        <f t="shared" si="537"/>
        <v>9000</v>
      </c>
      <c r="Y365" s="10">
        <f t="shared" si="537"/>
        <v>9000</v>
      </c>
      <c r="Z365" s="10">
        <f t="shared" si="537"/>
        <v>9000</v>
      </c>
      <c r="AA365" s="10">
        <f t="shared" si="537"/>
        <v>9000</v>
      </c>
      <c r="AB365" s="10">
        <f t="shared" si="537"/>
        <v>9000</v>
      </c>
      <c r="AC365" s="10">
        <f t="shared" si="537"/>
        <v>9000</v>
      </c>
      <c r="AD365" s="10">
        <f t="shared" si="537"/>
        <v>9000</v>
      </c>
      <c r="AE365" s="10">
        <f t="shared" si="537"/>
        <v>9000</v>
      </c>
      <c r="AF365" s="10">
        <f t="shared" si="537"/>
        <v>9000</v>
      </c>
      <c r="AG365" s="33">
        <f t="shared" si="537"/>
        <v>9000</v>
      </c>
    </row>
    <row r="366" spans="3:33" x14ac:dyDescent="0.2">
      <c r="C366" t="s">
        <v>122</v>
      </c>
      <c r="D366" t="s">
        <v>99</v>
      </c>
      <c r="E366" s="64">
        <f>_xlfn.XLOOKUP($C366,'Corporate Roster - ''24'!$C$6:$C$60,'Corporate Roster - ''24'!$E$6:$E$60)</f>
        <v>44041</v>
      </c>
      <c r="F366" s="64" t="str">
        <f>_xlfn.XLOOKUP($C366,'Corporate Roster - ''24'!$C$6:$C$60,'Corporate Roster - ''24'!$F$6:$F$60)</f>
        <v>-</v>
      </c>
      <c r="G366" s="32">
        <f t="shared" si="493"/>
        <v>108000</v>
      </c>
      <c r="H366" s="33">
        <f t="shared" si="494"/>
        <v>108000</v>
      </c>
      <c r="J366" s="32">
        <f t="shared" ref="J366:AG366" si="538">J303+J177+J51</f>
        <v>9000</v>
      </c>
      <c r="K366" s="10">
        <f t="shared" si="538"/>
        <v>9000</v>
      </c>
      <c r="L366" s="10">
        <f t="shared" si="538"/>
        <v>9000</v>
      </c>
      <c r="M366" s="10">
        <f t="shared" si="538"/>
        <v>9000</v>
      </c>
      <c r="N366" s="10">
        <f t="shared" si="538"/>
        <v>9000</v>
      </c>
      <c r="O366" s="10">
        <f t="shared" si="538"/>
        <v>9000</v>
      </c>
      <c r="P366" s="10">
        <f t="shared" si="538"/>
        <v>9000</v>
      </c>
      <c r="Q366" s="10">
        <f t="shared" si="538"/>
        <v>9000</v>
      </c>
      <c r="R366" s="10">
        <f t="shared" si="538"/>
        <v>9000</v>
      </c>
      <c r="S366" s="10">
        <f t="shared" si="538"/>
        <v>9000</v>
      </c>
      <c r="T366" s="10">
        <f t="shared" si="538"/>
        <v>9000</v>
      </c>
      <c r="U366" s="33">
        <f t="shared" si="538"/>
        <v>9000</v>
      </c>
      <c r="V366" s="10">
        <f t="shared" si="538"/>
        <v>9000</v>
      </c>
      <c r="W366" s="10">
        <f t="shared" si="538"/>
        <v>9000</v>
      </c>
      <c r="X366" s="10">
        <f t="shared" si="538"/>
        <v>9000</v>
      </c>
      <c r="Y366" s="10">
        <f t="shared" si="538"/>
        <v>9000</v>
      </c>
      <c r="Z366" s="10">
        <f t="shared" si="538"/>
        <v>9000</v>
      </c>
      <c r="AA366" s="10">
        <f t="shared" si="538"/>
        <v>9000</v>
      </c>
      <c r="AB366" s="10">
        <f t="shared" si="538"/>
        <v>9000</v>
      </c>
      <c r="AC366" s="10">
        <f t="shared" si="538"/>
        <v>9000</v>
      </c>
      <c r="AD366" s="10">
        <f t="shared" si="538"/>
        <v>9000</v>
      </c>
      <c r="AE366" s="10">
        <f t="shared" si="538"/>
        <v>9000</v>
      </c>
      <c r="AF366" s="10">
        <f t="shared" si="538"/>
        <v>9000</v>
      </c>
      <c r="AG366" s="33">
        <f t="shared" si="538"/>
        <v>9000</v>
      </c>
    </row>
    <row r="367" spans="3:33" x14ac:dyDescent="0.2">
      <c r="C367" t="s">
        <v>130</v>
      </c>
      <c r="D367" t="s">
        <v>74</v>
      </c>
      <c r="E367" s="64">
        <f>_xlfn.XLOOKUP($C367,'Corporate Roster - ''24'!$C$6:$C$60,'Corporate Roster - ''24'!$E$6:$E$60)</f>
        <v>38591</v>
      </c>
      <c r="F367" s="64">
        <f>_xlfn.XLOOKUP($C367,'Corporate Roster - ''24'!$C$6:$C$60,'Corporate Roster - ''24'!$F$6:$F$60)</f>
        <v>45101</v>
      </c>
      <c r="G367" s="32">
        <f t="shared" si="493"/>
        <v>138333.33333333334</v>
      </c>
      <c r="H367" s="33">
        <f t="shared" si="494"/>
        <v>0</v>
      </c>
      <c r="J367" s="32">
        <f t="shared" ref="J367:AG367" si="539">J304+J178+J52</f>
        <v>26666.666666666668</v>
      </c>
      <c r="K367" s="10">
        <f t="shared" si="539"/>
        <v>26666.666666666668</v>
      </c>
      <c r="L367" s="10">
        <f t="shared" si="539"/>
        <v>26666.666666666668</v>
      </c>
      <c r="M367" s="10">
        <f t="shared" si="539"/>
        <v>26666.666666666668</v>
      </c>
      <c r="N367" s="10">
        <f t="shared" si="539"/>
        <v>26666.666666666668</v>
      </c>
      <c r="O367" s="10">
        <f t="shared" si="539"/>
        <v>5000</v>
      </c>
      <c r="P367" s="10">
        <f t="shared" si="539"/>
        <v>0</v>
      </c>
      <c r="Q367" s="10">
        <f t="shared" si="539"/>
        <v>0</v>
      </c>
      <c r="R367" s="10">
        <f t="shared" si="539"/>
        <v>0</v>
      </c>
      <c r="S367" s="10">
        <f t="shared" si="539"/>
        <v>0</v>
      </c>
      <c r="T367" s="10">
        <f t="shared" si="539"/>
        <v>0</v>
      </c>
      <c r="U367" s="33">
        <f t="shared" si="539"/>
        <v>0</v>
      </c>
      <c r="V367" s="10">
        <f t="shared" si="539"/>
        <v>0</v>
      </c>
      <c r="W367" s="10">
        <f t="shared" si="539"/>
        <v>0</v>
      </c>
      <c r="X367" s="10">
        <f t="shared" si="539"/>
        <v>0</v>
      </c>
      <c r="Y367" s="10">
        <f t="shared" si="539"/>
        <v>0</v>
      </c>
      <c r="Z367" s="10">
        <f t="shared" si="539"/>
        <v>0</v>
      </c>
      <c r="AA367" s="10">
        <f t="shared" si="539"/>
        <v>0</v>
      </c>
      <c r="AB367" s="10">
        <f t="shared" si="539"/>
        <v>0</v>
      </c>
      <c r="AC367" s="10">
        <f t="shared" si="539"/>
        <v>0</v>
      </c>
      <c r="AD367" s="10">
        <f t="shared" si="539"/>
        <v>0</v>
      </c>
      <c r="AE367" s="10">
        <f t="shared" si="539"/>
        <v>0</v>
      </c>
      <c r="AF367" s="10">
        <f t="shared" si="539"/>
        <v>0</v>
      </c>
      <c r="AG367" s="33">
        <f t="shared" si="539"/>
        <v>0</v>
      </c>
    </row>
    <row r="368" spans="3:33" x14ac:dyDescent="0.2">
      <c r="C368" t="s">
        <v>132</v>
      </c>
      <c r="D368" t="s">
        <v>90</v>
      </c>
      <c r="E368" s="64">
        <f>_xlfn.XLOOKUP($C368,'Corporate Roster - ''24'!$C$6:$C$60,'Corporate Roster - ''24'!$E$6:$E$60)</f>
        <v>43026</v>
      </c>
      <c r="F368" s="64">
        <f>_xlfn.XLOOKUP($C368,'Corporate Roster - ''24'!$C$6:$C$60,'Corporate Roster - ''24'!$F$6:$F$60)</f>
        <v>45110</v>
      </c>
      <c r="G368" s="32">
        <f t="shared" si="493"/>
        <v>84500.000000000015</v>
      </c>
      <c r="H368" s="33">
        <f t="shared" si="494"/>
        <v>0</v>
      </c>
      <c r="J368" s="32">
        <f t="shared" ref="J368:AG368" si="540">J305+J179+J53</f>
        <v>15166.666666666668</v>
      </c>
      <c r="K368" s="10">
        <f t="shared" si="540"/>
        <v>15166.666666666668</v>
      </c>
      <c r="L368" s="10">
        <f t="shared" si="540"/>
        <v>15166.666666666668</v>
      </c>
      <c r="M368" s="10">
        <f t="shared" si="540"/>
        <v>15166.666666666668</v>
      </c>
      <c r="N368" s="10">
        <f t="shared" si="540"/>
        <v>15166.666666666668</v>
      </c>
      <c r="O368" s="10">
        <f t="shared" si="540"/>
        <v>15166.666666666668</v>
      </c>
      <c r="P368" s="10">
        <f t="shared" si="540"/>
        <v>-6499.9999999999991</v>
      </c>
      <c r="Q368" s="10">
        <f t="shared" si="540"/>
        <v>0</v>
      </c>
      <c r="R368" s="10">
        <f t="shared" si="540"/>
        <v>0</v>
      </c>
      <c r="S368" s="10">
        <f t="shared" si="540"/>
        <v>0</v>
      </c>
      <c r="T368" s="10">
        <f t="shared" si="540"/>
        <v>0</v>
      </c>
      <c r="U368" s="33">
        <f t="shared" si="540"/>
        <v>0</v>
      </c>
      <c r="V368" s="10">
        <f t="shared" si="540"/>
        <v>0</v>
      </c>
      <c r="W368" s="10">
        <f t="shared" si="540"/>
        <v>0</v>
      </c>
      <c r="X368" s="10">
        <f t="shared" si="540"/>
        <v>0</v>
      </c>
      <c r="Y368" s="10">
        <f t="shared" si="540"/>
        <v>0</v>
      </c>
      <c r="Z368" s="10">
        <f t="shared" si="540"/>
        <v>0</v>
      </c>
      <c r="AA368" s="10">
        <f t="shared" si="540"/>
        <v>0</v>
      </c>
      <c r="AB368" s="10">
        <f t="shared" si="540"/>
        <v>0</v>
      </c>
      <c r="AC368" s="10">
        <f t="shared" si="540"/>
        <v>0</v>
      </c>
      <c r="AD368" s="10">
        <f t="shared" si="540"/>
        <v>0</v>
      </c>
      <c r="AE368" s="10">
        <f t="shared" si="540"/>
        <v>0</v>
      </c>
      <c r="AF368" s="10">
        <f t="shared" si="540"/>
        <v>0</v>
      </c>
      <c r="AG368" s="33">
        <f t="shared" si="540"/>
        <v>0</v>
      </c>
    </row>
    <row r="369" spans="3:33" x14ac:dyDescent="0.2">
      <c r="C369" t="s">
        <v>131</v>
      </c>
      <c r="D369" t="s">
        <v>103</v>
      </c>
      <c r="E369" s="64">
        <f>_xlfn.XLOOKUP($C369,'Corporate Roster - ''24'!$C$6:$C$60,'Corporate Roster - ''24'!$E$6:$E$60)</f>
        <v>42388</v>
      </c>
      <c r="F369" s="64">
        <f>_xlfn.XLOOKUP($C369,'Corporate Roster - ''24'!$C$6:$C$60,'Corporate Roster - ''24'!$F$6:$F$60)</f>
        <v>45231</v>
      </c>
      <c r="G369" s="32">
        <f t="shared" si="493"/>
        <v>87500</v>
      </c>
      <c r="H369" s="33">
        <f t="shared" si="494"/>
        <v>0</v>
      </c>
      <c r="J369" s="32">
        <f t="shared" ref="J369:AG369" si="541">J306+J180+J54</f>
        <v>9083.3333333333339</v>
      </c>
      <c r="K369" s="10">
        <f t="shared" si="541"/>
        <v>9083.3333333333339</v>
      </c>
      <c r="L369" s="10">
        <f t="shared" si="541"/>
        <v>9083.3333333333339</v>
      </c>
      <c r="M369" s="10">
        <f t="shared" si="541"/>
        <v>9083.3333333333339</v>
      </c>
      <c r="N369" s="10">
        <f t="shared" si="541"/>
        <v>9083.3333333333339</v>
      </c>
      <c r="O369" s="10">
        <f t="shared" si="541"/>
        <v>9083.3333333333339</v>
      </c>
      <c r="P369" s="10">
        <f t="shared" si="541"/>
        <v>9083.3333333333339</v>
      </c>
      <c r="Q369" s="10">
        <f t="shared" si="541"/>
        <v>9083.3333333333339</v>
      </c>
      <c r="R369" s="10">
        <f t="shared" si="541"/>
        <v>9083.3333333333339</v>
      </c>
      <c r="S369" s="10">
        <f t="shared" si="541"/>
        <v>9083.3333333333339</v>
      </c>
      <c r="T369" s="10">
        <f t="shared" si="541"/>
        <v>-3333.3333333333335</v>
      </c>
      <c r="U369" s="33">
        <f t="shared" si="541"/>
        <v>0</v>
      </c>
      <c r="V369" s="10">
        <f t="shared" si="541"/>
        <v>0</v>
      </c>
      <c r="W369" s="10">
        <f t="shared" si="541"/>
        <v>0</v>
      </c>
      <c r="X369" s="10">
        <f t="shared" si="541"/>
        <v>0</v>
      </c>
      <c r="Y369" s="10">
        <f t="shared" si="541"/>
        <v>0</v>
      </c>
      <c r="Z369" s="10">
        <f t="shared" si="541"/>
        <v>0</v>
      </c>
      <c r="AA369" s="10">
        <f t="shared" si="541"/>
        <v>0</v>
      </c>
      <c r="AB369" s="10">
        <f t="shared" si="541"/>
        <v>0</v>
      </c>
      <c r="AC369" s="10">
        <f t="shared" si="541"/>
        <v>0</v>
      </c>
      <c r="AD369" s="10">
        <f t="shared" si="541"/>
        <v>0</v>
      </c>
      <c r="AE369" s="10">
        <f t="shared" si="541"/>
        <v>0</v>
      </c>
      <c r="AF369" s="10">
        <f t="shared" si="541"/>
        <v>0</v>
      </c>
      <c r="AG369" s="33">
        <f t="shared" si="541"/>
        <v>0</v>
      </c>
    </row>
    <row r="370" spans="3:33" x14ac:dyDescent="0.2">
      <c r="C370" t="s">
        <v>133</v>
      </c>
      <c r="D370" t="s">
        <v>93</v>
      </c>
      <c r="E370" s="64">
        <f>_xlfn.XLOOKUP($C370,'Corporate Roster - ''24'!$C$6:$C$60,'Corporate Roster - ''24'!$E$6:$E$60)</f>
        <v>38928</v>
      </c>
      <c r="F370" s="64">
        <f>_xlfn.XLOOKUP($C370,'Corporate Roster - ''24'!$C$6:$C$60,'Corporate Roster - ''24'!$F$6:$F$60)</f>
        <v>45398</v>
      </c>
      <c r="G370" s="32">
        <f t="shared" si="493"/>
        <v>168000</v>
      </c>
      <c r="H370" s="33">
        <f t="shared" si="494"/>
        <v>39000</v>
      </c>
      <c r="J370" s="32">
        <f t="shared" ref="J370:AG370" si="542">J307+J181+J55</f>
        <v>14000</v>
      </c>
      <c r="K370" s="10">
        <f t="shared" si="542"/>
        <v>14000</v>
      </c>
      <c r="L370" s="10">
        <f t="shared" si="542"/>
        <v>14000</v>
      </c>
      <c r="M370" s="10">
        <f t="shared" si="542"/>
        <v>14000</v>
      </c>
      <c r="N370" s="10">
        <f t="shared" si="542"/>
        <v>14000</v>
      </c>
      <c r="O370" s="10">
        <f t="shared" si="542"/>
        <v>14000</v>
      </c>
      <c r="P370" s="10">
        <f t="shared" si="542"/>
        <v>14000</v>
      </c>
      <c r="Q370" s="10">
        <f t="shared" si="542"/>
        <v>14000</v>
      </c>
      <c r="R370" s="10">
        <f t="shared" si="542"/>
        <v>14000</v>
      </c>
      <c r="S370" s="10">
        <f t="shared" si="542"/>
        <v>14000</v>
      </c>
      <c r="T370" s="10">
        <f t="shared" si="542"/>
        <v>14000</v>
      </c>
      <c r="U370" s="33">
        <f t="shared" si="542"/>
        <v>14000</v>
      </c>
      <c r="V370" s="10">
        <f t="shared" si="542"/>
        <v>14000</v>
      </c>
      <c r="W370" s="10">
        <f t="shared" si="542"/>
        <v>14000</v>
      </c>
      <c r="X370" s="10">
        <f t="shared" si="542"/>
        <v>14000</v>
      </c>
      <c r="Y370" s="10">
        <f>Y307+Y181+Y55</f>
        <v>-3000</v>
      </c>
      <c r="Z370" s="10">
        <f t="shared" si="542"/>
        <v>0</v>
      </c>
      <c r="AA370" s="10">
        <f t="shared" si="542"/>
        <v>0</v>
      </c>
      <c r="AB370" s="10">
        <f t="shared" si="542"/>
        <v>0</v>
      </c>
      <c r="AC370" s="10">
        <f t="shared" si="542"/>
        <v>0</v>
      </c>
      <c r="AD370" s="10">
        <f t="shared" si="542"/>
        <v>0</v>
      </c>
      <c r="AE370" s="10">
        <f t="shared" si="542"/>
        <v>0</v>
      </c>
      <c r="AF370" s="10">
        <f t="shared" si="542"/>
        <v>0</v>
      </c>
      <c r="AG370" s="33">
        <f t="shared" si="542"/>
        <v>0</v>
      </c>
    </row>
    <row r="371" spans="3:33" x14ac:dyDescent="0.2">
      <c r="C371" t="s">
        <v>114</v>
      </c>
      <c r="D371" t="s">
        <v>86</v>
      </c>
      <c r="E371" s="64">
        <f>_xlfn.XLOOKUP($C371,'Corporate Roster - ''24'!$C$6:$C$60,'Corporate Roster - ''24'!$E$6:$E$60)</f>
        <v>43340</v>
      </c>
      <c r="F371" s="64">
        <f>_xlfn.XLOOKUP($C371,'Corporate Roster - ''24'!$C$6:$C$60,'Corporate Roster - ''24'!$F$6:$F$60)</f>
        <v>45437</v>
      </c>
      <c r="G371" s="32">
        <f t="shared" si="493"/>
        <v>168000</v>
      </c>
      <c r="H371" s="33">
        <f t="shared" si="494"/>
        <v>52000</v>
      </c>
      <c r="J371" s="32">
        <f t="shared" ref="J371:AG371" si="543">J308+J182+J56</f>
        <v>14000</v>
      </c>
      <c r="K371" s="10">
        <f t="shared" si="543"/>
        <v>14000</v>
      </c>
      <c r="L371" s="10">
        <f t="shared" si="543"/>
        <v>14000</v>
      </c>
      <c r="M371" s="10">
        <f t="shared" si="543"/>
        <v>14000</v>
      </c>
      <c r="N371" s="10">
        <f t="shared" si="543"/>
        <v>14000</v>
      </c>
      <c r="O371" s="10">
        <f t="shared" si="543"/>
        <v>14000</v>
      </c>
      <c r="P371" s="10">
        <f t="shared" si="543"/>
        <v>14000</v>
      </c>
      <c r="Q371" s="10">
        <f t="shared" si="543"/>
        <v>14000</v>
      </c>
      <c r="R371" s="10">
        <f t="shared" si="543"/>
        <v>14000</v>
      </c>
      <c r="S371" s="10">
        <f t="shared" si="543"/>
        <v>14000</v>
      </c>
      <c r="T371" s="10">
        <f t="shared" si="543"/>
        <v>14000</v>
      </c>
      <c r="U371" s="33">
        <f t="shared" si="543"/>
        <v>14000</v>
      </c>
      <c r="V371" s="10">
        <f t="shared" si="543"/>
        <v>14000</v>
      </c>
      <c r="W371" s="10">
        <f t="shared" si="543"/>
        <v>14000</v>
      </c>
      <c r="X371" s="10">
        <f t="shared" si="543"/>
        <v>14000</v>
      </c>
      <c r="Y371" s="10">
        <f t="shared" si="543"/>
        <v>14000</v>
      </c>
      <c r="Z371" s="10">
        <f t="shared" si="543"/>
        <v>-4000</v>
      </c>
      <c r="AA371" s="10">
        <f t="shared" si="543"/>
        <v>0</v>
      </c>
      <c r="AB371" s="10">
        <f t="shared" si="543"/>
        <v>0</v>
      </c>
      <c r="AC371" s="10">
        <f t="shared" si="543"/>
        <v>0</v>
      </c>
      <c r="AD371" s="10">
        <f t="shared" si="543"/>
        <v>0</v>
      </c>
      <c r="AE371" s="10">
        <f t="shared" si="543"/>
        <v>0</v>
      </c>
      <c r="AF371" s="10">
        <f t="shared" si="543"/>
        <v>0</v>
      </c>
      <c r="AG371" s="33">
        <f t="shared" si="543"/>
        <v>0</v>
      </c>
    </row>
    <row r="372" spans="3:33" x14ac:dyDescent="0.2">
      <c r="C372" t="s">
        <v>135</v>
      </c>
      <c r="D372" t="s">
        <v>82</v>
      </c>
      <c r="E372" s="64">
        <f>_xlfn.XLOOKUP($C372,'Corporate Roster - ''24'!$C$6:$C$60,'Corporate Roster - ''24'!$E$6:$E$60)</f>
        <v>44954</v>
      </c>
      <c r="F372" s="64">
        <f>_xlfn.XLOOKUP($C372,'Corporate Roster - ''24'!$C$6:$C$60,'Corporate Roster - ''24'!$F$6:$F$60)</f>
        <v>45489</v>
      </c>
      <c r="G372" s="32">
        <f t="shared" si="493"/>
        <v>240000</v>
      </c>
      <c r="H372" s="33">
        <f t="shared" si="494"/>
        <v>120000</v>
      </c>
      <c r="J372" s="32">
        <f t="shared" ref="J372:AG372" si="544">J309+J183+J57</f>
        <v>20000</v>
      </c>
      <c r="K372" s="10">
        <f t="shared" si="544"/>
        <v>20000</v>
      </c>
      <c r="L372" s="10">
        <f t="shared" si="544"/>
        <v>20000</v>
      </c>
      <c r="M372" s="10">
        <f t="shared" si="544"/>
        <v>20000</v>
      </c>
      <c r="N372" s="10">
        <f t="shared" si="544"/>
        <v>20000</v>
      </c>
      <c r="O372" s="10">
        <f t="shared" si="544"/>
        <v>20000</v>
      </c>
      <c r="P372" s="10">
        <f t="shared" si="544"/>
        <v>20000</v>
      </c>
      <c r="Q372" s="10">
        <f t="shared" si="544"/>
        <v>20000</v>
      </c>
      <c r="R372" s="10">
        <f t="shared" si="544"/>
        <v>20000</v>
      </c>
      <c r="S372" s="10">
        <f t="shared" si="544"/>
        <v>20000</v>
      </c>
      <c r="T372" s="10">
        <f t="shared" si="544"/>
        <v>20000</v>
      </c>
      <c r="U372" s="33">
        <f t="shared" si="544"/>
        <v>20000</v>
      </c>
      <c r="V372" s="10">
        <f t="shared" si="544"/>
        <v>20000</v>
      </c>
      <c r="W372" s="10">
        <f t="shared" si="544"/>
        <v>20000</v>
      </c>
      <c r="X372" s="10">
        <f t="shared" si="544"/>
        <v>20000</v>
      </c>
      <c r="Y372" s="10">
        <f t="shared" si="544"/>
        <v>20000</v>
      </c>
      <c r="Z372" s="10">
        <f t="shared" si="544"/>
        <v>20000</v>
      </c>
      <c r="AA372" s="10">
        <f t="shared" si="544"/>
        <v>20000</v>
      </c>
      <c r="AB372" s="10">
        <f t="shared" si="544"/>
        <v>0</v>
      </c>
      <c r="AC372" s="10">
        <f t="shared" si="544"/>
        <v>0</v>
      </c>
      <c r="AD372" s="10">
        <f t="shared" si="544"/>
        <v>0</v>
      </c>
      <c r="AE372" s="10">
        <f t="shared" si="544"/>
        <v>0</v>
      </c>
      <c r="AF372" s="10">
        <f t="shared" si="544"/>
        <v>0</v>
      </c>
      <c r="AG372" s="33">
        <f t="shared" si="544"/>
        <v>0</v>
      </c>
    </row>
    <row r="373" spans="3:33" x14ac:dyDescent="0.2">
      <c r="C373" t="s">
        <v>113</v>
      </c>
      <c r="D373" t="s">
        <v>88</v>
      </c>
      <c r="E373" s="64">
        <f>_xlfn.XLOOKUP($C373,'Corporate Roster - ''24'!$C$6:$C$60,'Corporate Roster - ''24'!$E$6:$E$60)</f>
        <v>43244</v>
      </c>
      <c r="F373" s="64">
        <f>_xlfn.XLOOKUP($C373,'Corporate Roster - ''24'!$C$6:$C$60,'Corporate Roster - ''24'!$F$6:$F$60)</f>
        <v>45499</v>
      </c>
      <c r="G373" s="32">
        <f t="shared" si="493"/>
        <v>173000</v>
      </c>
      <c r="H373" s="33">
        <f t="shared" si="494"/>
        <v>84500.000000000015</v>
      </c>
      <c r="J373" s="32">
        <f t="shared" ref="J373:AG373" si="545">J310+J184+J58</f>
        <v>14416.666666666668</v>
      </c>
      <c r="K373" s="10">
        <f t="shared" si="545"/>
        <v>14416.666666666668</v>
      </c>
      <c r="L373" s="10">
        <f t="shared" si="545"/>
        <v>14416.666666666668</v>
      </c>
      <c r="M373" s="10">
        <f t="shared" si="545"/>
        <v>14416.666666666668</v>
      </c>
      <c r="N373" s="10">
        <f t="shared" si="545"/>
        <v>14416.666666666668</v>
      </c>
      <c r="O373" s="10">
        <f t="shared" si="545"/>
        <v>14416.666666666668</v>
      </c>
      <c r="P373" s="10">
        <f t="shared" si="545"/>
        <v>14416.666666666668</v>
      </c>
      <c r="Q373" s="10">
        <f t="shared" si="545"/>
        <v>14416.666666666668</v>
      </c>
      <c r="R373" s="10">
        <f t="shared" si="545"/>
        <v>14416.666666666668</v>
      </c>
      <c r="S373" s="10">
        <f t="shared" si="545"/>
        <v>14416.666666666668</v>
      </c>
      <c r="T373" s="10">
        <f t="shared" si="545"/>
        <v>14416.666666666668</v>
      </c>
      <c r="U373" s="33">
        <f t="shared" si="545"/>
        <v>14416.666666666668</v>
      </c>
      <c r="V373" s="10">
        <f t="shared" si="545"/>
        <v>15166.666666666668</v>
      </c>
      <c r="W373" s="10">
        <f t="shared" si="545"/>
        <v>15166.666666666668</v>
      </c>
      <c r="X373" s="10">
        <f t="shared" si="545"/>
        <v>15166.666666666668</v>
      </c>
      <c r="Y373" s="10">
        <f t="shared" si="545"/>
        <v>15166.666666666668</v>
      </c>
      <c r="Z373" s="10">
        <f t="shared" si="545"/>
        <v>15166.666666666668</v>
      </c>
      <c r="AA373" s="10">
        <f t="shared" si="545"/>
        <v>15166.666666666668</v>
      </c>
      <c r="AB373" s="10">
        <f t="shared" si="545"/>
        <v>-6499.9999999999991</v>
      </c>
      <c r="AC373" s="10">
        <f t="shared" si="545"/>
        <v>0</v>
      </c>
      <c r="AD373" s="10">
        <f t="shared" si="545"/>
        <v>0</v>
      </c>
      <c r="AE373" s="10">
        <f t="shared" si="545"/>
        <v>0</v>
      </c>
      <c r="AF373" s="10">
        <f t="shared" si="545"/>
        <v>0</v>
      </c>
      <c r="AG373" s="33">
        <f t="shared" si="545"/>
        <v>0</v>
      </c>
    </row>
    <row r="374" spans="3:33" x14ac:dyDescent="0.2">
      <c r="C374" t="s">
        <v>75</v>
      </c>
      <c r="D374" t="s">
        <v>90</v>
      </c>
      <c r="E374" s="64">
        <f>_xlfn.XLOOKUP($C374,'Corporate Roster - ''24'!$C$6:$C$60,'Corporate Roster - ''24'!$E$6:$E$60)</f>
        <v>42099</v>
      </c>
      <c r="F374" s="64">
        <f>_xlfn.XLOOKUP($C374,'Corporate Roster - ''24'!$C$6:$C$60,'Corporate Roster - ''24'!$F$6:$F$60)</f>
        <v>45554</v>
      </c>
      <c r="G374" s="32">
        <f t="shared" si="493"/>
        <v>173000</v>
      </c>
      <c r="H374" s="33">
        <f t="shared" si="494"/>
        <v>112666.66666666669</v>
      </c>
      <c r="J374" s="32">
        <f t="shared" ref="J374:AG374" si="546">J311+J185+J59</f>
        <v>14416.666666666668</v>
      </c>
      <c r="K374" s="10">
        <f t="shared" si="546"/>
        <v>14416.666666666668</v>
      </c>
      <c r="L374" s="10">
        <f t="shared" si="546"/>
        <v>14416.666666666668</v>
      </c>
      <c r="M374" s="10">
        <f t="shared" si="546"/>
        <v>14416.666666666668</v>
      </c>
      <c r="N374" s="10">
        <f t="shared" si="546"/>
        <v>14416.666666666668</v>
      </c>
      <c r="O374" s="10">
        <f t="shared" si="546"/>
        <v>14416.666666666668</v>
      </c>
      <c r="P374" s="10">
        <f t="shared" si="546"/>
        <v>14416.666666666668</v>
      </c>
      <c r="Q374" s="10">
        <f t="shared" si="546"/>
        <v>14416.666666666668</v>
      </c>
      <c r="R374" s="10">
        <f t="shared" si="546"/>
        <v>14416.666666666668</v>
      </c>
      <c r="S374" s="10">
        <f t="shared" si="546"/>
        <v>14416.666666666668</v>
      </c>
      <c r="T374" s="10">
        <f t="shared" si="546"/>
        <v>14416.666666666668</v>
      </c>
      <c r="U374" s="33">
        <f t="shared" si="546"/>
        <v>14416.666666666668</v>
      </c>
      <c r="V374" s="10">
        <f t="shared" si="546"/>
        <v>15166.666666666668</v>
      </c>
      <c r="W374" s="10">
        <f t="shared" si="546"/>
        <v>15166.666666666668</v>
      </c>
      <c r="X374" s="10">
        <f t="shared" si="546"/>
        <v>15166.666666666668</v>
      </c>
      <c r="Y374" s="10">
        <f t="shared" si="546"/>
        <v>15166.666666666668</v>
      </c>
      <c r="Z374" s="10">
        <f t="shared" si="546"/>
        <v>15166.666666666668</v>
      </c>
      <c r="AA374" s="10">
        <f t="shared" si="546"/>
        <v>15166.666666666668</v>
      </c>
      <c r="AB374" s="10">
        <f t="shared" si="546"/>
        <v>15166.666666666668</v>
      </c>
      <c r="AC374" s="10">
        <f t="shared" si="546"/>
        <v>15166.666666666668</v>
      </c>
      <c r="AD374" s="10">
        <f t="shared" si="546"/>
        <v>-8666.6666666666661</v>
      </c>
      <c r="AE374" s="10">
        <f t="shared" si="546"/>
        <v>0</v>
      </c>
      <c r="AF374" s="10">
        <f t="shared" si="546"/>
        <v>0</v>
      </c>
      <c r="AG374" s="33">
        <f t="shared" si="546"/>
        <v>0</v>
      </c>
    </row>
    <row r="375" spans="3:33" x14ac:dyDescent="0.2">
      <c r="C375" t="s">
        <v>134</v>
      </c>
      <c r="D375" t="s">
        <v>110</v>
      </c>
      <c r="E375" s="64">
        <f>_xlfn.XLOOKUP($C375,'Corporate Roster - ''24'!$C$6:$C$60,'Corporate Roster - ''24'!$E$6:$E$60)</f>
        <v>45193</v>
      </c>
      <c r="F375" s="64">
        <f>_xlfn.XLOOKUP($C375,'Corporate Roster - ''24'!$C$6:$C$60,'Corporate Roster - ''24'!$F$6:$F$60)</f>
        <v>45609</v>
      </c>
      <c r="G375" s="32">
        <f t="shared" si="493"/>
        <v>36333.333333333336</v>
      </c>
      <c r="H375" s="33">
        <f t="shared" si="494"/>
        <v>92083.333333333328</v>
      </c>
      <c r="J375" s="32">
        <f t="shared" ref="J375:AG375" si="547">J312+J186+J60</f>
        <v>0</v>
      </c>
      <c r="K375" s="10">
        <f t="shared" si="547"/>
        <v>0</v>
      </c>
      <c r="L375" s="10">
        <f t="shared" si="547"/>
        <v>0</v>
      </c>
      <c r="M375" s="10">
        <f t="shared" si="547"/>
        <v>0</v>
      </c>
      <c r="N375" s="10">
        <f t="shared" si="547"/>
        <v>0</v>
      </c>
      <c r="O375" s="10">
        <f t="shared" si="547"/>
        <v>0</v>
      </c>
      <c r="P375" s="10">
        <f t="shared" si="547"/>
        <v>0</v>
      </c>
      <c r="Q375" s="10">
        <f t="shared" si="547"/>
        <v>0</v>
      </c>
      <c r="R375" s="10">
        <f t="shared" si="547"/>
        <v>9083.3333333333339</v>
      </c>
      <c r="S375" s="10">
        <f t="shared" si="547"/>
        <v>9083.3333333333339</v>
      </c>
      <c r="T375" s="10">
        <f t="shared" si="547"/>
        <v>9083.3333333333339</v>
      </c>
      <c r="U375" s="33">
        <f t="shared" si="547"/>
        <v>9083.3333333333339</v>
      </c>
      <c r="V375" s="10">
        <f t="shared" si="547"/>
        <v>9562.5</v>
      </c>
      <c r="W375" s="10">
        <f t="shared" si="547"/>
        <v>9562.5</v>
      </c>
      <c r="X375" s="10">
        <f t="shared" si="547"/>
        <v>9562.5</v>
      </c>
      <c r="Y375" s="10">
        <f t="shared" si="547"/>
        <v>9562.5</v>
      </c>
      <c r="Z375" s="10">
        <f t="shared" si="547"/>
        <v>9562.5</v>
      </c>
      <c r="AA375" s="10">
        <f t="shared" si="547"/>
        <v>9562.5</v>
      </c>
      <c r="AB375" s="10">
        <f t="shared" si="547"/>
        <v>9562.5</v>
      </c>
      <c r="AC375" s="10">
        <f t="shared" si="547"/>
        <v>9562.5</v>
      </c>
      <c r="AD375" s="10">
        <f t="shared" si="547"/>
        <v>9562.5</v>
      </c>
      <c r="AE375" s="10">
        <f t="shared" si="547"/>
        <v>9562.5</v>
      </c>
      <c r="AF375" s="10">
        <f t="shared" si="547"/>
        <v>-3541.6666666666661</v>
      </c>
      <c r="AG375" s="33">
        <f t="shared" si="547"/>
        <v>0</v>
      </c>
    </row>
    <row r="376" spans="3:33" x14ac:dyDescent="0.2">
      <c r="C376" s="23" t="s">
        <v>152</v>
      </c>
      <c r="D376" s="23" t="s">
        <v>99</v>
      </c>
      <c r="E376" s="65">
        <f>_xlfn.XLOOKUP($C376,'Corporate Roster - ''24'!$C$6:$C$60,'Corporate Roster - ''24'!$E$6:$E$60)</f>
        <v>42869</v>
      </c>
      <c r="F376" s="78">
        <f>_xlfn.XLOOKUP($C376,'Corporate Roster - ''24'!$C$6:$C$60,'Corporate Roster - ''24'!$F$6:$F$60)</f>
        <v>45626</v>
      </c>
      <c r="G376" s="54">
        <f t="shared" si="493"/>
        <v>108000</v>
      </c>
      <c r="H376" s="62">
        <f t="shared" si="494"/>
        <v>86666.666666666672</v>
      </c>
      <c r="J376" s="57">
        <f t="shared" ref="J376:AG376" si="548">J313+J187+J61</f>
        <v>9000</v>
      </c>
      <c r="K376" s="54">
        <f t="shared" si="548"/>
        <v>9000</v>
      </c>
      <c r="L376" s="54">
        <f t="shared" si="548"/>
        <v>9000</v>
      </c>
      <c r="M376" s="54">
        <f t="shared" si="548"/>
        <v>9000</v>
      </c>
      <c r="N376" s="54">
        <f t="shared" si="548"/>
        <v>9000</v>
      </c>
      <c r="O376" s="54">
        <f t="shared" si="548"/>
        <v>9000</v>
      </c>
      <c r="P376" s="54">
        <f t="shared" si="548"/>
        <v>9000</v>
      </c>
      <c r="Q376" s="54">
        <f t="shared" si="548"/>
        <v>9000</v>
      </c>
      <c r="R376" s="54">
        <f t="shared" si="548"/>
        <v>9000</v>
      </c>
      <c r="S376" s="54">
        <f t="shared" si="548"/>
        <v>9000</v>
      </c>
      <c r="T376" s="54">
        <f t="shared" si="548"/>
        <v>9000</v>
      </c>
      <c r="U376" s="62">
        <f t="shared" si="548"/>
        <v>9000</v>
      </c>
      <c r="V376" s="54">
        <f t="shared" si="548"/>
        <v>9000</v>
      </c>
      <c r="W376" s="54">
        <f t="shared" si="548"/>
        <v>9000</v>
      </c>
      <c r="X376" s="54">
        <f t="shared" si="548"/>
        <v>9000</v>
      </c>
      <c r="Y376" s="54">
        <f t="shared" si="548"/>
        <v>9000</v>
      </c>
      <c r="Z376" s="54">
        <f t="shared" si="548"/>
        <v>9000</v>
      </c>
      <c r="AA376" s="54">
        <f t="shared" si="548"/>
        <v>9000</v>
      </c>
      <c r="AB376" s="54">
        <f t="shared" si="548"/>
        <v>9000</v>
      </c>
      <c r="AC376" s="54">
        <f t="shared" si="548"/>
        <v>9000</v>
      </c>
      <c r="AD376" s="54">
        <f t="shared" si="548"/>
        <v>9000</v>
      </c>
      <c r="AE376" s="54">
        <f t="shared" si="548"/>
        <v>9000</v>
      </c>
      <c r="AF376" s="54">
        <f t="shared" si="548"/>
        <v>-3333.3333333333335</v>
      </c>
      <c r="AG376" s="62">
        <f t="shared" si="548"/>
        <v>0</v>
      </c>
    </row>
    <row r="377" spans="3:33" x14ac:dyDescent="0.2">
      <c r="G377" s="34">
        <f>SUM(G322:G376)</f>
        <v>8381875</v>
      </c>
      <c r="H377" s="34">
        <f>SUM(H322:H376)</f>
        <v>8701979.166666666</v>
      </c>
      <c r="J377" s="34">
        <f>SUM(J322:J376)</f>
        <v>684770.83333333314</v>
      </c>
      <c r="K377" s="34">
        <f t="shared" ref="K377" si="549">SUM(K322:K376)</f>
        <v>705437.49999999977</v>
      </c>
      <c r="L377" s="34">
        <f t="shared" ref="L377" si="550">SUM(L322:L376)</f>
        <v>705437.49999999977</v>
      </c>
      <c r="M377" s="34">
        <f t="shared" ref="M377" si="551">SUM(M322:M376)</f>
        <v>712937.49999999977</v>
      </c>
      <c r="N377" s="34">
        <f t="shared" ref="N377" si="552">SUM(N322:N376)</f>
        <v>722499.99999999977</v>
      </c>
      <c r="O377" s="34">
        <f t="shared" ref="O377" si="553">SUM(O322:O376)</f>
        <v>700833.33333333314</v>
      </c>
      <c r="P377" s="34">
        <f t="shared" ref="P377" si="554">SUM(P322:P376)</f>
        <v>674166.66666666651</v>
      </c>
      <c r="Q377" s="34">
        <f t="shared" ref="Q377" si="555">SUM(Q322:Q376)</f>
        <v>680666.66666666651</v>
      </c>
      <c r="R377" s="34">
        <f t="shared" ref="R377" si="556">SUM(R322:R376)</f>
        <v>689749.99999999988</v>
      </c>
      <c r="S377" s="34">
        <f t="shared" ref="S377" si="557">SUM(S322:S376)</f>
        <v>689749.99999999988</v>
      </c>
      <c r="T377" s="34">
        <f t="shared" ref="T377" si="558">SUM(T322:T376)</f>
        <v>706145.83333333326</v>
      </c>
      <c r="U377" s="34">
        <f t="shared" ref="U377" si="559">SUM(U322:U376)</f>
        <v>709479.16666666663</v>
      </c>
      <c r="V377" s="34">
        <f t="shared" ref="V377" si="560">SUM(V322:V376)</f>
        <v>756416.66666666651</v>
      </c>
      <c r="W377" s="34">
        <f t="shared" ref="W377" si="561">SUM(W322:W376)</f>
        <v>765979.16666666651</v>
      </c>
      <c r="X377" s="34">
        <f t="shared" ref="X377" si="562">SUM(X322:X376)</f>
        <v>775541.66666666651</v>
      </c>
      <c r="Y377" s="34">
        <f t="shared" ref="Y377" si="563">SUM(Y322:Y376)</f>
        <v>758541.66666666651</v>
      </c>
      <c r="Z377" s="34">
        <f t="shared" ref="Z377" si="564">SUM(Z322:Z376)</f>
        <v>743541.66666666651</v>
      </c>
      <c r="AA377" s="34">
        <f t="shared" ref="AA377" si="565">SUM(AA322:AA376)</f>
        <v>747541.66666666651</v>
      </c>
      <c r="AB377" s="34">
        <f t="shared" ref="AB377" si="566">SUM(AB322:AB376)</f>
        <v>705874.99999999988</v>
      </c>
      <c r="AC377" s="34">
        <f t="shared" ref="AC377" si="567">SUM(AC322:AC376)</f>
        <v>712374.99999999988</v>
      </c>
      <c r="AD377" s="34">
        <f t="shared" ref="AD377" si="568">SUM(AD322:AD376)</f>
        <v>688541.66666666663</v>
      </c>
      <c r="AE377" s="34">
        <f t="shared" ref="AE377" si="569">SUM(AE322:AE376)</f>
        <v>697208.33333333326</v>
      </c>
      <c r="AF377" s="34">
        <f t="shared" ref="AF377" si="570">SUM(AF322:AF376)</f>
        <v>671770.83333333326</v>
      </c>
      <c r="AG377" s="34">
        <f t="shared" ref="AG377" si="571">SUM(AG322:AG376)</f>
        <v>678645.83333333326</v>
      </c>
    </row>
  </sheetData>
  <pageMargins left="0.7" right="0.7" top="0.75" bottom="0.75" header="0.3" footer="0.3"/>
  <pageSetup scale="2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Budget Assumption Driver</vt:lpstr>
      <vt:lpstr>Consolidated Budget - '25</vt:lpstr>
      <vt:lpstr>Site Level Budget - '25</vt:lpstr>
      <vt:lpstr>Corporate Monthly - '25</vt:lpstr>
      <vt:lpstr>Corporate Roster - '25</vt:lpstr>
      <vt:lpstr>Historical Financials&gt;&gt;</vt:lpstr>
      <vt:lpstr>Cons. Financials - '23 '24</vt:lpstr>
      <vt:lpstr>Site Level Financials - '23 '24</vt:lpstr>
      <vt:lpstr>Corporate Roster - '24</vt:lpstr>
      <vt:lpstr>Corporate Monthly - '23 '24</vt:lpstr>
      <vt:lpstr>'Budget Assumption Driver'!Print_Area</vt:lpstr>
      <vt:lpstr>'Cons. Financials - ''23 ''24'!Print_Area</vt:lpstr>
      <vt:lpstr>'Consolidated Budget - ''25'!Print_Area</vt:lpstr>
      <vt:lpstr>'Corporate Monthly - ''23 ''24'!Print_Area</vt:lpstr>
      <vt:lpstr>'Corporate Monthly - ''25'!Print_Area</vt:lpstr>
      <vt:lpstr>'Corporate Roster - ''24'!Print_Area</vt:lpstr>
      <vt:lpstr>'Corporate Roster - ''25'!Print_Area</vt:lpstr>
      <vt:lpstr>'Site Level Budget - ''25'!Print_Area</vt:lpstr>
      <vt:lpstr>'Site Level Financials - ''23 ''24'!Print_Area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Koziolek, Nick</dc:creator>
  <cp:lastModifiedBy>Zach Kirshner</cp:lastModifiedBy>
  <cp:lastPrinted>2025-08-13T17:56:07Z</cp:lastPrinted>
  <dcterms:created xsi:type="dcterms:W3CDTF">2025-08-07T15:47:41Z</dcterms:created>
  <dcterms:modified xsi:type="dcterms:W3CDTF">2025-12-08T17:43:17Z</dcterms:modified>
</cp:coreProperties>
</file>